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  <sheet name="T4-T3" sheetId="17" r:id="rId3"/>
    <sheet name="T5-T3" sheetId="16" r:id="rId4"/>
    <sheet name="T6-T3" sheetId="18" r:id="rId5"/>
    <sheet name="T7-T3" sheetId="19" r:id="rId6"/>
  </sheets>
  <calcPr calcId="124519"/>
</workbook>
</file>

<file path=xl/calcChain.xml><?xml version="1.0" encoding="utf-8"?>
<calcChain xmlns="http://schemas.openxmlformats.org/spreadsheetml/2006/main">
  <c r="D99" i="19"/>
  <c r="D113"/>
  <c r="D112" i="16"/>
  <c r="D96"/>
  <c r="I21"/>
  <c r="I34"/>
  <c r="D18" i="17" l="1"/>
  <c r="I111" i="15"/>
  <c r="I99"/>
  <c r="D111"/>
  <c r="D99"/>
  <c r="I115" i="12"/>
  <c r="I99"/>
  <c r="D19"/>
  <c r="N103" i="19"/>
  <c r="C103"/>
  <c r="H103" s="1"/>
  <c r="K103" l="1"/>
  <c r="J103"/>
  <c r="I103"/>
  <c r="F103"/>
  <c r="D103"/>
  <c r="C23"/>
  <c r="F23" s="1"/>
  <c r="N121" i="12"/>
  <c r="K121"/>
  <c r="C121"/>
  <c r="I121" s="1"/>
  <c r="N104"/>
  <c r="D104"/>
  <c r="C104"/>
  <c r="H104" s="1"/>
  <c r="N24"/>
  <c r="C24"/>
  <c r="D24" s="1"/>
  <c r="N38"/>
  <c r="C38"/>
  <c r="D38" s="1"/>
  <c r="J104" l="1"/>
  <c r="J23" i="19"/>
  <c r="D23"/>
  <c r="K23"/>
  <c r="I23"/>
  <c r="H23"/>
  <c r="F121" i="12"/>
  <c r="D121"/>
  <c r="J121"/>
  <c r="K104"/>
  <c r="I104"/>
  <c r="F104"/>
  <c r="H24"/>
  <c r="K24"/>
  <c r="J24"/>
  <c r="I24"/>
  <c r="F24"/>
  <c r="I38"/>
  <c r="F38"/>
  <c r="K38"/>
  <c r="J38"/>
  <c r="N38" i="15" l="1"/>
  <c r="C38"/>
  <c r="H38" s="1"/>
  <c r="F38" l="1"/>
  <c r="D38"/>
  <c r="K38"/>
  <c r="J38"/>
  <c r="I38"/>
  <c r="N102" i="16" l="1"/>
  <c r="K102"/>
  <c r="C102"/>
  <c r="H102" s="1"/>
  <c r="N25"/>
  <c r="I25"/>
  <c r="F25"/>
  <c r="C25"/>
  <c r="D25" s="1"/>
  <c r="N106" i="18"/>
  <c r="C106"/>
  <c r="H106" s="1"/>
  <c r="C23"/>
  <c r="K23" s="1"/>
  <c r="C21"/>
  <c r="J21" s="1"/>
  <c r="F21" l="1"/>
  <c r="J23"/>
  <c r="F23"/>
  <c r="I102" i="16"/>
  <c r="F102"/>
  <c r="H25"/>
  <c r="K25"/>
  <c r="J25"/>
  <c r="I23" i="18"/>
  <c r="H23"/>
  <c r="I21"/>
  <c r="H21"/>
  <c r="J106"/>
  <c r="K106"/>
  <c r="D23"/>
  <c r="F106"/>
  <c r="D106"/>
  <c r="D21"/>
  <c r="I106"/>
  <c r="K21"/>
  <c r="D102" i="16"/>
  <c r="J102"/>
  <c r="N103" i="17"/>
  <c r="C103"/>
  <c r="F103" s="1"/>
  <c r="N102"/>
  <c r="C102"/>
  <c r="G102" s="1"/>
  <c r="C37"/>
  <c r="E37" s="1"/>
  <c r="C23"/>
  <c r="I23" s="1"/>
  <c r="C20"/>
  <c r="D20" s="1"/>
  <c r="N36"/>
  <c r="C36"/>
  <c r="J36" s="1"/>
  <c r="K36" l="1"/>
  <c r="I36"/>
  <c r="F36"/>
  <c r="D36"/>
  <c r="F23"/>
  <c r="D23"/>
  <c r="J23"/>
  <c r="J103"/>
  <c r="J102"/>
  <c r="D103"/>
  <c r="K103"/>
  <c r="I103"/>
  <c r="I102"/>
  <c r="E102"/>
  <c r="D102"/>
  <c r="K102"/>
  <c r="K37"/>
  <c r="J37"/>
  <c r="G37"/>
  <c r="D37"/>
  <c r="K20"/>
  <c r="J20"/>
  <c r="I20"/>
  <c r="G20"/>
  <c r="E20"/>
  <c r="N37" l="1"/>
  <c r="N100" i="12" l="1"/>
  <c r="C100"/>
  <c r="D100" s="1"/>
  <c r="N20"/>
  <c r="C20"/>
  <c r="J20" s="1"/>
  <c r="I20" l="1"/>
  <c r="D20"/>
  <c r="K20"/>
  <c r="K100"/>
  <c r="J100"/>
  <c r="I100"/>
  <c r="N23" i="18"/>
  <c r="C127"/>
  <c r="J127" s="1"/>
  <c r="N127"/>
  <c r="C128"/>
  <c r="I128" s="1"/>
  <c r="N128"/>
  <c r="C129"/>
  <c r="F129" s="1"/>
  <c r="N129"/>
  <c r="C130"/>
  <c r="E130" s="1"/>
  <c r="N130"/>
  <c r="N117" i="19"/>
  <c r="C117"/>
  <c r="D117" s="1"/>
  <c r="N116"/>
  <c r="C116"/>
  <c r="D116" s="1"/>
  <c r="N39"/>
  <c r="C39"/>
  <c r="N38"/>
  <c r="C38"/>
  <c r="N23"/>
  <c r="D39" l="1"/>
  <c r="E39"/>
  <c r="D38"/>
  <c r="E38"/>
  <c r="E116"/>
  <c r="H127" i="18"/>
  <c r="K127"/>
  <c r="D127"/>
  <c r="F127"/>
  <c r="I127"/>
  <c r="G130"/>
  <c r="I129"/>
  <c r="J130"/>
  <c r="K130"/>
  <c r="J129"/>
  <c r="K129"/>
  <c r="H129"/>
  <c r="F128"/>
  <c r="D128"/>
  <c r="D130"/>
  <c r="D129"/>
  <c r="G116" i="19"/>
  <c r="K117"/>
  <c r="J117"/>
  <c r="G117"/>
  <c r="K116"/>
  <c r="J116"/>
  <c r="E117"/>
  <c r="J38"/>
  <c r="K38"/>
  <c r="J39"/>
  <c r="K39"/>
  <c r="G39"/>
  <c r="G38"/>
  <c r="N105" i="18"/>
  <c r="C105"/>
  <c r="D105" s="1"/>
  <c r="N38"/>
  <c r="C38"/>
  <c r="D38" s="1"/>
  <c r="N40"/>
  <c r="C40"/>
  <c r="F40" s="1"/>
  <c r="N41"/>
  <c r="C41"/>
  <c r="E41" s="1"/>
  <c r="N37"/>
  <c r="C37"/>
  <c r="D37" s="1"/>
  <c r="D136" l="1"/>
  <c r="F105"/>
  <c r="F38"/>
  <c r="I105"/>
  <c r="K105"/>
  <c r="J105"/>
  <c r="H105"/>
  <c r="I38"/>
  <c r="K40"/>
  <c r="J40"/>
  <c r="I40"/>
  <c r="D40"/>
  <c r="H40"/>
  <c r="D41"/>
  <c r="K41"/>
  <c r="J41"/>
  <c r="G41"/>
  <c r="K37"/>
  <c r="J37"/>
  <c r="I37"/>
  <c r="H37"/>
  <c r="F37"/>
  <c r="N22" l="1"/>
  <c r="C22"/>
  <c r="D22" s="1"/>
  <c r="N23" i="17"/>
  <c r="N20"/>
  <c r="K22" i="18" l="1"/>
  <c r="J22"/>
  <c r="F22"/>
  <c r="I22"/>
  <c r="H22"/>
  <c r="K23" i="17"/>
  <c r="N124" i="16" l="1"/>
  <c r="C124"/>
  <c r="D124" s="1"/>
  <c r="N41"/>
  <c r="C41"/>
  <c r="F41" s="1"/>
  <c r="N20" i="15"/>
  <c r="C20"/>
  <c r="J20" s="1"/>
  <c r="N22"/>
  <c r="C22"/>
  <c r="D22" s="1"/>
  <c r="N101" i="12"/>
  <c r="C101"/>
  <c r="D101" s="1"/>
  <c r="N103"/>
  <c r="C103"/>
  <c r="J103" s="1"/>
  <c r="N102"/>
  <c r="C102"/>
  <c r="E102" s="1"/>
  <c r="N105"/>
  <c r="C105"/>
  <c r="H105" s="1"/>
  <c r="N21"/>
  <c r="C21"/>
  <c r="N23"/>
  <c r="C23"/>
  <c r="E23" s="1"/>
  <c r="N25"/>
  <c r="C25"/>
  <c r="H25" s="1"/>
  <c r="I124" i="16" l="1"/>
  <c r="H124"/>
  <c r="D21" i="12"/>
  <c r="E21"/>
  <c r="I20" i="15"/>
  <c r="F20"/>
  <c r="J22"/>
  <c r="G22"/>
  <c r="K22"/>
  <c r="E22"/>
  <c r="D20"/>
  <c r="K20"/>
  <c r="K102" i="12"/>
  <c r="E103"/>
  <c r="D103"/>
  <c r="J102"/>
  <c r="K103"/>
  <c r="G103"/>
  <c r="J124" i="16"/>
  <c r="K41"/>
  <c r="J41"/>
  <c r="H41"/>
  <c r="D41"/>
  <c r="K124"/>
  <c r="F124"/>
  <c r="I41"/>
  <c r="J105" i="12"/>
  <c r="F105"/>
  <c r="D105"/>
  <c r="E101"/>
  <c r="G101"/>
  <c r="K101"/>
  <c r="J101"/>
  <c r="D102"/>
  <c r="G102"/>
  <c r="K105"/>
  <c r="I105"/>
  <c r="K21"/>
  <c r="J21"/>
  <c r="G21"/>
  <c r="D23"/>
  <c r="K23"/>
  <c r="J23"/>
  <c r="G23"/>
  <c r="F25"/>
  <c r="D25"/>
  <c r="K25"/>
  <c r="J25"/>
  <c r="I25"/>
  <c r="N136" i="18" l="1"/>
  <c r="N125" i="19" l="1"/>
  <c r="C125"/>
  <c r="J125" s="1"/>
  <c r="N40"/>
  <c r="C40"/>
  <c r="K40" s="1"/>
  <c r="K125" l="1"/>
  <c r="D125"/>
  <c r="I125"/>
  <c r="D40"/>
  <c r="I40"/>
  <c r="F125"/>
  <c r="H125"/>
  <c r="J40"/>
  <c r="H40"/>
  <c r="F40"/>
  <c r="N123" i="15"/>
  <c r="C123"/>
  <c r="K123" s="1"/>
  <c r="N40"/>
  <c r="C40"/>
  <c r="N128" i="12"/>
  <c r="C128"/>
  <c r="N35"/>
  <c r="C35"/>
  <c r="D35" s="1"/>
  <c r="N40"/>
  <c r="C40"/>
  <c r="D40" s="1"/>
  <c r="D123" i="15" l="1"/>
  <c r="I123"/>
  <c r="D40"/>
  <c r="I40"/>
  <c r="J123"/>
  <c r="D128" i="12"/>
  <c r="I128"/>
  <c r="K40" i="15"/>
  <c r="H123"/>
  <c r="J40"/>
  <c r="H40"/>
  <c r="F123"/>
  <c r="F40"/>
  <c r="K128" i="12"/>
  <c r="J128"/>
  <c r="H128"/>
  <c r="F128"/>
  <c r="H35"/>
  <c r="K40"/>
  <c r="J40"/>
  <c r="I40"/>
  <c r="H40"/>
  <c r="F40"/>
  <c r="N101" i="19" l="1"/>
  <c r="C101"/>
  <c r="G101" s="1"/>
  <c r="N21"/>
  <c r="C21"/>
  <c r="I21" s="1"/>
  <c r="D101" l="1"/>
  <c r="E101"/>
  <c r="J21"/>
  <c r="D21"/>
  <c r="E21"/>
  <c r="K101"/>
  <c r="J101"/>
  <c r="I101"/>
  <c r="K21"/>
  <c r="G21"/>
  <c r="C113" i="15" l="1"/>
  <c r="H113" s="1"/>
  <c r="N113"/>
  <c r="N112" i="19"/>
  <c r="C112"/>
  <c r="H112" s="1"/>
  <c r="N33"/>
  <c r="C33"/>
  <c r="D33" s="1"/>
  <c r="H33" l="1"/>
  <c r="D113" i="15"/>
  <c r="G113"/>
  <c r="D112" i="19"/>
  <c r="N101" i="18" l="1"/>
  <c r="C101"/>
  <c r="D101" s="1"/>
  <c r="N17"/>
  <c r="C17"/>
  <c r="H17" s="1"/>
  <c r="N34" i="17"/>
  <c r="C34"/>
  <c r="H34" s="1"/>
  <c r="N113"/>
  <c r="C113"/>
  <c r="D113" s="1"/>
  <c r="H101" i="18" l="1"/>
  <c r="D17"/>
  <c r="D34" i="17"/>
  <c r="H113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N37" i="15"/>
  <c r="C37"/>
  <c r="D37" s="1"/>
  <c r="N114" i="12"/>
  <c r="C114"/>
  <c r="H114" s="1"/>
  <c r="C115"/>
  <c r="N115"/>
  <c r="J115" l="1"/>
  <c r="K115"/>
  <c r="E101" i="16"/>
  <c r="D101"/>
  <c r="J101"/>
  <c r="K101"/>
  <c r="J24"/>
  <c r="D24"/>
  <c r="K24"/>
  <c r="G24"/>
  <c r="G111"/>
  <c r="H95"/>
  <c r="H37" i="15"/>
  <c r="D114" i="12"/>
  <c r="D115"/>
  <c r="F115"/>
  <c r="H115"/>
  <c r="N24" i="19" l="1"/>
  <c r="C24"/>
  <c r="D24" l="1"/>
  <c r="F24"/>
  <c r="K24"/>
  <c r="J24"/>
  <c r="I24"/>
  <c r="N116" i="17" l="1"/>
  <c r="C116"/>
  <c r="N115" i="16"/>
  <c r="C115"/>
  <c r="F115" s="1"/>
  <c r="N40"/>
  <c r="C40"/>
  <c r="F40" s="1"/>
  <c r="N35"/>
  <c r="C35"/>
  <c r="H35" s="1"/>
  <c r="N34"/>
  <c r="C34"/>
  <c r="N39" i="15"/>
  <c r="C39"/>
  <c r="E39" s="1"/>
  <c r="F116" i="17" l="1"/>
  <c r="K116"/>
  <c r="D116"/>
  <c r="I116"/>
  <c r="J116"/>
  <c r="H34" i="16"/>
  <c r="K35"/>
  <c r="K34"/>
  <c r="F35"/>
  <c r="J115"/>
  <c r="D115"/>
  <c r="D40"/>
  <c r="K39" i="15"/>
  <c r="J39"/>
  <c r="G39"/>
  <c r="D39"/>
  <c r="K115" i="16"/>
  <c r="I115"/>
  <c r="J40"/>
  <c r="F34"/>
  <c r="D34"/>
  <c r="D35"/>
  <c r="K40"/>
  <c r="I40"/>
  <c r="J34"/>
  <c r="J35"/>
  <c r="I35"/>
  <c r="N116" i="12" l="1"/>
  <c r="C116"/>
  <c r="D116" s="1"/>
  <c r="N106"/>
  <c r="C106"/>
  <c r="F106" s="1"/>
  <c r="N37"/>
  <c r="C37"/>
  <c r="D37" s="1"/>
  <c r="N33"/>
  <c r="C33"/>
  <c r="D33" s="1"/>
  <c r="N26"/>
  <c r="C26"/>
  <c r="D26" s="1"/>
  <c r="H106" l="1"/>
  <c r="D106"/>
  <c r="I106"/>
  <c r="F37"/>
  <c r="I37"/>
  <c r="H37"/>
  <c r="I116"/>
  <c r="H116"/>
  <c r="F116"/>
  <c r="I33"/>
  <c r="H33"/>
  <c r="F33"/>
  <c r="H26"/>
  <c r="I26"/>
  <c r="F26"/>
  <c r="N117" i="15" l="1"/>
  <c r="C117"/>
  <c r="D117" s="1"/>
  <c r="N101"/>
  <c r="C101"/>
  <c r="D101" s="1"/>
  <c r="N17"/>
  <c r="C17"/>
  <c r="N36"/>
  <c r="C36"/>
  <c r="D36" s="1"/>
  <c r="N35"/>
  <c r="C35"/>
  <c r="D35" s="1"/>
  <c r="N21"/>
  <c r="C21"/>
  <c r="D21" s="1"/>
  <c r="F35" l="1"/>
  <c r="G17"/>
  <c r="D17"/>
  <c r="I117"/>
  <c r="H117"/>
  <c r="F117"/>
  <c r="I101"/>
  <c r="H101"/>
  <c r="F101"/>
  <c r="G36"/>
  <c r="H21"/>
  <c r="F21"/>
  <c r="I35"/>
  <c r="H35"/>
  <c r="I21"/>
  <c r="N125" i="17"/>
  <c r="C125"/>
  <c r="D125" s="1"/>
  <c r="N38"/>
  <c r="C38"/>
  <c r="I38" s="1"/>
  <c r="D38" l="1"/>
  <c r="J125"/>
  <c r="I125"/>
  <c r="F125"/>
  <c r="J38"/>
  <c r="F38"/>
  <c r="N130" l="1"/>
  <c r="N118"/>
  <c r="C118"/>
  <c r="D118" s="1"/>
  <c r="N117"/>
  <c r="C117"/>
  <c r="F117" s="1"/>
  <c r="N115"/>
  <c r="C115"/>
  <c r="I115" s="1"/>
  <c r="N114"/>
  <c r="C114"/>
  <c r="K114" s="1"/>
  <c r="N112"/>
  <c r="C112"/>
  <c r="N111"/>
  <c r="C111"/>
  <c r="J111" s="1"/>
  <c r="N104"/>
  <c r="C104"/>
  <c r="I104" s="1"/>
  <c r="N101"/>
  <c r="C101"/>
  <c r="G101" s="1"/>
  <c r="N100"/>
  <c r="C100"/>
  <c r="E100" s="1"/>
  <c r="N99"/>
  <c r="C99"/>
  <c r="I99" s="1"/>
  <c r="N98"/>
  <c r="C98"/>
  <c r="N97"/>
  <c r="C97"/>
  <c r="E97" s="1"/>
  <c r="N35"/>
  <c r="C35"/>
  <c r="D35" s="1"/>
  <c r="N33"/>
  <c r="C33"/>
  <c r="N32"/>
  <c r="C32"/>
  <c r="D32" s="1"/>
  <c r="N25"/>
  <c r="C25"/>
  <c r="H25" s="1"/>
  <c r="N24"/>
  <c r="C24"/>
  <c r="F24" s="1"/>
  <c r="N22"/>
  <c r="C22"/>
  <c r="D22" s="1"/>
  <c r="N21"/>
  <c r="C21"/>
  <c r="K21" s="1"/>
  <c r="N19"/>
  <c r="C19"/>
  <c r="J19" s="1"/>
  <c r="N18"/>
  <c r="C18"/>
  <c r="N17"/>
  <c r="C17"/>
  <c r="N16"/>
  <c r="C16"/>
  <c r="D16" s="1"/>
  <c r="C111" i="19"/>
  <c r="N111"/>
  <c r="C98"/>
  <c r="N98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5"/>
  <c r="D98" i="19"/>
  <c r="G98"/>
  <c r="F99" i="17"/>
  <c r="D98"/>
  <c r="G98"/>
  <c r="D17"/>
  <c r="G17"/>
  <c r="G100"/>
  <c r="G111" i="19"/>
  <c r="D111"/>
  <c r="D33" i="17"/>
  <c r="G33"/>
  <c r="D112"/>
  <c r="G112"/>
  <c r="D94" i="16"/>
  <c r="G94"/>
  <c r="K18" i="17"/>
  <c r="G21"/>
  <c r="J24"/>
  <c r="J32"/>
  <c r="D19"/>
  <c r="J100"/>
  <c r="D111"/>
  <c r="I24"/>
  <c r="D24"/>
  <c r="D97"/>
  <c r="G22"/>
  <c r="I25"/>
  <c r="J16"/>
  <c r="F25"/>
  <c r="H99"/>
  <c r="H117"/>
  <c r="D25"/>
  <c r="D117"/>
  <c r="K118"/>
  <c r="H35"/>
  <c r="K97"/>
  <c r="K99"/>
  <c r="K111"/>
  <c r="F35"/>
  <c r="J97"/>
  <c r="E111"/>
  <c r="H115"/>
  <c r="I117"/>
  <c r="G118"/>
  <c r="E118"/>
  <c r="N106"/>
  <c r="D104"/>
  <c r="N120"/>
  <c r="H114"/>
  <c r="N27"/>
  <c r="N44"/>
  <c r="K19"/>
  <c r="H18"/>
  <c r="G19"/>
  <c r="J21"/>
  <c r="K22"/>
  <c r="D99"/>
  <c r="D100"/>
  <c r="E101"/>
  <c r="H104"/>
  <c r="J114"/>
  <c r="J115"/>
  <c r="J18"/>
  <c r="I101"/>
  <c r="K16"/>
  <c r="F18"/>
  <c r="E19"/>
  <c r="I21"/>
  <c r="J22"/>
  <c r="K24"/>
  <c r="K32"/>
  <c r="D101"/>
  <c r="F104"/>
  <c r="I114"/>
  <c r="E16"/>
  <c r="E21"/>
  <c r="E22"/>
  <c r="E32"/>
  <c r="F114"/>
  <c r="F115"/>
  <c r="D21"/>
  <c r="I35"/>
  <c r="J99"/>
  <c r="K100"/>
  <c r="K101"/>
  <c r="D114"/>
  <c r="D115"/>
  <c r="J118"/>
  <c r="D130"/>
  <c r="D131" s="1"/>
  <c r="D133" s="1"/>
  <c r="J101"/>
  <c r="I113" i="16"/>
  <c r="F113"/>
  <c r="H113"/>
  <c r="F103"/>
  <c r="I103"/>
  <c r="H103"/>
  <c r="I39"/>
  <c r="H39"/>
  <c r="F39"/>
  <c r="I27"/>
  <c r="H27"/>
  <c r="F27"/>
  <c r="G134" i="17" l="1"/>
  <c r="G136" s="1"/>
  <c r="I134"/>
  <c r="I136" s="1"/>
  <c r="D27"/>
  <c r="D28" s="1"/>
  <c r="D30" s="1"/>
  <c r="E134"/>
  <c r="E136" s="1"/>
  <c r="I48"/>
  <c r="I50" s="1"/>
  <c r="K134"/>
  <c r="K136" s="1"/>
  <c r="D120"/>
  <c r="D121" s="1"/>
  <c r="D123" s="1"/>
  <c r="J134"/>
  <c r="J136" s="1"/>
  <c r="N134"/>
  <c r="F134"/>
  <c r="F136" s="1"/>
  <c r="D106"/>
  <c r="D107" s="1"/>
  <c r="D109" s="1"/>
  <c r="D44"/>
  <c r="D45" s="1"/>
  <c r="D47" s="1"/>
  <c r="E48"/>
  <c r="E50" s="1"/>
  <c r="H48"/>
  <c r="H50" s="1"/>
  <c r="N48"/>
  <c r="J48"/>
  <c r="J50" s="1"/>
  <c r="H134"/>
  <c r="H136" s="1"/>
  <c r="K48"/>
  <c r="K50" s="1"/>
  <c r="G48"/>
  <c r="F48"/>
  <c r="F50" s="1"/>
  <c r="I53" l="1"/>
  <c r="I139"/>
  <c r="D134"/>
  <c r="D136" s="1"/>
  <c r="E135"/>
  <c r="D48"/>
  <c r="D50" s="1"/>
  <c r="E51"/>
  <c r="E49"/>
  <c r="G50"/>
  <c r="G49"/>
  <c r="G137"/>
  <c r="E137"/>
  <c r="G135"/>
  <c r="N120" i="18"/>
  <c r="C120"/>
  <c r="D120" s="1"/>
  <c r="N107"/>
  <c r="C107"/>
  <c r="D107" s="1"/>
  <c r="N39"/>
  <c r="C39"/>
  <c r="D39" s="1"/>
  <c r="N36"/>
  <c r="C36"/>
  <c r="D36" s="1"/>
  <c r="N34"/>
  <c r="C34"/>
  <c r="K34" s="1"/>
  <c r="N33"/>
  <c r="C33"/>
  <c r="I33" s="1"/>
  <c r="N24"/>
  <c r="C24"/>
  <c r="H24" s="1"/>
  <c r="N118" i="19"/>
  <c r="C118"/>
  <c r="D118" s="1"/>
  <c r="N102"/>
  <c r="C102"/>
  <c r="D102" s="1"/>
  <c r="N37"/>
  <c r="C37"/>
  <c r="I37" s="1"/>
  <c r="C22"/>
  <c r="D22" s="1"/>
  <c r="I54" i="17" l="1"/>
  <c r="F37" i="19"/>
  <c r="D33" i="18"/>
  <c r="D34"/>
  <c r="I34"/>
  <c r="F107"/>
  <c r="J34"/>
  <c r="J39"/>
  <c r="H34"/>
  <c r="I39"/>
  <c r="H107"/>
  <c r="I107"/>
  <c r="I36"/>
  <c r="K33"/>
  <c r="I120"/>
  <c r="J33"/>
  <c r="H120"/>
  <c r="K39"/>
  <c r="I140" i="17"/>
  <c r="G51"/>
  <c r="E139"/>
  <c r="E53"/>
  <c r="G139"/>
  <c r="G140" s="1"/>
  <c r="D37" i="19"/>
  <c r="H37"/>
  <c r="I102"/>
  <c r="H102"/>
  <c r="F102"/>
  <c r="I118"/>
  <c r="H22"/>
  <c r="H118"/>
  <c r="F22"/>
  <c r="F118"/>
  <c r="I22"/>
  <c r="H36" i="18"/>
  <c r="F36"/>
  <c r="F120"/>
  <c r="H39"/>
  <c r="F39"/>
  <c r="F33"/>
  <c r="F34"/>
  <c r="H33"/>
  <c r="I24"/>
  <c r="F24"/>
  <c r="D24"/>
  <c r="G53" i="17" l="1"/>
  <c r="G54" s="1"/>
  <c r="E140"/>
  <c r="E54"/>
  <c r="N119" i="18"/>
  <c r="C119"/>
  <c r="D119" s="1"/>
  <c r="N118"/>
  <c r="C118"/>
  <c r="G118" s="1"/>
  <c r="N116"/>
  <c r="C116"/>
  <c r="I116" s="1"/>
  <c r="N117"/>
  <c r="C117"/>
  <c r="D117" s="1"/>
  <c r="N115"/>
  <c r="C115"/>
  <c r="N114"/>
  <c r="C114"/>
  <c r="D114" s="1"/>
  <c r="N104"/>
  <c r="C104"/>
  <c r="D104" s="1"/>
  <c r="N103"/>
  <c r="C103"/>
  <c r="D103" s="1"/>
  <c r="N102"/>
  <c r="C102"/>
  <c r="I102" s="1"/>
  <c r="N100"/>
  <c r="C100"/>
  <c r="N99"/>
  <c r="C99"/>
  <c r="D99" s="1"/>
  <c r="N42"/>
  <c r="C42"/>
  <c r="D42" s="1"/>
  <c r="N35"/>
  <c r="C35"/>
  <c r="N32"/>
  <c r="C32"/>
  <c r="E32" s="1"/>
  <c r="N21"/>
  <c r="N20"/>
  <c r="C20"/>
  <c r="E20" s="1"/>
  <c r="N19"/>
  <c r="C19"/>
  <c r="E19" s="1"/>
  <c r="N18"/>
  <c r="C18"/>
  <c r="I18" s="1"/>
  <c r="N16"/>
  <c r="C16"/>
  <c r="D16" s="1"/>
  <c r="D102" l="1"/>
  <c r="K116"/>
  <c r="D116"/>
  <c r="F18"/>
  <c r="E104"/>
  <c r="H116"/>
  <c r="F116"/>
  <c r="J99"/>
  <c r="K99"/>
  <c r="E114"/>
  <c r="J114"/>
  <c r="J20"/>
  <c r="D35"/>
  <c r="G35"/>
  <c r="E99"/>
  <c r="K114"/>
  <c r="D18"/>
  <c r="E118"/>
  <c r="I118"/>
  <c r="G115"/>
  <c r="D115"/>
  <c r="D100"/>
  <c r="G100"/>
  <c r="D32"/>
  <c r="J42"/>
  <c r="N109"/>
  <c r="N26"/>
  <c r="K119"/>
  <c r="J119"/>
  <c r="I119"/>
  <c r="H119"/>
  <c r="F119"/>
  <c r="J118"/>
  <c r="D118"/>
  <c r="K118"/>
  <c r="J116"/>
  <c r="D137"/>
  <c r="D139" s="1"/>
  <c r="K117"/>
  <c r="J117"/>
  <c r="G117"/>
  <c r="E117"/>
  <c r="N122"/>
  <c r="N48"/>
  <c r="G20"/>
  <c r="D20"/>
  <c r="D19"/>
  <c r="K16"/>
  <c r="K42"/>
  <c r="K102"/>
  <c r="J16"/>
  <c r="K18"/>
  <c r="J102"/>
  <c r="K103"/>
  <c r="E16"/>
  <c r="J18"/>
  <c r="K19"/>
  <c r="G42"/>
  <c r="J103"/>
  <c r="K104"/>
  <c r="J19"/>
  <c r="K20"/>
  <c r="K32"/>
  <c r="E42"/>
  <c r="H102"/>
  <c r="G103"/>
  <c r="J104"/>
  <c r="H18"/>
  <c r="G19"/>
  <c r="J32"/>
  <c r="F102"/>
  <c r="E103"/>
  <c r="G104"/>
  <c r="N140" l="1"/>
  <c r="D122"/>
  <c r="D109"/>
  <c r="D110" s="1"/>
  <c r="D112" s="1"/>
  <c r="D48"/>
  <c r="D49" s="1"/>
  <c r="D51" s="1"/>
  <c r="F140"/>
  <c r="F142" s="1"/>
  <c r="E140"/>
  <c r="E142" s="1"/>
  <c r="N52"/>
  <c r="I140"/>
  <c r="I142" s="1"/>
  <c r="J140"/>
  <c r="J142" s="1"/>
  <c r="F52"/>
  <c r="F54" s="1"/>
  <c r="D26"/>
  <c r="G52"/>
  <c r="H52"/>
  <c r="H54" s="1"/>
  <c r="G140"/>
  <c r="I52"/>
  <c r="I54" s="1"/>
  <c r="H140"/>
  <c r="H142" s="1"/>
  <c r="K140"/>
  <c r="K142" s="1"/>
  <c r="E52"/>
  <c r="J52"/>
  <c r="J54" s="1"/>
  <c r="K52"/>
  <c r="K54" s="1"/>
  <c r="D123" l="1"/>
  <c r="D125" s="1"/>
  <c r="D140"/>
  <c r="D142" s="1"/>
  <c r="D52"/>
  <c r="D54" s="1"/>
  <c r="E141"/>
  <c r="I145"/>
  <c r="D27"/>
  <c r="D29" s="1"/>
  <c r="G54"/>
  <c r="G53"/>
  <c r="E143"/>
  <c r="E54"/>
  <c r="E53"/>
  <c r="G141"/>
  <c r="G142"/>
  <c r="I57"/>
  <c r="I146" l="1"/>
  <c r="I58"/>
  <c r="G55"/>
  <c r="E145"/>
  <c r="E55"/>
  <c r="G143"/>
  <c r="G57" l="1"/>
  <c r="G58" s="1"/>
  <c r="E146"/>
  <c r="E57"/>
  <c r="G145"/>
  <c r="G146" s="1"/>
  <c r="E58" l="1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N20"/>
  <c r="C20"/>
  <c r="H20" s="1"/>
  <c r="N19"/>
  <c r="C19"/>
  <c r="H19" s="1"/>
  <c r="N17"/>
  <c r="C17"/>
  <c r="K17" s="1"/>
  <c r="H112" l="1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  <c r="N128" i="15" l="1"/>
  <c r="D128"/>
  <c r="D129" s="1"/>
  <c r="D131" s="1"/>
  <c r="N116"/>
  <c r="C116"/>
  <c r="G116" s="1"/>
  <c r="N115"/>
  <c r="C115"/>
  <c r="K115" s="1"/>
  <c r="N114"/>
  <c r="C114"/>
  <c r="K114" s="1"/>
  <c r="N112"/>
  <c r="C112"/>
  <c r="K112" s="1"/>
  <c r="N111"/>
  <c r="C111"/>
  <c r="N103"/>
  <c r="C103"/>
  <c r="N102"/>
  <c r="C102"/>
  <c r="E102" s="1"/>
  <c r="N100"/>
  <c r="C100"/>
  <c r="D100" s="1"/>
  <c r="N99"/>
  <c r="C99"/>
  <c r="N98"/>
  <c r="C98"/>
  <c r="N97"/>
  <c r="C97"/>
  <c r="E97" s="1"/>
  <c r="N34"/>
  <c r="C34"/>
  <c r="J34" s="1"/>
  <c r="N33"/>
  <c r="C33"/>
  <c r="H33" s="1"/>
  <c r="N32"/>
  <c r="C32"/>
  <c r="I32" s="1"/>
  <c r="N24"/>
  <c r="C24"/>
  <c r="E24" s="1"/>
  <c r="N23"/>
  <c r="C23"/>
  <c r="K23" s="1"/>
  <c r="N19"/>
  <c r="C19"/>
  <c r="I19" s="1"/>
  <c r="N18"/>
  <c r="C18"/>
  <c r="I18" s="1"/>
  <c r="N16"/>
  <c r="C16"/>
  <c r="D16" s="1"/>
  <c r="D33" l="1"/>
  <c r="G23"/>
  <c r="D32"/>
  <c r="D97"/>
  <c r="H32"/>
  <c r="H19"/>
  <c r="E34"/>
  <c r="F19"/>
  <c r="D19"/>
  <c r="J23"/>
  <c r="I115"/>
  <c r="F32"/>
  <c r="E115"/>
  <c r="D24"/>
  <c r="D112"/>
  <c r="H114"/>
  <c r="G103"/>
  <c r="D103"/>
  <c r="J112"/>
  <c r="J115"/>
  <c r="G98"/>
  <c r="D98"/>
  <c r="E116"/>
  <c r="E23"/>
  <c r="D23"/>
  <c r="D116"/>
  <c r="E103"/>
  <c r="D34"/>
  <c r="F18"/>
  <c r="H111"/>
  <c r="D18"/>
  <c r="F111"/>
  <c r="E112"/>
  <c r="F114"/>
  <c r="D114"/>
  <c r="D115"/>
  <c r="K97"/>
  <c r="D102"/>
  <c r="K111"/>
  <c r="J97"/>
  <c r="J111"/>
  <c r="J114"/>
  <c r="H18"/>
  <c r="F33"/>
  <c r="I114"/>
  <c r="N26"/>
  <c r="K116"/>
  <c r="J116"/>
  <c r="N118"/>
  <c r="N105"/>
  <c r="N45"/>
  <c r="K24"/>
  <c r="J24"/>
  <c r="G24"/>
  <c r="G49" s="1"/>
  <c r="G51" s="1"/>
  <c r="K99"/>
  <c r="J100"/>
  <c r="K32"/>
  <c r="I100"/>
  <c r="J16"/>
  <c r="K18"/>
  <c r="K19"/>
  <c r="J32"/>
  <c r="J33"/>
  <c r="H99"/>
  <c r="H100"/>
  <c r="J102"/>
  <c r="K103"/>
  <c r="K33"/>
  <c r="E16"/>
  <c r="J18"/>
  <c r="J19"/>
  <c r="I33"/>
  <c r="K34"/>
  <c r="F99"/>
  <c r="F100"/>
  <c r="G102"/>
  <c r="J103"/>
  <c r="K100"/>
  <c r="J99"/>
  <c r="K16"/>
  <c r="K102"/>
  <c r="D26" l="1"/>
  <c r="D27" s="1"/>
  <c r="D29" s="1"/>
  <c r="G132"/>
  <c r="G134" s="1"/>
  <c r="D118"/>
  <c r="D119" s="1"/>
  <c r="D121" s="1"/>
  <c r="E132"/>
  <c r="E134" s="1"/>
  <c r="N132"/>
  <c r="I132"/>
  <c r="I134" s="1"/>
  <c r="F49"/>
  <c r="F51" s="1"/>
  <c r="D105"/>
  <c r="D106" s="1"/>
  <c r="D108" s="1"/>
  <c r="E49"/>
  <c r="D45"/>
  <c r="D46" s="1"/>
  <c r="D48" s="1"/>
  <c r="H49"/>
  <c r="H51" s="1"/>
  <c r="G52" s="1"/>
  <c r="N49"/>
  <c r="J132"/>
  <c r="J134" s="1"/>
  <c r="K132"/>
  <c r="K134" s="1"/>
  <c r="H132"/>
  <c r="H134" s="1"/>
  <c r="I49"/>
  <c r="I51" s="1"/>
  <c r="K49"/>
  <c r="K51" s="1"/>
  <c r="F132"/>
  <c r="F134" s="1"/>
  <c r="J49"/>
  <c r="J51" s="1"/>
  <c r="I137" l="1"/>
  <c r="E50"/>
  <c r="E51"/>
  <c r="E52" s="1"/>
  <c r="D132"/>
  <c r="D134" s="1"/>
  <c r="D49"/>
  <c r="D51" s="1"/>
  <c r="G50"/>
  <c r="G133"/>
  <c r="I54"/>
  <c r="G54"/>
  <c r="G135"/>
  <c r="E135"/>
  <c r="E133"/>
  <c r="I138" l="1"/>
  <c r="I55"/>
  <c r="G55"/>
  <c r="E54"/>
  <c r="G137"/>
  <c r="G138" s="1"/>
  <c r="E137"/>
  <c r="E55" l="1"/>
  <c r="E138"/>
  <c r="N120" i="12" l="1"/>
  <c r="C120"/>
  <c r="D120" s="1"/>
  <c r="K120" l="1"/>
  <c r="J120"/>
  <c r="G120"/>
  <c r="E120"/>
  <c r="N113" l="1"/>
  <c r="N97"/>
  <c r="N17"/>
  <c r="N18"/>
  <c r="N130" i="19" l="1"/>
  <c r="N115"/>
  <c r="C115"/>
  <c r="I115" s="1"/>
  <c r="N114"/>
  <c r="C114"/>
  <c r="I114" s="1"/>
  <c r="N113"/>
  <c r="C113"/>
  <c r="N110"/>
  <c r="C110"/>
  <c r="D110" s="1"/>
  <c r="N100"/>
  <c r="C100"/>
  <c r="G100" s="1"/>
  <c r="N99"/>
  <c r="C99"/>
  <c r="N97"/>
  <c r="C97"/>
  <c r="E97" s="1"/>
  <c r="N36"/>
  <c r="C36"/>
  <c r="J36" s="1"/>
  <c r="N35"/>
  <c r="C35"/>
  <c r="J35" s="1"/>
  <c r="N34"/>
  <c r="C34"/>
  <c r="N32"/>
  <c r="C32"/>
  <c r="N31"/>
  <c r="C31"/>
  <c r="E31" s="1"/>
  <c r="N22"/>
  <c r="N20"/>
  <c r="C20"/>
  <c r="E20" s="1"/>
  <c r="N19"/>
  <c r="C19"/>
  <c r="E19" s="1"/>
  <c r="N18"/>
  <c r="C18"/>
  <c r="N17"/>
  <c r="C17"/>
  <c r="N16"/>
  <c r="C16"/>
  <c r="J16" s="1"/>
  <c r="I34" l="1"/>
  <c r="D34"/>
  <c r="I18"/>
  <c r="D18"/>
  <c r="I113"/>
  <c r="H99"/>
  <c r="I99"/>
  <c r="J34"/>
  <c r="D17"/>
  <c r="G17"/>
  <c r="G20"/>
  <c r="D32"/>
  <c r="G32"/>
  <c r="I35"/>
  <c r="H115"/>
  <c r="K97"/>
  <c r="J97"/>
  <c r="I36"/>
  <c r="D130"/>
  <c r="D131" s="1"/>
  <c r="D133" s="1"/>
  <c r="E100"/>
  <c r="D100"/>
  <c r="N120"/>
  <c r="N105"/>
  <c r="D97"/>
  <c r="H114"/>
  <c r="H113"/>
  <c r="K99"/>
  <c r="F99"/>
  <c r="H36"/>
  <c r="D36"/>
  <c r="D20"/>
  <c r="D19"/>
  <c r="D31"/>
  <c r="E16"/>
  <c r="D16"/>
  <c r="H35"/>
  <c r="D35"/>
  <c r="N46"/>
  <c r="H34"/>
  <c r="N26"/>
  <c r="F113"/>
  <c r="F114"/>
  <c r="F115"/>
  <c r="K18"/>
  <c r="F34"/>
  <c r="F35"/>
  <c r="F36"/>
  <c r="D114"/>
  <c r="D115"/>
  <c r="J18"/>
  <c r="K19"/>
  <c r="K110"/>
  <c r="H18"/>
  <c r="J19"/>
  <c r="K20"/>
  <c r="K31"/>
  <c r="J99"/>
  <c r="K100"/>
  <c r="J110"/>
  <c r="K113"/>
  <c r="K114"/>
  <c r="K115"/>
  <c r="K16"/>
  <c r="F18"/>
  <c r="G19"/>
  <c r="J20"/>
  <c r="J31"/>
  <c r="K34"/>
  <c r="K35"/>
  <c r="K36"/>
  <c r="J100"/>
  <c r="E110"/>
  <c r="J113"/>
  <c r="J114"/>
  <c r="J115"/>
  <c r="G134" l="1"/>
  <c r="G136" s="1"/>
  <c r="D120"/>
  <c r="D121" s="1"/>
  <c r="D123" s="1"/>
  <c r="E134"/>
  <c r="E136" s="1"/>
  <c r="N134"/>
  <c r="H134"/>
  <c r="H136" s="1"/>
  <c r="K134"/>
  <c r="K136" s="1"/>
  <c r="J134"/>
  <c r="J136" s="1"/>
  <c r="D105"/>
  <c r="D106" s="1"/>
  <c r="D108" s="1"/>
  <c r="F134"/>
  <c r="F136" s="1"/>
  <c r="J50"/>
  <c r="J52" s="1"/>
  <c r="E50"/>
  <c r="E52" s="1"/>
  <c r="D26"/>
  <c r="D27" s="1"/>
  <c r="D29" s="1"/>
  <c r="D46"/>
  <c r="D47" s="1"/>
  <c r="D49" s="1"/>
  <c r="H50"/>
  <c r="H52" s="1"/>
  <c r="N50"/>
  <c r="K50"/>
  <c r="K52" s="1"/>
  <c r="F50"/>
  <c r="F52" s="1"/>
  <c r="I134"/>
  <c r="I136" s="1"/>
  <c r="I139" s="1"/>
  <c r="G50"/>
  <c r="I50"/>
  <c r="I52" s="1"/>
  <c r="I55" s="1"/>
  <c r="G137" l="1"/>
  <c r="G135"/>
  <c r="D134"/>
  <c r="D136" s="1"/>
  <c r="I140" s="1"/>
  <c r="E135"/>
  <c r="D50"/>
  <c r="D52" s="1"/>
  <c r="E137"/>
  <c r="E53"/>
  <c r="E55" s="1"/>
  <c r="G52"/>
  <c r="G51"/>
  <c r="E51"/>
  <c r="E139" l="1"/>
  <c r="E140" s="1"/>
  <c r="E56"/>
  <c r="I56"/>
  <c r="G139"/>
  <c r="G140" s="1"/>
  <c r="G53"/>
  <c r="G55" l="1"/>
  <c r="G56" s="1"/>
  <c r="N133" i="12" l="1"/>
  <c r="N119"/>
  <c r="C119"/>
  <c r="I119" s="1"/>
  <c r="N118"/>
  <c r="C118"/>
  <c r="I118" s="1"/>
  <c r="N117"/>
  <c r="C117"/>
  <c r="J117" s="1"/>
  <c r="C113"/>
  <c r="J113" s="1"/>
  <c r="N99"/>
  <c r="C99"/>
  <c r="N98"/>
  <c r="C98"/>
  <c r="C97"/>
  <c r="J97" s="1"/>
  <c r="N39"/>
  <c r="C39"/>
  <c r="E39" s="1"/>
  <c r="N36"/>
  <c r="C36"/>
  <c r="E36" s="1"/>
  <c r="N34"/>
  <c r="C34"/>
  <c r="N22"/>
  <c r="C22"/>
  <c r="E22" s="1"/>
  <c r="N19"/>
  <c r="C19"/>
  <c r="C18"/>
  <c r="K17"/>
  <c r="J17"/>
  <c r="E17"/>
  <c r="D17"/>
  <c r="F118" l="1"/>
  <c r="K99"/>
  <c r="D98"/>
  <c r="G98"/>
  <c r="G34"/>
  <c r="D34"/>
  <c r="D18"/>
  <c r="G18"/>
  <c r="H118"/>
  <c r="D39"/>
  <c r="G39"/>
  <c r="J39"/>
  <c r="K39"/>
  <c r="G119"/>
  <c r="D118"/>
  <c r="D133"/>
  <c r="D134" s="1"/>
  <c r="D136" s="1"/>
  <c r="H117"/>
  <c r="F117"/>
  <c r="D117"/>
  <c r="I117" s="1"/>
  <c r="E119"/>
  <c r="D119"/>
  <c r="E113"/>
  <c r="D113"/>
  <c r="N123"/>
  <c r="H99"/>
  <c r="F99"/>
  <c r="D99"/>
  <c r="J99"/>
  <c r="D36"/>
  <c r="K113"/>
  <c r="E97"/>
  <c r="D97"/>
  <c r="N108"/>
  <c r="D22"/>
  <c r="K36"/>
  <c r="N46"/>
  <c r="J36"/>
  <c r="N28"/>
  <c r="K117"/>
  <c r="K118"/>
  <c r="K119"/>
  <c r="K19"/>
  <c r="K22"/>
  <c r="K97"/>
  <c r="J118"/>
  <c r="J119"/>
  <c r="J19"/>
  <c r="I19"/>
  <c r="H19"/>
  <c r="J22"/>
  <c r="F19"/>
  <c r="G22"/>
  <c r="D46" l="1"/>
  <c r="D47" s="1"/>
  <c r="F137"/>
  <c r="F139" s="1"/>
  <c r="E50"/>
  <c r="E52" s="1"/>
  <c r="N137"/>
  <c r="D108"/>
  <c r="D123"/>
  <c r="H137"/>
  <c r="H139" s="1"/>
  <c r="I137"/>
  <c r="I139" s="1"/>
  <c r="G137"/>
  <c r="G139" s="1"/>
  <c r="E137"/>
  <c r="E139" s="1"/>
  <c r="J137"/>
  <c r="J139" s="1"/>
  <c r="G50"/>
  <c r="G52" s="1"/>
  <c r="H50"/>
  <c r="H52" s="1"/>
  <c r="D28"/>
  <c r="D29" s="1"/>
  <c r="F50"/>
  <c r="F52" s="1"/>
  <c r="I50"/>
  <c r="I52" s="1"/>
  <c r="I55" s="1"/>
  <c r="K50"/>
  <c r="K52" s="1"/>
  <c r="N50"/>
  <c r="J50"/>
  <c r="J52" s="1"/>
  <c r="K137"/>
  <c r="K139" s="1"/>
  <c r="I142" l="1"/>
  <c r="D124"/>
  <c r="D126" s="1"/>
  <c r="D109"/>
  <c r="D111" s="1"/>
  <c r="D137"/>
  <c r="D139" s="1"/>
  <c r="G138"/>
  <c r="D49"/>
  <c r="D31"/>
  <c r="G140"/>
  <c r="E138"/>
  <c r="G51"/>
  <c r="E51"/>
  <c r="D50"/>
  <c r="D52" s="1"/>
  <c r="E53"/>
  <c r="E140"/>
  <c r="E142" s="1"/>
  <c r="G53"/>
  <c r="I56" l="1"/>
  <c r="E143"/>
  <c r="I143"/>
  <c r="E55"/>
  <c r="E56" s="1"/>
  <c r="G55"/>
  <c r="G56" s="1"/>
  <c r="G142"/>
  <c r="G143" s="1"/>
  <c r="W52" l="1"/>
</calcChain>
</file>

<file path=xl/sharedStrings.xml><?xml version="1.0" encoding="utf-8"?>
<sst xmlns="http://schemas.openxmlformats.org/spreadsheetml/2006/main" count="1313" uniqueCount="224">
  <si>
    <t>Số
TT</t>
  </si>
  <si>
    <t>Gạo tẻ</t>
  </si>
  <si>
    <t>Mắm</t>
  </si>
  <si>
    <t>Thịt bò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</si>
  <si>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</si>
  <si>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</si>
  <si>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</si>
  <si>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</si>
  <si>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</si>
  <si>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</si>
  <si>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</si>
  <si>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</si>
  <si>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</si>
  <si>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</si>
  <si>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</si>
  <si>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</si>
  <si>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</si>
  <si>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</si>
  <si>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</si>
  <si>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</si>
  <si>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</si>
  <si>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</si>
  <si>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</si>
  <si>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</si>
  <si>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</si>
  <si>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</si>
  <si>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</si>
  <si>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</si>
  <si>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</si>
  <si>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</si>
  <si>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</si>
  <si>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</si>
  <si>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</si>
  <si>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</si>
  <si>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</si>
  <si>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</si>
  <si>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</si>
  <si>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</si>
  <si>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</si>
  <si>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</si>
  <si>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</si>
  <si>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</si>
  <si>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</si>
  <si>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</si>
  <si>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</si>
  <si>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</si>
  <si>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</si>
  <si>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</si>
  <si>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</si>
  <si>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</si>
  <si>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</si>
  <si>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</si>
  <si>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</si>
  <si>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</si>
  <si>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</si>
  <si>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</si>
  <si>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</si>
  <si>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</si>
  <si>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</si>
  <si>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</si>
  <si>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</si>
  <si>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</si>
  <si>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</si>
  <si>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</si>
  <si>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</si>
  <si>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</si>
  <si>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</si>
  <si>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</si>
  <si>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</si>
  <si>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</si>
  <si>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</si>
  <si>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</si>
  <si>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</si>
  <si>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</si>
  <si>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</si>
  <si>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</si>
  <si>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</si>
  <si>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</si>
  <si>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</si>
  <si>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</si>
  <si>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</si>
  <si>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</si>
  <si>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</si>
  <si>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</si>
  <si>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</si>
  <si>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</si>
  <si>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</si>
  <si>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</si>
  <si>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</si>
  <si>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</si>
  <si>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</si>
  <si>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</si>
  <si>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</si>
  <si>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</si>
  <si>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</si>
  <si>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</si>
  <si>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</si>
  <si>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</si>
  <si>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</si>
  <si>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</si>
  <si>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</si>
  <si>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</si>
  <si>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</si>
  <si>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</si>
  <si>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</si>
  <si>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</si>
  <si>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</si>
  <si>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</si>
  <si>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</si>
  <si>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</si>
  <si>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</si>
  <si>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</si>
  <si>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</si>
  <si>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</si>
  <si>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</si>
  <si>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</si>
  <si>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</si>
  <si>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</si>
  <si>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</si>
  <si>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</si>
  <si>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</si>
  <si>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</si>
  <si>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</si>
  <si>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</si>
  <si>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</si>
  <si>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</si>
  <si>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</si>
  <si>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Canh bí đỏ nấu thịt vịt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</si>
  <si>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</si>
  <si>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</si>
  <si>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</si>
  <si>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</si>
  <si>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</si>
  <si>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</si>
  <si>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</si>
  <si>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</si>
  <si>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</si>
  <si>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</si>
  <si>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</si>
  <si>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</si>
  <si>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</si>
  <si>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</si>
  <si>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Dứa xào thịt bò</t>
  </si>
  <si>
    <t>Dứa</t>
  </si>
  <si>
    <t>Cá quả</t>
  </si>
  <si>
    <t>Thịt lợn trộn trứng gà mộc nhĩ, nấm hương  hấp</t>
  </si>
  <si>
    <t>Bí đao xào thịt bò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</si>
  <si>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</si>
  <si>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</si>
  <si>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</si>
  <si>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</si>
  <si>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</si>
  <si>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Súp gà ngô</t>
  </si>
  <si>
    <t>Ngô ngọt</t>
  </si>
  <si>
    <t>Tỷ lệ L động vật đạt 69.9%; so với khẩu phần khuyến nghị đảm bảo đạt</t>
  </si>
  <si>
    <t>Tỷ lệ L động vật đạt 70.1%; so với khẩu phần khuyến nghị đảm bảo đạt</t>
  </si>
  <si>
    <t>Tỷ lệ L động vật đạt 70.2%; so với khẩu phần khuyến nghị đảm bảo đạt</t>
  </si>
  <si>
    <t>Bí đỏ xào thịt lợn</t>
  </si>
  <si>
    <t>Đường kính</t>
  </si>
  <si>
    <t>Tỷ lệ L động vật đạt 70%; so với khẩu phần khuyến nghị đảm bảo đạt</t>
  </si>
  <si>
    <t>Mồng tơi</t>
  </si>
  <si>
    <t>Bún</t>
  </si>
  <si>
    <t>Cua</t>
  </si>
  <si>
    <t>Bầu xào thịt lợn</t>
  </si>
  <si>
    <t>Canh rau muống nấu tôm</t>
  </si>
  <si>
    <t>Rau muống</t>
  </si>
  <si>
    <t>Bầu</t>
  </si>
  <si>
    <t>Bí đao xào thịt lợn</t>
  </si>
  <si>
    <t>Canh bầu nấu tôm</t>
  </si>
  <si>
    <t>Đậu xanh</t>
  </si>
  <si>
    <t>Bí đao xào thịt gà</t>
  </si>
  <si>
    <t>Thịt bò rim</t>
  </si>
  <si>
    <t>Canh bí đỏ nấu thịt lợn</t>
  </si>
  <si>
    <t>Cháo thịt vịt - đậu xanh</t>
  </si>
  <si>
    <t>Tỷ lệ P động vật đạt 50%; so với khẩu phần khuyến nghị tương đối đạt</t>
  </si>
  <si>
    <t>Canh bí đao nấu thịt vịt</t>
  </si>
  <si>
    <t>Tỷ lệ L động vật đạt 70.3%; so với khẩu phần khuyến nghị đảm bảo đạt</t>
  </si>
  <si>
    <t>Canh mồng tơi nấu cua</t>
  </si>
  <si>
    <t>Bún thịt vịt</t>
  </si>
  <si>
    <t xml:space="preserve">Ruốc cá quả </t>
  </si>
  <si>
    <t>Canh mướp nấu thịt gà</t>
  </si>
  <si>
    <t>Bánh đa - thịt lợn rau hẹ</t>
  </si>
  <si>
    <t>Mướp</t>
  </si>
  <si>
    <t>Tôm, thịt lợn sốt dứa</t>
  </si>
  <si>
    <t>Trứng vịt chiên</t>
  </si>
  <si>
    <t>Tỷ lệ P động vật đạt 70%; so với khẩu phần khuyến nghị cao hơn 10%</t>
  </si>
  <si>
    <t>Thịt gà, trứng chim cút rim</t>
  </si>
  <si>
    <t>Canh khoai sọ nấu thịt gà</t>
  </si>
  <si>
    <t>Cháo thịt bò, thịt gà hạt sen</t>
  </si>
  <si>
    <t>Khoai sọ</t>
  </si>
  <si>
    <t>Cháo thịt bò, thịt gà, hạt sen</t>
  </si>
  <si>
    <t>Thứ hai, ngày 18 tháng 5 năm 2026</t>
  </si>
  <si>
    <t>Kcal đạt 654.78. So với khẩu phần khuyến nghị đảm bảo đạt</t>
  </si>
  <si>
    <t>Tỷ lệ P động vật đạt 52.64%; so với khẩu phần khuyến nghị tương đối đạt</t>
  </si>
  <si>
    <t>Tỷ lệ L động vật đạt 70.07%; so với khẩu phần khuyến nghị đảm bảo đạt</t>
  </si>
  <si>
    <t>Kcal đạt 615.55 So với khẩu phần khuyến nghị đảm bảo đạt</t>
  </si>
  <si>
    <t>Tỷ lệ P động vật đạt 58.35%; so với khẩu phần khuyến nghị đảm bảo đạt</t>
  </si>
  <si>
    <t>Thứ ba, ngày 19 tháng 5 năm 2026</t>
  </si>
  <si>
    <t>Kcal đạt 716.36. So với khẩu phần khuyến nghị đảm bảo đạt</t>
  </si>
  <si>
    <t>Kcal đạt 623.38. So với khẩu phần khuyến nghị đảm bảo đạt</t>
  </si>
  <si>
    <t>Tỷ lệ P động vật đạt 54.4%; so với khẩu phần khuyến nghị tương đối đạt</t>
  </si>
  <si>
    <t>Tỷ lệ L động vật đạt 70.9%; so với khẩu phần khuyến nghị cao hơn 0.9%</t>
  </si>
  <si>
    <t>Thứ tư, ngày 20 tháng 5 năm 2026</t>
  </si>
  <si>
    <t>Kcal đạt 705.75. So với khẩu phần khuyến nghị đảm bảo đạt</t>
  </si>
  <si>
    <t>Tỷ lệ P động vật đạt 54.6%; so với khẩu phần khuyến nghị tương đối đạt</t>
  </si>
  <si>
    <t xml:space="preserve">Canh mồng tơi nấu cua </t>
  </si>
  <si>
    <t>Kcal đạt 626.89. So với khẩu phần khuyến nghị đảm bảo đạt đạt</t>
  </si>
  <si>
    <t>Tỷ lệ P động vật đạt 61%; so với khẩu phần khuyến cao hơn 1%</t>
  </si>
  <si>
    <t>Tỷ lệ L động vật đạt 69%; so với khẩu phần khuyến nghị đảm bảo đạt</t>
  </si>
  <si>
    <t>Thứ sáu, ngày 22 tháng 5 năm 2026</t>
  </si>
  <si>
    <t>Thứ năm, ngày 21 tháng 5 năm 2026</t>
  </si>
  <si>
    <t>Kcal đạt 718.41. So với khẩu phần khuyến nghị đảm bảo đạt</t>
  </si>
  <si>
    <t>Tỷ lệ P động vật đạt 53.8%; so với khẩu phần khuyến nghị tương đối đạt</t>
  </si>
  <si>
    <t>Kcal đạt 638.59. So với khẩu phần khuyến nghị đảm bảo đạt</t>
  </si>
  <si>
    <t>Tỷ lệ P động vật đạt 61.2%; Cao hơn so với khẩu phần khuyến nghị 1.2%</t>
  </si>
  <si>
    <t>Kcal đạt 692.85. So với khẩu phần khuyến nghị đảm bảo đạt</t>
  </si>
  <si>
    <t>Tỷ lệ P động vật đạt 60%; so với khẩu phần khuyến nghị đảm bảo đạt</t>
  </si>
  <si>
    <t>Kcal đạt 634.68 So với khẩu phần khuyến nghị đảm bảo đạt</t>
  </si>
  <si>
    <t>Tỷ lệ L động vật đạt 69.7%; so với khẩu phần khuyến nghị đảm bảo đạt</t>
  </si>
  <si>
    <t>Thứ bẩy, ngày 23 tháng 5 năm 2026</t>
  </si>
  <si>
    <t>Kcal đạt 737.23 So với khẩu phần khuyến nghị đảm bảo đạt</t>
  </si>
  <si>
    <t>Tỷ lệ P động vật đạt 53%; so với khẩu phần khuyến tương đối đạt</t>
  </si>
  <si>
    <t>Tỷ lệ P động vật đạt 58.5%; so với khẩu phần khuyến nghị đảm bảo đạt</t>
  </si>
  <si>
    <t>Kcal đạt 663.83. So với khẩu phần khuyến nghị cao hơn 12.83kcal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</si>
</sst>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8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431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7" fillId="0" borderId="14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7" fontId="3" fillId="0" borderId="0" xfId="0" applyNumberFormat="1" applyFont="1" applyFill="1"/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12" fillId="2" borderId="16" xfId="0" applyFont="1" applyFill="1" applyBorder="1" applyAlignment="1">
      <alignment vertical="center"/>
    </xf>
    <xf numFmtId="2" fontId="3" fillId="0" borderId="0" xfId="0" applyNumberFormat="1" applyFont="1"/>
    <xf numFmtId="0" fontId="6" fillId="0" borderId="16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167" fontId="6" fillId="0" borderId="2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3" fontId="11" fillId="2" borderId="20" xfId="0" applyNumberFormat="1" applyFont="1" applyFill="1" applyBorder="1" applyAlignment="1"/>
    <xf numFmtId="4" fontId="13" fillId="0" borderId="6" xfId="0" applyNumberFormat="1" applyFont="1" applyFill="1" applyBorder="1"/>
    <xf numFmtId="2" fontId="13" fillId="0" borderId="20" xfId="0" applyNumberFormat="1" applyFont="1" applyFill="1" applyBorder="1"/>
    <xf numFmtId="3" fontId="13" fillId="2" borderId="5" xfId="0" applyNumberFormat="1" applyFont="1" applyFill="1" applyBorder="1" applyAlignment="1"/>
    <xf numFmtId="3" fontId="13" fillId="0" borderId="20" xfId="0" applyNumberFormat="1" applyFont="1" applyFill="1" applyBorder="1" applyAlignment="1"/>
    <xf numFmtId="2" fontId="10" fillId="0" borderId="2" xfId="0" applyNumberFormat="1" applyFont="1" applyFill="1" applyBorder="1"/>
    <xf numFmtId="3" fontId="9" fillId="0" borderId="5" xfId="0" applyNumberFormat="1" applyFont="1" applyFill="1" applyBorder="1" applyAlignment="1"/>
    <xf numFmtId="3" fontId="3" fillId="0" borderId="4" xfId="0" applyNumberFormat="1" applyFont="1" applyFill="1" applyBorder="1" applyAlignment="1"/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67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0" fontId="16" fillId="0" borderId="3" xfId="0" applyFont="1" applyBorder="1"/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 textRotation="43"/>
    </xf>
    <xf numFmtId="3" fontId="10" fillId="0" borderId="3" xfId="0" applyNumberFormat="1" applyFont="1" applyFill="1" applyBorder="1" applyAlignment="1">
      <alignment horizontal="center" vertical="center" textRotation="43"/>
    </xf>
    <xf numFmtId="3" fontId="14" fillId="0" borderId="16" xfId="0" applyNumberFormat="1" applyFont="1" applyFill="1" applyBorder="1" applyAlignment="1">
      <alignment horizontal="center" vertical="center" textRotation="45"/>
    </xf>
    <xf numFmtId="3" fontId="14" fillId="0" borderId="3" xfId="0" applyNumberFormat="1" applyFont="1" applyFill="1" applyBorder="1" applyAlignment="1">
      <alignment horizontal="center" vertical="center" textRotation="45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 textRotation="43"/>
    </xf>
    <xf numFmtId="1" fontId="12" fillId="0" borderId="17" xfId="0" applyNumberFormat="1" applyFont="1" applyBorder="1" applyAlignment="1">
      <alignment horizontal="center" vertical="center" textRotation="43"/>
    </xf>
    <xf numFmtId="1" fontId="12" fillId="0" borderId="3" xfId="0" applyNumberFormat="1" applyFont="1" applyBorder="1" applyAlignment="1">
      <alignment horizontal="center" vertical="center" textRotation="43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textRotation="45"/>
    </xf>
    <xf numFmtId="3" fontId="6" fillId="0" borderId="3" xfId="0" applyNumberFormat="1" applyFont="1" applyFill="1" applyBorder="1" applyAlignment="1">
      <alignment horizontal="center" vertical="center" textRotation="45"/>
    </xf>
    <xf numFmtId="3" fontId="12" fillId="0" borderId="16" xfId="0" applyNumberFormat="1" applyFont="1" applyFill="1" applyBorder="1" applyAlignment="1">
      <alignment horizontal="center" vertical="center" textRotation="45"/>
    </xf>
    <xf numFmtId="3" fontId="12" fillId="0" borderId="3" xfId="0" applyNumberFormat="1" applyFont="1" applyFill="1" applyBorder="1" applyAlignment="1">
      <alignment horizontal="center" vertical="center" textRotation="45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11" fillId="2" borderId="6" xfId="0" applyNumberFormat="1" applyFont="1" applyFill="1" applyBorder="1"/>
    <xf numFmtId="3" fontId="17" fillId="0" borderId="2" xfId="0" applyNumberFormat="1" applyFont="1" applyFill="1" applyBorder="1" applyAlignment="1">
      <alignment horizontal="center" wrapText="1"/>
    </xf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2" fontId="3" fillId="2" borderId="0" xfId="0" applyNumberFormat="1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1" fontId="13" fillId="2" borderId="5" xfId="0" applyNumberFormat="1" applyFont="1" applyFill="1" applyBorder="1"/>
    <xf numFmtId="4" fontId="3" fillId="2" borderId="0" xfId="0" applyNumberFormat="1" applyFont="1" applyFill="1" applyBorder="1"/>
    <xf numFmtId="1" fontId="11" fillId="2" borderId="20" xfId="0" applyNumberFormat="1" applyFont="1" applyFill="1" applyBorder="1"/>
    <xf numFmtId="4" fontId="3" fillId="2" borderId="0" xfId="0" applyNumberFormat="1" applyFont="1" applyFill="1"/>
    <xf numFmtId="164" fontId="6" fillId="2" borderId="7" xfId="0" applyNumberFormat="1" applyFont="1" applyFill="1" applyBorder="1" applyAlignment="1"/>
    <xf numFmtId="164" fontId="6" fillId="2" borderId="2" xfId="0" applyNumberFormat="1" applyFont="1" applyFill="1" applyBorder="1" applyAlignment="1"/>
    <xf numFmtId="1" fontId="13" fillId="0" borderId="5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3" xfId="0" applyFont="1" applyBorder="1"/>
    <xf numFmtId="1" fontId="13" fillId="2" borderId="20" xfId="0" applyNumberFormat="1" applyFont="1" applyFill="1" applyBorder="1"/>
    <xf numFmtId="1" fontId="11" fillId="2" borderId="14" xfId="0" applyNumberFormat="1" applyFont="1" applyFill="1" applyBorder="1"/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2" fontId="11" fillId="2" borderId="20" xfId="0" applyNumberFormat="1" applyFont="1" applyFill="1" applyBorder="1"/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0"/>
  <sheetViews>
    <sheetView tabSelected="1" workbookViewId="0">
      <selection activeCell="O1" sqref="O1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59</v>
      </c>
      <c r="B1" s="8"/>
      <c r="C1" s="8"/>
      <c r="D1" s="8"/>
      <c r="E1" s="8"/>
      <c r="F1" s="299" t="s">
        <v>29</v>
      </c>
      <c r="G1" s="299"/>
      <c r="H1" s="299"/>
      <c r="I1" s="299"/>
      <c r="J1" s="299"/>
      <c r="K1" s="299"/>
      <c r="L1" s="299"/>
      <c r="M1" s="299"/>
      <c r="N1" s="299"/>
      <c r="O1" s="175"/>
      <c r="P1" s="175"/>
      <c r="T1" s="2"/>
    </row>
    <row r="2" spans="1:20" ht="12" customHeight="1">
      <c r="A2" s="11"/>
      <c r="B2" s="8"/>
      <c r="C2" s="8"/>
      <c r="D2" s="8"/>
      <c r="E2" s="8"/>
      <c r="F2" s="181"/>
      <c r="G2" s="181"/>
      <c r="H2" s="181"/>
      <c r="I2" s="181"/>
      <c r="J2" s="181"/>
      <c r="K2" s="181"/>
      <c r="L2" s="181"/>
      <c r="M2" s="181"/>
      <c r="N2" s="181"/>
      <c r="O2" s="175"/>
      <c r="P2" s="175"/>
      <c r="T2" s="2"/>
    </row>
    <row r="3" spans="1:20" ht="21" customHeight="1">
      <c r="A3" s="88" t="s">
        <v>191</v>
      </c>
      <c r="B3" s="88"/>
      <c r="C3" s="88"/>
      <c r="D3" s="88"/>
      <c r="E3" s="88"/>
      <c r="F3" s="89"/>
      <c r="G3" s="89"/>
      <c r="H3" s="89"/>
      <c r="I3" s="181"/>
      <c r="J3" s="181"/>
      <c r="K3" s="181"/>
      <c r="L3" s="181"/>
      <c r="M3" s="181"/>
      <c r="N3" s="181"/>
      <c r="O3" s="175"/>
      <c r="P3" s="175"/>
      <c r="T3" s="2"/>
    </row>
    <row r="4" spans="1:20" ht="10.199999999999999" customHeight="1">
      <c r="A4" s="88"/>
      <c r="B4" s="88"/>
      <c r="C4" s="88"/>
      <c r="D4" s="88"/>
      <c r="E4" s="88"/>
      <c r="F4" s="89"/>
      <c r="G4" s="89"/>
      <c r="H4" s="89"/>
      <c r="I4" s="181"/>
      <c r="J4" s="181"/>
      <c r="K4" s="181"/>
      <c r="L4" s="181"/>
      <c r="M4" s="181"/>
      <c r="N4" s="181"/>
      <c r="O4" s="175"/>
      <c r="P4" s="175"/>
      <c r="T4" s="2"/>
    </row>
    <row r="5" spans="1:20" s="2" customFormat="1" ht="19.2" customHeight="1">
      <c r="A5" s="200" t="s">
        <v>85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176"/>
    </row>
    <row r="6" spans="1:20" s="2" customFormat="1" ht="19.2" customHeight="1">
      <c r="A6" s="203" t="s">
        <v>95</v>
      </c>
      <c r="B6" s="203"/>
      <c r="C6" s="203"/>
      <c r="D6" s="203"/>
      <c r="E6" s="203" t="s">
        <v>94</v>
      </c>
      <c r="F6" s="203"/>
      <c r="G6" s="203"/>
      <c r="H6" s="203"/>
      <c r="I6" s="203"/>
      <c r="J6" s="203"/>
      <c r="K6" s="203"/>
      <c r="L6" s="203"/>
      <c r="M6" s="203"/>
      <c r="N6" s="203"/>
      <c r="O6" s="176"/>
    </row>
    <row r="7" spans="1:20" s="2" customFormat="1" ht="19.2" customHeight="1">
      <c r="A7" s="204" t="s">
        <v>87</v>
      </c>
      <c r="B7" s="204"/>
      <c r="C7" s="204"/>
      <c r="D7" s="204"/>
      <c r="E7" s="207" t="s">
        <v>138</v>
      </c>
      <c r="F7" s="207"/>
      <c r="G7" s="207"/>
      <c r="H7" s="207"/>
      <c r="I7" s="207"/>
      <c r="J7" s="208" t="s">
        <v>181</v>
      </c>
      <c r="K7" s="209"/>
      <c r="L7" s="209"/>
      <c r="M7" s="209"/>
      <c r="N7" s="210"/>
      <c r="O7" s="176"/>
    </row>
    <row r="8" spans="1:20" s="2" customFormat="1" ht="19.2" customHeight="1">
      <c r="A8" s="205" t="s">
        <v>179</v>
      </c>
      <c r="B8" s="205"/>
      <c r="C8" s="205"/>
      <c r="D8" s="205"/>
      <c r="E8" s="207"/>
      <c r="F8" s="207"/>
      <c r="G8" s="207"/>
      <c r="H8" s="207"/>
      <c r="I8" s="207"/>
      <c r="J8" s="211"/>
      <c r="K8" s="212"/>
      <c r="L8" s="212"/>
      <c r="M8" s="212"/>
      <c r="N8" s="213"/>
      <c r="O8" s="176"/>
    </row>
    <row r="9" spans="1:20" s="2" customFormat="1" ht="19.2" customHeight="1">
      <c r="A9" s="240" t="s">
        <v>142</v>
      </c>
      <c r="B9" s="241"/>
      <c r="C9" s="241"/>
      <c r="D9" s="242"/>
      <c r="E9" s="207"/>
      <c r="F9" s="207"/>
      <c r="G9" s="207"/>
      <c r="H9" s="207"/>
      <c r="I9" s="207"/>
      <c r="J9" s="211"/>
      <c r="K9" s="212"/>
      <c r="L9" s="212"/>
      <c r="M9" s="212"/>
      <c r="N9" s="213"/>
      <c r="O9" s="176"/>
    </row>
    <row r="10" spans="1:20" s="2" customFormat="1" ht="19.2" customHeight="1">
      <c r="A10" s="206" t="s">
        <v>180</v>
      </c>
      <c r="B10" s="206"/>
      <c r="C10" s="206"/>
      <c r="D10" s="206"/>
      <c r="E10" s="207"/>
      <c r="F10" s="207"/>
      <c r="G10" s="207"/>
      <c r="H10" s="207"/>
      <c r="I10" s="207"/>
      <c r="J10" s="214"/>
      <c r="K10" s="215"/>
      <c r="L10" s="215"/>
      <c r="M10" s="215"/>
      <c r="N10" s="216"/>
      <c r="O10" s="176"/>
    </row>
    <row r="11" spans="1:20" s="2" customFormat="1" ht="19.2" customHeight="1">
      <c r="A11" s="237" t="s">
        <v>118</v>
      </c>
      <c r="B11" s="238"/>
      <c r="C11" s="239"/>
      <c r="D11" s="125">
        <v>215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76"/>
    </row>
    <row r="12" spans="1:20" ht="19.2" customHeight="1">
      <c r="A12" s="217" t="s">
        <v>0</v>
      </c>
      <c r="B12" s="220" t="s">
        <v>18</v>
      </c>
      <c r="C12" s="223" t="s">
        <v>7</v>
      </c>
      <c r="D12" s="223" t="s">
        <v>8</v>
      </c>
      <c r="E12" s="226" t="s">
        <v>10</v>
      </c>
      <c r="F12" s="227"/>
      <c r="G12" s="226" t="s">
        <v>41</v>
      </c>
      <c r="H12" s="227"/>
      <c r="I12" s="230" t="s">
        <v>15</v>
      </c>
      <c r="J12" s="230" t="s">
        <v>39</v>
      </c>
      <c r="K12" s="230" t="s">
        <v>40</v>
      </c>
      <c r="L12" s="230" t="s">
        <v>16</v>
      </c>
      <c r="M12" s="230" t="s">
        <v>38</v>
      </c>
      <c r="N12" s="217" t="s">
        <v>17</v>
      </c>
      <c r="O12" s="177"/>
    </row>
    <row r="13" spans="1:20" ht="19.2" customHeight="1">
      <c r="A13" s="218"/>
      <c r="B13" s="221"/>
      <c r="C13" s="224"/>
      <c r="D13" s="224"/>
      <c r="E13" s="228"/>
      <c r="F13" s="229"/>
      <c r="G13" s="228"/>
      <c r="H13" s="229"/>
      <c r="I13" s="231"/>
      <c r="J13" s="231"/>
      <c r="K13" s="231"/>
      <c r="L13" s="231"/>
      <c r="M13" s="231"/>
      <c r="N13" s="218"/>
      <c r="O13" s="184"/>
    </row>
    <row r="14" spans="1:20" ht="19.2" customHeight="1">
      <c r="A14" s="218"/>
      <c r="B14" s="221"/>
      <c r="C14" s="224"/>
      <c r="D14" s="224"/>
      <c r="E14" s="230" t="s">
        <v>9</v>
      </c>
      <c r="F14" s="230" t="s">
        <v>11</v>
      </c>
      <c r="G14" s="230" t="s">
        <v>13</v>
      </c>
      <c r="H14" s="230" t="s">
        <v>14</v>
      </c>
      <c r="I14" s="231"/>
      <c r="J14" s="231"/>
      <c r="K14" s="231"/>
      <c r="L14" s="231"/>
      <c r="M14" s="231"/>
      <c r="N14" s="218"/>
      <c r="O14" s="184"/>
    </row>
    <row r="15" spans="1:20" ht="19.2" customHeight="1">
      <c r="A15" s="219"/>
      <c r="B15" s="222"/>
      <c r="C15" s="225"/>
      <c r="D15" s="225"/>
      <c r="E15" s="232"/>
      <c r="F15" s="232"/>
      <c r="G15" s="232"/>
      <c r="H15" s="232"/>
      <c r="I15" s="232"/>
      <c r="J15" s="232"/>
      <c r="K15" s="232"/>
      <c r="L15" s="232"/>
      <c r="M15" s="232"/>
      <c r="N15" s="219"/>
      <c r="O15" s="184"/>
    </row>
    <row r="16" spans="1:20" ht="21" customHeight="1">
      <c r="A16" s="246" t="s">
        <v>32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8"/>
      <c r="O16" s="184"/>
    </row>
    <row r="17" spans="1:20" s="2" customFormat="1" ht="21" customHeight="1">
      <c r="A17" s="15">
        <v>1</v>
      </c>
      <c r="B17" s="16" t="s">
        <v>2</v>
      </c>
      <c r="C17" s="51">
        <v>12</v>
      </c>
      <c r="D17" s="52">
        <f>C17/100*60</f>
        <v>7.1999999999999993</v>
      </c>
      <c r="E17" s="53">
        <f>C17/100*15</f>
        <v>1.7999999999999998</v>
      </c>
      <c r="F17" s="53"/>
      <c r="G17" s="53"/>
      <c r="H17" s="53"/>
      <c r="I17" s="53"/>
      <c r="J17" s="53">
        <f>C17/100*387</f>
        <v>46.44</v>
      </c>
      <c r="K17" s="53">
        <f>C17/100*0.09</f>
        <v>1.0799999999999999E-2</v>
      </c>
      <c r="L17" s="416">
        <v>280</v>
      </c>
      <c r="M17" s="77">
        <v>20</v>
      </c>
      <c r="N17" s="28">
        <f t="shared" ref="N17:N26" si="0">L17*M17</f>
        <v>5600</v>
      </c>
      <c r="O17" s="179"/>
    </row>
    <row r="18" spans="1:20" s="2" customFormat="1" ht="21" customHeight="1">
      <c r="A18" s="9">
        <v>2</v>
      </c>
      <c r="B18" s="10" t="s">
        <v>134</v>
      </c>
      <c r="C18" s="23">
        <f>L18/100*100</f>
        <v>1140</v>
      </c>
      <c r="D18" s="24">
        <f>C18/100*899</f>
        <v>10248.6</v>
      </c>
      <c r="E18" s="25"/>
      <c r="F18" s="25"/>
      <c r="G18" s="119">
        <f>C18/100*100</f>
        <v>1140</v>
      </c>
      <c r="H18" s="25"/>
      <c r="I18" s="25"/>
      <c r="J18" s="25"/>
      <c r="K18" s="25"/>
      <c r="L18" s="137">
        <v>1140</v>
      </c>
      <c r="M18" s="24">
        <v>69</v>
      </c>
      <c r="N18" s="28">
        <f t="shared" si="0"/>
        <v>78660</v>
      </c>
      <c r="O18" s="179"/>
    </row>
    <row r="19" spans="1:20" s="2" customFormat="1" ht="21" customHeight="1">
      <c r="A19" s="9">
        <v>3</v>
      </c>
      <c r="B19" s="5" t="s">
        <v>1</v>
      </c>
      <c r="C19" s="23">
        <f>L19/100*100</f>
        <v>20425</v>
      </c>
      <c r="D19" s="24">
        <f>C19/100*319.8</f>
        <v>65319.15</v>
      </c>
      <c r="E19" s="25"/>
      <c r="F19" s="119">
        <f>C19/100*7.9</f>
        <v>1613.575</v>
      </c>
      <c r="G19" s="25"/>
      <c r="H19" s="25">
        <f>C19/100*1</f>
        <v>204.25</v>
      </c>
      <c r="I19" s="119">
        <f>C19/100*75.9</f>
        <v>15502.575000000001</v>
      </c>
      <c r="J19" s="25">
        <f>C19/100*30</f>
        <v>6127.5</v>
      </c>
      <c r="K19" s="25">
        <f>C19/100*0.1</f>
        <v>20.425000000000001</v>
      </c>
      <c r="L19" s="137">
        <v>20425</v>
      </c>
      <c r="M19" s="75">
        <v>18</v>
      </c>
      <c r="N19" s="28">
        <f t="shared" si="0"/>
        <v>367650</v>
      </c>
      <c r="O19" s="153"/>
      <c r="P19" s="18"/>
    </row>
    <row r="20" spans="1:20" s="2" customFormat="1" ht="21" customHeight="1">
      <c r="A20" s="9">
        <v>4</v>
      </c>
      <c r="B20" s="10" t="s">
        <v>158</v>
      </c>
      <c r="C20" s="23">
        <f>L20/100*100</f>
        <v>170</v>
      </c>
      <c r="D20" s="24">
        <f>C20/100*390</f>
        <v>663</v>
      </c>
      <c r="E20" s="25"/>
      <c r="F20" s="25"/>
      <c r="G20" s="25"/>
      <c r="H20" s="25"/>
      <c r="I20" s="25">
        <f>C20/100*97.4</f>
        <v>165.58</v>
      </c>
      <c r="J20" s="27">
        <f>C20/100*178</f>
        <v>302.59999999999997</v>
      </c>
      <c r="K20" s="27">
        <f>C20/100*0.05</f>
        <v>8.5000000000000006E-2</v>
      </c>
      <c r="L20" s="137">
        <v>170</v>
      </c>
      <c r="M20" s="75">
        <v>25</v>
      </c>
      <c r="N20" s="28">
        <f t="shared" si="0"/>
        <v>4250</v>
      </c>
      <c r="O20" s="178"/>
    </row>
    <row r="21" spans="1:20" s="2" customFormat="1" ht="21" customHeight="1">
      <c r="A21" s="9">
        <v>5</v>
      </c>
      <c r="B21" s="10" t="s">
        <v>144</v>
      </c>
      <c r="C21" s="23">
        <f>L21/100*60</f>
        <v>8646</v>
      </c>
      <c r="D21" s="24">
        <f>C21/100*97</f>
        <v>8386.619999999999</v>
      </c>
      <c r="E21" s="119">
        <f>C21/100*20.5</f>
        <v>1772.4299999999998</v>
      </c>
      <c r="F21" s="25"/>
      <c r="G21" s="25">
        <f>C21/100*2.7</f>
        <v>233.44200000000001</v>
      </c>
      <c r="H21" s="25"/>
      <c r="I21" s="25"/>
      <c r="J21" s="81">
        <f>C21/100*90</f>
        <v>7781.4</v>
      </c>
      <c r="K21" s="27">
        <f>C21/100*0.04</f>
        <v>3.4583999999999997</v>
      </c>
      <c r="L21" s="137">
        <v>14410</v>
      </c>
      <c r="M21" s="75">
        <v>95</v>
      </c>
      <c r="N21" s="124">
        <f t="shared" si="0"/>
        <v>1368950</v>
      </c>
      <c r="O21" s="153"/>
    </row>
    <row r="22" spans="1:20" s="2" customFormat="1" ht="21" customHeight="1">
      <c r="A22" s="9">
        <v>6</v>
      </c>
      <c r="B22" s="5" t="s">
        <v>67</v>
      </c>
      <c r="C22" s="23">
        <f>L22/100*48</f>
        <v>1574.3999999999999</v>
      </c>
      <c r="D22" s="24">
        <f>C22/100*199</f>
        <v>3133.0559999999996</v>
      </c>
      <c r="E22" s="25">
        <f>C22/100*20.3</f>
        <v>319.60319999999996</v>
      </c>
      <c r="F22" s="25"/>
      <c r="G22" s="25">
        <f>C22/100*13.1</f>
        <v>206.24639999999997</v>
      </c>
      <c r="H22" s="25"/>
      <c r="I22" s="25"/>
      <c r="J22" s="27">
        <f>C22/100*12</f>
        <v>188.92799999999997</v>
      </c>
      <c r="K22" s="27">
        <f>C22/100*0.15</f>
        <v>2.3615999999999997</v>
      </c>
      <c r="L22" s="137">
        <v>3280</v>
      </c>
      <c r="M22" s="26">
        <v>84</v>
      </c>
      <c r="N22" s="28">
        <f t="shared" si="0"/>
        <v>275520</v>
      </c>
      <c r="O22" s="153"/>
      <c r="Q22" s="3"/>
      <c r="R22" s="3"/>
      <c r="S22" s="4"/>
    </row>
    <row r="23" spans="1:20" s="2" customFormat="1" ht="21" customHeight="1">
      <c r="A23" s="9">
        <v>7</v>
      </c>
      <c r="B23" s="5" t="s">
        <v>3</v>
      </c>
      <c r="C23" s="23">
        <f>L23/100*98</f>
        <v>2263.8000000000002</v>
      </c>
      <c r="D23" s="24">
        <f>C23/100*118</f>
        <v>2671.2840000000001</v>
      </c>
      <c r="E23" s="25">
        <f>C23/100*21</f>
        <v>475.39800000000002</v>
      </c>
      <c r="F23" s="25"/>
      <c r="G23" s="25">
        <f>C23/100*3.8</f>
        <v>86.0244</v>
      </c>
      <c r="H23" s="25"/>
      <c r="I23" s="25"/>
      <c r="J23" s="27">
        <f>C23/100*12</f>
        <v>271.65600000000001</v>
      </c>
      <c r="K23" s="27">
        <f>C23/100*0.1</f>
        <v>2.2638000000000003</v>
      </c>
      <c r="L23" s="137">
        <v>2310</v>
      </c>
      <c r="M23" s="26">
        <v>270</v>
      </c>
      <c r="N23" s="124">
        <f t="shared" si="0"/>
        <v>623700</v>
      </c>
      <c r="O23" s="153"/>
      <c r="Q23" s="3"/>
      <c r="R23" s="3"/>
      <c r="S23" s="4"/>
    </row>
    <row r="24" spans="1:20" s="2" customFormat="1" ht="21" customHeight="1">
      <c r="A24" s="9">
        <v>8</v>
      </c>
      <c r="B24" s="5" t="s">
        <v>182</v>
      </c>
      <c r="C24" s="23">
        <f>L24/100*81</f>
        <v>6617.7</v>
      </c>
      <c r="D24" s="24">
        <f>C24/100*17</f>
        <v>1125.0089999999998</v>
      </c>
      <c r="E24" s="25"/>
      <c r="F24" s="25">
        <f>C24/100*0.9</f>
        <v>59.559299999999993</v>
      </c>
      <c r="G24" s="25"/>
      <c r="H24" s="25">
        <f>C24/100*0.2</f>
        <v>13.235399999999998</v>
      </c>
      <c r="I24" s="25">
        <f>C24/100*2.8</f>
        <v>185.29559999999998</v>
      </c>
      <c r="J24" s="81">
        <f>C24/100*28</f>
        <v>1852.9559999999997</v>
      </c>
      <c r="K24" s="27">
        <f>C24/100*0.04</f>
        <v>2.6470799999999999</v>
      </c>
      <c r="L24" s="137">
        <v>8170</v>
      </c>
      <c r="M24" s="26">
        <v>25</v>
      </c>
      <c r="N24" s="135">
        <f t="shared" si="0"/>
        <v>204250</v>
      </c>
      <c r="O24" s="153"/>
    </row>
    <row r="25" spans="1:20" s="2" customFormat="1" ht="21" customHeight="1">
      <c r="A25" s="9">
        <v>9</v>
      </c>
      <c r="B25" s="5" t="s">
        <v>143</v>
      </c>
      <c r="C25" s="23">
        <f>L25/100*81</f>
        <v>4357.8</v>
      </c>
      <c r="D25" s="24">
        <f>C25/100*17</f>
        <v>740.82600000000002</v>
      </c>
      <c r="E25" s="29"/>
      <c r="F25" s="29">
        <f>C25/100*0.9</f>
        <v>39.220200000000006</v>
      </c>
      <c r="G25" s="29"/>
      <c r="H25" s="29">
        <f>C25/100*0.2</f>
        <v>8.7156000000000002</v>
      </c>
      <c r="I25" s="29">
        <f>C25/100*2.8</f>
        <v>122.0184</v>
      </c>
      <c r="J25" s="25">
        <f>C25/100*28</f>
        <v>1220.1840000000002</v>
      </c>
      <c r="K25" s="27">
        <f>C25/100*0.04</f>
        <v>1.7431200000000002</v>
      </c>
      <c r="L25" s="383">
        <v>5380</v>
      </c>
      <c r="M25" s="75">
        <v>20</v>
      </c>
      <c r="N25" s="28">
        <f t="shared" si="0"/>
        <v>107600</v>
      </c>
      <c r="O25" s="153"/>
      <c r="P25" s="3"/>
    </row>
    <row r="26" spans="1:20" s="2" customFormat="1" ht="21" customHeight="1">
      <c r="A26" s="9">
        <v>10</v>
      </c>
      <c r="B26" s="5" t="s">
        <v>129</v>
      </c>
      <c r="C26" s="23">
        <f>L26/100*100</f>
        <v>220.00000000000003</v>
      </c>
      <c r="D26" s="24">
        <f>C26/100*247</f>
        <v>543.40000000000009</v>
      </c>
      <c r="E26" s="29"/>
      <c r="F26" s="29">
        <f>C26/100*17.5</f>
        <v>38.5</v>
      </c>
      <c r="G26" s="29"/>
      <c r="H26" s="29">
        <f>C26/100*1.6</f>
        <v>3.5200000000000005</v>
      </c>
      <c r="I26" s="29">
        <f>C26/100*39.2</f>
        <v>86.240000000000009</v>
      </c>
      <c r="J26" s="71"/>
      <c r="K26" s="71"/>
      <c r="L26" s="383">
        <v>220</v>
      </c>
      <c r="M26" s="75">
        <v>50</v>
      </c>
      <c r="N26" s="28">
        <f t="shared" si="0"/>
        <v>11000</v>
      </c>
      <c r="O26" s="153"/>
      <c r="Q26" s="3"/>
      <c r="R26" s="3"/>
      <c r="S26" s="4"/>
      <c r="T26" s="3"/>
    </row>
    <row r="27" spans="1:20" s="2" customFormat="1" ht="21" customHeight="1">
      <c r="A27" s="13">
        <v>11</v>
      </c>
      <c r="B27" s="6" t="s">
        <v>119</v>
      </c>
      <c r="C27" s="31"/>
      <c r="D27" s="32"/>
      <c r="E27" s="29"/>
      <c r="F27" s="29"/>
      <c r="G27" s="29"/>
      <c r="H27" s="29"/>
      <c r="I27" s="29"/>
      <c r="J27" s="25"/>
      <c r="K27" s="25"/>
      <c r="L27" s="30"/>
      <c r="M27" s="27"/>
      <c r="N27" s="33">
        <v>16720</v>
      </c>
      <c r="O27" s="153"/>
    </row>
    <row r="28" spans="1:20" s="2" customFormat="1" ht="21" customHeight="1">
      <c r="A28" s="21" t="s">
        <v>101</v>
      </c>
      <c r="B28" s="22"/>
      <c r="C28" s="34"/>
      <c r="D28" s="35">
        <f>SUM(D17:D27)</f>
        <v>92838.14499999999</v>
      </c>
      <c r="E28" s="36"/>
      <c r="F28" s="36"/>
      <c r="G28" s="36"/>
      <c r="H28" s="36"/>
      <c r="I28" s="36"/>
      <c r="J28" s="36"/>
      <c r="K28" s="36"/>
      <c r="L28" s="37"/>
      <c r="M28" s="37"/>
      <c r="N28" s="249">
        <f>SUM(N17:N27)</f>
        <v>3063900</v>
      </c>
      <c r="O28" s="153"/>
    </row>
    <row r="29" spans="1:20" s="2" customFormat="1" ht="21" customHeight="1">
      <c r="A29" s="21" t="s">
        <v>5</v>
      </c>
      <c r="B29" s="22"/>
      <c r="C29" s="34"/>
      <c r="D29" s="35">
        <f>D28/D11</f>
        <v>431.80532558139532</v>
      </c>
      <c r="E29" s="36"/>
      <c r="F29" s="36"/>
      <c r="G29" s="36"/>
      <c r="H29" s="36"/>
      <c r="I29" s="36"/>
      <c r="J29" s="36"/>
      <c r="K29" s="36"/>
      <c r="L29" s="37"/>
      <c r="M29" s="37"/>
      <c r="N29" s="250"/>
      <c r="O29" s="153"/>
    </row>
    <row r="30" spans="1:20" s="2" customFormat="1" ht="21" customHeight="1">
      <c r="A30" s="233" t="s">
        <v>46</v>
      </c>
      <c r="B30" s="234"/>
      <c r="C30" s="419" t="s">
        <v>141</v>
      </c>
      <c r="D30" s="20" t="s">
        <v>43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1" customHeight="1">
      <c r="A31" s="235"/>
      <c r="B31" s="236"/>
      <c r="C31" s="19" t="s">
        <v>57</v>
      </c>
      <c r="D31" s="20">
        <f>D29*100/1320</f>
        <v>32.71252466525722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1" customHeight="1">
      <c r="A32" s="244" t="s">
        <v>33</v>
      </c>
      <c r="B32" s="244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21" customHeight="1">
      <c r="A33" s="9">
        <v>1</v>
      </c>
      <c r="B33" s="5" t="s">
        <v>133</v>
      </c>
      <c r="C33" s="23">
        <f>L33/100*100</f>
        <v>5160</v>
      </c>
      <c r="D33" s="24">
        <f>C33/100*295</f>
        <v>15222</v>
      </c>
      <c r="E33" s="25"/>
      <c r="F33" s="25">
        <f>C33/100*6</f>
        <v>309.60000000000002</v>
      </c>
      <c r="G33" s="25"/>
      <c r="H33" s="25">
        <f>C33/100*0.8</f>
        <v>41.28</v>
      </c>
      <c r="I33" s="119">
        <f>C33/100*28.8</f>
        <v>1486.0800000000002</v>
      </c>
      <c r="J33" s="27"/>
      <c r="K33" s="27"/>
      <c r="L33" s="137">
        <v>5160</v>
      </c>
      <c r="M33" s="77">
        <v>32</v>
      </c>
      <c r="N33" s="28">
        <f>L33*M33</f>
        <v>165120</v>
      </c>
      <c r="O33" s="153"/>
    </row>
    <row r="34" spans="1:22" s="2" customFormat="1" ht="21" customHeight="1">
      <c r="A34" s="9">
        <v>2</v>
      </c>
      <c r="B34" s="148" t="s">
        <v>134</v>
      </c>
      <c r="C34" s="23">
        <f>L34/100*100</f>
        <v>1019.9999999999999</v>
      </c>
      <c r="D34" s="24">
        <f>C34/100*899</f>
        <v>9169.7999999999993</v>
      </c>
      <c r="E34" s="25"/>
      <c r="F34" s="25"/>
      <c r="G34" s="119">
        <f>C34/100*100</f>
        <v>1019.9999999999999</v>
      </c>
      <c r="H34" s="25"/>
      <c r="I34" s="25"/>
      <c r="J34" s="27"/>
      <c r="K34" s="27"/>
      <c r="L34" s="137">
        <v>1020</v>
      </c>
      <c r="M34" s="75">
        <v>69</v>
      </c>
      <c r="N34" s="28">
        <f t="shared" ref="N34:N35" si="1">L34*M34</f>
        <v>70380</v>
      </c>
      <c r="O34" s="153"/>
    </row>
    <row r="35" spans="1:22" s="2" customFormat="1" ht="21" customHeight="1">
      <c r="A35" s="9">
        <v>3</v>
      </c>
      <c r="B35" s="148" t="s">
        <v>136</v>
      </c>
      <c r="C35" s="23">
        <f>L35/100*100</f>
        <v>110.00000000000001</v>
      </c>
      <c r="D35" s="120">
        <f>C35/100*900</f>
        <v>990.00000000000011</v>
      </c>
      <c r="E35" s="25"/>
      <c r="F35" s="25"/>
      <c r="G35" s="119"/>
      <c r="H35" s="25">
        <f>C35/100*100</f>
        <v>110.00000000000001</v>
      </c>
      <c r="I35" s="25"/>
      <c r="J35" s="25"/>
      <c r="K35" s="25"/>
      <c r="L35" s="137">
        <v>110</v>
      </c>
      <c r="M35" s="75">
        <v>65</v>
      </c>
      <c r="N35" s="28">
        <f t="shared" si="1"/>
        <v>7150</v>
      </c>
      <c r="O35" s="179"/>
    </row>
    <row r="36" spans="1:22" s="2" customFormat="1" ht="21" customHeight="1">
      <c r="A36" s="9">
        <v>3</v>
      </c>
      <c r="B36" s="148" t="s">
        <v>2</v>
      </c>
      <c r="C36" s="23">
        <f>L36/100*100</f>
        <v>260</v>
      </c>
      <c r="D36" s="24">
        <f>C36/100*60</f>
        <v>156</v>
      </c>
      <c r="E36" s="25">
        <f>C36/100*15</f>
        <v>39</v>
      </c>
      <c r="F36" s="25"/>
      <c r="G36" s="25"/>
      <c r="H36" s="25"/>
      <c r="I36" s="25"/>
      <c r="J36" s="25">
        <f>C36/100*387</f>
        <v>1006.2</v>
      </c>
      <c r="K36" s="25">
        <f>C36/100*0.09</f>
        <v>0.23399999999999999</v>
      </c>
      <c r="L36" s="137">
        <v>260</v>
      </c>
      <c r="M36" s="75">
        <v>20</v>
      </c>
      <c r="N36" s="28">
        <f>L36*M36</f>
        <v>5200</v>
      </c>
      <c r="O36" s="153"/>
    </row>
    <row r="37" spans="1:22" s="2" customFormat="1" ht="21" customHeight="1">
      <c r="A37" s="9">
        <v>4</v>
      </c>
      <c r="B37" s="149" t="s">
        <v>129</v>
      </c>
      <c r="C37" s="23">
        <f>L37/100*100</f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83">
        <v>130</v>
      </c>
      <c r="M37" s="75">
        <v>50</v>
      </c>
      <c r="N37" s="28">
        <f t="shared" ref="N37:N38" si="2">L37*M37</f>
        <v>6500</v>
      </c>
      <c r="O37" s="153"/>
      <c r="Q37" s="3"/>
      <c r="R37" s="3"/>
      <c r="S37" s="4"/>
      <c r="T37" s="3"/>
    </row>
    <row r="38" spans="1:22" s="2" customFormat="1" ht="21" customHeight="1">
      <c r="A38" s="9">
        <v>8</v>
      </c>
      <c r="B38" s="149" t="s">
        <v>99</v>
      </c>
      <c r="C38" s="23">
        <f>L38/100*87</f>
        <v>2001</v>
      </c>
      <c r="D38" s="24">
        <f>C38/100*14</f>
        <v>280.14000000000004</v>
      </c>
      <c r="E38" s="25"/>
      <c r="F38" s="25">
        <f>C38/100*1.9</f>
        <v>38.018999999999998</v>
      </c>
      <c r="G38" s="25"/>
      <c r="H38" s="25"/>
      <c r="I38" s="25">
        <f>C38/100*1.6</f>
        <v>32.016000000000005</v>
      </c>
      <c r="J38" s="119">
        <f>C38/100*48.7</f>
        <v>974.48700000000008</v>
      </c>
      <c r="K38" s="25">
        <f>C38/100*0.03</f>
        <v>0.60030000000000006</v>
      </c>
      <c r="L38" s="26">
        <v>2300</v>
      </c>
      <c r="M38" s="75">
        <v>25</v>
      </c>
      <c r="N38" s="28">
        <f t="shared" si="2"/>
        <v>57500</v>
      </c>
      <c r="O38" s="153"/>
    </row>
    <row r="39" spans="1:22" s="2" customFormat="1" ht="21" customHeight="1">
      <c r="A39" s="9">
        <v>6</v>
      </c>
      <c r="B39" s="148" t="s">
        <v>71</v>
      </c>
      <c r="C39" s="23">
        <f>L39/100*98</f>
        <v>2861.6</v>
      </c>
      <c r="D39" s="24">
        <f>C39/100*139</f>
        <v>3977.6239999999998</v>
      </c>
      <c r="E39" s="25">
        <f>C39/100*19</f>
        <v>543.70399999999995</v>
      </c>
      <c r="F39" s="25"/>
      <c r="G39" s="25">
        <f>C39/100*7</f>
        <v>200.31200000000001</v>
      </c>
      <c r="H39" s="25"/>
      <c r="I39" s="25"/>
      <c r="J39" s="25">
        <f>C39/100*7</f>
        <v>200.31200000000001</v>
      </c>
      <c r="K39" s="25">
        <f>C39/100*0.9</f>
        <v>25.7544</v>
      </c>
      <c r="L39" s="137">
        <v>2920</v>
      </c>
      <c r="M39" s="75">
        <v>133</v>
      </c>
      <c r="N39" s="28">
        <f t="shared" ref="N39:N40" si="3">L39*M39</f>
        <v>388360</v>
      </c>
      <c r="O39" s="153"/>
      <c r="P39" s="141"/>
    </row>
    <row r="40" spans="1:22" s="2" customFormat="1" ht="21" customHeight="1">
      <c r="A40" s="9">
        <v>7</v>
      </c>
      <c r="B40" s="152" t="s">
        <v>139</v>
      </c>
      <c r="C40" s="23">
        <f>L40/100*100</f>
        <v>3660</v>
      </c>
      <c r="D40" s="24">
        <f>C40/100*487</f>
        <v>17824.2</v>
      </c>
      <c r="E40" s="29"/>
      <c r="F40" s="29">
        <f>C40/100*19.5</f>
        <v>713.7</v>
      </c>
      <c r="G40" s="29"/>
      <c r="H40" s="29">
        <f>C40/100*23.2</f>
        <v>849.12</v>
      </c>
      <c r="I40" s="168">
        <f>C40/100*46</f>
        <v>1683.6000000000001</v>
      </c>
      <c r="J40" s="119">
        <f>C40/100*680</f>
        <v>24888</v>
      </c>
      <c r="K40" s="25">
        <f>C40/100*0.55</f>
        <v>20.130000000000003</v>
      </c>
      <c r="L40" s="30">
        <v>3660</v>
      </c>
      <c r="M40" s="143">
        <v>260</v>
      </c>
      <c r="N40" s="28">
        <f t="shared" si="3"/>
        <v>951600</v>
      </c>
      <c r="O40" s="153"/>
      <c r="P40" s="3"/>
    </row>
    <row r="41" spans="1:22" s="2" customFormat="1" ht="21" customHeight="1">
      <c r="A41" s="103">
        <v>8</v>
      </c>
      <c r="B41" s="112" t="s">
        <v>119</v>
      </c>
      <c r="C41" s="104"/>
      <c r="D41" s="420"/>
      <c r="E41" s="106"/>
      <c r="F41" s="106"/>
      <c r="G41" s="106"/>
      <c r="H41" s="106"/>
      <c r="I41" s="106"/>
      <c r="J41" s="106"/>
      <c r="K41" s="106"/>
      <c r="L41" s="107"/>
      <c r="M41" s="107"/>
      <c r="N41" s="108">
        <v>13920</v>
      </c>
      <c r="O41" s="153"/>
    </row>
    <row r="42" spans="1:22" ht="21.6" customHeight="1">
      <c r="A42" s="217" t="s">
        <v>0</v>
      </c>
      <c r="B42" s="220" t="s">
        <v>18</v>
      </c>
      <c r="C42" s="223" t="s">
        <v>7</v>
      </c>
      <c r="D42" s="223" t="s">
        <v>8</v>
      </c>
      <c r="E42" s="226" t="s">
        <v>10</v>
      </c>
      <c r="F42" s="227"/>
      <c r="G42" s="226" t="s">
        <v>41</v>
      </c>
      <c r="H42" s="227"/>
      <c r="I42" s="230" t="s">
        <v>15</v>
      </c>
      <c r="J42" s="230" t="s">
        <v>39</v>
      </c>
      <c r="K42" s="230" t="s">
        <v>40</v>
      </c>
      <c r="L42" s="230" t="s">
        <v>16</v>
      </c>
      <c r="M42" s="230" t="s">
        <v>38</v>
      </c>
      <c r="N42" s="217" t="s">
        <v>17</v>
      </c>
      <c r="O42" s="177"/>
    </row>
    <row r="43" spans="1:22" ht="21.6" customHeight="1">
      <c r="A43" s="218"/>
      <c r="B43" s="221"/>
      <c r="C43" s="224"/>
      <c r="D43" s="224"/>
      <c r="E43" s="228"/>
      <c r="F43" s="229"/>
      <c r="G43" s="228"/>
      <c r="H43" s="229"/>
      <c r="I43" s="231"/>
      <c r="J43" s="231"/>
      <c r="K43" s="231"/>
      <c r="L43" s="231"/>
      <c r="M43" s="231"/>
      <c r="N43" s="218"/>
      <c r="O43" s="184"/>
    </row>
    <row r="44" spans="1:22" ht="21.6" customHeight="1">
      <c r="A44" s="218"/>
      <c r="B44" s="221"/>
      <c r="C44" s="224"/>
      <c r="D44" s="224"/>
      <c r="E44" s="230" t="s">
        <v>9</v>
      </c>
      <c r="F44" s="230" t="s">
        <v>11</v>
      </c>
      <c r="G44" s="230" t="s">
        <v>13</v>
      </c>
      <c r="H44" s="230" t="s">
        <v>14</v>
      </c>
      <c r="I44" s="231"/>
      <c r="J44" s="231"/>
      <c r="K44" s="231"/>
      <c r="L44" s="231"/>
      <c r="M44" s="231"/>
      <c r="N44" s="218"/>
      <c r="O44" s="184"/>
    </row>
    <row r="45" spans="1:22" ht="21.6" customHeight="1">
      <c r="A45" s="219"/>
      <c r="B45" s="222"/>
      <c r="C45" s="225"/>
      <c r="D45" s="225"/>
      <c r="E45" s="232"/>
      <c r="F45" s="232"/>
      <c r="G45" s="232"/>
      <c r="H45" s="232"/>
      <c r="I45" s="232"/>
      <c r="J45" s="232"/>
      <c r="K45" s="232"/>
      <c r="L45" s="232"/>
      <c r="M45" s="232"/>
      <c r="N45" s="219"/>
      <c r="O45" s="184"/>
    </row>
    <row r="46" spans="1:22" s="2" customFormat="1" ht="21.6" customHeight="1">
      <c r="A46" s="245" t="s">
        <v>102</v>
      </c>
      <c r="B46" s="245"/>
      <c r="C46" s="34"/>
      <c r="D46" s="35">
        <f>SUM(D33:D41)</f>
        <v>47940.864000000001</v>
      </c>
      <c r="E46" s="43"/>
      <c r="F46" s="43"/>
      <c r="G46" s="43"/>
      <c r="H46" s="43"/>
      <c r="I46" s="43"/>
      <c r="J46" s="43"/>
      <c r="K46" s="43"/>
      <c r="L46" s="44"/>
      <c r="M46" s="44"/>
      <c r="N46" s="249">
        <f>SUM(N33:N41)</f>
        <v>1665730</v>
      </c>
      <c r="O46" s="153"/>
    </row>
    <row r="47" spans="1:22" ht="21.6" customHeight="1">
      <c r="A47" s="245" t="s">
        <v>6</v>
      </c>
      <c r="B47" s="245"/>
      <c r="C47" s="45"/>
      <c r="D47" s="46">
        <f>D46/D11</f>
        <v>222.98076279069767</v>
      </c>
      <c r="E47" s="46"/>
      <c r="F47" s="46"/>
      <c r="G47" s="46"/>
      <c r="H47" s="46"/>
      <c r="I47" s="46"/>
      <c r="J47" s="46"/>
      <c r="K47" s="46"/>
      <c r="L47" s="47"/>
      <c r="M47" s="47"/>
      <c r="N47" s="250"/>
      <c r="O47" s="408"/>
      <c r="P47" s="2"/>
      <c r="Q47" s="2"/>
      <c r="R47" s="2"/>
      <c r="S47" s="2"/>
      <c r="T47" s="2"/>
      <c r="U47" s="2"/>
      <c r="V47" s="2"/>
    </row>
    <row r="48" spans="1:22" ht="21.6" customHeight="1">
      <c r="A48" s="233" t="s">
        <v>45</v>
      </c>
      <c r="B48" s="234"/>
      <c r="C48" s="419" t="s">
        <v>141</v>
      </c>
      <c r="D48" s="20" t="s">
        <v>56</v>
      </c>
      <c r="E48" s="46"/>
      <c r="F48" s="46"/>
      <c r="G48" s="46"/>
      <c r="H48" s="46"/>
      <c r="I48" s="46"/>
      <c r="J48" s="48"/>
      <c r="K48" s="48"/>
      <c r="L48" s="47"/>
      <c r="M48" s="47"/>
      <c r="N48" s="185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235"/>
      <c r="B49" s="236"/>
      <c r="C49" s="19" t="s">
        <v>57</v>
      </c>
      <c r="D49" s="20">
        <f>D47*100/1320</f>
        <v>16.892482029598309</v>
      </c>
      <c r="E49" s="46"/>
      <c r="F49" s="46"/>
      <c r="G49" s="46"/>
      <c r="H49" s="46"/>
      <c r="I49" s="46"/>
      <c r="J49" s="48"/>
      <c r="K49" s="48"/>
      <c r="L49" s="47"/>
      <c r="M49" s="47"/>
      <c r="N49" s="185"/>
      <c r="O49" s="4"/>
      <c r="P49" s="2"/>
      <c r="Q49" s="2"/>
      <c r="R49" s="2"/>
      <c r="S49" s="2"/>
      <c r="T49" s="2"/>
      <c r="U49" s="2"/>
      <c r="V49" s="2"/>
    </row>
    <row r="50" spans="1:23" ht="21.6" customHeight="1">
      <c r="A50" s="273" t="s">
        <v>103</v>
      </c>
      <c r="B50" s="273"/>
      <c r="C50" s="272"/>
      <c r="D50" s="190">
        <f>D28+D46</f>
        <v>140779.00899999999</v>
      </c>
      <c r="E50" s="123">
        <f t="shared" ref="E50:K50" si="4">SUM(E17:E41)</f>
        <v>3151.9351999999999</v>
      </c>
      <c r="F50" s="123">
        <f t="shared" si="4"/>
        <v>2834.9234999999999</v>
      </c>
      <c r="G50" s="123">
        <f t="shared" si="4"/>
        <v>2886.0247999999997</v>
      </c>
      <c r="H50" s="123">
        <f t="shared" si="4"/>
        <v>1232.201</v>
      </c>
      <c r="I50" s="269">
        <f t="shared" si="4"/>
        <v>19314.364999999998</v>
      </c>
      <c r="J50" s="260">
        <f t="shared" si="4"/>
        <v>44860.663</v>
      </c>
      <c r="K50" s="260">
        <f t="shared" si="4"/>
        <v>79.71350000000001</v>
      </c>
      <c r="L50" s="260"/>
      <c r="M50" s="260"/>
      <c r="N50" s="266">
        <f>N28+N46</f>
        <v>4729630</v>
      </c>
      <c r="P50" s="421"/>
      <c r="U50" s="12"/>
      <c r="V50" s="12"/>
    </row>
    <row r="51" spans="1:23" ht="21.6" customHeight="1">
      <c r="A51" s="273"/>
      <c r="B51" s="273"/>
      <c r="C51" s="272"/>
      <c r="D51" s="191"/>
      <c r="E51" s="253">
        <f>E50+F50</f>
        <v>5986.8586999999998</v>
      </c>
      <c r="F51" s="253"/>
      <c r="G51" s="253">
        <f>G50+H50</f>
        <v>4118.2258000000002</v>
      </c>
      <c r="H51" s="253"/>
      <c r="I51" s="269"/>
      <c r="J51" s="262"/>
      <c r="K51" s="262"/>
      <c r="L51" s="261"/>
      <c r="M51" s="261"/>
      <c r="N51" s="267"/>
      <c r="U51" s="12"/>
      <c r="V51" s="12"/>
    </row>
    <row r="52" spans="1:23" ht="21.6" customHeight="1">
      <c r="A52" s="254" t="s">
        <v>74</v>
      </c>
      <c r="B52" s="255"/>
      <c r="C52" s="256"/>
      <c r="D52" s="131">
        <f>D50/D11</f>
        <v>654.78608837209299</v>
      </c>
      <c r="E52" s="385">
        <f>E50/D11</f>
        <v>14.660163720930232</v>
      </c>
      <c r="F52" s="385">
        <f>F50/D11</f>
        <v>13.185690697674419</v>
      </c>
      <c r="G52" s="385">
        <f>G50/D11</f>
        <v>13.423371162790696</v>
      </c>
      <c r="H52" s="385">
        <f>H50/D11</f>
        <v>5.7311674418604648</v>
      </c>
      <c r="I52" s="189">
        <f>I50/D11</f>
        <v>89.834255813953476</v>
      </c>
      <c r="J52" s="270">
        <f>J50/D11</f>
        <v>208.65424651162792</v>
      </c>
      <c r="K52" s="270">
        <f>K50/D11</f>
        <v>0.37076046511627914</v>
      </c>
      <c r="L52" s="261"/>
      <c r="M52" s="261"/>
      <c r="N52" s="267"/>
      <c r="P52" s="398"/>
      <c r="Q52" s="399"/>
      <c r="R52" s="399"/>
      <c r="S52" s="399"/>
      <c r="T52" s="399"/>
      <c r="U52" s="400"/>
      <c r="V52" s="400"/>
      <c r="W52" s="1">
        <f>Q52+S52+U52</f>
        <v>0</v>
      </c>
    </row>
    <row r="53" spans="1:23" ht="21.6" customHeight="1">
      <c r="A53" s="257"/>
      <c r="B53" s="258"/>
      <c r="C53" s="259"/>
      <c r="D53" s="126"/>
      <c r="E53" s="422">
        <f>E52+F52</f>
        <v>27.845854418604652</v>
      </c>
      <c r="F53" s="422"/>
      <c r="G53" s="422">
        <f>G52+H52</f>
        <v>19.154538604651162</v>
      </c>
      <c r="H53" s="422"/>
      <c r="I53" s="189"/>
      <c r="J53" s="271"/>
      <c r="K53" s="271"/>
      <c r="L53" s="261"/>
      <c r="M53" s="261"/>
      <c r="N53" s="267"/>
      <c r="P53" s="401"/>
      <c r="Q53" s="399"/>
      <c r="R53" s="399"/>
      <c r="S53" s="399"/>
      <c r="T53" s="399"/>
      <c r="U53" s="399"/>
      <c r="V53" s="399"/>
    </row>
    <row r="54" spans="1:23" ht="21.6" customHeight="1">
      <c r="A54" s="251" t="s">
        <v>77</v>
      </c>
      <c r="B54" s="281"/>
      <c r="C54" s="252"/>
      <c r="D54" s="186" t="s">
        <v>26</v>
      </c>
      <c r="E54" s="423" t="s">
        <v>19</v>
      </c>
      <c r="F54" s="423"/>
      <c r="G54" s="423" t="s">
        <v>20</v>
      </c>
      <c r="H54" s="423"/>
      <c r="I54" s="424" t="s">
        <v>21</v>
      </c>
      <c r="J54" s="424">
        <v>600</v>
      </c>
      <c r="K54" s="424">
        <v>0.7</v>
      </c>
      <c r="L54" s="261"/>
      <c r="M54" s="261"/>
      <c r="N54" s="267"/>
      <c r="O54" s="180"/>
      <c r="P54" s="398"/>
      <c r="Q54" s="403"/>
      <c r="R54" s="403"/>
      <c r="S54" s="403"/>
      <c r="T54" s="403"/>
      <c r="U54" s="398"/>
      <c r="V54" s="398"/>
    </row>
    <row r="55" spans="1:23" ht="21.6" customHeight="1">
      <c r="A55" s="251" t="s">
        <v>75</v>
      </c>
      <c r="B55" s="281"/>
      <c r="C55" s="252"/>
      <c r="D55" s="49"/>
      <c r="E55" s="282">
        <f>E53*4.1</f>
        <v>114.16800311627907</v>
      </c>
      <c r="F55" s="283"/>
      <c r="G55" s="282">
        <f>G53*9</f>
        <v>172.39084744186044</v>
      </c>
      <c r="H55" s="283"/>
      <c r="I55" s="122">
        <f>I52*4.1</f>
        <v>368.3204488372092</v>
      </c>
      <c r="J55" s="263"/>
      <c r="K55" s="263"/>
      <c r="L55" s="261"/>
      <c r="M55" s="261"/>
      <c r="N55" s="267"/>
      <c r="O55" s="180"/>
      <c r="P55" s="402"/>
      <c r="Q55" s="398"/>
      <c r="R55" s="398"/>
      <c r="S55" s="398"/>
      <c r="T55" s="398"/>
      <c r="U55" s="398"/>
      <c r="V55" s="398"/>
    </row>
    <row r="56" spans="1:23" ht="21.6" customHeight="1">
      <c r="A56" s="284" t="s">
        <v>78</v>
      </c>
      <c r="B56" s="285"/>
      <c r="C56" s="251" t="s">
        <v>57</v>
      </c>
      <c r="D56" s="252"/>
      <c r="E56" s="425">
        <f>E55*100/D52</f>
        <v>17.435923753377182</v>
      </c>
      <c r="F56" s="426"/>
      <c r="G56" s="197">
        <f>G55*100/D52</f>
        <v>26.327811556053788</v>
      </c>
      <c r="H56" s="198"/>
      <c r="I56" s="115">
        <f>I55*100/D52</f>
        <v>56.250500030157177</v>
      </c>
      <c r="J56" s="264"/>
      <c r="K56" s="264"/>
      <c r="L56" s="261"/>
      <c r="M56" s="261"/>
      <c r="N56" s="267"/>
      <c r="O56" s="180"/>
    </row>
    <row r="57" spans="1:23" ht="21.6" customHeight="1">
      <c r="A57" s="286"/>
      <c r="B57" s="287"/>
      <c r="C57" s="251" t="s">
        <v>76</v>
      </c>
      <c r="D57" s="252"/>
      <c r="E57" s="251" t="s">
        <v>79</v>
      </c>
      <c r="F57" s="252"/>
      <c r="G57" s="251" t="s">
        <v>80</v>
      </c>
      <c r="H57" s="252"/>
      <c r="I57" s="187" t="s">
        <v>81</v>
      </c>
      <c r="J57" s="265"/>
      <c r="K57" s="265"/>
      <c r="L57" s="262"/>
      <c r="M57" s="262"/>
      <c r="N57" s="268"/>
      <c r="O57" s="180"/>
      <c r="P57" s="132"/>
    </row>
    <row r="58" spans="1:23" ht="21.6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180"/>
      <c r="Q58" s="132"/>
    </row>
    <row r="59" spans="1:23" ht="21" customHeight="1">
      <c r="A59" s="192" t="s">
        <v>110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80"/>
    </row>
    <row r="60" spans="1:23" ht="21" customHeight="1">
      <c r="A60" s="117" t="s">
        <v>111</v>
      </c>
      <c r="B60" s="193" t="s">
        <v>112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80"/>
    </row>
    <row r="61" spans="1:23" ht="21" customHeight="1">
      <c r="A61" s="118"/>
      <c r="B61" s="194" t="s">
        <v>192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80"/>
    </row>
    <row r="62" spans="1:23" ht="21" customHeight="1">
      <c r="A62" s="118"/>
      <c r="B62" s="194" t="s">
        <v>193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80"/>
    </row>
    <row r="63" spans="1:23" ht="21" customHeight="1">
      <c r="A63" s="118"/>
      <c r="B63" s="194" t="s">
        <v>194</v>
      </c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80"/>
    </row>
    <row r="64" spans="1:23" ht="21" customHeight="1">
      <c r="A64" s="90"/>
      <c r="B64" s="195" t="s">
        <v>113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80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180"/>
    </row>
    <row r="66" spans="1:20" ht="21" customHeight="1">
      <c r="A66" s="196" t="s">
        <v>60</v>
      </c>
      <c r="B66" s="196"/>
      <c r="C66" s="196"/>
      <c r="D66" s="196"/>
      <c r="E66" s="390"/>
      <c r="F66" s="390"/>
      <c r="G66" s="390"/>
      <c r="H66" s="390"/>
      <c r="I66" s="390"/>
      <c r="J66" s="391" t="s">
        <v>31</v>
      </c>
      <c r="K66" s="391"/>
      <c r="L66" s="391"/>
      <c r="M66" s="391"/>
      <c r="N66" s="391"/>
      <c r="O66" s="180"/>
    </row>
    <row r="67" spans="1:20" ht="21" customHeight="1">
      <c r="A67" s="184"/>
      <c r="B67" s="184"/>
      <c r="C67" s="184"/>
      <c r="D67" s="390"/>
      <c r="E67" s="390"/>
      <c r="F67" s="390"/>
      <c r="G67" s="390"/>
      <c r="H67" s="392"/>
      <c r="I67" s="392"/>
      <c r="J67" s="392"/>
      <c r="K67" s="392"/>
      <c r="L67" s="392"/>
      <c r="M67" s="392"/>
      <c r="N67" s="392"/>
      <c r="O67" s="180"/>
    </row>
    <row r="68" spans="1:20" ht="21" customHeight="1">
      <c r="A68" s="184"/>
      <c r="B68" s="184"/>
      <c r="C68" s="184"/>
      <c r="D68" s="390"/>
      <c r="E68" s="390"/>
      <c r="F68" s="390"/>
      <c r="G68" s="390"/>
      <c r="H68" s="392"/>
      <c r="I68" s="392"/>
      <c r="J68" s="392"/>
      <c r="K68" s="392"/>
      <c r="L68" s="392"/>
      <c r="M68" s="392"/>
      <c r="N68" s="392"/>
      <c r="O68" s="180"/>
    </row>
    <row r="69" spans="1:20" ht="21" customHeight="1">
      <c r="A69" s="184"/>
      <c r="B69" s="184"/>
      <c r="C69" s="184"/>
      <c r="D69" s="390"/>
      <c r="E69" s="390"/>
      <c r="F69" s="390"/>
      <c r="G69" s="390"/>
      <c r="H69" s="392"/>
      <c r="I69" s="392"/>
      <c r="J69" s="393" t="s">
        <v>120</v>
      </c>
      <c r="K69" s="393"/>
      <c r="L69" s="393"/>
      <c r="M69" s="393"/>
      <c r="N69" s="393"/>
      <c r="O69" s="180"/>
    </row>
    <row r="70" spans="1:20" ht="21" customHeight="1">
      <c r="A70" s="188" t="s">
        <v>88</v>
      </c>
      <c r="B70" s="188"/>
      <c r="C70" s="188"/>
      <c r="D70" s="188"/>
      <c r="E70" s="390"/>
      <c r="F70" s="390"/>
      <c r="G70" s="390"/>
      <c r="H70" s="392"/>
      <c r="I70" s="392"/>
      <c r="J70" s="393"/>
      <c r="K70" s="393"/>
      <c r="L70" s="393"/>
      <c r="M70" s="393"/>
      <c r="N70" s="393"/>
      <c r="O70" s="180"/>
    </row>
    <row r="71" spans="1:20" ht="21.6" customHeight="1">
      <c r="A71" s="184"/>
      <c r="B71" s="184"/>
      <c r="C71" s="184"/>
      <c r="D71" s="390"/>
      <c r="E71" s="390"/>
      <c r="F71" s="390"/>
      <c r="G71" s="390"/>
      <c r="H71" s="392"/>
      <c r="I71" s="392"/>
      <c r="J71" s="392"/>
      <c r="K71" s="392"/>
      <c r="L71" s="392"/>
      <c r="M71" s="392"/>
      <c r="N71" s="392"/>
      <c r="O71" s="180"/>
    </row>
    <row r="72" spans="1:20" ht="21.6" customHeight="1">
      <c r="A72" s="184"/>
      <c r="B72" s="184"/>
      <c r="C72" s="184"/>
      <c r="D72" s="390"/>
      <c r="E72" s="390"/>
      <c r="F72" s="390"/>
      <c r="G72" s="390"/>
      <c r="H72" s="392"/>
      <c r="I72" s="392"/>
      <c r="J72" s="392"/>
      <c r="K72" s="392"/>
      <c r="L72" s="392"/>
      <c r="M72" s="392"/>
      <c r="N72" s="392"/>
      <c r="O72" s="180"/>
    </row>
    <row r="73" spans="1:20" ht="21.6" customHeight="1">
      <c r="A73" s="184"/>
      <c r="B73" s="184"/>
      <c r="C73" s="184"/>
      <c r="D73" s="390"/>
      <c r="E73" s="390"/>
      <c r="F73" s="390"/>
      <c r="G73" s="390"/>
      <c r="H73" s="392"/>
      <c r="I73" s="392"/>
      <c r="J73" s="393" t="s">
        <v>123</v>
      </c>
      <c r="K73" s="393"/>
      <c r="L73" s="393"/>
      <c r="M73" s="393"/>
      <c r="N73" s="393"/>
      <c r="O73" s="180"/>
    </row>
    <row r="74" spans="1:20" ht="21.6" customHeight="1">
      <c r="A74" s="184"/>
      <c r="B74" s="184"/>
      <c r="C74" s="184"/>
      <c r="D74" s="390"/>
      <c r="E74" s="390"/>
      <c r="F74" s="390"/>
      <c r="G74" s="390"/>
      <c r="H74" s="392"/>
      <c r="I74" s="392"/>
      <c r="J74" s="392"/>
      <c r="K74" s="392"/>
      <c r="L74" s="392"/>
      <c r="M74" s="392"/>
      <c r="N74" s="392"/>
      <c r="O74" s="180"/>
    </row>
    <row r="75" spans="1:20" ht="21.6" customHeight="1">
      <c r="A75" s="184"/>
      <c r="B75" s="184"/>
      <c r="C75" s="184"/>
      <c r="D75" s="390"/>
      <c r="E75" s="390"/>
      <c r="F75" s="390"/>
      <c r="G75" s="390"/>
      <c r="H75" s="392"/>
      <c r="I75" s="392"/>
      <c r="J75" s="392"/>
      <c r="K75" s="392"/>
      <c r="L75" s="392"/>
      <c r="M75" s="392"/>
      <c r="N75" s="392"/>
      <c r="O75" s="180"/>
    </row>
    <row r="76" spans="1:20" ht="21.6" customHeight="1">
      <c r="A76" s="184"/>
      <c r="B76" s="184"/>
      <c r="C76" s="184"/>
      <c r="D76" s="390"/>
      <c r="E76" s="390"/>
      <c r="F76" s="390"/>
      <c r="G76" s="390"/>
      <c r="H76" s="392"/>
      <c r="I76" s="392"/>
      <c r="J76" s="392"/>
      <c r="K76" s="392"/>
      <c r="L76" s="392"/>
      <c r="M76" s="392"/>
      <c r="N76" s="392"/>
      <c r="O76" s="180"/>
    </row>
    <row r="77" spans="1:20" ht="21.6" customHeight="1">
      <c r="A77" s="184"/>
      <c r="B77" s="184"/>
      <c r="C77" s="184"/>
      <c r="D77" s="390"/>
      <c r="E77" s="390"/>
      <c r="F77" s="390"/>
      <c r="G77" s="390"/>
      <c r="H77" s="392"/>
      <c r="I77" s="392"/>
      <c r="J77" s="392"/>
      <c r="K77" s="392"/>
      <c r="L77" s="392"/>
      <c r="M77" s="392"/>
      <c r="N77" s="392"/>
      <c r="O77" s="180"/>
    </row>
    <row r="78" spans="1:20" ht="24" customHeight="1">
      <c r="A78" s="184"/>
      <c r="B78" s="184"/>
      <c r="C78" s="184"/>
      <c r="D78" s="390"/>
      <c r="E78" s="390"/>
      <c r="F78" s="390"/>
      <c r="G78" s="390"/>
      <c r="H78" s="392"/>
      <c r="I78" s="392"/>
      <c r="J78" s="392"/>
      <c r="K78" s="392"/>
      <c r="L78" s="392"/>
      <c r="M78" s="392"/>
      <c r="N78" s="392"/>
      <c r="O78" s="180"/>
    </row>
    <row r="79" spans="1:20" ht="26.4" customHeight="1">
      <c r="A79" s="184"/>
      <c r="B79" s="184"/>
      <c r="C79" s="184"/>
      <c r="D79" s="390"/>
      <c r="E79" s="390"/>
      <c r="F79" s="390"/>
      <c r="G79" s="390"/>
      <c r="H79" s="392"/>
      <c r="I79" s="392"/>
      <c r="J79" s="392"/>
      <c r="K79" s="392"/>
      <c r="L79" s="392"/>
      <c r="M79" s="392"/>
      <c r="N79" s="392"/>
      <c r="O79" s="180"/>
    </row>
    <row r="80" spans="1:20" ht="17.399999999999999" customHeight="1">
      <c r="A80" s="11" t="s">
        <v>59</v>
      </c>
      <c r="B80" s="8"/>
      <c r="C80" s="8"/>
      <c r="D80" s="8"/>
      <c r="E80" s="8"/>
      <c r="F80" s="299" t="s">
        <v>30</v>
      </c>
      <c r="G80" s="299"/>
      <c r="H80" s="299"/>
      <c r="I80" s="299"/>
      <c r="J80" s="299"/>
      <c r="K80" s="299"/>
      <c r="L80" s="299"/>
      <c r="M80" s="299"/>
      <c r="N80" s="299"/>
      <c r="O80" s="175"/>
      <c r="P80" s="175"/>
      <c r="T80" s="2"/>
    </row>
    <row r="81" spans="1:20" ht="8.4" customHeight="1">
      <c r="A81" s="8"/>
      <c r="B81" s="8"/>
      <c r="C81" s="8"/>
      <c r="D81" s="8"/>
      <c r="E81" s="8"/>
      <c r="F81" s="181"/>
      <c r="G81" s="181"/>
      <c r="H81" s="181"/>
      <c r="I81" s="181"/>
      <c r="J81" s="181"/>
      <c r="K81" s="181"/>
      <c r="L81" s="181"/>
      <c r="M81" s="181"/>
      <c r="N81" s="181"/>
      <c r="O81" s="175"/>
      <c r="P81" s="175"/>
      <c r="T81" s="2"/>
    </row>
    <row r="82" spans="1:20" ht="17.399999999999999" customHeight="1">
      <c r="A82" s="8" t="s">
        <v>191</v>
      </c>
      <c r="B82" s="8"/>
      <c r="C82" s="8"/>
      <c r="D82" s="8"/>
      <c r="E82" s="8"/>
      <c r="F82" s="181"/>
      <c r="G82" s="181"/>
      <c r="H82" s="181"/>
      <c r="I82" s="181"/>
      <c r="J82" s="181"/>
      <c r="K82" s="181"/>
      <c r="L82" s="181"/>
      <c r="M82" s="181"/>
      <c r="N82" s="181"/>
      <c r="O82" s="175"/>
      <c r="P82" s="175"/>
      <c r="T82" s="2"/>
    </row>
    <row r="83" spans="1:20" s="2" customFormat="1" ht="7.8" customHeight="1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76"/>
    </row>
    <row r="84" spans="1:20" s="2" customFormat="1" ht="16.2" customHeight="1">
      <c r="A84" s="200" t="s">
        <v>85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176"/>
    </row>
    <row r="85" spans="1:20" s="2" customFormat="1" ht="16.2" customHeight="1">
      <c r="A85" s="203" t="s">
        <v>93</v>
      </c>
      <c r="B85" s="203"/>
      <c r="C85" s="203"/>
      <c r="D85" s="203"/>
      <c r="E85" s="203" t="s">
        <v>86</v>
      </c>
      <c r="F85" s="203"/>
      <c r="G85" s="203"/>
      <c r="H85" s="203"/>
      <c r="I85" s="203"/>
      <c r="J85" s="203"/>
      <c r="K85" s="203"/>
      <c r="L85" s="203"/>
      <c r="M85" s="203"/>
      <c r="N85" s="203"/>
      <c r="O85" s="176"/>
    </row>
    <row r="86" spans="1:20" s="2" customFormat="1" ht="16.2" customHeight="1">
      <c r="A86" s="203"/>
      <c r="B86" s="203"/>
      <c r="C86" s="203"/>
      <c r="D86" s="203"/>
      <c r="E86" s="203" t="s">
        <v>96</v>
      </c>
      <c r="F86" s="203"/>
      <c r="G86" s="203"/>
      <c r="H86" s="203"/>
      <c r="I86" s="203"/>
      <c r="J86" s="203" t="s">
        <v>97</v>
      </c>
      <c r="K86" s="203"/>
      <c r="L86" s="203"/>
      <c r="M86" s="203"/>
      <c r="N86" s="203"/>
      <c r="O86" s="176"/>
    </row>
    <row r="87" spans="1:20" s="2" customFormat="1" ht="17.399999999999999" customHeight="1">
      <c r="A87" s="204" t="s">
        <v>87</v>
      </c>
      <c r="B87" s="204"/>
      <c r="C87" s="204"/>
      <c r="D87" s="204"/>
      <c r="E87" s="207" t="s">
        <v>138</v>
      </c>
      <c r="F87" s="207"/>
      <c r="G87" s="207"/>
      <c r="H87" s="207"/>
      <c r="I87" s="207"/>
      <c r="J87" s="204" t="s">
        <v>87</v>
      </c>
      <c r="K87" s="204"/>
      <c r="L87" s="204"/>
      <c r="M87" s="204"/>
      <c r="N87" s="204"/>
      <c r="O87" s="176"/>
    </row>
    <row r="88" spans="1:20" s="2" customFormat="1" ht="17.399999999999999" customHeight="1">
      <c r="A88" s="205" t="s">
        <v>179</v>
      </c>
      <c r="B88" s="205"/>
      <c r="C88" s="205"/>
      <c r="D88" s="205"/>
      <c r="E88" s="207"/>
      <c r="F88" s="207"/>
      <c r="G88" s="207"/>
      <c r="H88" s="207"/>
      <c r="I88" s="207"/>
      <c r="J88" s="205" t="s">
        <v>108</v>
      </c>
      <c r="K88" s="205"/>
      <c r="L88" s="205"/>
      <c r="M88" s="205"/>
      <c r="N88" s="205"/>
      <c r="O88" s="176"/>
    </row>
    <row r="89" spans="1:20" s="2" customFormat="1" ht="17.399999999999999" customHeight="1">
      <c r="A89" s="240" t="s">
        <v>142</v>
      </c>
      <c r="B89" s="241"/>
      <c r="C89" s="241"/>
      <c r="D89" s="242"/>
      <c r="E89" s="207"/>
      <c r="F89" s="207"/>
      <c r="G89" s="207"/>
      <c r="H89" s="207"/>
      <c r="I89" s="207"/>
      <c r="J89" s="205" t="s">
        <v>150</v>
      </c>
      <c r="K89" s="205"/>
      <c r="L89" s="205"/>
      <c r="M89" s="205"/>
      <c r="N89" s="205"/>
      <c r="O89" s="176"/>
    </row>
    <row r="90" spans="1:20" s="2" customFormat="1" ht="17.399999999999999" customHeight="1">
      <c r="A90" s="206" t="s">
        <v>180</v>
      </c>
      <c r="B90" s="206"/>
      <c r="C90" s="206"/>
      <c r="D90" s="206"/>
      <c r="E90" s="207"/>
      <c r="F90" s="207"/>
      <c r="G90" s="207"/>
      <c r="H90" s="207"/>
      <c r="I90" s="207"/>
      <c r="J90" s="206"/>
      <c r="K90" s="206"/>
      <c r="L90" s="206"/>
      <c r="M90" s="206"/>
      <c r="N90" s="206"/>
      <c r="O90" s="176"/>
    </row>
    <row r="91" spans="1:20" s="2" customFormat="1" ht="17.399999999999999" customHeight="1">
      <c r="A91" s="237" t="s">
        <v>118</v>
      </c>
      <c r="B91" s="238"/>
      <c r="C91" s="239"/>
      <c r="D91" s="125">
        <v>52</v>
      </c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176"/>
    </row>
    <row r="92" spans="1:20" ht="17.399999999999999" customHeight="1">
      <c r="A92" s="217" t="s">
        <v>0</v>
      </c>
      <c r="B92" s="220" t="s">
        <v>18</v>
      </c>
      <c r="C92" s="223" t="s">
        <v>7</v>
      </c>
      <c r="D92" s="223" t="s">
        <v>8</v>
      </c>
      <c r="E92" s="226" t="s">
        <v>10</v>
      </c>
      <c r="F92" s="227"/>
      <c r="G92" s="226" t="s">
        <v>41</v>
      </c>
      <c r="H92" s="227"/>
      <c r="I92" s="230" t="s">
        <v>15</v>
      </c>
      <c r="J92" s="230" t="s">
        <v>39</v>
      </c>
      <c r="K92" s="230" t="s">
        <v>40</v>
      </c>
      <c r="L92" s="230" t="s">
        <v>16</v>
      </c>
      <c r="M92" s="230" t="s">
        <v>38</v>
      </c>
      <c r="N92" s="217" t="s">
        <v>17</v>
      </c>
      <c r="O92" s="177"/>
    </row>
    <row r="93" spans="1:20" ht="17.399999999999999" customHeight="1">
      <c r="A93" s="218"/>
      <c r="B93" s="221"/>
      <c r="C93" s="224"/>
      <c r="D93" s="224"/>
      <c r="E93" s="228"/>
      <c r="F93" s="229"/>
      <c r="G93" s="228"/>
      <c r="H93" s="229"/>
      <c r="I93" s="231"/>
      <c r="J93" s="231"/>
      <c r="K93" s="231"/>
      <c r="L93" s="231"/>
      <c r="M93" s="231"/>
      <c r="N93" s="218"/>
      <c r="O93" s="184"/>
    </row>
    <row r="94" spans="1:20" ht="17.399999999999999" customHeight="1">
      <c r="A94" s="218"/>
      <c r="B94" s="221"/>
      <c r="C94" s="224"/>
      <c r="D94" s="224"/>
      <c r="E94" s="230" t="s">
        <v>9</v>
      </c>
      <c r="F94" s="230" t="s">
        <v>11</v>
      </c>
      <c r="G94" s="230" t="s">
        <v>13</v>
      </c>
      <c r="H94" s="230" t="s">
        <v>14</v>
      </c>
      <c r="I94" s="231"/>
      <c r="J94" s="231"/>
      <c r="K94" s="231"/>
      <c r="L94" s="231"/>
      <c r="M94" s="231"/>
      <c r="N94" s="218"/>
      <c r="O94" s="184"/>
    </row>
    <row r="95" spans="1:20" ht="17.399999999999999" customHeight="1">
      <c r="A95" s="219"/>
      <c r="B95" s="222"/>
      <c r="C95" s="225"/>
      <c r="D95" s="225"/>
      <c r="E95" s="232"/>
      <c r="F95" s="232"/>
      <c r="G95" s="232"/>
      <c r="H95" s="232"/>
      <c r="I95" s="232"/>
      <c r="J95" s="232"/>
      <c r="K95" s="232"/>
      <c r="L95" s="232"/>
      <c r="M95" s="232"/>
      <c r="N95" s="219"/>
      <c r="O95" s="184"/>
    </row>
    <row r="96" spans="1:20" ht="17.399999999999999" customHeight="1">
      <c r="A96" s="246" t="s">
        <v>37</v>
      </c>
      <c r="B96" s="247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8"/>
      <c r="O96" s="184"/>
    </row>
    <row r="97" spans="1:22" s="2" customFormat="1" ht="17.399999999999999" customHeight="1">
      <c r="A97" s="15">
        <v>1</v>
      </c>
      <c r="B97" s="16" t="s">
        <v>2</v>
      </c>
      <c r="C97" s="51">
        <f>L97/100*100</f>
        <v>70</v>
      </c>
      <c r="D97" s="52">
        <f>C97/100*60</f>
        <v>42</v>
      </c>
      <c r="E97" s="53">
        <f>C97/100*15</f>
        <v>10.5</v>
      </c>
      <c r="F97" s="53"/>
      <c r="G97" s="53"/>
      <c r="H97" s="53"/>
      <c r="I97" s="53"/>
      <c r="J97" s="25">
        <f>C97/100*387</f>
        <v>270.89999999999998</v>
      </c>
      <c r="K97" s="25">
        <f>C97/100*0.09</f>
        <v>6.3E-2</v>
      </c>
      <c r="L97" s="416">
        <v>70</v>
      </c>
      <c r="M97" s="77">
        <v>20</v>
      </c>
      <c r="N97" s="28">
        <f t="shared" ref="N97:N106" si="5">L97*M97</f>
        <v>1400</v>
      </c>
      <c r="O97" s="153"/>
    </row>
    <row r="98" spans="1:22" s="2" customFormat="1" ht="17.399999999999999" customHeight="1">
      <c r="A98" s="9">
        <v>2</v>
      </c>
      <c r="B98" s="10" t="s">
        <v>134</v>
      </c>
      <c r="C98" s="23">
        <f>L98/100*100</f>
        <v>459.99999999999994</v>
      </c>
      <c r="D98" s="24">
        <f>C98/100*899</f>
        <v>4135.3999999999996</v>
      </c>
      <c r="E98" s="25"/>
      <c r="F98" s="25"/>
      <c r="G98" s="25">
        <f>C98/100*100</f>
        <v>459.99999999999994</v>
      </c>
      <c r="H98" s="25"/>
      <c r="I98" s="25"/>
      <c r="J98" s="25"/>
      <c r="K98" s="25"/>
      <c r="L98" s="137">
        <v>460</v>
      </c>
      <c r="M98" s="24">
        <v>69</v>
      </c>
      <c r="N98" s="28">
        <f t="shared" si="5"/>
        <v>31740</v>
      </c>
      <c r="O98" s="179"/>
    </row>
    <row r="99" spans="1:22" s="2" customFormat="1" ht="17.399999999999999" customHeight="1">
      <c r="A99" s="9">
        <v>3</v>
      </c>
      <c r="B99" s="5" t="s">
        <v>1</v>
      </c>
      <c r="C99" s="23">
        <f>L99/100*100</f>
        <v>2236</v>
      </c>
      <c r="D99" s="24">
        <f>C99/100*344</f>
        <v>7691.84</v>
      </c>
      <c r="E99" s="25"/>
      <c r="F99" s="25">
        <f>C99/100*7.9</f>
        <v>176.64400000000001</v>
      </c>
      <c r="G99" s="25"/>
      <c r="H99" s="25">
        <f>C99/100*1</f>
        <v>22.36</v>
      </c>
      <c r="I99" s="119">
        <f>C99/100*72</f>
        <v>1609.92</v>
      </c>
      <c r="J99" s="25">
        <f>C99/100*30</f>
        <v>670.8</v>
      </c>
      <c r="K99" s="25">
        <f>C99/100*0.1</f>
        <v>2.2360000000000002</v>
      </c>
      <c r="L99" s="137">
        <v>2236</v>
      </c>
      <c r="M99" s="77">
        <v>18</v>
      </c>
      <c r="N99" s="28">
        <f t="shared" si="5"/>
        <v>40248</v>
      </c>
      <c r="O99" s="153"/>
    </row>
    <row r="100" spans="1:22" s="2" customFormat="1" ht="17.399999999999999" customHeight="1">
      <c r="A100" s="9">
        <v>4</v>
      </c>
      <c r="B100" s="10" t="s">
        <v>158</v>
      </c>
      <c r="C100" s="23">
        <f>L100/100*100</f>
        <v>40</v>
      </c>
      <c r="D100" s="24">
        <f>C100/100*390</f>
        <v>156</v>
      </c>
      <c r="E100" s="25"/>
      <c r="F100" s="25"/>
      <c r="G100" s="25"/>
      <c r="H100" s="25"/>
      <c r="I100" s="25">
        <f>C100/100*97.4</f>
        <v>38.960000000000008</v>
      </c>
      <c r="J100" s="27">
        <f>C100/100*178</f>
        <v>71.2</v>
      </c>
      <c r="K100" s="27">
        <f>C100/100*0.05</f>
        <v>2.0000000000000004E-2</v>
      </c>
      <c r="L100" s="137">
        <v>40</v>
      </c>
      <c r="M100" s="75">
        <v>25</v>
      </c>
      <c r="N100" s="28">
        <f t="shared" si="5"/>
        <v>1000</v>
      </c>
      <c r="O100" s="178"/>
    </row>
    <row r="101" spans="1:22" s="2" customFormat="1" ht="17.399999999999999" customHeight="1">
      <c r="A101" s="9">
        <v>5</v>
      </c>
      <c r="B101" s="10" t="s">
        <v>144</v>
      </c>
      <c r="C101" s="23">
        <f>L101/100*60</f>
        <v>1872</v>
      </c>
      <c r="D101" s="24">
        <f>C101/100*97</f>
        <v>1815.84</v>
      </c>
      <c r="E101" s="119">
        <f>C101/100*18.2</f>
        <v>340.70399999999995</v>
      </c>
      <c r="F101" s="25"/>
      <c r="G101" s="25">
        <f>C101/100*2.7</f>
        <v>50.543999999999997</v>
      </c>
      <c r="H101" s="25"/>
      <c r="I101" s="25"/>
      <c r="J101" s="81">
        <f>C101/100*90</f>
        <v>1684.8</v>
      </c>
      <c r="K101" s="27">
        <f>C101/100*0.04</f>
        <v>0.74880000000000002</v>
      </c>
      <c r="L101" s="137">
        <v>3120</v>
      </c>
      <c r="M101" s="75">
        <v>95</v>
      </c>
      <c r="N101" s="28">
        <f t="shared" si="5"/>
        <v>296400</v>
      </c>
      <c r="O101" s="153"/>
    </row>
    <row r="102" spans="1:22" s="2" customFormat="1" ht="17.399999999999999" customHeight="1">
      <c r="A102" s="9">
        <v>6</v>
      </c>
      <c r="B102" s="5" t="s">
        <v>67</v>
      </c>
      <c r="C102" s="23">
        <f>L102/100*48</f>
        <v>379.20000000000005</v>
      </c>
      <c r="D102" s="24">
        <f>C102/100*199</f>
        <v>754.60800000000006</v>
      </c>
      <c r="E102" s="25">
        <f>C102/100*20.3</f>
        <v>76.97760000000001</v>
      </c>
      <c r="F102" s="25"/>
      <c r="G102" s="25">
        <f>C102/100*13.1</f>
        <v>49.675200000000004</v>
      </c>
      <c r="H102" s="25"/>
      <c r="I102" s="25"/>
      <c r="J102" s="27">
        <f>C102/100*12</f>
        <v>45.504000000000005</v>
      </c>
      <c r="K102" s="27">
        <f>C102/100*0.15</f>
        <v>0.56879999999999997</v>
      </c>
      <c r="L102" s="137">
        <v>790</v>
      </c>
      <c r="M102" s="26">
        <v>84</v>
      </c>
      <c r="N102" s="28">
        <f t="shared" si="5"/>
        <v>66360</v>
      </c>
      <c r="O102" s="153"/>
      <c r="Q102" s="3"/>
      <c r="R102" s="3"/>
      <c r="S102" s="4"/>
    </row>
    <row r="103" spans="1:22" s="2" customFormat="1" ht="17.399999999999999" customHeight="1">
      <c r="A103" s="9">
        <v>7</v>
      </c>
      <c r="B103" s="5" t="s">
        <v>3</v>
      </c>
      <c r="C103" s="23">
        <f>L103/100*98</f>
        <v>509.6</v>
      </c>
      <c r="D103" s="24">
        <f>C103/100*118</f>
        <v>601.32799999999997</v>
      </c>
      <c r="E103" s="25">
        <f>C103/100*21</f>
        <v>107.01600000000001</v>
      </c>
      <c r="F103" s="25"/>
      <c r="G103" s="25">
        <f>C103/100*3.8</f>
        <v>19.364799999999999</v>
      </c>
      <c r="H103" s="25"/>
      <c r="I103" s="25"/>
      <c r="J103" s="27">
        <f>C103/100*12</f>
        <v>61.152000000000001</v>
      </c>
      <c r="K103" s="27">
        <f>C103/100*0.1</f>
        <v>0.50960000000000005</v>
      </c>
      <c r="L103" s="137">
        <v>520</v>
      </c>
      <c r="M103" s="26">
        <v>270</v>
      </c>
      <c r="N103" s="124">
        <f t="shared" si="5"/>
        <v>140400</v>
      </c>
      <c r="O103" s="153"/>
      <c r="Q103" s="3"/>
      <c r="R103" s="3"/>
      <c r="S103" s="4"/>
    </row>
    <row r="104" spans="1:22" s="2" customFormat="1" ht="17.399999999999999" customHeight="1">
      <c r="A104" s="9">
        <v>8</v>
      </c>
      <c r="B104" s="5" t="s">
        <v>182</v>
      </c>
      <c r="C104" s="23">
        <f>L104/100*81</f>
        <v>1263.5999999999999</v>
      </c>
      <c r="D104" s="24">
        <f>C104/100*17</f>
        <v>214.81199999999998</v>
      </c>
      <c r="E104" s="25"/>
      <c r="F104" s="25">
        <f>C104/100*0.9</f>
        <v>11.372399999999999</v>
      </c>
      <c r="G104" s="25"/>
      <c r="H104" s="25">
        <f>C104/100*0.2</f>
        <v>2.5272000000000001</v>
      </c>
      <c r="I104" s="25">
        <f>C104/100*2.8</f>
        <v>35.380799999999994</v>
      </c>
      <c r="J104" s="81">
        <f>C104/100*28</f>
        <v>353.80799999999999</v>
      </c>
      <c r="K104" s="27">
        <f>C104/100*0.04</f>
        <v>0.50544</v>
      </c>
      <c r="L104" s="137">
        <v>1560</v>
      </c>
      <c r="M104" s="26">
        <v>25</v>
      </c>
      <c r="N104" s="135">
        <f t="shared" si="5"/>
        <v>39000</v>
      </c>
      <c r="O104" s="153"/>
    </row>
    <row r="105" spans="1:22" s="2" customFormat="1" ht="17.399999999999999" customHeight="1">
      <c r="A105" s="9">
        <v>9</v>
      </c>
      <c r="B105" s="5" t="s">
        <v>143</v>
      </c>
      <c r="C105" s="23">
        <f>L105/100*81</f>
        <v>842.4</v>
      </c>
      <c r="D105" s="24">
        <f>C105/100*17</f>
        <v>143.208</v>
      </c>
      <c r="E105" s="29"/>
      <c r="F105" s="29">
        <f>C105/100*0.9</f>
        <v>7.5815999999999999</v>
      </c>
      <c r="G105" s="29"/>
      <c r="H105" s="29">
        <f>C105/100*0.2</f>
        <v>1.6848000000000001</v>
      </c>
      <c r="I105" s="29">
        <f>C105/100*2.8</f>
        <v>23.587199999999996</v>
      </c>
      <c r="J105" s="25">
        <f>C105/100*28</f>
        <v>235.87199999999999</v>
      </c>
      <c r="K105" s="27">
        <f>C105/100*0.04</f>
        <v>0.33695999999999998</v>
      </c>
      <c r="L105" s="383">
        <v>1040</v>
      </c>
      <c r="M105" s="75">
        <v>20</v>
      </c>
      <c r="N105" s="28">
        <f t="shared" si="5"/>
        <v>20800</v>
      </c>
      <c r="O105" s="153"/>
      <c r="P105" s="3"/>
    </row>
    <row r="106" spans="1:22" s="2" customFormat="1" ht="17.399999999999999" customHeight="1">
      <c r="A106" s="9">
        <v>10</v>
      </c>
      <c r="B106" s="5" t="s">
        <v>129</v>
      </c>
      <c r="C106" s="23">
        <f>L106/100*100</f>
        <v>40</v>
      </c>
      <c r="D106" s="24">
        <f>C106/100*247</f>
        <v>98.800000000000011</v>
      </c>
      <c r="E106" s="29"/>
      <c r="F106" s="29">
        <f>C106/100*17.5</f>
        <v>7</v>
      </c>
      <c r="G106" s="29"/>
      <c r="H106" s="29">
        <f>C106/100*1.6</f>
        <v>0.64000000000000012</v>
      </c>
      <c r="I106" s="29">
        <f>C106/100*39.2</f>
        <v>15.680000000000001</v>
      </c>
      <c r="J106" s="71"/>
      <c r="K106" s="71"/>
      <c r="L106" s="383">
        <v>40</v>
      </c>
      <c r="M106" s="75">
        <v>50</v>
      </c>
      <c r="N106" s="28">
        <f t="shared" si="5"/>
        <v>2000</v>
      </c>
      <c r="O106" s="153"/>
      <c r="Q106" s="3"/>
      <c r="R106" s="3"/>
      <c r="S106" s="4"/>
      <c r="T106" s="3"/>
    </row>
    <row r="107" spans="1:22" s="2" customFormat="1" ht="17.399999999999999" customHeight="1">
      <c r="A107" s="9">
        <v>11</v>
      </c>
      <c r="B107" s="6" t="s">
        <v>119</v>
      </c>
      <c r="C107" s="23"/>
      <c r="D107" s="24"/>
      <c r="E107" s="29"/>
      <c r="F107" s="29"/>
      <c r="G107" s="29"/>
      <c r="H107" s="29"/>
      <c r="I107" s="29"/>
      <c r="J107" s="29"/>
      <c r="K107" s="29"/>
      <c r="L107" s="30"/>
      <c r="M107" s="77"/>
      <c r="N107" s="28">
        <v>3440</v>
      </c>
      <c r="O107" s="153"/>
    </row>
    <row r="108" spans="1:22" s="2" customFormat="1" ht="17.399999999999999" customHeight="1">
      <c r="A108" s="245" t="s">
        <v>104</v>
      </c>
      <c r="B108" s="245"/>
      <c r="C108" s="34"/>
      <c r="D108" s="35">
        <f>SUM(D97:D107)</f>
        <v>15653.835999999999</v>
      </c>
      <c r="E108" s="43"/>
      <c r="F108" s="43"/>
      <c r="G108" s="43"/>
      <c r="H108" s="43"/>
      <c r="I108" s="43"/>
      <c r="J108" s="43"/>
      <c r="K108" s="43"/>
      <c r="L108" s="44"/>
      <c r="M108" s="44"/>
      <c r="N108" s="201">
        <f>SUM(N97:N107)</f>
        <v>642788</v>
      </c>
      <c r="O108" s="153"/>
    </row>
    <row r="109" spans="1:22" ht="17.399999999999999" customHeight="1">
      <c r="A109" s="245" t="s">
        <v>35</v>
      </c>
      <c r="B109" s="245"/>
      <c r="C109" s="45"/>
      <c r="D109" s="46">
        <f>D108/D91</f>
        <v>301.0353076923077</v>
      </c>
      <c r="E109" s="46"/>
      <c r="F109" s="46"/>
      <c r="G109" s="46"/>
      <c r="H109" s="46"/>
      <c r="I109" s="46"/>
      <c r="J109" s="46"/>
      <c r="K109" s="46"/>
      <c r="L109" s="47"/>
      <c r="M109" s="47"/>
      <c r="N109" s="202"/>
      <c r="O109" s="4"/>
      <c r="P109" s="2"/>
      <c r="Q109" s="2"/>
      <c r="R109" s="2"/>
      <c r="S109" s="2"/>
      <c r="T109" s="2"/>
      <c r="U109" s="2"/>
      <c r="V109" s="2"/>
    </row>
    <row r="110" spans="1:22" ht="17.399999999999999" customHeight="1">
      <c r="A110" s="233" t="s">
        <v>42</v>
      </c>
      <c r="B110" s="234"/>
      <c r="C110" s="384" t="s">
        <v>141</v>
      </c>
      <c r="D110" s="20" t="s">
        <v>43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85"/>
      <c r="O110" s="4"/>
      <c r="P110" s="2"/>
      <c r="Q110" s="2"/>
      <c r="R110" s="2"/>
      <c r="S110" s="2"/>
      <c r="T110" s="2"/>
      <c r="U110" s="2"/>
      <c r="V110" s="2"/>
    </row>
    <row r="111" spans="1:22" ht="17.399999999999999" customHeight="1">
      <c r="A111" s="235"/>
      <c r="B111" s="236"/>
      <c r="C111" s="19" t="s">
        <v>57</v>
      </c>
      <c r="D111" s="78">
        <f>D109*100/930</f>
        <v>32.36938792390405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85"/>
      <c r="O111" s="4"/>
      <c r="P111" s="2"/>
      <c r="Q111" s="2"/>
      <c r="R111" s="2"/>
      <c r="S111" s="2"/>
      <c r="T111" s="2"/>
      <c r="U111" s="2"/>
      <c r="V111" s="2"/>
    </row>
    <row r="112" spans="1:22" s="2" customFormat="1" ht="17.399999999999999" customHeight="1">
      <c r="A112" s="244" t="s">
        <v>36</v>
      </c>
      <c r="B112" s="244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2" s="2" customFormat="1" ht="17.399999999999999" customHeight="1">
      <c r="A113" s="15">
        <v>1</v>
      </c>
      <c r="B113" s="16" t="s">
        <v>2</v>
      </c>
      <c r="C113" s="51">
        <f>L113/100*100</f>
        <v>60</v>
      </c>
      <c r="D113" s="52">
        <f>C113/100*60</f>
        <v>36</v>
      </c>
      <c r="E113" s="53">
        <f>C113/100*15</f>
        <v>9</v>
      </c>
      <c r="F113" s="53"/>
      <c r="G113" s="53"/>
      <c r="H113" s="53"/>
      <c r="I113" s="53"/>
      <c r="J113" s="25">
        <f>C113/100*387</f>
        <v>232.2</v>
      </c>
      <c r="K113" s="25">
        <f>C113/100*0.09</f>
        <v>5.3999999999999999E-2</v>
      </c>
      <c r="L113" s="416">
        <v>60</v>
      </c>
      <c r="M113" s="77">
        <v>20</v>
      </c>
      <c r="N113" s="28">
        <f>L113*M113</f>
        <v>1200</v>
      </c>
      <c r="O113" s="153"/>
    </row>
    <row r="114" spans="1:22" s="2" customFormat="1" ht="17.399999999999999" customHeight="1">
      <c r="A114" s="9">
        <v>2</v>
      </c>
      <c r="B114" s="148" t="s">
        <v>136</v>
      </c>
      <c r="C114" s="23">
        <f>L114/100*100</f>
        <v>80</v>
      </c>
      <c r="D114" s="120">
        <f>C114/100*900</f>
        <v>720</v>
      </c>
      <c r="E114" s="25"/>
      <c r="F114" s="25"/>
      <c r="G114" s="119"/>
      <c r="H114" s="25">
        <f>C114/100*100</f>
        <v>80</v>
      </c>
      <c r="I114" s="25"/>
      <c r="J114" s="25"/>
      <c r="K114" s="25"/>
      <c r="L114" s="137">
        <v>80</v>
      </c>
      <c r="M114" s="75">
        <v>65</v>
      </c>
      <c r="N114" s="28">
        <f t="shared" ref="N114" si="6">L114*M114</f>
        <v>5200</v>
      </c>
      <c r="O114" s="179"/>
    </row>
    <row r="115" spans="1:22" s="2" customFormat="1" ht="17.399999999999999" customHeight="1">
      <c r="A115" s="9">
        <v>3</v>
      </c>
      <c r="B115" s="5" t="s">
        <v>1</v>
      </c>
      <c r="C115" s="23">
        <f>L115/100*100</f>
        <v>2184</v>
      </c>
      <c r="D115" s="24">
        <f>C115/100*344</f>
        <v>7512.96</v>
      </c>
      <c r="E115" s="25"/>
      <c r="F115" s="25">
        <f>C115/100*7.9</f>
        <v>172.536</v>
      </c>
      <c r="G115" s="25"/>
      <c r="H115" s="25">
        <f>C115/100*1</f>
        <v>21.84</v>
      </c>
      <c r="I115" s="119">
        <f>C115/100*72</f>
        <v>1572.48</v>
      </c>
      <c r="J115" s="25">
        <f>C115/100*30</f>
        <v>655.20000000000005</v>
      </c>
      <c r="K115" s="25">
        <f>C115/100*0.1</f>
        <v>2.1840000000000002</v>
      </c>
      <c r="L115" s="137">
        <v>2184</v>
      </c>
      <c r="M115" s="77">
        <v>18</v>
      </c>
      <c r="N115" s="28">
        <f t="shared" ref="N115:N121" si="7">L115*M115</f>
        <v>39312</v>
      </c>
      <c r="O115" s="153"/>
    </row>
    <row r="116" spans="1:22" s="2" customFormat="1" ht="17.399999999999999" customHeight="1">
      <c r="A116" s="9">
        <v>4</v>
      </c>
      <c r="B116" s="5" t="s">
        <v>129</v>
      </c>
      <c r="C116" s="23">
        <f>L116/100*100</f>
        <v>40</v>
      </c>
      <c r="D116" s="24">
        <f>C116/100*247</f>
        <v>98.800000000000011</v>
      </c>
      <c r="E116" s="29"/>
      <c r="F116" s="29">
        <f>C116/100*17.5</f>
        <v>7</v>
      </c>
      <c r="G116" s="29"/>
      <c r="H116" s="29">
        <f>C116/100*1.6</f>
        <v>0.64000000000000012</v>
      </c>
      <c r="I116" s="29">
        <f>C116/100*39.2</f>
        <v>15.680000000000001</v>
      </c>
      <c r="J116" s="71"/>
      <c r="K116" s="71"/>
      <c r="L116" s="383">
        <v>40</v>
      </c>
      <c r="M116" s="75">
        <v>50</v>
      </c>
      <c r="N116" s="28">
        <f t="shared" si="7"/>
        <v>2000</v>
      </c>
      <c r="O116" s="153"/>
      <c r="Q116" s="3"/>
      <c r="R116" s="3"/>
      <c r="S116" s="4"/>
      <c r="T116" s="3"/>
    </row>
    <row r="117" spans="1:22" s="2" customFormat="1" ht="17.399999999999999" customHeight="1">
      <c r="A117" s="9">
        <v>5</v>
      </c>
      <c r="B117" s="10" t="s">
        <v>4</v>
      </c>
      <c r="C117" s="23">
        <f>L117/100*90</f>
        <v>72</v>
      </c>
      <c r="D117" s="24">
        <f>C117/100*281</f>
        <v>202.32</v>
      </c>
      <c r="E117" s="25"/>
      <c r="F117" s="25">
        <f>C117/100*9.5</f>
        <v>6.84</v>
      </c>
      <c r="G117" s="25"/>
      <c r="H117" s="25">
        <f>C117/100*0.2</f>
        <v>0.14399999999999999</v>
      </c>
      <c r="I117" s="25">
        <f>D117/100*58.5</f>
        <v>118.35720000000001</v>
      </c>
      <c r="J117" s="27">
        <f>C117/100*321</f>
        <v>231.12</v>
      </c>
      <c r="K117" s="27">
        <f>C117/100*0.14</f>
        <v>0.1008</v>
      </c>
      <c r="L117" s="137">
        <v>80</v>
      </c>
      <c r="M117" s="77">
        <v>120</v>
      </c>
      <c r="N117" s="28">
        <f t="shared" si="7"/>
        <v>9600</v>
      </c>
      <c r="O117" s="178"/>
    </row>
    <row r="118" spans="1:22" s="2" customFormat="1" ht="17.399999999999999" customHeight="1">
      <c r="A118" s="9">
        <v>6</v>
      </c>
      <c r="B118" s="10" t="s">
        <v>25</v>
      </c>
      <c r="C118" s="23">
        <f>L118/100*90</f>
        <v>54</v>
      </c>
      <c r="D118" s="24">
        <f>C118/100*253</f>
        <v>136.62</v>
      </c>
      <c r="E118" s="25"/>
      <c r="F118" s="25">
        <f>C118/100*32.4</f>
        <v>17.495999999999999</v>
      </c>
      <c r="G118" s="25"/>
      <c r="H118" s="25">
        <f>C118/100*3.6</f>
        <v>1.9440000000000002</v>
      </c>
      <c r="I118" s="25">
        <f>C118/100*21.1</f>
        <v>11.394000000000002</v>
      </c>
      <c r="J118" s="27">
        <f>C118/100*165</f>
        <v>89.100000000000009</v>
      </c>
      <c r="K118" s="27">
        <f>C118/100*0.14</f>
        <v>7.5600000000000014E-2</v>
      </c>
      <c r="L118" s="137">
        <v>60</v>
      </c>
      <c r="M118" s="77">
        <v>275</v>
      </c>
      <c r="N118" s="28">
        <f t="shared" si="7"/>
        <v>16500</v>
      </c>
      <c r="O118" s="178"/>
    </row>
    <row r="119" spans="1:22" s="2" customFormat="1" ht="17.399999999999999" customHeight="1">
      <c r="A119" s="9">
        <v>7</v>
      </c>
      <c r="B119" s="10" t="s">
        <v>61</v>
      </c>
      <c r="C119" s="23">
        <f>L119/100*86</f>
        <v>1573.8</v>
      </c>
      <c r="D119" s="24">
        <f>C119/100*166</f>
        <v>2612.5079999999998</v>
      </c>
      <c r="E119" s="25">
        <f>C119/100*14.8</f>
        <v>232.92240000000001</v>
      </c>
      <c r="F119" s="25"/>
      <c r="G119" s="25">
        <f>C119/100*11.6</f>
        <v>182.5608</v>
      </c>
      <c r="H119" s="25"/>
      <c r="I119" s="25">
        <f>C119/100*0.5</f>
        <v>7.8689999999999998</v>
      </c>
      <c r="J119" s="25">
        <f>C119/100*55</f>
        <v>865.58999999999992</v>
      </c>
      <c r="K119" s="25">
        <f>C119/100*0.16</f>
        <v>2.5180799999999999</v>
      </c>
      <c r="L119" s="137">
        <v>1830</v>
      </c>
      <c r="M119" s="77">
        <v>57</v>
      </c>
      <c r="N119" s="28">
        <f t="shared" si="7"/>
        <v>104310</v>
      </c>
      <c r="O119" s="153"/>
      <c r="Q119" s="3"/>
      <c r="R119" s="3"/>
      <c r="S119" s="4"/>
      <c r="T119" s="3"/>
    </row>
    <row r="120" spans="1:22" s="2" customFormat="1" ht="17.399999999999999" customHeight="1">
      <c r="A120" s="9">
        <v>8</v>
      </c>
      <c r="B120" s="148" t="s">
        <v>71</v>
      </c>
      <c r="C120" s="23">
        <f>L120/100*98</f>
        <v>372.4</v>
      </c>
      <c r="D120" s="24">
        <f>C120/100*139</f>
        <v>517.63599999999997</v>
      </c>
      <c r="E120" s="25">
        <f>C120/100*19</f>
        <v>70.756</v>
      </c>
      <c r="F120" s="25"/>
      <c r="G120" s="25">
        <f>C120/100*7</f>
        <v>26.067999999999998</v>
      </c>
      <c r="H120" s="25"/>
      <c r="I120" s="25"/>
      <c r="J120" s="25">
        <f>C120/100*7</f>
        <v>26.067999999999998</v>
      </c>
      <c r="K120" s="25">
        <f>C120/100*0.9</f>
        <v>3.3515999999999999</v>
      </c>
      <c r="L120" s="137">
        <v>380</v>
      </c>
      <c r="M120" s="75">
        <v>133</v>
      </c>
      <c r="N120" s="28">
        <f t="shared" si="7"/>
        <v>50540</v>
      </c>
      <c r="O120" s="153"/>
    </row>
    <row r="121" spans="1:22" s="2" customFormat="1" ht="17.399999999999999" customHeight="1">
      <c r="A121" s="9">
        <v>8</v>
      </c>
      <c r="B121" s="149" t="s">
        <v>99</v>
      </c>
      <c r="C121" s="23">
        <f>L121/100*87</f>
        <v>1313.7</v>
      </c>
      <c r="D121" s="24">
        <f>C121/100*14</f>
        <v>183.91800000000001</v>
      </c>
      <c r="E121" s="25"/>
      <c r="F121" s="25">
        <f>C121/100*1.9</f>
        <v>24.9603</v>
      </c>
      <c r="G121" s="25"/>
      <c r="H121" s="25"/>
      <c r="I121" s="25">
        <f>C121/100*1.6</f>
        <v>21.019200000000001</v>
      </c>
      <c r="J121" s="119">
        <f>C121/100*48.7</f>
        <v>639.77190000000007</v>
      </c>
      <c r="K121" s="25">
        <f>C121/100*0.03</f>
        <v>0.39411000000000002</v>
      </c>
      <c r="L121" s="26">
        <v>1510</v>
      </c>
      <c r="M121" s="75">
        <v>25</v>
      </c>
      <c r="N121" s="28">
        <f t="shared" si="7"/>
        <v>37750</v>
      </c>
      <c r="O121" s="153"/>
    </row>
    <row r="122" spans="1:22" s="2" customFormat="1" ht="17.399999999999999" customHeight="1">
      <c r="A122" s="9">
        <v>10</v>
      </c>
      <c r="B122" s="6" t="s">
        <v>119</v>
      </c>
      <c r="C122" s="23"/>
      <c r="D122" s="24"/>
      <c r="E122" s="25"/>
      <c r="F122" s="25"/>
      <c r="G122" s="25"/>
      <c r="H122" s="25"/>
      <c r="I122" s="25"/>
      <c r="J122" s="25"/>
      <c r="K122" s="25"/>
      <c r="L122" s="26"/>
      <c r="M122" s="26"/>
      <c r="N122" s="28">
        <v>3440</v>
      </c>
      <c r="O122" s="153"/>
    </row>
    <row r="123" spans="1:22" s="2" customFormat="1" ht="17.399999999999999" customHeight="1">
      <c r="A123" s="21" t="s">
        <v>105</v>
      </c>
      <c r="B123" s="22"/>
      <c r="C123" s="34"/>
      <c r="D123" s="35">
        <f>SUM(D113:D122)</f>
        <v>12020.761999999999</v>
      </c>
      <c r="E123" s="43"/>
      <c r="F123" s="43"/>
      <c r="G123" s="43"/>
      <c r="H123" s="43"/>
      <c r="I123" s="43"/>
      <c r="J123" s="43"/>
      <c r="K123" s="43"/>
      <c r="L123" s="44"/>
      <c r="M123" s="44"/>
      <c r="N123" s="201">
        <f>SUM(N113:N122)</f>
        <v>269852</v>
      </c>
      <c r="O123" s="153"/>
    </row>
    <row r="124" spans="1:22" ht="17.399999999999999" customHeight="1">
      <c r="A124" s="21" t="s">
        <v>34</v>
      </c>
      <c r="B124" s="22"/>
      <c r="C124" s="61"/>
      <c r="D124" s="48">
        <f>D123/D91</f>
        <v>231.16849999999997</v>
      </c>
      <c r="E124" s="48"/>
      <c r="F124" s="48"/>
      <c r="G124" s="48"/>
      <c r="H124" s="48"/>
      <c r="I124" s="48"/>
      <c r="J124" s="48"/>
      <c r="K124" s="48"/>
      <c r="L124" s="62"/>
      <c r="M124" s="47"/>
      <c r="N124" s="243"/>
      <c r="O124" s="4"/>
      <c r="P124" s="427"/>
      <c r="Q124" s="2"/>
      <c r="R124" s="2"/>
      <c r="S124" s="2"/>
      <c r="T124" s="2"/>
      <c r="U124" s="2"/>
      <c r="V124" s="2"/>
    </row>
    <row r="125" spans="1:22" ht="17.399999999999999" customHeight="1">
      <c r="A125" s="233" t="s">
        <v>47</v>
      </c>
      <c r="B125" s="234"/>
      <c r="C125" s="384" t="s">
        <v>141</v>
      </c>
      <c r="D125" s="20" t="s">
        <v>44</v>
      </c>
      <c r="E125" s="46"/>
      <c r="F125" s="46"/>
      <c r="G125" s="46"/>
      <c r="H125" s="46"/>
      <c r="I125" s="46"/>
      <c r="J125" s="48"/>
      <c r="K125" s="48"/>
      <c r="L125" s="47"/>
      <c r="M125" s="47"/>
      <c r="N125" s="185"/>
      <c r="O125" s="4"/>
      <c r="P125" s="2"/>
      <c r="Q125" s="2"/>
      <c r="R125" s="2"/>
      <c r="S125" s="2"/>
      <c r="T125" s="2"/>
      <c r="U125" s="2"/>
      <c r="V125" s="2"/>
    </row>
    <row r="126" spans="1:22" ht="17.399999999999999" customHeight="1">
      <c r="A126" s="235"/>
      <c r="B126" s="236"/>
      <c r="C126" s="19" t="s">
        <v>58</v>
      </c>
      <c r="D126" s="78">
        <f>D124*100/930</f>
        <v>24.856827956989243</v>
      </c>
      <c r="E126" s="46"/>
      <c r="F126" s="46"/>
      <c r="G126" s="46"/>
      <c r="H126" s="46"/>
      <c r="I126" s="46"/>
      <c r="J126" s="48"/>
      <c r="K126" s="48"/>
      <c r="L126" s="47"/>
      <c r="M126" s="47"/>
      <c r="N126" s="185"/>
      <c r="O126" s="4"/>
      <c r="P126" s="2"/>
      <c r="Q126" s="2"/>
      <c r="R126" s="2"/>
      <c r="S126" s="2"/>
      <c r="T126" s="2"/>
      <c r="U126" s="2"/>
      <c r="V126" s="2"/>
    </row>
    <row r="127" spans="1:22" ht="17.399999999999999" customHeight="1">
      <c r="A127" s="244" t="s">
        <v>33</v>
      </c>
      <c r="B127" s="244"/>
      <c r="C127" s="63"/>
      <c r="D127" s="64"/>
      <c r="E127" s="64"/>
      <c r="F127" s="64"/>
      <c r="G127" s="64"/>
      <c r="H127" s="64"/>
      <c r="I127" s="64"/>
      <c r="J127" s="64"/>
      <c r="K127" s="64"/>
      <c r="L127" s="65"/>
      <c r="M127" s="65"/>
      <c r="N127" s="66"/>
      <c r="O127" s="4"/>
      <c r="P127" s="2"/>
      <c r="Q127" s="2"/>
      <c r="R127" s="2"/>
      <c r="S127" s="2"/>
      <c r="T127" s="2"/>
      <c r="U127" s="2"/>
      <c r="V127" s="2"/>
    </row>
    <row r="128" spans="1:22" s="2" customFormat="1" ht="17.399999999999999" customHeight="1">
      <c r="A128" s="109">
        <v>1</v>
      </c>
      <c r="B128" s="154" t="s">
        <v>139</v>
      </c>
      <c r="C128" s="34">
        <f>L128/100*100</f>
        <v>890</v>
      </c>
      <c r="D128" s="110">
        <f>C128/100*487</f>
        <v>4334.3</v>
      </c>
      <c r="E128" s="36"/>
      <c r="F128" s="36">
        <f>C128/100*19.5</f>
        <v>173.55</v>
      </c>
      <c r="G128" s="36"/>
      <c r="H128" s="36">
        <f>C128/100*23.2</f>
        <v>206.48</v>
      </c>
      <c r="I128" s="36">
        <f>C128/100*46</f>
        <v>409.40000000000003</v>
      </c>
      <c r="J128" s="129">
        <f>C128/100*680</f>
        <v>6052</v>
      </c>
      <c r="K128" s="36">
        <f>C128/100*0.55</f>
        <v>4.8950000000000005</v>
      </c>
      <c r="L128" s="37">
        <v>890</v>
      </c>
      <c r="M128" s="155">
        <v>260</v>
      </c>
      <c r="N128" s="111">
        <f t="shared" ref="N128" si="8">L128*M128</f>
        <v>231400</v>
      </c>
      <c r="O128" s="153"/>
      <c r="P128" s="3"/>
    </row>
    <row r="129" spans="1:22" ht="17.399999999999999" customHeight="1">
      <c r="A129" s="217" t="s">
        <v>0</v>
      </c>
      <c r="B129" s="220" t="s">
        <v>18</v>
      </c>
      <c r="C129" s="223" t="s">
        <v>7</v>
      </c>
      <c r="D129" s="223" t="s">
        <v>8</v>
      </c>
      <c r="E129" s="226" t="s">
        <v>10</v>
      </c>
      <c r="F129" s="227"/>
      <c r="G129" s="226" t="s">
        <v>41</v>
      </c>
      <c r="H129" s="227"/>
      <c r="I129" s="230" t="s">
        <v>15</v>
      </c>
      <c r="J129" s="230" t="s">
        <v>39</v>
      </c>
      <c r="K129" s="230" t="s">
        <v>40</v>
      </c>
      <c r="L129" s="230" t="s">
        <v>16</v>
      </c>
      <c r="M129" s="230" t="s">
        <v>38</v>
      </c>
      <c r="N129" s="217" t="s">
        <v>17</v>
      </c>
      <c r="O129" s="177"/>
    </row>
    <row r="130" spans="1:22" ht="17.399999999999999" customHeight="1">
      <c r="A130" s="218"/>
      <c r="B130" s="221"/>
      <c r="C130" s="224"/>
      <c r="D130" s="224"/>
      <c r="E130" s="228"/>
      <c r="F130" s="229"/>
      <c r="G130" s="228"/>
      <c r="H130" s="229"/>
      <c r="I130" s="231"/>
      <c r="J130" s="231"/>
      <c r="K130" s="231"/>
      <c r="L130" s="231"/>
      <c r="M130" s="231"/>
      <c r="N130" s="218"/>
      <c r="O130" s="184"/>
    </row>
    <row r="131" spans="1:22" ht="17.399999999999999" customHeight="1">
      <c r="A131" s="218"/>
      <c r="B131" s="221"/>
      <c r="C131" s="224"/>
      <c r="D131" s="224"/>
      <c r="E131" s="230" t="s">
        <v>9</v>
      </c>
      <c r="F131" s="230" t="s">
        <v>11</v>
      </c>
      <c r="G131" s="230" t="s">
        <v>13</v>
      </c>
      <c r="H131" s="230" t="s">
        <v>14</v>
      </c>
      <c r="I131" s="231"/>
      <c r="J131" s="231"/>
      <c r="K131" s="231"/>
      <c r="L131" s="231"/>
      <c r="M131" s="231"/>
      <c r="N131" s="218"/>
      <c r="O131" s="184"/>
    </row>
    <row r="132" spans="1:22" ht="17.399999999999999" customHeight="1">
      <c r="A132" s="219"/>
      <c r="B132" s="222"/>
      <c r="C132" s="225"/>
      <c r="D132" s="225"/>
      <c r="E132" s="232"/>
      <c r="F132" s="232"/>
      <c r="G132" s="232"/>
      <c r="H132" s="232"/>
      <c r="I132" s="232"/>
      <c r="J132" s="232"/>
      <c r="K132" s="232"/>
      <c r="L132" s="232"/>
      <c r="M132" s="232"/>
      <c r="N132" s="219"/>
      <c r="O132" s="184"/>
    </row>
    <row r="133" spans="1:22" s="2" customFormat="1" ht="21.6" customHeight="1">
      <c r="A133" s="245" t="s">
        <v>106</v>
      </c>
      <c r="B133" s="245"/>
      <c r="C133" s="34"/>
      <c r="D133" s="35">
        <f>SUM(D128:D128)</f>
        <v>4334.3</v>
      </c>
      <c r="E133" s="43"/>
      <c r="F133" s="43"/>
      <c r="G133" s="43"/>
      <c r="H133" s="43"/>
      <c r="I133" s="43"/>
      <c r="J133" s="43"/>
      <c r="K133" s="43"/>
      <c r="L133" s="44"/>
      <c r="M133" s="67"/>
      <c r="N133" s="201">
        <f>SUM(N128:N128)</f>
        <v>231400</v>
      </c>
      <c r="O133" s="153"/>
    </row>
    <row r="134" spans="1:22" ht="21.6" customHeight="1">
      <c r="A134" s="245" t="s">
        <v>6</v>
      </c>
      <c r="B134" s="245"/>
      <c r="C134" s="45"/>
      <c r="D134" s="46">
        <f>D133/D91</f>
        <v>83.351923076923086</v>
      </c>
      <c r="E134" s="46"/>
      <c r="F134" s="46"/>
      <c r="G134" s="46"/>
      <c r="H134" s="46"/>
      <c r="I134" s="46"/>
      <c r="J134" s="46"/>
      <c r="K134" s="46"/>
      <c r="L134" s="47"/>
      <c r="M134" s="68"/>
      <c r="N134" s="202"/>
      <c r="O134" s="4"/>
      <c r="P134" s="2"/>
      <c r="Q134" s="2"/>
      <c r="R134" s="2"/>
      <c r="S134" s="2"/>
      <c r="T134" s="2"/>
      <c r="U134" s="2"/>
      <c r="V134" s="2"/>
    </row>
    <row r="135" spans="1:22" ht="21.6" customHeight="1">
      <c r="A135" s="233" t="s">
        <v>45</v>
      </c>
      <c r="B135" s="234"/>
      <c r="C135" s="384" t="s">
        <v>141</v>
      </c>
      <c r="D135" s="20" t="s">
        <v>48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85"/>
      <c r="O135" s="4"/>
      <c r="P135" s="2"/>
      <c r="Q135" s="2"/>
      <c r="R135" s="2"/>
      <c r="S135" s="2"/>
      <c r="T135" s="2"/>
      <c r="U135" s="2"/>
      <c r="V135" s="2"/>
    </row>
    <row r="136" spans="1:22" ht="21.6" customHeight="1">
      <c r="A136" s="235"/>
      <c r="B136" s="236"/>
      <c r="C136" s="19" t="s">
        <v>57</v>
      </c>
      <c r="D136" s="20">
        <f>D134*100/930</f>
        <v>8.962572373862697</v>
      </c>
      <c r="E136" s="46"/>
      <c r="F136" s="46"/>
      <c r="G136" s="46"/>
      <c r="H136" s="46"/>
      <c r="I136" s="46"/>
      <c r="J136" s="48"/>
      <c r="K136" s="48"/>
      <c r="L136" s="47"/>
      <c r="M136" s="47"/>
      <c r="N136" s="185"/>
      <c r="O136" s="4"/>
      <c r="P136" s="2"/>
      <c r="Q136" s="2"/>
      <c r="R136" s="2"/>
      <c r="S136" s="2"/>
      <c r="T136" s="2"/>
      <c r="U136" s="2"/>
      <c r="V136" s="2"/>
    </row>
    <row r="137" spans="1:22" ht="21.6" customHeight="1">
      <c r="A137" s="292" t="s">
        <v>107</v>
      </c>
      <c r="B137" s="293"/>
      <c r="C137" s="296"/>
      <c r="D137" s="298">
        <f>D108+D123+D133</f>
        <v>32008.897999999997</v>
      </c>
      <c r="E137" s="7">
        <f t="shared" ref="E137:K137" si="9">SUM(E97:E128)</f>
        <v>847.87599999999998</v>
      </c>
      <c r="F137" s="7">
        <f t="shared" si="9"/>
        <v>604.98029999999994</v>
      </c>
      <c r="G137" s="7">
        <f t="shared" si="9"/>
        <v>788.21279999999979</v>
      </c>
      <c r="H137" s="7">
        <f t="shared" si="9"/>
        <v>338.26</v>
      </c>
      <c r="I137" s="260">
        <f t="shared" si="9"/>
        <v>3879.7273999999998</v>
      </c>
      <c r="J137" s="260">
        <f t="shared" si="9"/>
        <v>12185.0859</v>
      </c>
      <c r="K137" s="290">
        <f t="shared" si="9"/>
        <v>18.561789999999998</v>
      </c>
      <c r="L137" s="274"/>
      <c r="M137" s="274"/>
      <c r="N137" s="266">
        <f>N108+N123+N133</f>
        <v>1144040</v>
      </c>
      <c r="U137" s="12"/>
      <c r="V137" s="12"/>
    </row>
    <row r="138" spans="1:22" ht="21.6" customHeight="1">
      <c r="A138" s="294"/>
      <c r="B138" s="295"/>
      <c r="C138" s="297"/>
      <c r="D138" s="265"/>
      <c r="E138" s="288">
        <f>E137+F137</f>
        <v>1452.8562999999999</v>
      </c>
      <c r="F138" s="289"/>
      <c r="G138" s="288">
        <f>G137+H137</f>
        <v>1126.4727999999998</v>
      </c>
      <c r="H138" s="289"/>
      <c r="I138" s="262"/>
      <c r="J138" s="262"/>
      <c r="K138" s="291"/>
      <c r="L138" s="274"/>
      <c r="M138" s="274"/>
      <c r="N138" s="267"/>
      <c r="U138" s="12"/>
      <c r="V138" s="12"/>
    </row>
    <row r="139" spans="1:22" ht="21.6" customHeight="1">
      <c r="A139" s="275" t="s">
        <v>74</v>
      </c>
      <c r="B139" s="276"/>
      <c r="C139" s="277"/>
      <c r="D139" s="133">
        <f>D137/D91</f>
        <v>615.55573076923076</v>
      </c>
      <c r="E139" s="410">
        <f>E137/D91</f>
        <v>16.305307692307693</v>
      </c>
      <c r="F139" s="409">
        <f>F137/D91</f>
        <v>11.634236538461538</v>
      </c>
      <c r="G139" s="410">
        <f>G137/D91</f>
        <v>15.157938461538457</v>
      </c>
      <c r="H139" s="409">
        <f>H137/D91</f>
        <v>6.5049999999999999</v>
      </c>
      <c r="I139" s="270">
        <f>I137/D91</f>
        <v>74.6101423076923</v>
      </c>
      <c r="J139" s="306">
        <f>J137/D91</f>
        <v>234.328575</v>
      </c>
      <c r="K139" s="306">
        <f>K137/D91</f>
        <v>0.35695749999999998</v>
      </c>
      <c r="L139" s="274"/>
      <c r="M139" s="274"/>
      <c r="N139" s="267"/>
      <c r="P139" s="398"/>
      <c r="Q139" s="428"/>
      <c r="R139" s="428"/>
      <c r="S139" s="428"/>
      <c r="T139" s="428"/>
      <c r="U139" s="429"/>
      <c r="V139" s="398"/>
    </row>
    <row r="140" spans="1:22" ht="21.6" customHeight="1">
      <c r="A140" s="278"/>
      <c r="B140" s="279"/>
      <c r="C140" s="280"/>
      <c r="D140" s="127"/>
      <c r="E140" s="387">
        <f>E139+F139</f>
        <v>27.939544230769229</v>
      </c>
      <c r="F140" s="388"/>
      <c r="G140" s="387">
        <f>G139+H139</f>
        <v>21.662938461538456</v>
      </c>
      <c r="H140" s="388"/>
      <c r="I140" s="271"/>
      <c r="J140" s="307"/>
      <c r="K140" s="307"/>
      <c r="L140" s="274"/>
      <c r="M140" s="274"/>
      <c r="N140" s="267"/>
      <c r="P140" s="401"/>
      <c r="Q140" s="428"/>
      <c r="R140" s="428"/>
      <c r="S140" s="430"/>
      <c r="T140" s="430"/>
      <c r="U140" s="403"/>
      <c r="V140" s="398"/>
    </row>
    <row r="141" spans="1:22" ht="21.6" customHeight="1">
      <c r="A141" s="251" t="s">
        <v>77</v>
      </c>
      <c r="B141" s="281"/>
      <c r="C141" s="252"/>
      <c r="D141" s="187" t="s">
        <v>27</v>
      </c>
      <c r="E141" s="347" t="s">
        <v>22</v>
      </c>
      <c r="F141" s="347"/>
      <c r="G141" s="347" t="s">
        <v>23</v>
      </c>
      <c r="H141" s="347"/>
      <c r="I141" s="396" t="s">
        <v>24</v>
      </c>
      <c r="J141" s="182">
        <v>500</v>
      </c>
      <c r="K141" s="182">
        <v>0.5</v>
      </c>
      <c r="L141" s="274"/>
      <c r="M141" s="274"/>
      <c r="N141" s="267"/>
      <c r="O141" s="180"/>
      <c r="P141" s="398"/>
      <c r="Q141" s="403"/>
      <c r="R141" s="403"/>
      <c r="S141" s="403"/>
      <c r="T141" s="403"/>
      <c r="U141" s="398"/>
      <c r="V141" s="398"/>
    </row>
    <row r="142" spans="1:22" ht="21.6" customHeight="1">
      <c r="A142" s="251" t="s">
        <v>75</v>
      </c>
      <c r="B142" s="281"/>
      <c r="C142" s="252"/>
      <c r="D142" s="49"/>
      <c r="E142" s="282">
        <f>E140*4.1</f>
        <v>114.55213134615383</v>
      </c>
      <c r="F142" s="283"/>
      <c r="G142" s="282">
        <f>G140*9</f>
        <v>194.96644615384611</v>
      </c>
      <c r="H142" s="283"/>
      <c r="I142" s="85">
        <f>I139*4.1</f>
        <v>305.90158346153839</v>
      </c>
      <c r="J142" s="263"/>
      <c r="K142" s="263"/>
      <c r="L142" s="274"/>
      <c r="M142" s="274"/>
      <c r="N142" s="267"/>
      <c r="O142" s="180"/>
      <c r="P142" s="402"/>
      <c r="Q142" s="398"/>
      <c r="R142" s="398"/>
      <c r="S142" s="398"/>
      <c r="T142" s="398"/>
      <c r="U142" s="398"/>
      <c r="V142" s="398"/>
    </row>
    <row r="143" spans="1:22" ht="21.6" customHeight="1">
      <c r="A143" s="284" t="s">
        <v>78</v>
      </c>
      <c r="B143" s="285"/>
      <c r="C143" s="251" t="s">
        <v>57</v>
      </c>
      <c r="D143" s="252"/>
      <c r="E143" s="197">
        <f>E142*100/D139</f>
        <v>18.609546726663314</v>
      </c>
      <c r="F143" s="198"/>
      <c r="G143" s="197">
        <f>G142*100/D139</f>
        <v>31.673240359602502</v>
      </c>
      <c r="H143" s="198"/>
      <c r="I143" s="158">
        <f>I142*100/D139</f>
        <v>49.695188944024238</v>
      </c>
      <c r="J143" s="264"/>
      <c r="K143" s="264"/>
      <c r="L143" s="274"/>
      <c r="M143" s="274"/>
      <c r="N143" s="267"/>
      <c r="O143" s="180"/>
    </row>
    <row r="144" spans="1:22" ht="21.6" customHeight="1">
      <c r="A144" s="286"/>
      <c r="B144" s="287"/>
      <c r="C144" s="251" t="s">
        <v>76</v>
      </c>
      <c r="D144" s="252"/>
      <c r="E144" s="251" t="s">
        <v>79</v>
      </c>
      <c r="F144" s="252"/>
      <c r="G144" s="251" t="s">
        <v>82</v>
      </c>
      <c r="H144" s="252"/>
      <c r="I144" s="187" t="s">
        <v>83</v>
      </c>
      <c r="J144" s="265"/>
      <c r="K144" s="265"/>
      <c r="L144" s="274"/>
      <c r="M144" s="274"/>
      <c r="N144" s="268"/>
      <c r="O144" s="180"/>
      <c r="P144" s="132"/>
    </row>
    <row r="145" spans="1:16" ht="21.6" customHeight="1">
      <c r="A145" s="90"/>
      <c r="B145" s="93"/>
      <c r="C145" s="90"/>
      <c r="D145" s="90"/>
      <c r="E145" s="90"/>
      <c r="F145" s="90"/>
      <c r="G145" s="90"/>
      <c r="H145" s="90"/>
      <c r="I145" s="90"/>
      <c r="J145" s="90"/>
      <c r="K145" s="90"/>
      <c r="L145" s="91"/>
      <c r="M145" s="91"/>
      <c r="N145" s="92"/>
      <c r="O145" s="180"/>
      <c r="P145" s="132"/>
    </row>
    <row r="146" spans="1:16" ht="21" customHeight="1">
      <c r="A146" s="192" t="s">
        <v>110</v>
      </c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80"/>
    </row>
    <row r="147" spans="1:16" ht="21" customHeight="1">
      <c r="A147" s="117" t="s">
        <v>111</v>
      </c>
      <c r="B147" s="193" t="s">
        <v>112</v>
      </c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80"/>
    </row>
    <row r="148" spans="1:16" ht="21" customHeight="1">
      <c r="A148" s="118"/>
      <c r="B148" s="194" t="s">
        <v>195</v>
      </c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80"/>
    </row>
    <row r="149" spans="1:16" ht="21" customHeight="1">
      <c r="A149" s="118"/>
      <c r="B149" s="194" t="s">
        <v>196</v>
      </c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80"/>
    </row>
    <row r="150" spans="1:16" ht="21" customHeight="1">
      <c r="A150" s="118"/>
      <c r="B150" s="194" t="s">
        <v>159</v>
      </c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80"/>
    </row>
    <row r="151" spans="1:16" ht="21" customHeight="1">
      <c r="A151" s="90"/>
      <c r="B151" s="195" t="s">
        <v>128</v>
      </c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80"/>
    </row>
    <row r="152" spans="1:16" ht="21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4"/>
      <c r="M152" s="94"/>
      <c r="N152" s="95"/>
      <c r="O152" s="180"/>
    </row>
    <row r="153" spans="1:16" ht="21" customHeight="1">
      <c r="A153" s="196" t="s">
        <v>60</v>
      </c>
      <c r="B153" s="196"/>
      <c r="C153" s="196"/>
      <c r="D153" s="196"/>
      <c r="E153" s="390"/>
      <c r="F153" s="390"/>
      <c r="G153" s="390"/>
      <c r="H153" s="390"/>
      <c r="I153" s="390"/>
      <c r="J153" s="391" t="s">
        <v>31</v>
      </c>
      <c r="K153" s="391"/>
      <c r="L153" s="391"/>
      <c r="M153" s="391"/>
      <c r="N153" s="391"/>
      <c r="O153" s="180"/>
    </row>
    <row r="154" spans="1:16" ht="21" customHeight="1">
      <c r="A154" s="184"/>
      <c r="B154" s="184"/>
      <c r="C154" s="184"/>
      <c r="D154" s="390"/>
      <c r="E154" s="390"/>
      <c r="F154" s="390"/>
      <c r="G154" s="390"/>
      <c r="H154" s="392"/>
      <c r="I154" s="392"/>
      <c r="J154" s="392"/>
      <c r="K154" s="392"/>
      <c r="L154" s="392"/>
      <c r="M154" s="392"/>
      <c r="N154" s="392"/>
      <c r="O154" s="180"/>
    </row>
    <row r="155" spans="1:16" ht="21" customHeight="1">
      <c r="A155" s="184"/>
      <c r="B155" s="184"/>
      <c r="C155" s="184"/>
      <c r="D155" s="390"/>
      <c r="E155" s="390"/>
      <c r="F155" s="390"/>
      <c r="G155" s="390"/>
      <c r="H155" s="392"/>
      <c r="I155" s="392"/>
      <c r="J155" s="392"/>
      <c r="K155" s="392"/>
      <c r="L155" s="392"/>
      <c r="M155" s="392"/>
      <c r="N155" s="392"/>
      <c r="O155" s="180"/>
    </row>
    <row r="156" spans="1:16" ht="21" customHeight="1">
      <c r="A156" s="184"/>
      <c r="B156" s="184"/>
      <c r="C156" s="184"/>
      <c r="D156" s="390"/>
      <c r="E156" s="390"/>
      <c r="F156" s="390"/>
      <c r="G156" s="390"/>
      <c r="H156" s="392"/>
      <c r="I156" s="392"/>
      <c r="J156" s="393" t="s">
        <v>120</v>
      </c>
      <c r="K156" s="393"/>
      <c r="L156" s="393"/>
      <c r="M156" s="393"/>
      <c r="N156" s="393"/>
      <c r="O156" s="180"/>
    </row>
    <row r="157" spans="1:16" ht="21" customHeight="1">
      <c r="A157" s="188" t="s">
        <v>88</v>
      </c>
      <c r="B157" s="188"/>
      <c r="C157" s="188"/>
      <c r="D157" s="188"/>
      <c r="E157" s="390"/>
      <c r="F157" s="390"/>
      <c r="G157" s="390"/>
      <c r="H157" s="392"/>
      <c r="I157" s="392"/>
      <c r="J157" s="393"/>
      <c r="K157" s="393"/>
      <c r="L157" s="393"/>
      <c r="M157" s="393"/>
      <c r="N157" s="393"/>
      <c r="O157" s="180"/>
    </row>
    <row r="160" spans="1:16" ht="21.6" customHeight="1">
      <c r="J160" s="393" t="s">
        <v>123</v>
      </c>
      <c r="K160" s="393"/>
      <c r="L160" s="393"/>
      <c r="M160" s="393"/>
      <c r="N160" s="393"/>
    </row>
  </sheetData>
  <mergeCells count="207">
    <mergeCell ref="A89:D89"/>
    <mergeCell ref="J89:N89"/>
    <mergeCell ref="J156:N156"/>
    <mergeCell ref="J160:N160"/>
    <mergeCell ref="F1:N1"/>
    <mergeCell ref="F80:N80"/>
    <mergeCell ref="A5:N5"/>
    <mergeCell ref="A12:A15"/>
    <mergeCell ref="E12:F13"/>
    <mergeCell ref="G12:H13"/>
    <mergeCell ref="I12:I15"/>
    <mergeCell ref="N12:N15"/>
    <mergeCell ref="B12:B15"/>
    <mergeCell ref="C12:C15"/>
    <mergeCell ref="D12:D15"/>
    <mergeCell ref="L12:L15"/>
    <mergeCell ref="E14:E15"/>
    <mergeCell ref="E54:F54"/>
    <mergeCell ref="G54:H54"/>
    <mergeCell ref="F14:F15"/>
    <mergeCell ref="G14:G15"/>
    <mergeCell ref="H14:H15"/>
    <mergeCell ref="E55:F55"/>
    <mergeCell ref="G55:H55"/>
    <mergeCell ref="J52:J53"/>
    <mergeCell ref="E141:F141"/>
    <mergeCell ref="G141:H141"/>
    <mergeCell ref="A110:B111"/>
    <mergeCell ref="A125:B126"/>
    <mergeCell ref="K137:K138"/>
    <mergeCell ref="G53:H53"/>
    <mergeCell ref="I137:I138"/>
    <mergeCell ref="I139:I140"/>
    <mergeCell ref="E140:F140"/>
    <mergeCell ref="G140:H140"/>
    <mergeCell ref="A55:C55"/>
    <mergeCell ref="A56:B57"/>
    <mergeCell ref="G138:H138"/>
    <mergeCell ref="A137:B138"/>
    <mergeCell ref="C137:C138"/>
    <mergeCell ref="D137:D138"/>
    <mergeCell ref="E85:N85"/>
    <mergeCell ref="E86:I86"/>
    <mergeCell ref="J86:N86"/>
    <mergeCell ref="A129:A132"/>
    <mergeCell ref="J69:N69"/>
    <mergeCell ref="J73:N73"/>
    <mergeCell ref="A133:B133"/>
    <mergeCell ref="A134:B134"/>
    <mergeCell ref="A108:B108"/>
    <mergeCell ref="E92:F93"/>
    <mergeCell ref="G92:H93"/>
    <mergeCell ref="A96:N96"/>
    <mergeCell ref="I129:I132"/>
    <mergeCell ref="J129:J132"/>
    <mergeCell ref="K129:K132"/>
    <mergeCell ref="F131:F132"/>
    <mergeCell ref="G131:G132"/>
    <mergeCell ref="H131:H132"/>
    <mergeCell ref="B129:B132"/>
    <mergeCell ref="C129:C132"/>
    <mergeCell ref="D129:D132"/>
    <mergeCell ref="M129:M132"/>
    <mergeCell ref="U52:V52"/>
    <mergeCell ref="U53:V53"/>
    <mergeCell ref="A135:B136"/>
    <mergeCell ref="J139:J140"/>
    <mergeCell ref="K139:K140"/>
    <mergeCell ref="J137:J138"/>
    <mergeCell ref="C50:C51"/>
    <mergeCell ref="E53:F53"/>
    <mergeCell ref="E51:F51"/>
    <mergeCell ref="A50:B51"/>
    <mergeCell ref="L137:L144"/>
    <mergeCell ref="M137:M144"/>
    <mergeCell ref="N137:N144"/>
    <mergeCell ref="A139:C140"/>
    <mergeCell ref="A141:C141"/>
    <mergeCell ref="A142:C142"/>
    <mergeCell ref="E142:F142"/>
    <mergeCell ref="G142:H142"/>
    <mergeCell ref="J142:J144"/>
    <mergeCell ref="K142:K144"/>
    <mergeCell ref="A143:B144"/>
    <mergeCell ref="C143:D143"/>
    <mergeCell ref="E143:F143"/>
    <mergeCell ref="E138:F138"/>
    <mergeCell ref="Q52:R52"/>
    <mergeCell ref="S52:T52"/>
    <mergeCell ref="Q53:R53"/>
    <mergeCell ref="S53:T53"/>
    <mergeCell ref="L92:L95"/>
    <mergeCell ref="N92:N95"/>
    <mergeCell ref="L50:L57"/>
    <mergeCell ref="M50:M57"/>
    <mergeCell ref="J55:J57"/>
    <mergeCell ref="K55:K57"/>
    <mergeCell ref="J50:J51"/>
    <mergeCell ref="J92:J95"/>
    <mergeCell ref="K92:K95"/>
    <mergeCell ref="K50:K51"/>
    <mergeCell ref="N50:N57"/>
    <mergeCell ref="B63:N63"/>
    <mergeCell ref="B64:N64"/>
    <mergeCell ref="A66:D66"/>
    <mergeCell ref="J66:N66"/>
    <mergeCell ref="A70:D70"/>
    <mergeCell ref="J70:N70"/>
    <mergeCell ref="I50:I51"/>
    <mergeCell ref="K52:K53"/>
    <mergeCell ref="A85:D86"/>
    <mergeCell ref="A16:N16"/>
    <mergeCell ref="E94:E95"/>
    <mergeCell ref="A46:B46"/>
    <mergeCell ref="A47:B47"/>
    <mergeCell ref="N28:N29"/>
    <mergeCell ref="N46:N47"/>
    <mergeCell ref="E44:E45"/>
    <mergeCell ref="F44:F45"/>
    <mergeCell ref="G44:G45"/>
    <mergeCell ref="H44:H45"/>
    <mergeCell ref="C56:D56"/>
    <mergeCell ref="C57:D57"/>
    <mergeCell ref="E56:F56"/>
    <mergeCell ref="G56:H56"/>
    <mergeCell ref="E57:F57"/>
    <mergeCell ref="G51:H51"/>
    <mergeCell ref="A87:D87"/>
    <mergeCell ref="A48:B49"/>
    <mergeCell ref="E87:I90"/>
    <mergeCell ref="J87:N87"/>
    <mergeCell ref="F94:F95"/>
    <mergeCell ref="A52:C53"/>
    <mergeCell ref="A54:C54"/>
    <mergeCell ref="A32:B32"/>
    <mergeCell ref="N42:N45"/>
    <mergeCell ref="A88:D88"/>
    <mergeCell ref="J88:N88"/>
    <mergeCell ref="A90:D90"/>
    <mergeCell ref="J90:N90"/>
    <mergeCell ref="I92:I95"/>
    <mergeCell ref="E129:F130"/>
    <mergeCell ref="G129:H130"/>
    <mergeCell ref="M92:M95"/>
    <mergeCell ref="A91:C91"/>
    <mergeCell ref="G94:G95"/>
    <mergeCell ref="H94:H95"/>
    <mergeCell ref="N123:N124"/>
    <mergeCell ref="A127:B127"/>
    <mergeCell ref="A109:B109"/>
    <mergeCell ref="A112:B112"/>
    <mergeCell ref="A92:A95"/>
    <mergeCell ref="B92:B95"/>
    <mergeCell ref="C92:C95"/>
    <mergeCell ref="L129:L132"/>
    <mergeCell ref="N108:N109"/>
    <mergeCell ref="N129:N132"/>
    <mergeCell ref="E131:E132"/>
    <mergeCell ref="D92:D95"/>
    <mergeCell ref="E6:N6"/>
    <mergeCell ref="A6:D6"/>
    <mergeCell ref="A7:D7"/>
    <mergeCell ref="A8:D8"/>
    <mergeCell ref="A10:D10"/>
    <mergeCell ref="E7:I10"/>
    <mergeCell ref="J7:N10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M12:M15"/>
    <mergeCell ref="J12:J15"/>
    <mergeCell ref="K12:K15"/>
    <mergeCell ref="A30:B31"/>
    <mergeCell ref="A11:C11"/>
    <mergeCell ref="L42:L45"/>
    <mergeCell ref="M42:M45"/>
    <mergeCell ref="A9:D9"/>
    <mergeCell ref="A157:D157"/>
    <mergeCell ref="J157:N157"/>
    <mergeCell ref="I52:I53"/>
    <mergeCell ref="D50:D51"/>
    <mergeCell ref="A146:N146"/>
    <mergeCell ref="B147:N147"/>
    <mergeCell ref="B148:N148"/>
    <mergeCell ref="B149:N149"/>
    <mergeCell ref="B150:N150"/>
    <mergeCell ref="B151:N151"/>
    <mergeCell ref="A153:D153"/>
    <mergeCell ref="J153:N153"/>
    <mergeCell ref="G57:H57"/>
    <mergeCell ref="A59:N59"/>
    <mergeCell ref="B60:N60"/>
    <mergeCell ref="B61:N61"/>
    <mergeCell ref="B62:N62"/>
    <mergeCell ref="G143:H143"/>
    <mergeCell ref="C144:D144"/>
    <mergeCell ref="E144:F144"/>
    <mergeCell ref="G144:H144"/>
    <mergeCell ref="A83:N83"/>
    <mergeCell ref="A84:N84"/>
    <mergeCell ref="N133:N134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4"/>
  <sheetViews>
    <sheetView workbookViewId="0">
      <selection activeCell="A8" sqref="A8:D8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59</v>
      </c>
      <c r="B1" s="8"/>
      <c r="C1" s="8"/>
      <c r="D1" s="8"/>
      <c r="E1" s="8"/>
      <c r="F1" s="299" t="s">
        <v>29</v>
      </c>
      <c r="G1" s="299"/>
      <c r="H1" s="299"/>
      <c r="I1" s="299"/>
      <c r="J1" s="299"/>
      <c r="K1" s="299"/>
      <c r="L1" s="299"/>
      <c r="M1" s="299"/>
      <c r="N1" s="299"/>
      <c r="O1" s="175"/>
      <c r="P1" s="175"/>
      <c r="T1" s="2"/>
    </row>
    <row r="2" spans="1:20" ht="12" customHeight="1">
      <c r="A2" s="11"/>
      <c r="B2" s="8"/>
      <c r="C2" s="8"/>
      <c r="D2" s="8"/>
      <c r="E2" s="8"/>
      <c r="F2" s="181"/>
      <c r="G2" s="181"/>
      <c r="H2" s="181"/>
      <c r="I2" s="181"/>
      <c r="J2" s="181"/>
      <c r="K2" s="181"/>
      <c r="L2" s="181"/>
      <c r="M2" s="181"/>
      <c r="N2" s="181"/>
      <c r="O2" s="175"/>
      <c r="P2" s="175"/>
      <c r="T2" s="2"/>
    </row>
    <row r="3" spans="1:20" ht="22.2" customHeight="1">
      <c r="A3" s="8" t="s">
        <v>197</v>
      </c>
      <c r="B3" s="8"/>
      <c r="C3" s="8"/>
      <c r="D3" s="8"/>
      <c r="E3" s="8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  <c r="T3" s="2"/>
    </row>
    <row r="4" spans="1:20" ht="12" customHeight="1">
      <c r="A4" s="8"/>
      <c r="B4" s="8"/>
      <c r="C4" s="8"/>
      <c r="D4" s="8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  <c r="T4" s="2"/>
    </row>
    <row r="5" spans="1:20" s="2" customFormat="1" ht="19.2" customHeight="1">
      <c r="A5" s="203" t="s">
        <v>93</v>
      </c>
      <c r="B5" s="203"/>
      <c r="C5" s="203"/>
      <c r="D5" s="203"/>
      <c r="E5" s="203" t="s">
        <v>94</v>
      </c>
      <c r="F5" s="203"/>
      <c r="G5" s="203"/>
      <c r="H5" s="203"/>
      <c r="I5" s="203"/>
      <c r="J5" s="203"/>
      <c r="K5" s="203"/>
      <c r="L5" s="203"/>
      <c r="M5" s="203"/>
      <c r="N5" s="203"/>
      <c r="O5" s="176"/>
    </row>
    <row r="6" spans="1:20" s="2" customFormat="1" ht="19.2" customHeight="1">
      <c r="A6" s="204" t="s">
        <v>87</v>
      </c>
      <c r="B6" s="204"/>
      <c r="C6" s="204"/>
      <c r="D6" s="204"/>
      <c r="E6" s="207" t="s">
        <v>138</v>
      </c>
      <c r="F6" s="207"/>
      <c r="G6" s="207"/>
      <c r="H6" s="207"/>
      <c r="I6" s="207"/>
      <c r="J6" s="208" t="s">
        <v>173</v>
      </c>
      <c r="K6" s="209"/>
      <c r="L6" s="209"/>
      <c r="M6" s="209"/>
      <c r="N6" s="210"/>
      <c r="O6" s="176"/>
    </row>
    <row r="7" spans="1:20" s="2" customFormat="1" ht="19.2" customHeight="1">
      <c r="A7" s="205" t="s">
        <v>171</v>
      </c>
      <c r="B7" s="205"/>
      <c r="C7" s="205"/>
      <c r="D7" s="205"/>
      <c r="E7" s="207"/>
      <c r="F7" s="207"/>
      <c r="G7" s="207"/>
      <c r="H7" s="207"/>
      <c r="I7" s="207"/>
      <c r="J7" s="211"/>
      <c r="K7" s="212"/>
      <c r="L7" s="212"/>
      <c r="M7" s="212"/>
      <c r="N7" s="213"/>
      <c r="O7" s="176"/>
    </row>
    <row r="8" spans="1:20" s="2" customFormat="1" ht="19.2" customHeight="1">
      <c r="A8" s="240" t="s">
        <v>170</v>
      </c>
      <c r="B8" s="241"/>
      <c r="C8" s="241"/>
      <c r="D8" s="242"/>
      <c r="E8" s="207"/>
      <c r="F8" s="207"/>
      <c r="G8" s="207"/>
      <c r="H8" s="207"/>
      <c r="I8" s="207"/>
      <c r="J8" s="211"/>
      <c r="K8" s="212"/>
      <c r="L8" s="212"/>
      <c r="M8" s="212"/>
      <c r="N8" s="213"/>
      <c r="O8" s="176"/>
    </row>
    <row r="9" spans="1:20" s="2" customFormat="1" ht="19.2" customHeight="1">
      <c r="A9" s="206" t="s">
        <v>172</v>
      </c>
      <c r="B9" s="206"/>
      <c r="C9" s="206"/>
      <c r="D9" s="206"/>
      <c r="E9" s="207"/>
      <c r="F9" s="207"/>
      <c r="G9" s="207"/>
      <c r="H9" s="207"/>
      <c r="I9" s="207"/>
      <c r="J9" s="214"/>
      <c r="K9" s="215"/>
      <c r="L9" s="215"/>
      <c r="M9" s="215"/>
      <c r="N9" s="216"/>
      <c r="O9" s="176"/>
    </row>
    <row r="10" spans="1:20" ht="19.2" customHeight="1">
      <c r="A10" s="237" t="s">
        <v>118</v>
      </c>
      <c r="B10" s="238"/>
      <c r="C10" s="239"/>
      <c r="D10" s="128">
        <v>222</v>
      </c>
      <c r="E10" s="8"/>
      <c r="F10" s="181"/>
      <c r="G10" s="181"/>
      <c r="H10" s="181"/>
      <c r="I10" s="181"/>
      <c r="J10" s="181"/>
      <c r="K10" s="181"/>
      <c r="L10" s="181"/>
      <c r="M10" s="181"/>
      <c r="N10" s="181"/>
      <c r="O10" s="175"/>
      <c r="P10" s="175"/>
      <c r="T10" s="2"/>
    </row>
    <row r="11" spans="1:20" ht="22.2" customHeight="1">
      <c r="A11" s="217" t="s">
        <v>0</v>
      </c>
      <c r="B11" s="220" t="s">
        <v>18</v>
      </c>
      <c r="C11" s="223" t="s">
        <v>7</v>
      </c>
      <c r="D11" s="223" t="s">
        <v>8</v>
      </c>
      <c r="E11" s="226" t="s">
        <v>10</v>
      </c>
      <c r="F11" s="227"/>
      <c r="G11" s="226" t="s">
        <v>12</v>
      </c>
      <c r="H11" s="227"/>
      <c r="I11" s="230" t="s">
        <v>15</v>
      </c>
      <c r="J11" s="230" t="s">
        <v>39</v>
      </c>
      <c r="K11" s="230" t="s">
        <v>40</v>
      </c>
      <c r="L11" s="230" t="s">
        <v>16</v>
      </c>
      <c r="M11" s="230" t="s">
        <v>38</v>
      </c>
      <c r="N11" s="217" t="s">
        <v>17</v>
      </c>
      <c r="O11" s="177"/>
    </row>
    <row r="12" spans="1:20" ht="22.2" customHeight="1">
      <c r="A12" s="218"/>
      <c r="B12" s="221"/>
      <c r="C12" s="224"/>
      <c r="D12" s="224"/>
      <c r="E12" s="228"/>
      <c r="F12" s="229"/>
      <c r="G12" s="228"/>
      <c r="H12" s="229"/>
      <c r="I12" s="231"/>
      <c r="J12" s="231"/>
      <c r="K12" s="231"/>
      <c r="L12" s="231"/>
      <c r="M12" s="231"/>
      <c r="N12" s="218"/>
      <c r="O12" s="184"/>
    </row>
    <row r="13" spans="1:20" ht="22.2" customHeight="1">
      <c r="A13" s="218"/>
      <c r="B13" s="221"/>
      <c r="C13" s="224"/>
      <c r="D13" s="224"/>
      <c r="E13" s="230" t="s">
        <v>9</v>
      </c>
      <c r="F13" s="230" t="s">
        <v>11</v>
      </c>
      <c r="G13" s="230" t="s">
        <v>13</v>
      </c>
      <c r="H13" s="230" t="s">
        <v>14</v>
      </c>
      <c r="I13" s="231"/>
      <c r="J13" s="231"/>
      <c r="K13" s="231"/>
      <c r="L13" s="231"/>
      <c r="M13" s="231"/>
      <c r="N13" s="218"/>
      <c r="O13" s="184"/>
    </row>
    <row r="14" spans="1:20" ht="22.2" customHeight="1">
      <c r="A14" s="219"/>
      <c r="B14" s="222"/>
      <c r="C14" s="225"/>
      <c r="D14" s="225"/>
      <c r="E14" s="232"/>
      <c r="F14" s="232"/>
      <c r="G14" s="232"/>
      <c r="H14" s="232"/>
      <c r="I14" s="232"/>
      <c r="J14" s="232"/>
      <c r="K14" s="232"/>
      <c r="L14" s="232"/>
      <c r="M14" s="232"/>
      <c r="N14" s="219"/>
      <c r="O14" s="184"/>
    </row>
    <row r="15" spans="1:20" ht="21.6" customHeight="1">
      <c r="A15" s="246" t="s">
        <v>32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84"/>
    </row>
    <row r="16" spans="1:20" s="2" customFormat="1" ht="21.6" customHeight="1">
      <c r="A16" s="15">
        <v>1</v>
      </c>
      <c r="B16" s="16" t="s">
        <v>2</v>
      </c>
      <c r="C16" s="51">
        <f>L16/100*100</f>
        <v>290</v>
      </c>
      <c r="D16" s="52">
        <f>C16/100*60</f>
        <v>174</v>
      </c>
      <c r="E16" s="53">
        <f>C16/100*15</f>
        <v>43.5</v>
      </c>
      <c r="F16" s="53"/>
      <c r="G16" s="53"/>
      <c r="H16" s="53"/>
      <c r="I16" s="53"/>
      <c r="J16" s="96">
        <f>C16/100*387</f>
        <v>1122.3</v>
      </c>
      <c r="K16" s="96">
        <f>C16/100*0.09</f>
        <v>0.26100000000000001</v>
      </c>
      <c r="L16" s="416">
        <v>290</v>
      </c>
      <c r="M16" s="77">
        <v>20</v>
      </c>
      <c r="N16" s="55">
        <f>L16*M16</f>
        <v>5800</v>
      </c>
      <c r="O16" s="178"/>
    </row>
    <row r="17" spans="1:20" s="2" customFormat="1" ht="21.6" customHeight="1">
      <c r="A17" s="9">
        <v>2</v>
      </c>
      <c r="B17" s="146" t="s">
        <v>134</v>
      </c>
      <c r="C17" s="23">
        <f>L17/100*100</f>
        <v>670</v>
      </c>
      <c r="D17" s="24">
        <f>C17/100*899</f>
        <v>6023.3</v>
      </c>
      <c r="E17" s="25"/>
      <c r="F17" s="25"/>
      <c r="G17" s="25">
        <f>C17/100*100</f>
        <v>670</v>
      </c>
      <c r="H17" s="25"/>
      <c r="I17" s="25"/>
      <c r="J17" s="27"/>
      <c r="K17" s="27"/>
      <c r="L17" s="137">
        <v>670</v>
      </c>
      <c r="M17" s="75">
        <v>69</v>
      </c>
      <c r="N17" s="28">
        <f t="shared" ref="N17" si="0">L17*M17</f>
        <v>46230</v>
      </c>
      <c r="O17" s="153"/>
    </row>
    <row r="18" spans="1:20" s="2" customFormat="1" ht="21.6" customHeight="1">
      <c r="A18" s="9">
        <v>3</v>
      </c>
      <c r="B18" s="5" t="s">
        <v>1</v>
      </c>
      <c r="C18" s="23">
        <f>L18/100*100</f>
        <v>21090</v>
      </c>
      <c r="D18" s="120">
        <f>C18/100*344</f>
        <v>72549.600000000006</v>
      </c>
      <c r="E18" s="136"/>
      <c r="F18" s="119">
        <f>C18/100*7.9</f>
        <v>1666.1100000000001</v>
      </c>
      <c r="G18" s="136"/>
      <c r="H18" s="25">
        <f>C18/100*1</f>
        <v>210.9</v>
      </c>
      <c r="I18" s="119">
        <f>C18/100*71.69</f>
        <v>15119.421</v>
      </c>
      <c r="J18" s="27">
        <f>C18/100*30</f>
        <v>6327</v>
      </c>
      <c r="K18" s="27">
        <f>C18/100*0.1</f>
        <v>21.090000000000003</v>
      </c>
      <c r="L18" s="137">
        <v>21090</v>
      </c>
      <c r="M18" s="77">
        <v>18</v>
      </c>
      <c r="N18" s="28">
        <f t="shared" ref="N18:N24" si="1">L18*M18</f>
        <v>379620</v>
      </c>
      <c r="O18" s="178"/>
    </row>
    <row r="19" spans="1:20" s="2" customFormat="1" ht="21.6" customHeight="1">
      <c r="A19" s="9">
        <v>4</v>
      </c>
      <c r="B19" s="5" t="s">
        <v>90</v>
      </c>
      <c r="C19" s="23">
        <f>L19/100*81.7</f>
        <v>6348.09</v>
      </c>
      <c r="D19" s="24">
        <f>C19/100*27</f>
        <v>1713.9842999999998</v>
      </c>
      <c r="E19" s="29"/>
      <c r="F19" s="29">
        <f>C19/100*0.3</f>
        <v>19.044269999999997</v>
      </c>
      <c r="G19" s="29"/>
      <c r="H19" s="29">
        <f>C19/100*0.1</f>
        <v>6.34809</v>
      </c>
      <c r="I19" s="29">
        <f>C19/100*6.1</f>
        <v>387.23348999999996</v>
      </c>
      <c r="J19" s="71">
        <f>C19/100*24</f>
        <v>1523.5416</v>
      </c>
      <c r="K19" s="71">
        <f>C19/100*0.06</f>
        <v>3.8088539999999997</v>
      </c>
      <c r="L19" s="383">
        <v>7770</v>
      </c>
      <c r="M19" s="26">
        <v>22</v>
      </c>
      <c r="N19" s="28">
        <f t="shared" si="1"/>
        <v>170940</v>
      </c>
      <c r="O19" s="153"/>
      <c r="Q19" s="3"/>
      <c r="R19" s="3"/>
      <c r="S19" s="4"/>
    </row>
    <row r="20" spans="1:20" s="2" customFormat="1" ht="21.6" customHeight="1">
      <c r="A20" s="9">
        <v>5</v>
      </c>
      <c r="B20" s="5" t="s">
        <v>72</v>
      </c>
      <c r="C20" s="23">
        <f>L20/100*75</f>
        <v>3330</v>
      </c>
      <c r="D20" s="24">
        <f>C20/100*12</f>
        <v>399.59999999999997</v>
      </c>
      <c r="E20" s="25"/>
      <c r="F20" s="25">
        <f>C20/100*0.6</f>
        <v>19.979999999999997</v>
      </c>
      <c r="G20" s="25"/>
      <c r="H20" s="25"/>
      <c r="I20" s="25">
        <f>C20/100*2.4</f>
        <v>79.919999999999987</v>
      </c>
      <c r="J20" s="25">
        <f>C20/100*26</f>
        <v>865.8</v>
      </c>
      <c r="K20" s="25">
        <f>C20/100*0.02</f>
        <v>0.66599999999999993</v>
      </c>
      <c r="L20" s="137">
        <v>4440</v>
      </c>
      <c r="M20" s="75">
        <v>20</v>
      </c>
      <c r="N20" s="28">
        <f t="shared" si="1"/>
        <v>88800</v>
      </c>
      <c r="O20" s="153"/>
    </row>
    <row r="21" spans="1:20" s="2" customFormat="1" ht="21.6" customHeight="1">
      <c r="A21" s="9">
        <v>6</v>
      </c>
      <c r="B21" s="5" t="s">
        <v>129</v>
      </c>
      <c r="C21" s="23">
        <f>L21/100*100</f>
        <v>240</v>
      </c>
      <c r="D21" s="24">
        <f>C21/100*247</f>
        <v>592.79999999999995</v>
      </c>
      <c r="E21" s="29"/>
      <c r="F21" s="29">
        <f>C21/100*17.5</f>
        <v>42</v>
      </c>
      <c r="G21" s="29"/>
      <c r="H21" s="29">
        <f>C21/100*1.6</f>
        <v>3.84</v>
      </c>
      <c r="I21" s="29">
        <f>C21/100*39.2</f>
        <v>94.08</v>
      </c>
      <c r="J21" s="71"/>
      <c r="K21" s="71"/>
      <c r="L21" s="383">
        <v>240</v>
      </c>
      <c r="M21" s="75">
        <v>50</v>
      </c>
      <c r="N21" s="28">
        <f t="shared" si="1"/>
        <v>12000</v>
      </c>
      <c r="O21" s="153"/>
      <c r="Q21" s="3"/>
      <c r="R21" s="3"/>
      <c r="S21" s="4"/>
      <c r="T21" s="3"/>
    </row>
    <row r="22" spans="1:20" s="2" customFormat="1" ht="21.6" customHeight="1">
      <c r="A22" s="9">
        <v>7</v>
      </c>
      <c r="B22" s="5" t="s">
        <v>67</v>
      </c>
      <c r="C22" s="23">
        <f>L22/100*48</f>
        <v>1948.8000000000002</v>
      </c>
      <c r="D22" s="24">
        <f>C22/100*199</f>
        <v>3878.1120000000005</v>
      </c>
      <c r="E22" s="25">
        <f>C22/100*20.3</f>
        <v>395.60640000000006</v>
      </c>
      <c r="F22" s="25"/>
      <c r="G22" s="25">
        <f>C22/100*13.1</f>
        <v>255.29280000000003</v>
      </c>
      <c r="H22" s="25"/>
      <c r="I22" s="25"/>
      <c r="J22" s="27">
        <f>C22/100*12</f>
        <v>233.85600000000005</v>
      </c>
      <c r="K22" s="27">
        <f>C22/100*0.15</f>
        <v>2.9232000000000005</v>
      </c>
      <c r="L22" s="137">
        <v>4060</v>
      </c>
      <c r="M22" s="26">
        <v>84</v>
      </c>
      <c r="N22" s="28">
        <f t="shared" si="1"/>
        <v>341040</v>
      </c>
      <c r="O22" s="153"/>
      <c r="Q22" s="3"/>
      <c r="R22" s="3"/>
      <c r="S22" s="4"/>
    </row>
    <row r="23" spans="1:20" s="2" customFormat="1" ht="21.6" customHeight="1">
      <c r="A23" s="9">
        <v>8</v>
      </c>
      <c r="B23" s="10" t="s">
        <v>71</v>
      </c>
      <c r="C23" s="23">
        <f>L23/100*98</f>
        <v>2175.6</v>
      </c>
      <c r="D23" s="24">
        <f>C23/100*139</f>
        <v>3024.0839999999998</v>
      </c>
      <c r="E23" s="25">
        <f>C23/100*19</f>
        <v>413.36400000000003</v>
      </c>
      <c r="F23" s="25"/>
      <c r="G23" s="25">
        <f>C23/100*7</f>
        <v>152.292</v>
      </c>
      <c r="H23" s="25"/>
      <c r="I23" s="25"/>
      <c r="J23" s="25">
        <f>C23/100*7</f>
        <v>152.292</v>
      </c>
      <c r="K23" s="25">
        <f>C23/100*0.9</f>
        <v>19.580400000000001</v>
      </c>
      <c r="L23" s="137">
        <v>2220</v>
      </c>
      <c r="M23" s="75">
        <v>133</v>
      </c>
      <c r="N23" s="28">
        <f t="shared" si="1"/>
        <v>295260</v>
      </c>
      <c r="O23" s="153"/>
    </row>
    <row r="24" spans="1:20" s="2" customFormat="1" ht="21.6" customHeight="1">
      <c r="A24" s="9">
        <v>9</v>
      </c>
      <c r="B24" s="5" t="s">
        <v>3</v>
      </c>
      <c r="C24" s="23">
        <f>L24/100*98</f>
        <v>7026.6</v>
      </c>
      <c r="D24" s="24">
        <f>C24/100*118</f>
        <v>8291.3880000000008</v>
      </c>
      <c r="E24" s="119">
        <f>C24/100*28.5</f>
        <v>2002.5810000000001</v>
      </c>
      <c r="F24" s="25"/>
      <c r="G24" s="25">
        <f>C24/100*3.8</f>
        <v>267.01080000000002</v>
      </c>
      <c r="H24" s="25"/>
      <c r="I24" s="25"/>
      <c r="J24" s="71">
        <f>C24/100*12</f>
        <v>843.19200000000001</v>
      </c>
      <c r="K24" s="71">
        <f>C24/100*0.1</f>
        <v>7.0266000000000011</v>
      </c>
      <c r="L24" s="383">
        <v>7170</v>
      </c>
      <c r="M24" s="77">
        <v>270</v>
      </c>
      <c r="N24" s="124">
        <f t="shared" si="1"/>
        <v>1935900</v>
      </c>
      <c r="O24" s="178"/>
      <c r="Q24" s="3"/>
      <c r="R24" s="3"/>
    </row>
    <row r="25" spans="1:20" s="2" customFormat="1" ht="21.6" customHeight="1">
      <c r="A25" s="9">
        <v>10</v>
      </c>
      <c r="B25" s="6" t="s">
        <v>119</v>
      </c>
      <c r="C25" s="23"/>
      <c r="D25" s="24"/>
      <c r="E25" s="25"/>
      <c r="F25" s="25"/>
      <c r="G25" s="25"/>
      <c r="H25" s="25"/>
      <c r="I25" s="25"/>
      <c r="J25" s="25"/>
      <c r="K25" s="25"/>
      <c r="L25" s="26"/>
      <c r="M25" s="26"/>
      <c r="N25" s="28">
        <v>16720</v>
      </c>
      <c r="O25" s="153"/>
    </row>
    <row r="26" spans="1:20" s="2" customFormat="1" ht="21.6" customHeight="1">
      <c r="A26" s="21" t="s">
        <v>101</v>
      </c>
      <c r="B26" s="22"/>
      <c r="C26" s="34"/>
      <c r="D26" s="121">
        <f>SUM(D16:D24)</f>
        <v>96646.868300000016</v>
      </c>
      <c r="E26" s="36"/>
      <c r="F26" s="36"/>
      <c r="G26" s="36"/>
      <c r="H26" s="36"/>
      <c r="I26" s="36"/>
      <c r="J26" s="36"/>
      <c r="K26" s="36"/>
      <c r="L26" s="37"/>
      <c r="M26" s="37"/>
      <c r="N26" s="249">
        <f>SUM(N16:N25)</f>
        <v>3292310</v>
      </c>
      <c r="O26" s="153"/>
    </row>
    <row r="27" spans="1:20" s="2" customFormat="1" ht="21.6" customHeight="1">
      <c r="A27" s="21" t="s">
        <v>5</v>
      </c>
      <c r="B27" s="22"/>
      <c r="C27" s="34"/>
      <c r="D27" s="35">
        <f>D26/D10</f>
        <v>435.34625360360366</v>
      </c>
      <c r="E27" s="36"/>
      <c r="F27" s="36"/>
      <c r="G27" s="36"/>
      <c r="H27" s="36"/>
      <c r="I27" s="36"/>
      <c r="J27" s="36"/>
      <c r="K27" s="36"/>
      <c r="L27" s="37"/>
      <c r="M27" s="37"/>
      <c r="N27" s="250"/>
      <c r="O27" s="153"/>
    </row>
    <row r="28" spans="1:20" s="2" customFormat="1" ht="21.6" customHeight="1">
      <c r="A28" s="300" t="s">
        <v>49</v>
      </c>
      <c r="B28" s="234"/>
      <c r="C28" s="384" t="s">
        <v>141</v>
      </c>
      <c r="D28" s="20" t="s">
        <v>43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21.6" customHeight="1">
      <c r="A29" s="235"/>
      <c r="B29" s="236"/>
      <c r="C29" s="76" t="s">
        <v>57</v>
      </c>
      <c r="D29" s="20">
        <f>D27*100/1320</f>
        <v>32.980776788151793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21.6" customHeight="1">
      <c r="A30" s="244" t="s">
        <v>33</v>
      </c>
      <c r="B30" s="244"/>
      <c r="C30" s="56"/>
      <c r="D30" s="57"/>
      <c r="E30" s="58"/>
      <c r="F30" s="58"/>
      <c r="G30" s="58"/>
      <c r="H30" s="58"/>
      <c r="I30" s="58"/>
      <c r="J30" s="58"/>
      <c r="K30" s="58"/>
      <c r="L30" s="59"/>
      <c r="M30" s="59"/>
      <c r="N30" s="69"/>
      <c r="O30" s="153"/>
    </row>
    <row r="31" spans="1:20" s="2" customFormat="1" ht="21.6" customHeight="1">
      <c r="A31" s="15">
        <v>1</v>
      </c>
      <c r="B31" s="6" t="s">
        <v>119</v>
      </c>
      <c r="C31" s="51"/>
      <c r="D31" s="52"/>
      <c r="E31" s="53"/>
      <c r="F31" s="53"/>
      <c r="G31" s="53"/>
      <c r="H31" s="53"/>
      <c r="I31" s="53"/>
      <c r="J31" s="53"/>
      <c r="K31" s="53"/>
      <c r="L31" s="54"/>
      <c r="M31" s="54"/>
      <c r="N31" s="55">
        <v>14480</v>
      </c>
      <c r="O31" s="153"/>
    </row>
    <row r="32" spans="1:20" s="2" customFormat="1" ht="21.6" customHeight="1">
      <c r="A32" s="9">
        <v>2</v>
      </c>
      <c r="B32" s="5" t="s">
        <v>1</v>
      </c>
      <c r="C32" s="23">
        <f t="shared" ref="C32:C37" si="2">L32/100*100</f>
        <v>3329.9999999999995</v>
      </c>
      <c r="D32" s="120">
        <f>C32/100*344</f>
        <v>11455.199999999999</v>
      </c>
      <c r="E32" s="25"/>
      <c r="F32" s="25">
        <f>C32/100*7.9</f>
        <v>263.07</v>
      </c>
      <c r="G32" s="25"/>
      <c r="H32" s="25">
        <f>C32/100*1</f>
        <v>33.299999999999997</v>
      </c>
      <c r="I32" s="25">
        <f>C32/100*71.69</f>
        <v>2387.2769999999996</v>
      </c>
      <c r="J32" s="27">
        <f>C32/100*30</f>
        <v>998.99999999999989</v>
      </c>
      <c r="K32" s="27">
        <f>C32/100*0.1</f>
        <v>3.33</v>
      </c>
      <c r="L32" s="137">
        <v>3330</v>
      </c>
      <c r="M32" s="77">
        <v>18</v>
      </c>
      <c r="N32" s="28">
        <f t="shared" ref="N32:N40" si="3">L32*M32</f>
        <v>59940</v>
      </c>
      <c r="O32" s="178"/>
    </row>
    <row r="33" spans="1:23" s="2" customFormat="1" ht="21.6" customHeight="1">
      <c r="A33" s="9">
        <v>3</v>
      </c>
      <c r="B33" s="5" t="s">
        <v>70</v>
      </c>
      <c r="C33" s="23">
        <f t="shared" si="2"/>
        <v>2220</v>
      </c>
      <c r="D33" s="24">
        <f>C33/100*344</f>
        <v>7636.8</v>
      </c>
      <c r="E33" s="25"/>
      <c r="F33" s="25">
        <f>C33/100*8.6</f>
        <v>190.92</v>
      </c>
      <c r="G33" s="25"/>
      <c r="H33" s="25">
        <f>C33/100*1.5</f>
        <v>33.299999999999997</v>
      </c>
      <c r="I33" s="25">
        <f>C33/100*74.5</f>
        <v>1653.8999999999999</v>
      </c>
      <c r="J33" s="25">
        <f>C33/100*32</f>
        <v>710.4</v>
      </c>
      <c r="K33" s="25">
        <f>C33/100*0.14</f>
        <v>3.1080000000000001</v>
      </c>
      <c r="L33" s="137">
        <v>2220</v>
      </c>
      <c r="M33" s="75">
        <v>30</v>
      </c>
      <c r="N33" s="28">
        <f t="shared" si="3"/>
        <v>66600</v>
      </c>
      <c r="O33" s="153"/>
      <c r="P33" s="18"/>
    </row>
    <row r="34" spans="1:23" s="2" customFormat="1" ht="21.6" customHeight="1">
      <c r="A34" s="9">
        <v>4</v>
      </c>
      <c r="B34" s="16" t="s">
        <v>2</v>
      </c>
      <c r="C34" s="51">
        <f t="shared" si="2"/>
        <v>270</v>
      </c>
      <c r="D34" s="52">
        <f>C34/100*60</f>
        <v>162</v>
      </c>
      <c r="E34" s="53">
        <f>C34/100*15</f>
        <v>40.5</v>
      </c>
      <c r="F34" s="53"/>
      <c r="G34" s="53"/>
      <c r="H34" s="53"/>
      <c r="I34" s="53"/>
      <c r="J34" s="96">
        <f>C34/100*387</f>
        <v>1044.9000000000001</v>
      </c>
      <c r="K34" s="96">
        <f>C34/100*0.09</f>
        <v>0.24299999999999999</v>
      </c>
      <c r="L34" s="416">
        <v>270</v>
      </c>
      <c r="M34" s="77">
        <v>20</v>
      </c>
      <c r="N34" s="28">
        <f t="shared" si="3"/>
        <v>5400</v>
      </c>
      <c r="O34" s="153"/>
    </row>
    <row r="35" spans="1:23" s="2" customFormat="1" ht="21.6" customHeight="1">
      <c r="A35" s="9">
        <v>5</v>
      </c>
      <c r="B35" s="5" t="s">
        <v>129</v>
      </c>
      <c r="C35" s="23">
        <f t="shared" si="2"/>
        <v>130</v>
      </c>
      <c r="D35" s="24">
        <f>C35/100*247</f>
        <v>321.10000000000002</v>
      </c>
      <c r="E35" s="29"/>
      <c r="F35" s="29">
        <f>C35/100*17.5</f>
        <v>22.75</v>
      </c>
      <c r="G35" s="29"/>
      <c r="H35" s="29">
        <f>C35/100*1.6</f>
        <v>2.08</v>
      </c>
      <c r="I35" s="29">
        <f>C35/100*39.2</f>
        <v>50.960000000000008</v>
      </c>
      <c r="J35" s="71"/>
      <c r="K35" s="71"/>
      <c r="L35" s="383">
        <v>130</v>
      </c>
      <c r="M35" s="75">
        <v>50</v>
      </c>
      <c r="N35" s="28">
        <f t="shared" si="3"/>
        <v>6500</v>
      </c>
      <c r="O35" s="153"/>
      <c r="Q35" s="3"/>
      <c r="R35" s="3"/>
      <c r="S35" s="4"/>
      <c r="T35" s="3"/>
    </row>
    <row r="36" spans="1:23" s="2" customFormat="1" ht="21.6" customHeight="1">
      <c r="A36" s="9">
        <v>6</v>
      </c>
      <c r="B36" s="79" t="s">
        <v>134</v>
      </c>
      <c r="C36" s="23">
        <f t="shared" si="2"/>
        <v>1550</v>
      </c>
      <c r="D36" s="120">
        <f>C36/100*899</f>
        <v>13934.5</v>
      </c>
      <c r="E36" s="25"/>
      <c r="F36" s="25"/>
      <c r="G36" s="119">
        <f>C36/100*99.6</f>
        <v>1543.8</v>
      </c>
      <c r="H36" s="25"/>
      <c r="I36" s="25"/>
      <c r="J36" s="25"/>
      <c r="K36" s="25"/>
      <c r="L36" s="137">
        <v>1550</v>
      </c>
      <c r="M36" s="24">
        <v>69</v>
      </c>
      <c r="N36" s="28">
        <f t="shared" si="3"/>
        <v>106950</v>
      </c>
      <c r="O36" s="179"/>
    </row>
    <row r="37" spans="1:23" s="2" customFormat="1" ht="21.6" customHeight="1">
      <c r="A37" s="9">
        <v>7</v>
      </c>
      <c r="B37" s="148" t="s">
        <v>136</v>
      </c>
      <c r="C37" s="23">
        <f t="shared" si="2"/>
        <v>220.00000000000003</v>
      </c>
      <c r="D37" s="120">
        <f>C37/100*900</f>
        <v>1980.0000000000002</v>
      </c>
      <c r="E37" s="25"/>
      <c r="F37" s="25"/>
      <c r="G37" s="119"/>
      <c r="H37" s="25">
        <f>C37/100*100</f>
        <v>220.00000000000003</v>
      </c>
      <c r="I37" s="25"/>
      <c r="J37" s="25"/>
      <c r="K37" s="25"/>
      <c r="L37" s="137">
        <v>220</v>
      </c>
      <c r="M37" s="75">
        <v>65</v>
      </c>
      <c r="N37" s="28">
        <f t="shared" si="3"/>
        <v>14300</v>
      </c>
      <c r="O37" s="179"/>
    </row>
    <row r="38" spans="1:23" s="2" customFormat="1" ht="21.6" customHeight="1">
      <c r="A38" s="9">
        <v>8</v>
      </c>
      <c r="B38" s="5" t="s">
        <v>169</v>
      </c>
      <c r="C38" s="23">
        <f>L38/100*98</f>
        <v>1097.5999999999999</v>
      </c>
      <c r="D38" s="24">
        <f>C38/100*328</f>
        <v>3600.1279999999997</v>
      </c>
      <c r="E38" s="25"/>
      <c r="F38" s="25">
        <f>C38/100*23.4</f>
        <v>256.83839999999998</v>
      </c>
      <c r="G38" s="25"/>
      <c r="H38" s="25">
        <f>C38/100*2.4</f>
        <v>26.342399999999998</v>
      </c>
      <c r="I38" s="25">
        <f>C38/100*53.1</f>
        <v>582.82560000000001</v>
      </c>
      <c r="J38" s="25">
        <f>C38/100*62</f>
        <v>680.51199999999994</v>
      </c>
      <c r="K38" s="25">
        <f>C38/100*0.72</f>
        <v>7.9027199999999986</v>
      </c>
      <c r="L38" s="137">
        <v>1120</v>
      </c>
      <c r="M38" s="75">
        <v>50</v>
      </c>
      <c r="N38" s="28">
        <f t="shared" si="3"/>
        <v>56000</v>
      </c>
      <c r="O38" s="153"/>
      <c r="P38" s="18"/>
    </row>
    <row r="39" spans="1:23" s="2" customFormat="1" ht="21.6" customHeight="1">
      <c r="A39" s="9">
        <v>9</v>
      </c>
      <c r="B39" s="10" t="s">
        <v>62</v>
      </c>
      <c r="C39" s="23">
        <f>L39/100*40</f>
        <v>1788</v>
      </c>
      <c r="D39" s="24">
        <f>C39/100*276</f>
        <v>4934.88</v>
      </c>
      <c r="E39" s="25">
        <f>C39/100*17.8</f>
        <v>318.26400000000001</v>
      </c>
      <c r="F39" s="136"/>
      <c r="G39" s="25">
        <f>C39/100*21.8</f>
        <v>389.78399999999999</v>
      </c>
      <c r="H39" s="25"/>
      <c r="I39" s="25"/>
      <c r="J39" s="27">
        <f>C39/100*13</f>
        <v>232.44</v>
      </c>
      <c r="K39" s="27">
        <f>C39/100*0.07</f>
        <v>1.2516</v>
      </c>
      <c r="L39" s="137">
        <v>4470</v>
      </c>
      <c r="M39" s="75">
        <v>63</v>
      </c>
      <c r="N39" s="135">
        <f t="shared" si="3"/>
        <v>281610</v>
      </c>
      <c r="O39" s="153"/>
    </row>
    <row r="40" spans="1:23" s="2" customFormat="1" ht="21.6" customHeight="1">
      <c r="A40" s="103">
        <v>10</v>
      </c>
      <c r="B40" s="156" t="s">
        <v>139</v>
      </c>
      <c r="C40" s="104">
        <f>L40/100*100</f>
        <v>3770.0000000000005</v>
      </c>
      <c r="D40" s="169">
        <f>C40/100*487</f>
        <v>18359.900000000001</v>
      </c>
      <c r="E40" s="106"/>
      <c r="F40" s="106">
        <f>C40/100*19.5</f>
        <v>735.15000000000009</v>
      </c>
      <c r="G40" s="106"/>
      <c r="H40" s="106">
        <f>C40/100*23.2</f>
        <v>874.64</v>
      </c>
      <c r="I40" s="106">
        <f>C40/100*46</f>
        <v>1734.2</v>
      </c>
      <c r="J40" s="147">
        <f>C40/100*680</f>
        <v>25636.000000000004</v>
      </c>
      <c r="K40" s="106">
        <f>C40/100*0.55</f>
        <v>20.735000000000003</v>
      </c>
      <c r="L40" s="107">
        <v>3770</v>
      </c>
      <c r="M40" s="157">
        <v>260</v>
      </c>
      <c r="N40" s="108">
        <f t="shared" si="3"/>
        <v>980200</v>
      </c>
      <c r="O40" s="153"/>
      <c r="P40" s="3"/>
    </row>
    <row r="41" spans="1:23" ht="21.6" customHeight="1">
      <c r="A41" s="217" t="s">
        <v>0</v>
      </c>
      <c r="B41" s="220" t="s">
        <v>18</v>
      </c>
      <c r="C41" s="223" t="s">
        <v>7</v>
      </c>
      <c r="D41" s="223" t="s">
        <v>8</v>
      </c>
      <c r="E41" s="226" t="s">
        <v>10</v>
      </c>
      <c r="F41" s="227"/>
      <c r="G41" s="226" t="s">
        <v>12</v>
      </c>
      <c r="H41" s="227"/>
      <c r="I41" s="230" t="s">
        <v>15</v>
      </c>
      <c r="J41" s="230" t="s">
        <v>39</v>
      </c>
      <c r="K41" s="230" t="s">
        <v>40</v>
      </c>
      <c r="L41" s="230" t="s">
        <v>16</v>
      </c>
      <c r="M41" s="230" t="s">
        <v>38</v>
      </c>
      <c r="N41" s="217" t="s">
        <v>17</v>
      </c>
      <c r="O41" s="177"/>
    </row>
    <row r="42" spans="1:23" ht="21.6" customHeight="1">
      <c r="A42" s="218"/>
      <c r="B42" s="221"/>
      <c r="C42" s="224"/>
      <c r="D42" s="224"/>
      <c r="E42" s="228"/>
      <c r="F42" s="229"/>
      <c r="G42" s="228"/>
      <c r="H42" s="229"/>
      <c r="I42" s="231"/>
      <c r="J42" s="231"/>
      <c r="K42" s="231"/>
      <c r="L42" s="231"/>
      <c r="M42" s="231"/>
      <c r="N42" s="218"/>
      <c r="O42" s="184"/>
    </row>
    <row r="43" spans="1:23" ht="21.6" customHeight="1">
      <c r="A43" s="218"/>
      <c r="B43" s="221"/>
      <c r="C43" s="224"/>
      <c r="D43" s="224"/>
      <c r="E43" s="230" t="s">
        <v>9</v>
      </c>
      <c r="F43" s="230" t="s">
        <v>11</v>
      </c>
      <c r="G43" s="230" t="s">
        <v>13</v>
      </c>
      <c r="H43" s="230" t="s">
        <v>14</v>
      </c>
      <c r="I43" s="231"/>
      <c r="J43" s="231"/>
      <c r="K43" s="231"/>
      <c r="L43" s="231"/>
      <c r="M43" s="231"/>
      <c r="N43" s="218"/>
      <c r="O43" s="184"/>
    </row>
    <row r="44" spans="1:23" ht="21.6" customHeight="1">
      <c r="A44" s="219"/>
      <c r="B44" s="222"/>
      <c r="C44" s="225"/>
      <c r="D44" s="225"/>
      <c r="E44" s="232"/>
      <c r="F44" s="232"/>
      <c r="G44" s="232"/>
      <c r="H44" s="232"/>
      <c r="I44" s="232"/>
      <c r="J44" s="232"/>
      <c r="K44" s="232"/>
      <c r="L44" s="232"/>
      <c r="M44" s="232"/>
      <c r="N44" s="219"/>
      <c r="O44" s="184"/>
    </row>
    <row r="45" spans="1:23" s="2" customFormat="1" ht="21.6" customHeight="1">
      <c r="A45" s="21" t="s">
        <v>102</v>
      </c>
      <c r="B45" s="22"/>
      <c r="C45" s="34"/>
      <c r="D45" s="121">
        <f>SUM(D31:D40)</f>
        <v>62384.507999999994</v>
      </c>
      <c r="E45" s="43"/>
      <c r="F45" s="43"/>
      <c r="G45" s="43"/>
      <c r="H45" s="43"/>
      <c r="I45" s="43"/>
      <c r="J45" s="43"/>
      <c r="K45" s="43"/>
      <c r="L45" s="44"/>
      <c r="M45" s="44"/>
      <c r="N45" s="249">
        <f>SUM(N31:N40)</f>
        <v>1591980</v>
      </c>
      <c r="O45" s="153"/>
    </row>
    <row r="46" spans="1:23" ht="21.6" customHeight="1">
      <c r="A46" s="21" t="s">
        <v>6</v>
      </c>
      <c r="B46" s="22"/>
      <c r="C46" s="45"/>
      <c r="D46" s="72">
        <f>D45/D10</f>
        <v>281.01129729729729</v>
      </c>
      <c r="E46" s="46"/>
      <c r="F46" s="46"/>
      <c r="G46" s="46"/>
      <c r="H46" s="46"/>
      <c r="I46" s="46"/>
      <c r="J46" s="46"/>
      <c r="K46" s="46"/>
      <c r="L46" s="47"/>
      <c r="M46" s="47"/>
      <c r="N46" s="250"/>
      <c r="O46" s="4"/>
      <c r="P46" s="2"/>
      <c r="Q46" s="2"/>
      <c r="R46" s="2"/>
      <c r="S46" s="2"/>
      <c r="T46" s="2"/>
      <c r="U46" s="2"/>
      <c r="V46" s="2"/>
    </row>
    <row r="47" spans="1:23" ht="21.6" customHeight="1">
      <c r="A47" s="300" t="s">
        <v>50</v>
      </c>
      <c r="B47" s="234"/>
      <c r="C47" s="384" t="s">
        <v>141</v>
      </c>
      <c r="D47" s="20" t="s">
        <v>56</v>
      </c>
      <c r="E47" s="46"/>
      <c r="F47" s="46"/>
      <c r="G47" s="46"/>
      <c r="H47" s="46"/>
      <c r="I47" s="46"/>
      <c r="J47" s="48"/>
      <c r="K47" s="48"/>
      <c r="L47" s="47"/>
      <c r="M47" s="47"/>
      <c r="N47" s="185"/>
      <c r="O47" s="4"/>
      <c r="P47" s="2"/>
      <c r="Q47" s="2"/>
      <c r="R47" s="2"/>
      <c r="S47" s="2"/>
      <c r="T47" s="2"/>
      <c r="U47" s="2"/>
      <c r="V47" s="2"/>
      <c r="W47" s="2"/>
    </row>
    <row r="48" spans="1:23" ht="21.6" customHeight="1">
      <c r="A48" s="235"/>
      <c r="B48" s="236"/>
      <c r="C48" s="76" t="s">
        <v>58</v>
      </c>
      <c r="D48" s="20">
        <f>D46*100/1320</f>
        <v>21.288734643734642</v>
      </c>
      <c r="E48" s="46"/>
      <c r="F48" s="46"/>
      <c r="G48" s="46"/>
      <c r="H48" s="46"/>
      <c r="I48" s="46"/>
      <c r="J48" s="48"/>
      <c r="K48" s="48"/>
      <c r="L48" s="47"/>
      <c r="M48" s="47"/>
      <c r="N48" s="185"/>
      <c r="O48" s="4"/>
      <c r="P48" s="2"/>
      <c r="Q48" s="2"/>
      <c r="R48" s="2"/>
      <c r="S48" s="2"/>
      <c r="T48" s="2"/>
      <c r="U48" s="2"/>
      <c r="V48" s="2"/>
      <c r="W48" s="2"/>
    </row>
    <row r="49" spans="1:22" ht="21.6" customHeight="1">
      <c r="A49" s="292" t="s">
        <v>109</v>
      </c>
      <c r="B49" s="293"/>
      <c r="C49" s="296"/>
      <c r="D49" s="303">
        <f>D26+D45</f>
        <v>159031.3763</v>
      </c>
      <c r="E49" s="123">
        <f t="shared" ref="E49:K49" si="4">SUM(E16:E40)</f>
        <v>3213.8154000000004</v>
      </c>
      <c r="F49" s="123">
        <f t="shared" si="4"/>
        <v>3215.8626700000004</v>
      </c>
      <c r="G49" s="123">
        <f t="shared" si="4"/>
        <v>3278.1795999999999</v>
      </c>
      <c r="H49" s="123">
        <f t="shared" si="4"/>
        <v>1410.7504899999999</v>
      </c>
      <c r="I49" s="260">
        <f t="shared" si="4"/>
        <v>22089.81709</v>
      </c>
      <c r="J49" s="290">
        <f t="shared" si="4"/>
        <v>40371.233600000007</v>
      </c>
      <c r="K49" s="290">
        <f t="shared" si="4"/>
        <v>91.926373999999996</v>
      </c>
      <c r="L49" s="290"/>
      <c r="M49" s="290"/>
      <c r="N49" s="266">
        <f>N26+N45</f>
        <v>4884290</v>
      </c>
      <c r="U49" s="12"/>
      <c r="V49" s="12"/>
    </row>
    <row r="50" spans="1:22" ht="21.6" customHeight="1">
      <c r="A50" s="294"/>
      <c r="B50" s="295"/>
      <c r="C50" s="297"/>
      <c r="D50" s="304"/>
      <c r="E50" s="288">
        <f>E49+F49</f>
        <v>6429.6780700000008</v>
      </c>
      <c r="F50" s="289"/>
      <c r="G50" s="288">
        <f>G49+H49</f>
        <v>4688.9300899999998</v>
      </c>
      <c r="H50" s="289"/>
      <c r="I50" s="262"/>
      <c r="J50" s="291"/>
      <c r="K50" s="291"/>
      <c r="L50" s="305"/>
      <c r="M50" s="305"/>
      <c r="N50" s="267"/>
      <c r="P50" s="398"/>
      <c r="Q50" s="399"/>
      <c r="R50" s="399"/>
      <c r="S50" s="399"/>
      <c r="T50" s="399"/>
      <c r="U50" s="400"/>
      <c r="V50" s="400"/>
    </row>
    <row r="51" spans="1:22" ht="21.6" customHeight="1">
      <c r="A51" s="254" t="s">
        <v>74</v>
      </c>
      <c r="B51" s="255"/>
      <c r="C51" s="256"/>
      <c r="D51" s="134">
        <f>D49/D10</f>
        <v>716.35755090090095</v>
      </c>
      <c r="E51" s="385">
        <f>E49/D10</f>
        <v>14.476645945945949</v>
      </c>
      <c r="F51" s="386">
        <f>F49/D10</f>
        <v>14.485867882882884</v>
      </c>
      <c r="G51" s="385">
        <f>G49/D10</f>
        <v>14.766574774774774</v>
      </c>
      <c r="H51" s="409">
        <f>H49/D10</f>
        <v>6.3547319369369362</v>
      </c>
      <c r="I51" s="270">
        <f>I49/D10</f>
        <v>99.503680585585585</v>
      </c>
      <c r="J51" s="306">
        <f>J49/D10</f>
        <v>181.85240360360365</v>
      </c>
      <c r="K51" s="306">
        <f>K49/D10</f>
        <v>0.41408276576576575</v>
      </c>
      <c r="L51" s="305"/>
      <c r="M51" s="305"/>
      <c r="N51" s="267"/>
      <c r="P51" s="401"/>
      <c r="Q51" s="399"/>
      <c r="R51" s="399"/>
      <c r="S51" s="399"/>
      <c r="T51" s="399"/>
      <c r="U51" s="399"/>
      <c r="V51" s="399"/>
    </row>
    <row r="52" spans="1:22" ht="21.6" customHeight="1">
      <c r="A52" s="257"/>
      <c r="B52" s="258"/>
      <c r="C52" s="259"/>
      <c r="D52" s="127"/>
      <c r="E52" s="387">
        <f>E51+F51</f>
        <v>28.962513828828833</v>
      </c>
      <c r="F52" s="388"/>
      <c r="G52" s="387">
        <f>G51+H51</f>
        <v>21.121306711711711</v>
      </c>
      <c r="H52" s="388"/>
      <c r="I52" s="271"/>
      <c r="J52" s="307"/>
      <c r="K52" s="307"/>
      <c r="L52" s="305"/>
      <c r="M52" s="305"/>
      <c r="N52" s="267"/>
      <c r="P52" s="398"/>
      <c r="Q52" s="398"/>
      <c r="R52" s="398"/>
      <c r="S52" s="398"/>
      <c r="T52" s="398"/>
      <c r="U52" s="398"/>
      <c r="V52" s="398"/>
    </row>
    <row r="53" spans="1:22" ht="21.6" customHeight="1">
      <c r="A53" s="324" t="s">
        <v>77</v>
      </c>
      <c r="B53" s="325"/>
      <c r="C53" s="326"/>
      <c r="D53" s="187" t="s">
        <v>26</v>
      </c>
      <c r="E53" s="203" t="s">
        <v>19</v>
      </c>
      <c r="F53" s="203"/>
      <c r="G53" s="203" t="s">
        <v>20</v>
      </c>
      <c r="H53" s="203"/>
      <c r="I53" s="183" t="s">
        <v>21</v>
      </c>
      <c r="J53" s="389">
        <v>600</v>
      </c>
      <c r="K53" s="389">
        <v>0.7</v>
      </c>
      <c r="L53" s="305"/>
      <c r="M53" s="305"/>
      <c r="N53" s="267"/>
      <c r="O53" s="180"/>
      <c r="P53" s="398"/>
      <c r="Q53" s="398"/>
      <c r="R53" s="398"/>
      <c r="S53" s="398"/>
      <c r="T53" s="398"/>
      <c r="U53" s="398"/>
      <c r="V53" s="398"/>
    </row>
    <row r="54" spans="1:22" ht="21.6" customHeight="1">
      <c r="A54" s="251" t="s">
        <v>75</v>
      </c>
      <c r="B54" s="281"/>
      <c r="C54" s="252"/>
      <c r="D54" s="49"/>
      <c r="E54" s="282">
        <f>E52*4.1</f>
        <v>118.7463066981982</v>
      </c>
      <c r="F54" s="283"/>
      <c r="G54" s="282">
        <f>G52*9</f>
        <v>190.09176040540541</v>
      </c>
      <c r="H54" s="283"/>
      <c r="I54" s="85">
        <f>I51*4.1</f>
        <v>407.96509040090086</v>
      </c>
      <c r="J54" s="263"/>
      <c r="K54" s="263"/>
      <c r="L54" s="305"/>
      <c r="M54" s="305"/>
      <c r="N54" s="267"/>
      <c r="O54" s="180"/>
      <c r="P54" s="402"/>
      <c r="Q54" s="403"/>
      <c r="R54" s="403"/>
      <c r="S54" s="403"/>
      <c r="T54" s="403"/>
      <c r="U54" s="398"/>
      <c r="V54" s="398"/>
    </row>
    <row r="55" spans="1:22" ht="21.6" customHeight="1">
      <c r="A55" s="284" t="s">
        <v>78</v>
      </c>
      <c r="B55" s="285"/>
      <c r="C55" s="251" t="s">
        <v>57</v>
      </c>
      <c r="D55" s="252"/>
      <c r="E55" s="197">
        <f>E54*100/D51</f>
        <v>16.576401902773448</v>
      </c>
      <c r="F55" s="198"/>
      <c r="G55" s="197">
        <f>G54*100/D51</f>
        <v>26.53587725380202</v>
      </c>
      <c r="H55" s="198"/>
      <c r="I55" s="115">
        <f>I54*100/D51</f>
        <v>56.949925339355808</v>
      </c>
      <c r="J55" s="264"/>
      <c r="K55" s="264"/>
      <c r="L55" s="305"/>
      <c r="M55" s="305"/>
      <c r="N55" s="267"/>
      <c r="O55" s="180"/>
      <c r="P55" s="398"/>
      <c r="Q55" s="398"/>
      <c r="R55" s="398"/>
      <c r="S55" s="398"/>
      <c r="T55" s="398"/>
      <c r="U55" s="398"/>
      <c r="V55" s="398"/>
    </row>
    <row r="56" spans="1:22" ht="18" customHeight="1">
      <c r="A56" s="286"/>
      <c r="B56" s="287"/>
      <c r="C56" s="251" t="s">
        <v>76</v>
      </c>
      <c r="D56" s="252"/>
      <c r="E56" s="251" t="s">
        <v>79</v>
      </c>
      <c r="F56" s="252"/>
      <c r="G56" s="251" t="s">
        <v>80</v>
      </c>
      <c r="H56" s="252"/>
      <c r="I56" s="187" t="s">
        <v>81</v>
      </c>
      <c r="J56" s="265"/>
      <c r="K56" s="265"/>
      <c r="L56" s="291"/>
      <c r="M56" s="291"/>
      <c r="N56" s="268"/>
      <c r="O56" s="180"/>
    </row>
    <row r="57" spans="1:22" ht="21" customHeight="1">
      <c r="A57" s="90"/>
      <c r="B57" s="93"/>
      <c r="C57" s="90"/>
      <c r="D57" s="90"/>
      <c r="E57" s="90"/>
      <c r="F57" s="90"/>
      <c r="G57" s="90"/>
      <c r="H57" s="90"/>
      <c r="I57" s="90"/>
      <c r="J57" s="90"/>
      <c r="K57" s="90"/>
      <c r="L57" s="91"/>
      <c r="M57" s="91"/>
      <c r="N57" s="92"/>
      <c r="O57" s="180"/>
      <c r="P57" s="132"/>
    </row>
    <row r="58" spans="1:22" ht="21" customHeight="1">
      <c r="A58" s="192" t="s">
        <v>110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80"/>
    </row>
    <row r="59" spans="1:22" ht="21" customHeight="1">
      <c r="A59" s="117" t="s">
        <v>111</v>
      </c>
      <c r="B59" s="193" t="s">
        <v>112</v>
      </c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80"/>
    </row>
    <row r="60" spans="1:22" ht="21" customHeight="1">
      <c r="A60" s="118"/>
      <c r="B60" s="194" t="s">
        <v>198</v>
      </c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80"/>
    </row>
    <row r="61" spans="1:22" ht="21" customHeight="1">
      <c r="A61" s="118"/>
      <c r="B61" s="194" t="s">
        <v>174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80"/>
    </row>
    <row r="62" spans="1:22" ht="21" customHeight="1">
      <c r="A62" s="118"/>
      <c r="B62" s="194" t="s">
        <v>154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80"/>
    </row>
    <row r="63" spans="1:22" ht="21" customHeight="1">
      <c r="A63" s="90"/>
      <c r="B63" s="195" t="s">
        <v>113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80"/>
    </row>
    <row r="64" spans="1:22" ht="21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4"/>
      <c r="M64" s="94"/>
      <c r="N64" s="95"/>
      <c r="O64" s="180"/>
    </row>
    <row r="65" spans="1:15" ht="22.2" customHeight="1">
      <c r="A65" s="196" t="s">
        <v>60</v>
      </c>
      <c r="B65" s="196"/>
      <c r="C65" s="196"/>
      <c r="D65" s="196"/>
      <c r="E65" s="390"/>
      <c r="F65" s="390"/>
      <c r="G65" s="390"/>
      <c r="H65" s="390"/>
      <c r="I65" s="390"/>
      <c r="J65" s="391" t="s">
        <v>31</v>
      </c>
      <c r="K65" s="391"/>
      <c r="L65" s="391"/>
      <c r="M65" s="391"/>
      <c r="N65" s="391"/>
      <c r="O65" s="180"/>
    </row>
    <row r="66" spans="1:15" ht="22.2" customHeight="1">
      <c r="A66" s="184"/>
      <c r="B66" s="184"/>
      <c r="C66" s="184"/>
      <c r="D66" s="390"/>
      <c r="E66" s="390"/>
      <c r="F66" s="390"/>
      <c r="G66" s="390"/>
      <c r="H66" s="392"/>
      <c r="I66" s="392"/>
      <c r="J66" s="392"/>
      <c r="K66" s="392"/>
      <c r="L66" s="392"/>
      <c r="M66" s="392"/>
      <c r="N66" s="392"/>
      <c r="O66" s="180"/>
    </row>
    <row r="67" spans="1:15" ht="22.2" customHeight="1">
      <c r="A67" s="184"/>
      <c r="B67" s="184"/>
      <c r="C67" s="184"/>
      <c r="D67" s="390"/>
      <c r="E67" s="390"/>
      <c r="F67" s="390"/>
      <c r="G67" s="390"/>
      <c r="H67" s="392"/>
      <c r="I67" s="392"/>
      <c r="J67" s="392"/>
      <c r="K67" s="392"/>
      <c r="L67" s="392"/>
      <c r="M67" s="392"/>
      <c r="N67" s="392"/>
      <c r="O67" s="180"/>
    </row>
    <row r="68" spans="1:15" ht="22.2" customHeight="1">
      <c r="A68" s="184"/>
      <c r="B68" s="184"/>
      <c r="C68" s="184"/>
      <c r="D68" s="390"/>
      <c r="E68" s="390"/>
      <c r="F68" s="390"/>
      <c r="G68" s="390"/>
      <c r="H68" s="392"/>
      <c r="I68" s="392"/>
      <c r="J68" s="393" t="s">
        <v>120</v>
      </c>
      <c r="K68" s="393"/>
      <c r="L68" s="393"/>
      <c r="M68" s="393"/>
      <c r="N68" s="393"/>
      <c r="O68" s="180"/>
    </row>
    <row r="69" spans="1:15" ht="22.2" customHeight="1">
      <c r="A69" s="188" t="s">
        <v>88</v>
      </c>
      <c r="B69" s="188"/>
      <c r="C69" s="188"/>
      <c r="D69" s="188"/>
      <c r="E69" s="390"/>
      <c r="F69" s="390"/>
      <c r="G69" s="390"/>
      <c r="H69" s="392"/>
      <c r="I69" s="392"/>
      <c r="J69" s="393"/>
      <c r="K69" s="393"/>
      <c r="L69" s="393"/>
      <c r="M69" s="393"/>
      <c r="N69" s="393"/>
      <c r="O69" s="180"/>
    </row>
    <row r="70" spans="1:15" ht="22.2" customHeight="1">
      <c r="A70" s="184"/>
      <c r="B70" s="184"/>
      <c r="C70" s="184"/>
      <c r="D70" s="390"/>
      <c r="E70" s="390"/>
      <c r="F70" s="390"/>
      <c r="G70" s="390"/>
      <c r="H70" s="392"/>
      <c r="I70" s="392"/>
      <c r="J70" s="392"/>
      <c r="K70" s="392"/>
      <c r="L70" s="392"/>
      <c r="M70" s="392"/>
      <c r="N70" s="392"/>
      <c r="O70" s="180"/>
    </row>
    <row r="71" spans="1:15" ht="18" customHeight="1">
      <c r="A71" s="184"/>
      <c r="B71" s="184"/>
      <c r="C71" s="184"/>
      <c r="D71" s="390"/>
      <c r="E71" s="390"/>
      <c r="F71" s="390"/>
      <c r="G71" s="390"/>
      <c r="H71" s="392"/>
      <c r="I71" s="392"/>
      <c r="J71" s="393" t="s">
        <v>123</v>
      </c>
      <c r="K71" s="393"/>
      <c r="L71" s="393"/>
      <c r="M71" s="393"/>
      <c r="N71" s="393"/>
      <c r="O71" s="180"/>
    </row>
    <row r="72" spans="1:15" ht="18" customHeight="1">
      <c r="A72" s="184"/>
      <c r="B72" s="184"/>
      <c r="C72" s="184"/>
      <c r="D72" s="390"/>
      <c r="E72" s="390"/>
      <c r="F72" s="390"/>
      <c r="G72" s="390"/>
      <c r="H72" s="392"/>
      <c r="I72" s="392"/>
      <c r="J72" s="393"/>
      <c r="K72" s="393"/>
      <c r="L72" s="393"/>
      <c r="M72" s="393"/>
      <c r="N72" s="393"/>
      <c r="O72" s="180"/>
    </row>
    <row r="73" spans="1:15" ht="18" customHeight="1">
      <c r="A73" s="184"/>
      <c r="B73" s="184"/>
      <c r="C73" s="184"/>
      <c r="D73" s="390"/>
      <c r="E73" s="390"/>
      <c r="F73" s="390"/>
      <c r="G73" s="390"/>
      <c r="H73" s="392"/>
      <c r="I73" s="392"/>
      <c r="J73" s="392"/>
      <c r="K73" s="392"/>
      <c r="L73" s="392"/>
      <c r="M73" s="392"/>
      <c r="N73" s="392"/>
      <c r="O73" s="180"/>
    </row>
    <row r="74" spans="1:15" ht="18" customHeight="1">
      <c r="A74" s="184"/>
      <c r="B74" s="184"/>
      <c r="C74" s="184"/>
      <c r="D74" s="390"/>
      <c r="E74" s="390"/>
      <c r="F74" s="390"/>
      <c r="G74" s="390"/>
      <c r="H74" s="392"/>
      <c r="I74" s="392"/>
      <c r="J74" s="392"/>
      <c r="K74" s="392"/>
      <c r="L74" s="392"/>
      <c r="M74" s="392"/>
      <c r="N74" s="392"/>
      <c r="O74" s="180"/>
    </row>
    <row r="75" spans="1:15" ht="18" customHeight="1">
      <c r="A75" s="184"/>
      <c r="B75" s="184"/>
      <c r="C75" s="184"/>
      <c r="D75" s="390"/>
      <c r="E75" s="390"/>
      <c r="F75" s="390"/>
      <c r="G75" s="390"/>
      <c r="H75" s="392"/>
      <c r="I75" s="392"/>
      <c r="J75" s="392"/>
      <c r="K75" s="392"/>
      <c r="L75" s="392"/>
      <c r="M75" s="392"/>
      <c r="N75" s="392"/>
      <c r="O75" s="180"/>
    </row>
    <row r="76" spans="1:15" ht="18" customHeight="1">
      <c r="A76" s="184"/>
      <c r="B76" s="184"/>
      <c r="C76" s="184"/>
      <c r="D76" s="390"/>
      <c r="E76" s="390"/>
      <c r="F76" s="390"/>
      <c r="G76" s="390"/>
      <c r="H76" s="392"/>
      <c r="I76" s="392"/>
      <c r="J76" s="392"/>
      <c r="K76" s="392"/>
      <c r="L76" s="392"/>
      <c r="M76" s="392"/>
      <c r="N76" s="392"/>
      <c r="O76" s="180"/>
    </row>
    <row r="77" spans="1:15" ht="18" customHeight="1">
      <c r="A77" s="184"/>
      <c r="B77" s="184"/>
      <c r="C77" s="184"/>
      <c r="D77" s="390"/>
      <c r="E77" s="390"/>
      <c r="F77" s="390"/>
      <c r="G77" s="390"/>
      <c r="H77" s="392"/>
      <c r="I77" s="392"/>
      <c r="J77" s="392"/>
      <c r="K77" s="392"/>
      <c r="L77" s="392"/>
      <c r="M77" s="392"/>
      <c r="N77" s="392"/>
      <c r="O77" s="180"/>
    </row>
    <row r="78" spans="1:15" ht="18" customHeight="1">
      <c r="A78" s="184"/>
      <c r="B78" s="184"/>
      <c r="C78" s="184"/>
      <c r="D78" s="390"/>
      <c r="E78" s="390"/>
      <c r="F78" s="390"/>
      <c r="G78" s="390"/>
      <c r="H78" s="392"/>
      <c r="I78" s="392"/>
      <c r="J78" s="392"/>
      <c r="K78" s="392"/>
      <c r="L78" s="392"/>
      <c r="M78" s="392"/>
      <c r="N78" s="392"/>
      <c r="O78" s="180"/>
    </row>
    <row r="79" spans="1:15" ht="18" customHeight="1">
      <c r="A79" s="184"/>
      <c r="B79" s="184"/>
      <c r="C79" s="184"/>
      <c r="D79" s="390"/>
      <c r="E79" s="390"/>
      <c r="F79" s="390"/>
      <c r="G79" s="390"/>
      <c r="H79" s="392"/>
      <c r="I79" s="392"/>
      <c r="J79" s="392"/>
      <c r="K79" s="392"/>
      <c r="L79" s="392"/>
      <c r="M79" s="392"/>
      <c r="N79" s="392"/>
      <c r="O79" s="180"/>
    </row>
    <row r="80" spans="1:15" ht="19.2" customHeight="1">
      <c r="A80" s="184"/>
      <c r="B80" s="184"/>
      <c r="C80" s="184"/>
      <c r="D80" s="390"/>
      <c r="E80" s="390"/>
      <c r="F80" s="390"/>
      <c r="G80" s="390"/>
      <c r="H80" s="392"/>
      <c r="I80" s="392"/>
      <c r="J80" s="392"/>
      <c r="K80" s="392"/>
      <c r="L80" s="392"/>
      <c r="M80" s="392"/>
      <c r="N80" s="392"/>
      <c r="O80" s="180"/>
    </row>
    <row r="81" spans="1:20" ht="19.2" customHeight="1">
      <c r="A81" s="11" t="s">
        <v>59</v>
      </c>
      <c r="B81" s="8"/>
      <c r="C81" s="8"/>
      <c r="D81" s="8"/>
      <c r="E81" s="8"/>
      <c r="F81" s="299" t="s">
        <v>30</v>
      </c>
      <c r="G81" s="299"/>
      <c r="H81" s="299"/>
      <c r="I81" s="299"/>
      <c r="J81" s="299"/>
      <c r="K81" s="299"/>
      <c r="L81" s="299"/>
      <c r="M81" s="299"/>
      <c r="N81" s="299"/>
      <c r="O81" s="175"/>
      <c r="P81" s="175"/>
      <c r="T81" s="2"/>
    </row>
    <row r="82" spans="1:20" ht="11.4" customHeight="1">
      <c r="A82" s="11"/>
      <c r="B82" s="8"/>
      <c r="C82" s="8"/>
      <c r="D82" s="8"/>
      <c r="E82" s="8"/>
      <c r="F82" s="181"/>
      <c r="G82" s="181"/>
      <c r="H82" s="181"/>
      <c r="I82" s="181"/>
      <c r="J82" s="181"/>
      <c r="K82" s="181"/>
      <c r="L82" s="181"/>
      <c r="M82" s="181"/>
      <c r="N82" s="181"/>
      <c r="O82" s="175"/>
      <c r="P82" s="175"/>
      <c r="T82" s="2"/>
    </row>
    <row r="83" spans="1:20" ht="19.2" customHeight="1">
      <c r="A83" s="8" t="s">
        <v>197</v>
      </c>
      <c r="B83" s="8"/>
      <c r="C83" s="8"/>
      <c r="D83" s="8"/>
      <c r="E83" s="8"/>
      <c r="F83" s="181"/>
      <c r="G83" s="181"/>
      <c r="H83" s="181"/>
      <c r="I83" s="181"/>
      <c r="J83" s="181"/>
      <c r="K83" s="181"/>
      <c r="L83" s="181"/>
      <c r="M83" s="181"/>
      <c r="N83" s="181"/>
      <c r="O83" s="175"/>
      <c r="P83" s="175"/>
      <c r="T83" s="2"/>
    </row>
    <row r="84" spans="1:20" ht="10.8" customHeight="1">
      <c r="A84" s="8"/>
      <c r="B84" s="8"/>
      <c r="C84" s="8"/>
      <c r="D84" s="8"/>
      <c r="E84" s="8"/>
      <c r="F84" s="181"/>
      <c r="G84" s="181"/>
      <c r="H84" s="181"/>
      <c r="I84" s="181"/>
      <c r="J84" s="181"/>
      <c r="K84" s="181"/>
      <c r="L84" s="181"/>
      <c r="M84" s="181"/>
      <c r="N84" s="181"/>
      <c r="O84" s="175"/>
      <c r="P84" s="175"/>
      <c r="T84" s="2"/>
    </row>
    <row r="85" spans="1:20" s="2" customFormat="1" ht="19.2" customHeight="1">
      <c r="A85" s="203" t="s">
        <v>93</v>
      </c>
      <c r="B85" s="203"/>
      <c r="C85" s="203"/>
      <c r="D85" s="203"/>
      <c r="E85" s="203" t="s">
        <v>86</v>
      </c>
      <c r="F85" s="203"/>
      <c r="G85" s="203"/>
      <c r="H85" s="203"/>
      <c r="I85" s="203"/>
      <c r="J85" s="203"/>
      <c r="K85" s="203"/>
      <c r="L85" s="203"/>
      <c r="M85" s="203"/>
      <c r="N85" s="203"/>
      <c r="O85" s="176"/>
    </row>
    <row r="86" spans="1:20" s="2" customFormat="1" ht="19.2" customHeight="1">
      <c r="A86" s="203"/>
      <c r="B86" s="203"/>
      <c r="C86" s="203"/>
      <c r="D86" s="203"/>
      <c r="E86" s="203" t="s">
        <v>96</v>
      </c>
      <c r="F86" s="203"/>
      <c r="G86" s="203"/>
      <c r="H86" s="203"/>
      <c r="I86" s="203"/>
      <c r="J86" s="203" t="s">
        <v>97</v>
      </c>
      <c r="K86" s="203"/>
      <c r="L86" s="203"/>
      <c r="M86" s="203"/>
      <c r="N86" s="203"/>
      <c r="O86" s="176"/>
    </row>
    <row r="87" spans="1:20" s="2" customFormat="1" ht="19.2" customHeight="1">
      <c r="A87" s="204" t="s">
        <v>87</v>
      </c>
      <c r="B87" s="204"/>
      <c r="C87" s="204"/>
      <c r="D87" s="204"/>
      <c r="E87" s="207" t="s">
        <v>138</v>
      </c>
      <c r="F87" s="207"/>
      <c r="G87" s="207"/>
      <c r="H87" s="207"/>
      <c r="I87" s="207"/>
      <c r="J87" s="204" t="s">
        <v>87</v>
      </c>
      <c r="K87" s="204"/>
      <c r="L87" s="204"/>
      <c r="M87" s="204"/>
      <c r="N87" s="204"/>
      <c r="O87" s="176"/>
    </row>
    <row r="88" spans="1:20" s="2" customFormat="1" ht="19.2" customHeight="1">
      <c r="A88" s="205" t="s">
        <v>171</v>
      </c>
      <c r="B88" s="205"/>
      <c r="C88" s="205"/>
      <c r="D88" s="205"/>
      <c r="E88" s="207"/>
      <c r="F88" s="207"/>
      <c r="G88" s="207"/>
      <c r="H88" s="207"/>
      <c r="I88" s="207"/>
      <c r="J88" s="205" t="s">
        <v>140</v>
      </c>
      <c r="K88" s="205"/>
      <c r="L88" s="205"/>
      <c r="M88" s="205"/>
      <c r="N88" s="205"/>
      <c r="O88" s="176"/>
    </row>
    <row r="89" spans="1:20" s="2" customFormat="1" ht="19.2" customHeight="1">
      <c r="A89" s="206" t="s">
        <v>172</v>
      </c>
      <c r="B89" s="206"/>
      <c r="C89" s="206"/>
      <c r="D89" s="206"/>
      <c r="E89" s="207"/>
      <c r="F89" s="207"/>
      <c r="G89" s="207"/>
      <c r="H89" s="207"/>
      <c r="I89" s="207"/>
      <c r="J89" s="206" t="s">
        <v>175</v>
      </c>
      <c r="K89" s="206"/>
      <c r="L89" s="206"/>
      <c r="M89" s="206"/>
      <c r="N89" s="206"/>
      <c r="O89" s="176"/>
    </row>
    <row r="90" spans="1:20" ht="19.2" customHeight="1">
      <c r="A90" s="237" t="s">
        <v>118</v>
      </c>
      <c r="B90" s="238"/>
      <c r="C90" s="239"/>
      <c r="D90" s="128">
        <v>53</v>
      </c>
      <c r="E90" s="8"/>
      <c r="F90" s="181"/>
      <c r="G90" s="181"/>
      <c r="H90" s="181"/>
      <c r="I90" s="181"/>
      <c r="J90" s="181"/>
      <c r="K90" s="181"/>
      <c r="L90" s="181"/>
      <c r="M90" s="181"/>
      <c r="N90" s="181"/>
      <c r="O90" s="175"/>
      <c r="P90" s="175"/>
      <c r="T90" s="2"/>
    </row>
    <row r="91" spans="1:20" ht="19.2" customHeight="1">
      <c r="A91" s="217" t="s">
        <v>0</v>
      </c>
      <c r="B91" s="220" t="s">
        <v>18</v>
      </c>
      <c r="C91" s="223" t="s">
        <v>7</v>
      </c>
      <c r="D91" s="223" t="s">
        <v>8</v>
      </c>
      <c r="E91" s="226" t="s">
        <v>10</v>
      </c>
      <c r="F91" s="227"/>
      <c r="G91" s="226" t="s">
        <v>12</v>
      </c>
      <c r="H91" s="227"/>
      <c r="I91" s="230" t="s">
        <v>15</v>
      </c>
      <c r="J91" s="230" t="s">
        <v>39</v>
      </c>
      <c r="K91" s="230" t="s">
        <v>40</v>
      </c>
      <c r="L91" s="230" t="s">
        <v>16</v>
      </c>
      <c r="M91" s="230" t="s">
        <v>38</v>
      </c>
      <c r="N91" s="217" t="s">
        <v>17</v>
      </c>
      <c r="O91" s="177"/>
    </row>
    <row r="92" spans="1:20" ht="19.2" customHeight="1">
      <c r="A92" s="218"/>
      <c r="B92" s="221"/>
      <c r="C92" s="224"/>
      <c r="D92" s="224"/>
      <c r="E92" s="228"/>
      <c r="F92" s="229"/>
      <c r="G92" s="228"/>
      <c r="H92" s="229"/>
      <c r="I92" s="231"/>
      <c r="J92" s="231"/>
      <c r="K92" s="231"/>
      <c r="L92" s="231"/>
      <c r="M92" s="231"/>
      <c r="N92" s="218"/>
      <c r="O92" s="184"/>
    </row>
    <row r="93" spans="1:20" ht="19.2" customHeight="1">
      <c r="A93" s="218"/>
      <c r="B93" s="221"/>
      <c r="C93" s="224"/>
      <c r="D93" s="224"/>
      <c r="E93" s="230" t="s">
        <v>9</v>
      </c>
      <c r="F93" s="230" t="s">
        <v>11</v>
      </c>
      <c r="G93" s="230" t="s">
        <v>13</v>
      </c>
      <c r="H93" s="230" t="s">
        <v>14</v>
      </c>
      <c r="I93" s="231"/>
      <c r="J93" s="231"/>
      <c r="K93" s="231"/>
      <c r="L93" s="231"/>
      <c r="M93" s="231"/>
      <c r="N93" s="218"/>
      <c r="O93" s="184"/>
    </row>
    <row r="94" spans="1:20" ht="19.2" customHeight="1">
      <c r="A94" s="219"/>
      <c r="B94" s="222"/>
      <c r="C94" s="225"/>
      <c r="D94" s="225"/>
      <c r="E94" s="232"/>
      <c r="F94" s="232"/>
      <c r="G94" s="232"/>
      <c r="H94" s="232"/>
      <c r="I94" s="232"/>
      <c r="J94" s="232"/>
      <c r="K94" s="232"/>
      <c r="L94" s="232"/>
      <c r="M94" s="232"/>
      <c r="N94" s="219"/>
      <c r="O94" s="184"/>
    </row>
    <row r="95" spans="1:20" ht="19.8" customHeight="1">
      <c r="A95" s="246" t="s">
        <v>37</v>
      </c>
      <c r="B95" s="247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8"/>
      <c r="O95" s="184"/>
    </row>
    <row r="96" spans="1:20" ht="19.8" customHeight="1">
      <c r="A96" s="17">
        <v>1</v>
      </c>
      <c r="B96" s="6" t="s">
        <v>119</v>
      </c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28">
        <v>3440</v>
      </c>
      <c r="O96" s="417"/>
    </row>
    <row r="97" spans="1:23" s="2" customFormat="1" ht="19.8" customHeight="1">
      <c r="A97" s="9">
        <v>2</v>
      </c>
      <c r="B97" s="10" t="s">
        <v>2</v>
      </c>
      <c r="C97" s="23">
        <f>L97/100*100</f>
        <v>70</v>
      </c>
      <c r="D97" s="24">
        <f>C97/100*60</f>
        <v>42</v>
      </c>
      <c r="E97" s="25">
        <f>C97/100*15</f>
        <v>10.5</v>
      </c>
      <c r="F97" s="25"/>
      <c r="G97" s="25"/>
      <c r="H97" s="25"/>
      <c r="I97" s="25"/>
      <c r="J97" s="27">
        <f>C97/100*387</f>
        <v>270.89999999999998</v>
      </c>
      <c r="K97" s="27">
        <f>C97/100*0.09</f>
        <v>6.3E-2</v>
      </c>
      <c r="L97" s="137">
        <v>70</v>
      </c>
      <c r="M97" s="75">
        <v>20</v>
      </c>
      <c r="N97" s="28">
        <f>L97*M97</f>
        <v>1400</v>
      </c>
      <c r="O97" s="178"/>
    </row>
    <row r="98" spans="1:23" s="2" customFormat="1" ht="19.8" customHeight="1">
      <c r="A98" s="9">
        <v>3</v>
      </c>
      <c r="B98" s="79" t="s">
        <v>134</v>
      </c>
      <c r="C98" s="23">
        <f>L98/100*100</f>
        <v>430</v>
      </c>
      <c r="D98" s="24">
        <f>C98/100*899</f>
        <v>3865.7</v>
      </c>
      <c r="E98" s="25"/>
      <c r="F98" s="25"/>
      <c r="G98" s="25">
        <f>C98/100*100</f>
        <v>430</v>
      </c>
      <c r="H98" s="25"/>
      <c r="I98" s="25"/>
      <c r="J98" s="25"/>
      <c r="K98" s="25"/>
      <c r="L98" s="137">
        <v>430</v>
      </c>
      <c r="M98" s="24">
        <v>69</v>
      </c>
      <c r="N98" s="28">
        <f t="shared" ref="N98:N103" si="5">L98*M98</f>
        <v>29670</v>
      </c>
      <c r="O98" s="179"/>
    </row>
    <row r="99" spans="1:23" s="2" customFormat="1" ht="19.8" customHeight="1">
      <c r="A99" s="9">
        <v>4</v>
      </c>
      <c r="B99" s="5" t="s">
        <v>1</v>
      </c>
      <c r="C99" s="23">
        <f>L99/100*100</f>
        <v>2279</v>
      </c>
      <c r="D99" s="24">
        <f>C99/100*362</f>
        <v>8249.98</v>
      </c>
      <c r="E99" s="25"/>
      <c r="F99" s="25">
        <f>C99/100*7.9</f>
        <v>180.041</v>
      </c>
      <c r="G99" s="25"/>
      <c r="H99" s="25">
        <f>C99/100*1</f>
        <v>22.79</v>
      </c>
      <c r="I99" s="25">
        <f>C99/100*73.39</f>
        <v>1672.5581</v>
      </c>
      <c r="J99" s="27">
        <f>C99/100*30</f>
        <v>683.69999999999993</v>
      </c>
      <c r="K99" s="27">
        <f>C99/100*0.1</f>
        <v>2.2789999999999999</v>
      </c>
      <c r="L99" s="137">
        <v>2279</v>
      </c>
      <c r="M99" s="75">
        <v>18</v>
      </c>
      <c r="N99" s="28">
        <f t="shared" si="5"/>
        <v>41022</v>
      </c>
      <c r="O99" s="178"/>
    </row>
    <row r="100" spans="1:23" s="2" customFormat="1" ht="19.8" customHeight="1">
      <c r="A100" s="9">
        <v>5</v>
      </c>
      <c r="B100" s="5" t="s">
        <v>90</v>
      </c>
      <c r="C100" s="23">
        <f>L100/100*81.7</f>
        <v>1192.82</v>
      </c>
      <c r="D100" s="24">
        <f>C100/100*27</f>
        <v>322.06139999999994</v>
      </c>
      <c r="E100" s="29"/>
      <c r="F100" s="29">
        <f>C100/100*0.3</f>
        <v>3.5784599999999993</v>
      </c>
      <c r="G100" s="29"/>
      <c r="H100" s="29">
        <f>C100/100*0.1</f>
        <v>1.19282</v>
      </c>
      <c r="I100" s="29">
        <f>C100/100*6.1</f>
        <v>72.762019999999993</v>
      </c>
      <c r="J100" s="71">
        <f>C100/100*24</f>
        <v>286.27679999999998</v>
      </c>
      <c r="K100" s="71">
        <f>C100/100*0.06</f>
        <v>0.71569199999999988</v>
      </c>
      <c r="L100" s="383">
        <v>1460</v>
      </c>
      <c r="M100" s="26">
        <v>22</v>
      </c>
      <c r="N100" s="28">
        <f t="shared" si="5"/>
        <v>32120</v>
      </c>
      <c r="O100" s="153"/>
      <c r="Q100" s="3"/>
      <c r="R100" s="3"/>
      <c r="S100" s="4"/>
    </row>
    <row r="101" spans="1:23" s="2" customFormat="1" ht="19.8" customHeight="1">
      <c r="A101" s="9">
        <v>6</v>
      </c>
      <c r="B101" s="5" t="s">
        <v>129</v>
      </c>
      <c r="C101" s="23">
        <f>L101/100*100</f>
        <v>40</v>
      </c>
      <c r="D101" s="24">
        <f>C101/100*247</f>
        <v>98.800000000000011</v>
      </c>
      <c r="E101" s="29"/>
      <c r="F101" s="29">
        <f>C101/100*17.5</f>
        <v>7</v>
      </c>
      <c r="G101" s="29"/>
      <c r="H101" s="29">
        <f>C101/100*1.6</f>
        <v>0.64000000000000012</v>
      </c>
      <c r="I101" s="29">
        <f>C101/100*39.2</f>
        <v>15.680000000000001</v>
      </c>
      <c r="J101" s="71"/>
      <c r="K101" s="71"/>
      <c r="L101" s="383">
        <v>40</v>
      </c>
      <c r="M101" s="75">
        <v>50</v>
      </c>
      <c r="N101" s="28">
        <f t="shared" si="5"/>
        <v>2000</v>
      </c>
      <c r="O101" s="153"/>
      <c r="Q101" s="3"/>
      <c r="R101" s="3"/>
      <c r="S101" s="4"/>
      <c r="T101" s="3"/>
    </row>
    <row r="102" spans="1:23" s="2" customFormat="1" ht="19.8" customHeight="1">
      <c r="A102" s="9">
        <v>7</v>
      </c>
      <c r="B102" s="10" t="s">
        <v>71</v>
      </c>
      <c r="C102" s="23">
        <f>L102/100*98</f>
        <v>411.6</v>
      </c>
      <c r="D102" s="24">
        <f>C102/100*139</f>
        <v>572.12400000000002</v>
      </c>
      <c r="E102" s="25">
        <f>C102/100*19</f>
        <v>78.204000000000008</v>
      </c>
      <c r="F102" s="25"/>
      <c r="G102" s="25">
        <f>C102/100*7</f>
        <v>28.812000000000005</v>
      </c>
      <c r="H102" s="25"/>
      <c r="I102" s="25"/>
      <c r="J102" s="25">
        <f>C102/100*7</f>
        <v>28.812000000000005</v>
      </c>
      <c r="K102" s="25">
        <f>C102/100*0.9</f>
        <v>3.7044000000000006</v>
      </c>
      <c r="L102" s="137">
        <v>420</v>
      </c>
      <c r="M102" s="75">
        <v>133</v>
      </c>
      <c r="N102" s="28">
        <f t="shared" si="5"/>
        <v>55860</v>
      </c>
      <c r="O102" s="153"/>
    </row>
    <row r="103" spans="1:23" s="2" customFormat="1" ht="19.8" customHeight="1">
      <c r="A103" s="9">
        <v>8</v>
      </c>
      <c r="B103" s="79" t="s">
        <v>3</v>
      </c>
      <c r="C103" s="23">
        <f>L103/100*98</f>
        <v>1548.4</v>
      </c>
      <c r="D103" s="24">
        <f>C103/100*118</f>
        <v>1827.1120000000003</v>
      </c>
      <c r="E103" s="25">
        <f>C103/100*21</f>
        <v>325.16400000000004</v>
      </c>
      <c r="F103" s="25"/>
      <c r="G103" s="25">
        <f>C103/100*3.8</f>
        <v>58.839200000000005</v>
      </c>
      <c r="H103" s="25"/>
      <c r="I103" s="25"/>
      <c r="J103" s="25">
        <f>C103/100*12</f>
        <v>185.80800000000002</v>
      </c>
      <c r="K103" s="25">
        <f>C103/100*0.1</f>
        <v>1.5484000000000002</v>
      </c>
      <c r="L103" s="137">
        <v>1580</v>
      </c>
      <c r="M103" s="75">
        <v>270</v>
      </c>
      <c r="N103" s="28">
        <f t="shared" si="5"/>
        <v>426600</v>
      </c>
      <c r="O103" s="153"/>
    </row>
    <row r="104" spans="1:23" s="2" customFormat="1" ht="19.8" customHeight="1">
      <c r="A104" s="9"/>
      <c r="B104" s="5"/>
      <c r="C104" s="23"/>
      <c r="D104" s="24"/>
      <c r="E104" s="25"/>
      <c r="F104" s="25"/>
      <c r="G104" s="25"/>
      <c r="H104" s="25"/>
      <c r="I104" s="25"/>
      <c r="J104" s="71"/>
      <c r="K104" s="71"/>
      <c r="L104" s="30"/>
      <c r="M104" s="75"/>
      <c r="N104" s="28"/>
      <c r="O104" s="153"/>
      <c r="Q104" s="3"/>
      <c r="R104" s="3"/>
    </row>
    <row r="105" spans="1:23" s="2" customFormat="1" ht="19.8" customHeight="1">
      <c r="A105" s="21" t="s">
        <v>114</v>
      </c>
      <c r="B105" s="22"/>
      <c r="C105" s="34"/>
      <c r="D105" s="121">
        <f>SUM(D96:D104)</f>
        <v>14977.777400000001</v>
      </c>
      <c r="E105" s="43"/>
      <c r="F105" s="43"/>
      <c r="G105" s="43"/>
      <c r="H105" s="43"/>
      <c r="I105" s="43"/>
      <c r="J105" s="43"/>
      <c r="K105" s="43"/>
      <c r="L105" s="44"/>
      <c r="M105" s="44"/>
      <c r="N105" s="201">
        <f>SUM(N96:N104)</f>
        <v>592112</v>
      </c>
      <c r="O105" s="153"/>
    </row>
    <row r="106" spans="1:23" ht="19.8" customHeight="1">
      <c r="A106" s="21" t="s">
        <v>35</v>
      </c>
      <c r="B106" s="22"/>
      <c r="C106" s="45"/>
      <c r="D106" s="46">
        <f>D105/D90</f>
        <v>282.59957358490567</v>
      </c>
      <c r="E106" s="46"/>
      <c r="F106" s="46"/>
      <c r="G106" s="46"/>
      <c r="H106" s="46"/>
      <c r="I106" s="46"/>
      <c r="J106" s="46"/>
      <c r="K106" s="46"/>
      <c r="L106" s="47"/>
      <c r="M106" s="47"/>
      <c r="N106" s="202"/>
      <c r="O106" s="4"/>
      <c r="P106" s="2"/>
      <c r="Q106" s="2"/>
      <c r="R106" s="2"/>
      <c r="S106" s="2"/>
      <c r="T106" s="2"/>
      <c r="U106" s="2"/>
      <c r="V106" s="2"/>
    </row>
    <row r="107" spans="1:23" ht="19.8" customHeight="1">
      <c r="A107" s="300" t="s">
        <v>51</v>
      </c>
      <c r="B107" s="234"/>
      <c r="C107" s="384" t="s">
        <v>141</v>
      </c>
      <c r="D107" s="20" t="s">
        <v>43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85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9.8" customHeight="1">
      <c r="A108" s="235"/>
      <c r="B108" s="236"/>
      <c r="C108" s="76" t="s">
        <v>58</v>
      </c>
      <c r="D108" s="78">
        <f>D106*100/930</f>
        <v>30.387050923108138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85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9.8" customHeight="1">
      <c r="A109" s="244" t="s">
        <v>36</v>
      </c>
      <c r="B109" s="244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9.8" customHeight="1">
      <c r="A110" s="14">
        <v>1</v>
      </c>
      <c r="B110" s="6" t="s">
        <v>119</v>
      </c>
      <c r="C110" s="39"/>
      <c r="D110" s="418"/>
      <c r="E110" s="40"/>
      <c r="F110" s="40"/>
      <c r="G110" s="40"/>
      <c r="H110" s="40"/>
      <c r="I110" s="40"/>
      <c r="J110" s="40"/>
      <c r="K110" s="40"/>
      <c r="L110" s="41"/>
      <c r="M110" s="41"/>
      <c r="N110" s="42">
        <v>3440</v>
      </c>
      <c r="O110" s="153"/>
    </row>
    <row r="111" spans="1:23" s="2" customFormat="1" ht="19.8" customHeight="1">
      <c r="A111" s="9">
        <v>2</v>
      </c>
      <c r="B111" s="5" t="s">
        <v>1</v>
      </c>
      <c r="C111" s="23">
        <f>L111/100*100</f>
        <v>2226</v>
      </c>
      <c r="D111" s="24">
        <f>C111/100*362</f>
        <v>8058.1200000000008</v>
      </c>
      <c r="E111" s="25"/>
      <c r="F111" s="25">
        <f>C111/100*7.9</f>
        <v>175.85400000000001</v>
      </c>
      <c r="G111" s="25"/>
      <c r="H111" s="25">
        <f>C111/100*1</f>
        <v>22.26</v>
      </c>
      <c r="I111" s="25">
        <f>C111/100*73.39</f>
        <v>1633.6614000000002</v>
      </c>
      <c r="J111" s="27">
        <f>C111/100*30</f>
        <v>667.80000000000007</v>
      </c>
      <c r="K111" s="27">
        <f>C111/100*0.1</f>
        <v>2.2260000000000004</v>
      </c>
      <c r="L111" s="26">
        <v>2226</v>
      </c>
      <c r="M111" s="75">
        <v>18</v>
      </c>
      <c r="N111" s="135">
        <f>L111*M111</f>
        <v>40068</v>
      </c>
      <c r="O111" s="178"/>
    </row>
    <row r="112" spans="1:23" s="2" customFormat="1" ht="19.8" customHeight="1">
      <c r="A112" s="9">
        <v>3</v>
      </c>
      <c r="B112" s="10" t="s">
        <v>2</v>
      </c>
      <c r="C112" s="23">
        <f>L112/100*100</f>
        <v>60</v>
      </c>
      <c r="D112" s="24">
        <f>C112/100*60</f>
        <v>36</v>
      </c>
      <c r="E112" s="25">
        <f>C112/100*15</f>
        <v>9</v>
      </c>
      <c r="F112" s="25"/>
      <c r="G112" s="25"/>
      <c r="H112" s="25"/>
      <c r="I112" s="25"/>
      <c r="J112" s="27">
        <f>C112/100*387</f>
        <v>232.2</v>
      </c>
      <c r="K112" s="27">
        <f>C112/100*0.09</f>
        <v>5.3999999999999999E-2</v>
      </c>
      <c r="L112" s="26">
        <v>60</v>
      </c>
      <c r="M112" s="75">
        <v>20</v>
      </c>
      <c r="N112" s="135">
        <f t="shared" ref="N112:N117" si="6">L112*M112</f>
        <v>1200</v>
      </c>
      <c r="O112" s="178"/>
    </row>
    <row r="113" spans="1:23" s="2" customFormat="1" ht="19.8" customHeight="1">
      <c r="A113" s="9">
        <v>4</v>
      </c>
      <c r="B113" s="79" t="s">
        <v>134</v>
      </c>
      <c r="C113" s="23">
        <f>L113/100*100</f>
        <v>100</v>
      </c>
      <c r="D113" s="24">
        <f>C113/100*900</f>
        <v>900</v>
      </c>
      <c r="E113" s="25"/>
      <c r="F113" s="25"/>
      <c r="G113" s="25">
        <f>C113/100*100</f>
        <v>100</v>
      </c>
      <c r="H113" s="25">
        <f>C113/100*100</f>
        <v>100</v>
      </c>
      <c r="I113" s="25"/>
      <c r="J113" s="27"/>
      <c r="K113" s="27"/>
      <c r="L113" s="26">
        <v>100</v>
      </c>
      <c r="M113" s="75">
        <v>69</v>
      </c>
      <c r="N113" s="135">
        <f t="shared" si="6"/>
        <v>6900</v>
      </c>
      <c r="O113" s="153"/>
    </row>
    <row r="114" spans="1:23" s="2" customFormat="1" ht="19.8" customHeight="1">
      <c r="A114" s="9">
        <v>5</v>
      </c>
      <c r="B114" s="10" t="s">
        <v>132</v>
      </c>
      <c r="C114" s="23">
        <f>L114/100*100</f>
        <v>270</v>
      </c>
      <c r="D114" s="24">
        <f>C114/100*53</f>
        <v>143.10000000000002</v>
      </c>
      <c r="E114" s="25"/>
      <c r="F114" s="25">
        <f>C114/100*6.3</f>
        <v>17.010000000000002</v>
      </c>
      <c r="G114" s="25"/>
      <c r="H114" s="25">
        <f>C114/100*0.04</f>
        <v>0.10800000000000001</v>
      </c>
      <c r="I114" s="25">
        <f>C114/100*6.8</f>
        <v>18.36</v>
      </c>
      <c r="J114" s="27">
        <f>C114/100*19</f>
        <v>51.300000000000004</v>
      </c>
      <c r="K114" s="27">
        <f>C114/100*0.03</f>
        <v>8.1000000000000003E-2</v>
      </c>
      <c r="L114" s="26">
        <v>270</v>
      </c>
      <c r="M114" s="75">
        <v>45</v>
      </c>
      <c r="N114" s="135">
        <f t="shared" si="6"/>
        <v>12150</v>
      </c>
      <c r="O114" s="178"/>
    </row>
    <row r="115" spans="1:23" s="2" customFormat="1" ht="19.8" customHeight="1">
      <c r="A115" s="9">
        <v>6</v>
      </c>
      <c r="B115" s="5" t="s">
        <v>72</v>
      </c>
      <c r="C115" s="23">
        <f>L115/100*75</f>
        <v>1095</v>
      </c>
      <c r="D115" s="24">
        <f>C115/100*12</f>
        <v>131.39999999999998</v>
      </c>
      <c r="E115" s="25">
        <f>C115/100*0.6</f>
        <v>6.5699999999999994</v>
      </c>
      <c r="F115" s="25"/>
      <c r="G115" s="25"/>
      <c r="H115" s="25"/>
      <c r="I115" s="25">
        <f>C115/100*2.4</f>
        <v>26.279999999999998</v>
      </c>
      <c r="J115" s="27">
        <f>C115/100*26</f>
        <v>284.7</v>
      </c>
      <c r="K115" s="27">
        <f>C115/100*0.02</f>
        <v>0.219</v>
      </c>
      <c r="L115" s="26">
        <v>1460</v>
      </c>
      <c r="M115" s="26">
        <v>20</v>
      </c>
      <c r="N115" s="135">
        <f t="shared" si="6"/>
        <v>29200</v>
      </c>
      <c r="O115" s="153"/>
    </row>
    <row r="116" spans="1:23" s="2" customFormat="1" ht="19.8" customHeight="1">
      <c r="A116" s="9">
        <v>7</v>
      </c>
      <c r="B116" s="10" t="s">
        <v>62</v>
      </c>
      <c r="C116" s="23">
        <f>L116/100*40</f>
        <v>1456</v>
      </c>
      <c r="D116" s="24">
        <f>C116/100*276</f>
        <v>4018.56</v>
      </c>
      <c r="E116" s="25">
        <f>C116/100*17.8</f>
        <v>259.16800000000001</v>
      </c>
      <c r="F116" s="136"/>
      <c r="G116" s="25">
        <f>C116/100*21.8</f>
        <v>317.40800000000002</v>
      </c>
      <c r="H116" s="25"/>
      <c r="I116" s="25"/>
      <c r="J116" s="27">
        <f>C116/100*13</f>
        <v>189.28</v>
      </c>
      <c r="K116" s="27">
        <f>C116/100*0.07</f>
        <v>1.0192000000000001</v>
      </c>
      <c r="L116" s="26">
        <v>3640</v>
      </c>
      <c r="M116" s="75">
        <v>63</v>
      </c>
      <c r="N116" s="135">
        <f t="shared" si="6"/>
        <v>229320</v>
      </c>
      <c r="O116" s="153"/>
    </row>
    <row r="117" spans="1:23" s="2" customFormat="1" ht="19.8" customHeight="1">
      <c r="A117" s="9">
        <v>8</v>
      </c>
      <c r="B117" s="5" t="s">
        <v>129</v>
      </c>
      <c r="C117" s="23">
        <f>L117/100*100</f>
        <v>40</v>
      </c>
      <c r="D117" s="24">
        <f>C117/100*247</f>
        <v>98.800000000000011</v>
      </c>
      <c r="E117" s="29"/>
      <c r="F117" s="29">
        <f>C117/100*17.5</f>
        <v>7</v>
      </c>
      <c r="G117" s="29"/>
      <c r="H117" s="29">
        <f>C117/100*1.6</f>
        <v>0.64000000000000012</v>
      </c>
      <c r="I117" s="29">
        <f>C117/100*39.2</f>
        <v>15.680000000000001</v>
      </c>
      <c r="J117" s="71"/>
      <c r="K117" s="71"/>
      <c r="L117" s="383">
        <v>40</v>
      </c>
      <c r="M117" s="75">
        <v>50</v>
      </c>
      <c r="N117" s="28">
        <f t="shared" si="6"/>
        <v>2000</v>
      </c>
      <c r="O117" s="153"/>
      <c r="Q117" s="3"/>
      <c r="R117" s="3"/>
      <c r="S117" s="4"/>
      <c r="T117" s="3"/>
    </row>
    <row r="118" spans="1:23" s="2" customFormat="1" ht="19.8" customHeight="1">
      <c r="A118" s="21" t="s">
        <v>115</v>
      </c>
      <c r="B118" s="22"/>
      <c r="C118" s="34"/>
      <c r="D118" s="121">
        <f>SUM(D110:D117)</f>
        <v>13385.98</v>
      </c>
      <c r="E118" s="43"/>
      <c r="F118" s="43"/>
      <c r="G118" s="43"/>
      <c r="H118" s="43"/>
      <c r="I118" s="43"/>
      <c r="J118" s="43"/>
      <c r="K118" s="43"/>
      <c r="L118" s="44"/>
      <c r="M118" s="44"/>
      <c r="N118" s="201">
        <f>SUM(N110:N117)</f>
        <v>324278</v>
      </c>
      <c r="O118" s="153"/>
    </row>
    <row r="119" spans="1:23" ht="19.8" customHeight="1">
      <c r="A119" s="21" t="s">
        <v>34</v>
      </c>
      <c r="B119" s="22"/>
      <c r="C119" s="61"/>
      <c r="D119" s="48">
        <f>D118/D90</f>
        <v>252.56566037735848</v>
      </c>
      <c r="E119" s="48"/>
      <c r="F119" s="48"/>
      <c r="G119" s="48"/>
      <c r="H119" s="48"/>
      <c r="I119" s="48"/>
      <c r="J119" s="48"/>
      <c r="K119" s="48"/>
      <c r="L119" s="62"/>
      <c r="M119" s="47"/>
      <c r="N119" s="243"/>
      <c r="O119" s="4"/>
      <c r="P119" s="2"/>
      <c r="Q119" s="2"/>
      <c r="R119" s="2"/>
      <c r="S119" s="2"/>
      <c r="T119" s="2"/>
      <c r="U119" s="2"/>
      <c r="V119" s="2"/>
    </row>
    <row r="120" spans="1:23" ht="19.8" customHeight="1">
      <c r="A120" s="300" t="s">
        <v>52</v>
      </c>
      <c r="B120" s="234"/>
      <c r="C120" s="384" t="s">
        <v>141</v>
      </c>
      <c r="D120" s="20" t="s">
        <v>44</v>
      </c>
      <c r="E120" s="46"/>
      <c r="F120" s="46"/>
      <c r="G120" s="46"/>
      <c r="H120" s="46"/>
      <c r="I120" s="46"/>
      <c r="J120" s="48"/>
      <c r="K120" s="48"/>
      <c r="L120" s="47"/>
      <c r="M120" s="47"/>
      <c r="N120" s="185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9.8" customHeight="1">
      <c r="A121" s="235"/>
      <c r="B121" s="236"/>
      <c r="C121" s="76" t="s">
        <v>58</v>
      </c>
      <c r="D121" s="78">
        <f>D119*100/930</f>
        <v>27.157597890038545</v>
      </c>
      <c r="E121" s="46"/>
      <c r="F121" s="46"/>
      <c r="G121" s="46"/>
      <c r="H121" s="46">
        <v>13</v>
      </c>
      <c r="I121" s="46"/>
      <c r="J121" s="48"/>
      <c r="K121" s="48"/>
      <c r="L121" s="47"/>
      <c r="M121" s="47"/>
      <c r="N121" s="185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9.8" customHeight="1">
      <c r="A122" s="244" t="s">
        <v>33</v>
      </c>
      <c r="B122" s="244"/>
      <c r="C122" s="63"/>
      <c r="D122" s="64"/>
      <c r="E122" s="64"/>
      <c r="F122" s="64"/>
      <c r="G122" s="64"/>
      <c r="H122" s="64"/>
      <c r="I122" s="64"/>
      <c r="J122" s="64"/>
      <c r="K122" s="64"/>
      <c r="L122" s="65"/>
      <c r="M122" s="65"/>
      <c r="N122" s="66"/>
      <c r="O122" s="4"/>
      <c r="P122" s="2"/>
      <c r="Q122" s="2"/>
      <c r="R122" s="2"/>
      <c r="S122" s="2"/>
      <c r="T122" s="2"/>
      <c r="U122" s="2"/>
      <c r="V122" s="2"/>
    </row>
    <row r="123" spans="1:23" s="2" customFormat="1" ht="19.8" customHeight="1">
      <c r="A123" s="103">
        <v>1</v>
      </c>
      <c r="B123" s="156" t="s">
        <v>139</v>
      </c>
      <c r="C123" s="104">
        <f>L123/100*100</f>
        <v>960</v>
      </c>
      <c r="D123" s="105">
        <f>C123/100*487</f>
        <v>4675.2</v>
      </c>
      <c r="E123" s="106"/>
      <c r="F123" s="106">
        <f>C123/100*19.5</f>
        <v>187.2</v>
      </c>
      <c r="G123" s="106"/>
      <c r="H123" s="106">
        <f>C123/100*23.2</f>
        <v>222.72</v>
      </c>
      <c r="I123" s="106">
        <f>C123/100*46</f>
        <v>441.59999999999997</v>
      </c>
      <c r="J123" s="147">
        <f>C123/100*680</f>
        <v>6528</v>
      </c>
      <c r="K123" s="106">
        <f>C123/100*0.55</f>
        <v>5.28</v>
      </c>
      <c r="L123" s="107">
        <v>960</v>
      </c>
      <c r="M123" s="157">
        <v>260</v>
      </c>
      <c r="N123" s="108">
        <f t="shared" ref="N123" si="7">L123*M123</f>
        <v>249600</v>
      </c>
      <c r="O123" s="153"/>
      <c r="P123" s="3"/>
    </row>
    <row r="124" spans="1:23" ht="19.2" customHeight="1">
      <c r="A124" s="217" t="s">
        <v>0</v>
      </c>
      <c r="B124" s="220" t="s">
        <v>18</v>
      </c>
      <c r="C124" s="223" t="s">
        <v>7</v>
      </c>
      <c r="D124" s="223" t="s">
        <v>8</v>
      </c>
      <c r="E124" s="226" t="s">
        <v>10</v>
      </c>
      <c r="F124" s="227"/>
      <c r="G124" s="226" t="s">
        <v>12</v>
      </c>
      <c r="H124" s="227"/>
      <c r="I124" s="230" t="s">
        <v>15</v>
      </c>
      <c r="J124" s="230" t="s">
        <v>39</v>
      </c>
      <c r="K124" s="230" t="s">
        <v>40</v>
      </c>
      <c r="L124" s="230" t="s">
        <v>16</v>
      </c>
      <c r="M124" s="230" t="s">
        <v>38</v>
      </c>
      <c r="N124" s="217" t="s">
        <v>17</v>
      </c>
      <c r="O124" s="177"/>
    </row>
    <row r="125" spans="1:23" ht="19.2" customHeight="1">
      <c r="A125" s="218"/>
      <c r="B125" s="221"/>
      <c r="C125" s="224"/>
      <c r="D125" s="224"/>
      <c r="E125" s="228"/>
      <c r="F125" s="229"/>
      <c r="G125" s="228"/>
      <c r="H125" s="229"/>
      <c r="I125" s="231"/>
      <c r="J125" s="231"/>
      <c r="K125" s="231"/>
      <c r="L125" s="231"/>
      <c r="M125" s="231"/>
      <c r="N125" s="218"/>
      <c r="O125" s="184"/>
    </row>
    <row r="126" spans="1:23" ht="19.2" customHeight="1">
      <c r="A126" s="218"/>
      <c r="B126" s="221"/>
      <c r="C126" s="224"/>
      <c r="D126" s="224"/>
      <c r="E126" s="230" t="s">
        <v>9</v>
      </c>
      <c r="F126" s="230" t="s">
        <v>11</v>
      </c>
      <c r="G126" s="230" t="s">
        <v>13</v>
      </c>
      <c r="H126" s="230" t="s">
        <v>14</v>
      </c>
      <c r="I126" s="231"/>
      <c r="J126" s="231"/>
      <c r="K126" s="231"/>
      <c r="L126" s="231"/>
      <c r="M126" s="231"/>
      <c r="N126" s="218"/>
      <c r="O126" s="184"/>
    </row>
    <row r="127" spans="1:23" ht="19.2" customHeight="1">
      <c r="A127" s="219"/>
      <c r="B127" s="222"/>
      <c r="C127" s="225"/>
      <c r="D127" s="225"/>
      <c r="E127" s="232"/>
      <c r="F127" s="232"/>
      <c r="G127" s="232"/>
      <c r="H127" s="232"/>
      <c r="I127" s="232"/>
      <c r="J127" s="232"/>
      <c r="K127" s="232"/>
      <c r="L127" s="232"/>
      <c r="M127" s="232"/>
      <c r="N127" s="219"/>
      <c r="O127" s="184"/>
    </row>
    <row r="128" spans="1:23" s="2" customFormat="1" ht="19.2" customHeight="1">
      <c r="A128" s="21" t="s">
        <v>102</v>
      </c>
      <c r="B128" s="22"/>
      <c r="C128" s="34"/>
      <c r="D128" s="35">
        <f>SUM(D122:D123)</f>
        <v>4675.2</v>
      </c>
      <c r="E128" s="43"/>
      <c r="F128" s="43"/>
      <c r="G128" s="43"/>
      <c r="H128" s="43"/>
      <c r="I128" s="43"/>
      <c r="J128" s="43"/>
      <c r="K128" s="43"/>
      <c r="L128" s="44"/>
      <c r="M128" s="44"/>
      <c r="N128" s="201">
        <f>SUM(N122:N123)</f>
        <v>249600</v>
      </c>
      <c r="O128" s="153"/>
    </row>
    <row r="129" spans="1:23" ht="19.2" customHeight="1">
      <c r="A129" s="21" t="s">
        <v>6</v>
      </c>
      <c r="B129" s="22"/>
      <c r="C129" s="45"/>
      <c r="D129" s="46">
        <f>D128/D90</f>
        <v>88.211320754716979</v>
      </c>
      <c r="E129" s="46"/>
      <c r="F129" s="46"/>
      <c r="G129" s="46"/>
      <c r="H129" s="46"/>
      <c r="I129" s="46"/>
      <c r="J129" s="46"/>
      <c r="K129" s="46"/>
      <c r="L129" s="47"/>
      <c r="M129" s="47"/>
      <c r="N129" s="202"/>
      <c r="O129" s="4"/>
      <c r="P129" s="2"/>
      <c r="Q129" s="2"/>
      <c r="R129" s="2"/>
      <c r="S129" s="2"/>
      <c r="T129" s="2"/>
      <c r="U129" s="2"/>
      <c r="V129" s="2"/>
    </row>
    <row r="130" spans="1:23" ht="19.2" customHeight="1">
      <c r="A130" s="300" t="s">
        <v>50</v>
      </c>
      <c r="B130" s="234"/>
      <c r="C130" s="384" t="s">
        <v>141</v>
      </c>
      <c r="D130" s="20" t="s">
        <v>48</v>
      </c>
      <c r="E130" s="46"/>
      <c r="F130" s="46"/>
      <c r="G130" s="46"/>
      <c r="H130" s="46"/>
      <c r="I130" s="46"/>
      <c r="J130" s="48"/>
      <c r="K130" s="48"/>
      <c r="L130" s="47"/>
      <c r="M130" s="47"/>
      <c r="N130" s="185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19.2" customHeight="1">
      <c r="A131" s="235"/>
      <c r="B131" s="236"/>
      <c r="C131" s="76" t="s">
        <v>58</v>
      </c>
      <c r="D131" s="20">
        <f>D129*100/930</f>
        <v>9.4850882531953751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85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9.2" customHeight="1">
      <c r="A132" s="292" t="s">
        <v>103</v>
      </c>
      <c r="B132" s="293"/>
      <c r="C132" s="296"/>
      <c r="D132" s="308">
        <f>D105+D118+D128</f>
        <v>33038.957399999999</v>
      </c>
      <c r="E132" s="7">
        <f>SUM(E97:E122)</f>
        <v>688.60599999999999</v>
      </c>
      <c r="F132" s="7">
        <f>SUM(F96:F123)</f>
        <v>577.68345999999997</v>
      </c>
      <c r="G132" s="7">
        <f t="shared" ref="G132" si="8">SUM(G97:G122)</f>
        <v>935.05920000000003</v>
      </c>
      <c r="H132" s="7">
        <f>SUM(H96:H123)</f>
        <v>383.35082</v>
      </c>
      <c r="I132" s="290">
        <f>SUM(I96:I123)</f>
        <v>3896.5815200000002</v>
      </c>
      <c r="J132" s="290">
        <f>SUM(J96:J123)</f>
        <v>9408.7767999999996</v>
      </c>
      <c r="K132" s="290">
        <f>SUM(K96:K123)</f>
        <v>17.189692000000001</v>
      </c>
      <c r="L132" s="274"/>
      <c r="M132" s="274"/>
      <c r="N132" s="310">
        <f>N105+N118+N128</f>
        <v>1165990</v>
      </c>
      <c r="U132" s="12"/>
      <c r="V132" s="12"/>
    </row>
    <row r="133" spans="1:23" ht="19.2" customHeight="1">
      <c r="A133" s="294"/>
      <c r="B133" s="295"/>
      <c r="C133" s="297"/>
      <c r="D133" s="309"/>
      <c r="E133" s="301">
        <f>E132+F132</f>
        <v>1266.28946</v>
      </c>
      <c r="F133" s="302"/>
      <c r="G133" s="301">
        <f>G132+H132</f>
        <v>1318.41002</v>
      </c>
      <c r="H133" s="302"/>
      <c r="I133" s="291"/>
      <c r="J133" s="291"/>
      <c r="K133" s="291"/>
      <c r="L133" s="274"/>
      <c r="M133" s="274"/>
      <c r="N133" s="310"/>
      <c r="U133" s="12"/>
      <c r="V133" s="12"/>
    </row>
    <row r="134" spans="1:23" ht="19.2" customHeight="1">
      <c r="A134" s="275" t="s">
        <v>74</v>
      </c>
      <c r="B134" s="276"/>
      <c r="C134" s="277"/>
      <c r="D134" s="133">
        <f>D132/D90</f>
        <v>623.3765547169811</v>
      </c>
      <c r="E134" s="410">
        <f>E132/D90</f>
        <v>12.992566037735848</v>
      </c>
      <c r="F134" s="409">
        <f>F132/D90</f>
        <v>10.899687924528301</v>
      </c>
      <c r="G134" s="410">
        <f>G132/D90</f>
        <v>17.642626415094341</v>
      </c>
      <c r="H134" s="409">
        <f>H132/D90</f>
        <v>7.2330343396226411</v>
      </c>
      <c r="I134" s="306">
        <f>I132/D90</f>
        <v>73.520406037735853</v>
      </c>
      <c r="J134" s="306">
        <f>J132/D90</f>
        <v>177.52409056603773</v>
      </c>
      <c r="K134" s="306">
        <f>K132/D90</f>
        <v>0.32433381132075473</v>
      </c>
      <c r="L134" s="274"/>
      <c r="M134" s="274"/>
      <c r="N134" s="310"/>
      <c r="P134" s="398"/>
      <c r="Q134" s="399"/>
      <c r="R134" s="399"/>
      <c r="S134" s="399"/>
      <c r="T134" s="399"/>
      <c r="U134" s="400"/>
      <c r="V134" s="400"/>
    </row>
    <row r="135" spans="1:23" ht="19.2" customHeight="1">
      <c r="A135" s="278"/>
      <c r="B135" s="279"/>
      <c r="C135" s="280"/>
      <c r="D135" s="127"/>
      <c r="E135" s="387">
        <f>E134+F134</f>
        <v>23.892253962264149</v>
      </c>
      <c r="F135" s="388"/>
      <c r="G135" s="387">
        <f>G134+H134</f>
        <v>24.875660754716982</v>
      </c>
      <c r="H135" s="388"/>
      <c r="I135" s="307"/>
      <c r="J135" s="307"/>
      <c r="K135" s="307"/>
      <c r="L135" s="274"/>
      <c r="M135" s="274"/>
      <c r="N135" s="310"/>
      <c r="P135" s="401"/>
      <c r="Q135" s="399"/>
      <c r="R135" s="399"/>
      <c r="S135" s="404"/>
      <c r="T135" s="404"/>
      <c r="U135" s="399"/>
      <c r="V135" s="399"/>
    </row>
    <row r="136" spans="1:23" ht="19.2" customHeight="1">
      <c r="A136" s="324" t="s">
        <v>77</v>
      </c>
      <c r="B136" s="325"/>
      <c r="C136" s="326"/>
      <c r="D136" s="187" t="s">
        <v>27</v>
      </c>
      <c r="E136" s="347" t="s">
        <v>22</v>
      </c>
      <c r="F136" s="347"/>
      <c r="G136" s="347" t="s">
        <v>23</v>
      </c>
      <c r="H136" s="347"/>
      <c r="I136" s="187" t="s">
        <v>24</v>
      </c>
      <c r="J136" s="182">
        <v>500</v>
      </c>
      <c r="K136" s="182">
        <v>0.5</v>
      </c>
      <c r="L136" s="274"/>
      <c r="M136" s="274"/>
      <c r="N136" s="310"/>
      <c r="O136" s="180"/>
      <c r="P136" s="398"/>
      <c r="Q136" s="403"/>
      <c r="R136" s="403"/>
      <c r="S136" s="403"/>
      <c r="T136" s="403"/>
      <c r="U136" s="398"/>
      <c r="V136" s="398"/>
    </row>
    <row r="137" spans="1:23" ht="19.2" customHeight="1">
      <c r="A137" s="251" t="s">
        <v>75</v>
      </c>
      <c r="B137" s="281"/>
      <c r="C137" s="252"/>
      <c r="D137" s="49"/>
      <c r="E137" s="282">
        <f>E135*4.1</f>
        <v>97.958241245283006</v>
      </c>
      <c r="F137" s="283"/>
      <c r="G137" s="282">
        <f>G135*9</f>
        <v>223.88094679245285</v>
      </c>
      <c r="H137" s="283"/>
      <c r="I137" s="85">
        <f>I134*4.1</f>
        <v>301.43366475471697</v>
      </c>
      <c r="J137" s="263"/>
      <c r="K137" s="263"/>
      <c r="L137" s="274"/>
      <c r="M137" s="274"/>
      <c r="N137" s="310"/>
      <c r="O137" s="180"/>
      <c r="P137" s="402"/>
      <c r="Q137" s="398"/>
      <c r="R137" s="398"/>
      <c r="S137" s="398"/>
      <c r="T137" s="398"/>
      <c r="U137" s="398"/>
      <c r="V137" s="398"/>
    </row>
    <row r="138" spans="1:23" ht="19.2" customHeight="1">
      <c r="A138" s="284" t="s">
        <v>84</v>
      </c>
      <c r="B138" s="285"/>
      <c r="C138" s="251" t="s">
        <v>57</v>
      </c>
      <c r="D138" s="252"/>
      <c r="E138" s="197">
        <f>E137*100/D134</f>
        <v>15.714136263876171</v>
      </c>
      <c r="F138" s="198"/>
      <c r="G138" s="197">
        <f>G137*100/D134</f>
        <v>35.914239170271159</v>
      </c>
      <c r="H138" s="198"/>
      <c r="I138" s="115">
        <f>I137*100/D134</f>
        <v>48.354989046960661</v>
      </c>
      <c r="J138" s="264"/>
      <c r="K138" s="264"/>
      <c r="L138" s="274"/>
      <c r="M138" s="274"/>
      <c r="N138" s="310"/>
      <c r="O138" s="180"/>
    </row>
    <row r="139" spans="1:23" ht="19.2" customHeight="1">
      <c r="A139" s="286"/>
      <c r="B139" s="287"/>
      <c r="C139" s="251" t="s">
        <v>76</v>
      </c>
      <c r="D139" s="252"/>
      <c r="E139" s="251" t="s">
        <v>79</v>
      </c>
      <c r="F139" s="252"/>
      <c r="G139" s="251" t="s">
        <v>82</v>
      </c>
      <c r="H139" s="252"/>
      <c r="I139" s="187" t="s">
        <v>83</v>
      </c>
      <c r="J139" s="265"/>
      <c r="K139" s="265"/>
      <c r="L139" s="274"/>
      <c r="M139" s="274"/>
      <c r="N139" s="310"/>
      <c r="O139" s="180"/>
      <c r="P139" s="132"/>
    </row>
    <row r="140" spans="1:23" ht="18" customHeight="1">
      <c r="A140" s="90"/>
      <c r="B140" s="93"/>
      <c r="C140" s="90"/>
      <c r="D140" s="90"/>
      <c r="E140" s="90"/>
      <c r="F140" s="90"/>
      <c r="G140" s="90"/>
      <c r="H140" s="90"/>
      <c r="I140" s="90"/>
      <c r="J140" s="90"/>
      <c r="K140" s="90"/>
      <c r="L140" s="91"/>
      <c r="M140" s="91"/>
      <c r="N140" s="92"/>
      <c r="O140" s="180"/>
    </row>
    <row r="141" spans="1:23" ht="21" customHeight="1">
      <c r="A141" s="192" t="s">
        <v>110</v>
      </c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80"/>
    </row>
    <row r="142" spans="1:23" ht="21" customHeight="1">
      <c r="A142" s="117" t="s">
        <v>111</v>
      </c>
      <c r="B142" s="193" t="s">
        <v>112</v>
      </c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80"/>
    </row>
    <row r="143" spans="1:23" ht="21" customHeight="1">
      <c r="A143" s="118"/>
      <c r="B143" s="194" t="s">
        <v>199</v>
      </c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80"/>
    </row>
    <row r="144" spans="1:23" ht="21" customHeight="1">
      <c r="A144" s="118"/>
      <c r="B144" s="194" t="s">
        <v>200</v>
      </c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80"/>
    </row>
    <row r="145" spans="1:15" ht="21" customHeight="1">
      <c r="A145" s="118"/>
      <c r="B145" s="194" t="s">
        <v>201</v>
      </c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80"/>
    </row>
    <row r="146" spans="1:15" ht="21" customHeight="1">
      <c r="A146" s="90"/>
      <c r="B146" s="195" t="s">
        <v>126</v>
      </c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80"/>
    </row>
    <row r="147" spans="1:15" ht="21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4"/>
      <c r="M147" s="94"/>
      <c r="N147" s="95"/>
      <c r="O147" s="180"/>
    </row>
    <row r="148" spans="1:15" ht="21" customHeight="1">
      <c r="A148" s="196" t="s">
        <v>60</v>
      </c>
      <c r="B148" s="196"/>
      <c r="C148" s="196"/>
      <c r="D148" s="196"/>
      <c r="E148" s="390"/>
      <c r="F148" s="390"/>
      <c r="G148" s="390"/>
      <c r="H148" s="390"/>
      <c r="I148" s="390"/>
      <c r="J148" s="391" t="s">
        <v>31</v>
      </c>
      <c r="K148" s="391"/>
      <c r="L148" s="391"/>
      <c r="M148" s="391"/>
      <c r="N148" s="391"/>
      <c r="O148" s="180"/>
    </row>
    <row r="149" spans="1:15" ht="21" customHeight="1">
      <c r="A149" s="184"/>
      <c r="B149" s="184"/>
      <c r="C149" s="184"/>
      <c r="D149" s="390"/>
      <c r="E149" s="390"/>
      <c r="F149" s="390"/>
      <c r="G149" s="390"/>
      <c r="H149" s="392"/>
      <c r="I149" s="392"/>
      <c r="J149" s="392"/>
      <c r="K149" s="392"/>
      <c r="L149" s="392"/>
      <c r="M149" s="392"/>
      <c r="N149" s="392"/>
      <c r="O149" s="180"/>
    </row>
    <row r="150" spans="1:15" ht="21" customHeight="1">
      <c r="A150" s="184"/>
      <c r="B150" s="184"/>
      <c r="C150" s="184"/>
      <c r="D150" s="390"/>
      <c r="E150" s="390"/>
      <c r="F150" s="390"/>
      <c r="G150" s="390"/>
      <c r="H150" s="392"/>
      <c r="I150" s="392"/>
      <c r="J150" s="392"/>
      <c r="K150" s="392"/>
      <c r="L150" s="392"/>
      <c r="M150" s="392"/>
      <c r="N150" s="392"/>
      <c r="O150" s="180"/>
    </row>
    <row r="151" spans="1:15" ht="21" customHeight="1">
      <c r="A151" s="184"/>
      <c r="B151" s="184"/>
      <c r="C151" s="184"/>
      <c r="D151" s="390"/>
      <c r="E151" s="390"/>
      <c r="F151" s="390"/>
      <c r="G151" s="390"/>
      <c r="H151" s="392"/>
      <c r="I151" s="392"/>
      <c r="J151" s="393" t="s">
        <v>120</v>
      </c>
      <c r="K151" s="393"/>
      <c r="L151" s="393"/>
      <c r="M151" s="393"/>
      <c r="N151" s="393"/>
      <c r="O151" s="180"/>
    </row>
    <row r="152" spans="1:15" ht="21" customHeight="1">
      <c r="A152" s="188" t="s">
        <v>88</v>
      </c>
      <c r="B152" s="188"/>
      <c r="C152" s="188"/>
      <c r="D152" s="188"/>
      <c r="E152" s="390"/>
      <c r="F152" s="390"/>
      <c r="G152" s="390"/>
      <c r="H152" s="392"/>
      <c r="I152" s="392"/>
      <c r="J152" s="393"/>
      <c r="K152" s="393"/>
      <c r="L152" s="393"/>
      <c r="M152" s="393"/>
      <c r="N152" s="393"/>
      <c r="O152" s="180"/>
    </row>
    <row r="153" spans="1:15" ht="21" customHeight="1"/>
    <row r="154" spans="1:15" ht="21" customHeight="1">
      <c r="J154" s="393" t="s">
        <v>123</v>
      </c>
      <c r="K154" s="393"/>
      <c r="L154" s="393"/>
      <c r="M154" s="393"/>
      <c r="N154" s="393"/>
    </row>
  </sheetData>
  <mergeCells count="203">
    <mergeCell ref="A8:D8"/>
    <mergeCell ref="J151:N151"/>
    <mergeCell ref="A152:D152"/>
    <mergeCell ref="J154:N154"/>
    <mergeCell ref="Q134:R134"/>
    <mergeCell ref="S134:T134"/>
    <mergeCell ref="U134:V134"/>
    <mergeCell ref="Q135:R135"/>
    <mergeCell ref="S135:T135"/>
    <mergeCell ref="U135:V135"/>
    <mergeCell ref="A136:C136"/>
    <mergeCell ref="A137:C137"/>
    <mergeCell ref="J137:J139"/>
    <mergeCell ref="K137:K139"/>
    <mergeCell ref="A138:B139"/>
    <mergeCell ref="C138:D138"/>
    <mergeCell ref="E138:F138"/>
    <mergeCell ref="G138:H138"/>
    <mergeCell ref="C139:D139"/>
    <mergeCell ref="E139:F139"/>
    <mergeCell ref="G139:H139"/>
    <mergeCell ref="J152:N152"/>
    <mergeCell ref="B142:N142"/>
    <mergeCell ref="B143:N143"/>
    <mergeCell ref="B144:N144"/>
    <mergeCell ref="N128:N129"/>
    <mergeCell ref="A132:B133"/>
    <mergeCell ref="C132:C133"/>
    <mergeCell ref="D132:D133"/>
    <mergeCell ref="L132:L139"/>
    <mergeCell ref="M132:M139"/>
    <mergeCell ref="N132:N139"/>
    <mergeCell ref="A134:C135"/>
    <mergeCell ref="I134:I135"/>
    <mergeCell ref="J134:J135"/>
    <mergeCell ref="K134:K135"/>
    <mergeCell ref="A130:B131"/>
    <mergeCell ref="A141:N141"/>
    <mergeCell ref="A109:B109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F81:N81"/>
    <mergeCell ref="A85:D86"/>
    <mergeCell ref="E85:N85"/>
    <mergeCell ref="E86:I86"/>
    <mergeCell ref="E87:I89"/>
    <mergeCell ref="A88:D88"/>
    <mergeCell ref="J88:N88"/>
    <mergeCell ref="A89:D89"/>
    <mergeCell ref="J89:N89"/>
    <mergeCell ref="A87:D87"/>
    <mergeCell ref="Q51:R51"/>
    <mergeCell ref="S51:T51"/>
    <mergeCell ref="U51:V51"/>
    <mergeCell ref="A54:C54"/>
    <mergeCell ref="J54:J56"/>
    <mergeCell ref="K54:K56"/>
    <mergeCell ref="A55:B56"/>
    <mergeCell ref="C56:D56"/>
    <mergeCell ref="E56:F56"/>
    <mergeCell ref="G56:H56"/>
    <mergeCell ref="A49:B50"/>
    <mergeCell ref="C49:C50"/>
    <mergeCell ref="D49:D50"/>
    <mergeCell ref="I49:I50"/>
    <mergeCell ref="J49:J50"/>
    <mergeCell ref="K49:K50"/>
    <mergeCell ref="L49:L56"/>
    <mergeCell ref="M49:M56"/>
    <mergeCell ref="N49:N56"/>
    <mergeCell ref="E50:F50"/>
    <mergeCell ref="G50:H50"/>
    <mergeCell ref="A51:C52"/>
    <mergeCell ref="I51:I52"/>
    <mergeCell ref="J51:J52"/>
    <mergeCell ref="K51:K52"/>
    <mergeCell ref="C55:D55"/>
    <mergeCell ref="L41:L44"/>
    <mergeCell ref="M41:M44"/>
    <mergeCell ref="N41:N44"/>
    <mergeCell ref="E43:E44"/>
    <mergeCell ref="F43:F44"/>
    <mergeCell ref="G43:G44"/>
    <mergeCell ref="H43:H44"/>
    <mergeCell ref="N45:N46"/>
    <mergeCell ref="A47:B48"/>
    <mergeCell ref="D11:D14"/>
    <mergeCell ref="E11:F12"/>
    <mergeCell ref="G11:H12"/>
    <mergeCell ref="I11:I14"/>
    <mergeCell ref="J11:J14"/>
    <mergeCell ref="K11:K14"/>
    <mergeCell ref="A28:B29"/>
    <mergeCell ref="A30:B30"/>
    <mergeCell ref="A41:A44"/>
    <mergeCell ref="B41:B44"/>
    <mergeCell ref="C41:C44"/>
    <mergeCell ref="D41:D44"/>
    <mergeCell ref="E41:F42"/>
    <mergeCell ref="G41:H42"/>
    <mergeCell ref="I41:I44"/>
    <mergeCell ref="J41:J44"/>
    <mergeCell ref="K41:K44"/>
    <mergeCell ref="U50:V50"/>
    <mergeCell ref="G52:H52"/>
    <mergeCell ref="F1:N1"/>
    <mergeCell ref="E52:F52"/>
    <mergeCell ref="G55:H55"/>
    <mergeCell ref="E53:F53"/>
    <mergeCell ref="E136:F136"/>
    <mergeCell ref="G136:H136"/>
    <mergeCell ref="E137:F137"/>
    <mergeCell ref="G137:H137"/>
    <mergeCell ref="E54:F54"/>
    <mergeCell ref="I132:I133"/>
    <mergeCell ref="E133:F133"/>
    <mergeCell ref="G133:H133"/>
    <mergeCell ref="Q50:R50"/>
    <mergeCell ref="S50:T50"/>
    <mergeCell ref="E135:F135"/>
    <mergeCell ref="G135:H135"/>
    <mergeCell ref="J86:N86"/>
    <mergeCell ref="J87:N87"/>
    <mergeCell ref="J132:J133"/>
    <mergeCell ref="K132:K133"/>
    <mergeCell ref="E55:F55"/>
    <mergeCell ref="A58:N58"/>
    <mergeCell ref="J72:N72"/>
    <mergeCell ref="A5:D5"/>
    <mergeCell ref="A6:D6"/>
    <mergeCell ref="A7:D7"/>
    <mergeCell ref="A53:C53"/>
    <mergeCell ref="G54:H54"/>
    <mergeCell ref="E5:N5"/>
    <mergeCell ref="E6:I9"/>
    <mergeCell ref="J6:N9"/>
    <mergeCell ref="A9:D9"/>
    <mergeCell ref="A10:C10"/>
    <mergeCell ref="G53:H53"/>
    <mergeCell ref="L11:L14"/>
    <mergeCell ref="M11:M14"/>
    <mergeCell ref="N11:N14"/>
    <mergeCell ref="E13:E14"/>
    <mergeCell ref="F13:F14"/>
    <mergeCell ref="G13:G14"/>
    <mergeCell ref="H13:H14"/>
    <mergeCell ref="A15:N15"/>
    <mergeCell ref="N26:N27"/>
    <mergeCell ref="A11:A14"/>
    <mergeCell ref="B11:B14"/>
    <mergeCell ref="C11:C14"/>
    <mergeCell ref="B59:N59"/>
    <mergeCell ref="B60:N60"/>
    <mergeCell ref="B61:N61"/>
    <mergeCell ref="B62:N62"/>
    <mergeCell ref="J68:N68"/>
    <mergeCell ref="J71:N71"/>
    <mergeCell ref="B63:N63"/>
    <mergeCell ref="A65:D65"/>
    <mergeCell ref="J65:N65"/>
    <mergeCell ref="A69:D69"/>
    <mergeCell ref="J69:N69"/>
    <mergeCell ref="B145:N145"/>
    <mergeCell ref="B146:N146"/>
    <mergeCell ref="A148:D148"/>
    <mergeCell ref="J148:N148"/>
    <mergeCell ref="A90:C90"/>
    <mergeCell ref="A91:A94"/>
    <mergeCell ref="B91:B94"/>
    <mergeCell ref="C91:C94"/>
    <mergeCell ref="D91:D94"/>
    <mergeCell ref="E91:F92"/>
    <mergeCell ref="G91:H92"/>
    <mergeCell ref="I91:I94"/>
    <mergeCell ref="J91:J94"/>
    <mergeCell ref="K91:K94"/>
    <mergeCell ref="L91:L94"/>
    <mergeCell ref="M91:M94"/>
    <mergeCell ref="N91:N94"/>
    <mergeCell ref="E93:E94"/>
    <mergeCell ref="F93:F94"/>
    <mergeCell ref="G93:G94"/>
    <mergeCell ref="H93:H94"/>
    <mergeCell ref="A95:N95"/>
    <mergeCell ref="N105:N106"/>
    <mergeCell ref="A107:B108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6"/>
  <sheetViews>
    <sheetView zoomScale="106" zoomScaleNormal="106" workbookViewId="0">
      <selection activeCell="O1" sqref="O1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63</v>
      </c>
      <c r="B1" s="8"/>
      <c r="C1" s="8"/>
      <c r="D1" s="8"/>
      <c r="E1" s="8"/>
      <c r="F1" s="299" t="s">
        <v>29</v>
      </c>
      <c r="G1" s="299"/>
      <c r="H1" s="299"/>
      <c r="I1" s="299"/>
      <c r="J1" s="299"/>
      <c r="K1" s="299"/>
      <c r="L1" s="299"/>
      <c r="M1" s="299"/>
      <c r="N1" s="299"/>
      <c r="O1" s="175"/>
      <c r="P1" s="175"/>
      <c r="T1" s="2"/>
    </row>
    <row r="2" spans="1:20" ht="18.600000000000001" customHeight="1">
      <c r="A2" s="11"/>
      <c r="B2" s="8"/>
      <c r="C2" s="8"/>
      <c r="D2" s="8"/>
      <c r="E2" s="8"/>
      <c r="F2" s="181"/>
      <c r="G2" s="181"/>
      <c r="H2" s="181"/>
      <c r="I2" s="181"/>
      <c r="J2" s="181"/>
      <c r="K2" s="181"/>
      <c r="L2" s="181"/>
      <c r="M2" s="181"/>
      <c r="N2" s="181"/>
      <c r="O2" s="175"/>
      <c r="P2" s="175"/>
      <c r="T2" s="2"/>
    </row>
    <row r="3" spans="1:20" ht="18.600000000000001" customHeight="1">
      <c r="A3" s="8" t="s">
        <v>202</v>
      </c>
      <c r="B3" s="8"/>
      <c r="C3" s="8"/>
      <c r="D3" s="8"/>
      <c r="E3" s="8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  <c r="T3" s="2"/>
    </row>
    <row r="4" spans="1:20" ht="18.600000000000001" customHeight="1">
      <c r="A4" s="8"/>
      <c r="B4" s="8"/>
      <c r="C4" s="8"/>
      <c r="D4" s="8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  <c r="T4" s="2"/>
    </row>
    <row r="5" spans="1:20" s="2" customFormat="1" ht="19.8" customHeight="1">
      <c r="A5" s="203" t="s">
        <v>93</v>
      </c>
      <c r="B5" s="203"/>
      <c r="C5" s="203"/>
      <c r="D5" s="203"/>
      <c r="E5" s="203" t="s">
        <v>94</v>
      </c>
      <c r="F5" s="203"/>
      <c r="G5" s="203"/>
      <c r="H5" s="203"/>
      <c r="I5" s="203"/>
      <c r="J5" s="203"/>
      <c r="K5" s="203"/>
      <c r="L5" s="203"/>
      <c r="M5" s="203"/>
      <c r="N5" s="203"/>
      <c r="O5" s="176"/>
    </row>
    <row r="6" spans="1:20" s="2" customFormat="1" ht="19.8" customHeight="1">
      <c r="A6" s="204" t="s">
        <v>87</v>
      </c>
      <c r="B6" s="204"/>
      <c r="C6" s="204"/>
      <c r="D6" s="204"/>
      <c r="E6" s="207" t="s">
        <v>73</v>
      </c>
      <c r="F6" s="207"/>
      <c r="G6" s="207"/>
      <c r="H6" s="207"/>
      <c r="I6" s="207"/>
      <c r="J6" s="311" t="s">
        <v>178</v>
      </c>
      <c r="K6" s="209"/>
      <c r="L6" s="209"/>
      <c r="M6" s="209"/>
      <c r="N6" s="210"/>
      <c r="O6" s="176"/>
    </row>
    <row r="7" spans="1:20" s="2" customFormat="1" ht="19.8" customHeight="1">
      <c r="A7" s="240" t="s">
        <v>147</v>
      </c>
      <c r="B7" s="241"/>
      <c r="C7" s="241"/>
      <c r="D7" s="242"/>
      <c r="E7" s="207"/>
      <c r="F7" s="207"/>
      <c r="G7" s="207"/>
      <c r="H7" s="207"/>
      <c r="I7" s="207"/>
      <c r="J7" s="211"/>
      <c r="K7" s="212"/>
      <c r="L7" s="212"/>
      <c r="M7" s="212"/>
      <c r="N7" s="213"/>
      <c r="O7" s="176"/>
    </row>
    <row r="8" spans="1:20" s="2" customFormat="1" ht="19.8" customHeight="1">
      <c r="A8" s="205" t="s">
        <v>146</v>
      </c>
      <c r="B8" s="205"/>
      <c r="C8" s="205"/>
      <c r="D8" s="205"/>
      <c r="E8" s="207"/>
      <c r="F8" s="207"/>
      <c r="G8" s="207"/>
      <c r="H8" s="207"/>
      <c r="I8" s="207"/>
      <c r="J8" s="211"/>
      <c r="K8" s="212"/>
      <c r="L8" s="212"/>
      <c r="M8" s="212"/>
      <c r="N8" s="213"/>
      <c r="O8" s="176"/>
    </row>
    <row r="9" spans="1:20" s="2" customFormat="1" ht="19.8" customHeight="1">
      <c r="A9" s="206" t="s">
        <v>177</v>
      </c>
      <c r="B9" s="206"/>
      <c r="C9" s="206"/>
      <c r="D9" s="206"/>
      <c r="E9" s="207"/>
      <c r="F9" s="207"/>
      <c r="G9" s="207"/>
      <c r="H9" s="207"/>
      <c r="I9" s="207"/>
      <c r="J9" s="214"/>
      <c r="K9" s="215"/>
      <c r="L9" s="215"/>
      <c r="M9" s="215"/>
      <c r="N9" s="216"/>
      <c r="O9" s="176"/>
    </row>
    <row r="10" spans="1:20" s="2" customFormat="1" ht="19.8" customHeight="1">
      <c r="A10" s="237" t="s">
        <v>118</v>
      </c>
      <c r="B10" s="238"/>
      <c r="C10" s="239"/>
      <c r="D10" s="128">
        <v>199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76"/>
    </row>
    <row r="11" spans="1:20" ht="19.8" customHeight="1">
      <c r="A11" s="217" t="s">
        <v>64</v>
      </c>
      <c r="B11" s="220" t="s">
        <v>18</v>
      </c>
      <c r="C11" s="312" t="s">
        <v>7</v>
      </c>
      <c r="D11" s="223" t="s">
        <v>8</v>
      </c>
      <c r="E11" s="226" t="s">
        <v>10</v>
      </c>
      <c r="F11" s="227"/>
      <c r="G11" s="226" t="s">
        <v>12</v>
      </c>
      <c r="H11" s="227"/>
      <c r="I11" s="230" t="s">
        <v>15</v>
      </c>
      <c r="J11" s="230" t="s">
        <v>39</v>
      </c>
      <c r="K11" s="230" t="s">
        <v>40</v>
      </c>
      <c r="L11" s="230" t="s">
        <v>16</v>
      </c>
      <c r="M11" s="230" t="s">
        <v>53</v>
      </c>
      <c r="N11" s="217" t="s">
        <v>17</v>
      </c>
      <c r="O11" s="177"/>
    </row>
    <row r="12" spans="1:20" ht="19.8" customHeight="1">
      <c r="A12" s="218"/>
      <c r="B12" s="221"/>
      <c r="C12" s="313"/>
      <c r="D12" s="224"/>
      <c r="E12" s="228"/>
      <c r="F12" s="229"/>
      <c r="G12" s="228"/>
      <c r="H12" s="229"/>
      <c r="I12" s="231"/>
      <c r="J12" s="231"/>
      <c r="K12" s="231"/>
      <c r="L12" s="231"/>
      <c r="M12" s="231"/>
      <c r="N12" s="218"/>
      <c r="O12" s="184"/>
    </row>
    <row r="13" spans="1:20" ht="19.8" customHeight="1">
      <c r="A13" s="218"/>
      <c r="B13" s="221"/>
      <c r="C13" s="313"/>
      <c r="D13" s="224"/>
      <c r="E13" s="230" t="s">
        <v>9</v>
      </c>
      <c r="F13" s="230" t="s">
        <v>11</v>
      </c>
      <c r="G13" s="230" t="s">
        <v>13</v>
      </c>
      <c r="H13" s="230" t="s">
        <v>14</v>
      </c>
      <c r="I13" s="231"/>
      <c r="J13" s="231"/>
      <c r="K13" s="231"/>
      <c r="L13" s="231"/>
      <c r="M13" s="231"/>
      <c r="N13" s="218"/>
      <c r="O13" s="184"/>
    </row>
    <row r="14" spans="1:20" ht="19.8" customHeight="1">
      <c r="A14" s="219"/>
      <c r="B14" s="222"/>
      <c r="C14" s="314"/>
      <c r="D14" s="225"/>
      <c r="E14" s="232"/>
      <c r="F14" s="232"/>
      <c r="G14" s="232"/>
      <c r="H14" s="232"/>
      <c r="I14" s="232"/>
      <c r="J14" s="232"/>
      <c r="K14" s="232"/>
      <c r="L14" s="232"/>
      <c r="M14" s="232"/>
      <c r="N14" s="219"/>
      <c r="O14" s="184"/>
    </row>
    <row r="15" spans="1:20" ht="21.6" customHeight="1">
      <c r="A15" s="246" t="s">
        <v>32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84"/>
    </row>
    <row r="16" spans="1:20" s="2" customFormat="1" ht="21.6" customHeight="1">
      <c r="A16" s="9">
        <v>1</v>
      </c>
      <c r="B16" s="10" t="s">
        <v>2</v>
      </c>
      <c r="C16" s="23">
        <f>L16/100*100</f>
        <v>260</v>
      </c>
      <c r="D16" s="24">
        <f>C16/100*60</f>
        <v>156</v>
      </c>
      <c r="E16" s="25">
        <f>C16/100*15</f>
        <v>39</v>
      </c>
      <c r="F16" s="25"/>
      <c r="G16" s="25"/>
      <c r="H16" s="25"/>
      <c r="I16" s="25"/>
      <c r="J16" s="27">
        <f>C16/100*387</f>
        <v>1006.2</v>
      </c>
      <c r="K16" s="27">
        <f>C16/100*0.09</f>
        <v>0.23399999999999999</v>
      </c>
      <c r="L16" s="137">
        <v>260</v>
      </c>
      <c r="M16" s="75">
        <v>20</v>
      </c>
      <c r="N16" s="135">
        <f>L16*M16</f>
        <v>5200</v>
      </c>
      <c r="O16" s="153"/>
    </row>
    <row r="17" spans="1:20" s="2" customFormat="1" ht="21.6" customHeight="1">
      <c r="A17" s="9">
        <v>2</v>
      </c>
      <c r="B17" s="146" t="s">
        <v>134</v>
      </c>
      <c r="C17" s="23">
        <f>L17/100*100</f>
        <v>840</v>
      </c>
      <c r="D17" s="24">
        <f>C17/100*899</f>
        <v>7551.6</v>
      </c>
      <c r="E17" s="25"/>
      <c r="F17" s="25"/>
      <c r="G17" s="25">
        <f>C17/100*100</f>
        <v>840</v>
      </c>
      <c r="H17" s="25"/>
      <c r="I17" s="25"/>
      <c r="J17" s="27"/>
      <c r="K17" s="27"/>
      <c r="L17" s="137">
        <v>840</v>
      </c>
      <c r="M17" s="75">
        <v>69</v>
      </c>
      <c r="N17" s="135">
        <f t="shared" ref="N17:N25" si="0">L17*M17</f>
        <v>57960</v>
      </c>
      <c r="O17" s="153"/>
    </row>
    <row r="18" spans="1:20" s="2" customFormat="1" ht="21.6" customHeight="1">
      <c r="A18" s="9">
        <v>3</v>
      </c>
      <c r="B18" s="5" t="s">
        <v>1</v>
      </c>
      <c r="C18" s="23">
        <f>L18/100*100</f>
        <v>18905</v>
      </c>
      <c r="D18" s="120">
        <f>C18/100*328</f>
        <v>62008.4</v>
      </c>
      <c r="E18" s="25"/>
      <c r="F18" s="130">
        <f>C18/100*7.9</f>
        <v>1493.4950000000001</v>
      </c>
      <c r="G18" s="25"/>
      <c r="H18" s="25">
        <f>C18/100*1</f>
        <v>189.05</v>
      </c>
      <c r="I18" s="119">
        <f>C18/100*75.9</f>
        <v>14348.895000000002</v>
      </c>
      <c r="J18" s="27">
        <f>C18/100*30</f>
        <v>5671.5</v>
      </c>
      <c r="K18" s="27">
        <f>C18/100*0.1</f>
        <v>18.905000000000001</v>
      </c>
      <c r="L18" s="137">
        <v>18905</v>
      </c>
      <c r="M18" s="75">
        <v>18</v>
      </c>
      <c r="N18" s="170">
        <f t="shared" si="0"/>
        <v>340290</v>
      </c>
      <c r="O18" s="153"/>
    </row>
    <row r="19" spans="1:20" s="2" customFormat="1" ht="21.6" customHeight="1">
      <c r="A19" s="9">
        <v>4</v>
      </c>
      <c r="B19" s="10" t="s">
        <v>69</v>
      </c>
      <c r="C19" s="23">
        <f>L19/100*98</f>
        <v>3449.6000000000004</v>
      </c>
      <c r="D19" s="24">
        <f>C19/100*139</f>
        <v>4794.9440000000004</v>
      </c>
      <c r="E19" s="119">
        <f>C19/100*19</f>
        <v>655.42400000000009</v>
      </c>
      <c r="F19" s="25"/>
      <c r="G19" s="25">
        <f>C19/100*7</f>
        <v>241.47200000000001</v>
      </c>
      <c r="H19" s="25"/>
      <c r="I19" s="25"/>
      <c r="J19" s="27">
        <f>C19/100*7</f>
        <v>241.47200000000001</v>
      </c>
      <c r="K19" s="27">
        <f>C19/100*0.9</f>
        <v>31.046400000000002</v>
      </c>
      <c r="L19" s="137">
        <v>3520</v>
      </c>
      <c r="M19" s="143">
        <v>133</v>
      </c>
      <c r="N19" s="170">
        <f t="shared" si="0"/>
        <v>468160</v>
      </c>
      <c r="O19" s="153"/>
    </row>
    <row r="20" spans="1:20" s="2" customFormat="1" ht="21.6" customHeight="1">
      <c r="A20" s="9">
        <v>5</v>
      </c>
      <c r="B20" s="148" t="s">
        <v>162</v>
      </c>
      <c r="C20" s="23">
        <f>L20/100*31</f>
        <v>902.1</v>
      </c>
      <c r="D20" s="24">
        <f>C20/100*87</f>
        <v>784.82700000000011</v>
      </c>
      <c r="E20" s="119">
        <f>C20/100*12.3</f>
        <v>110.95830000000002</v>
      </c>
      <c r="F20" s="25"/>
      <c r="G20" s="25">
        <f>C20/100*3.3</f>
        <v>29.769300000000001</v>
      </c>
      <c r="H20" s="25"/>
      <c r="I20" s="25">
        <f>C20/100*2</f>
        <v>18.042000000000002</v>
      </c>
      <c r="J20" s="27">
        <f>C20/100*120</f>
        <v>1082.52</v>
      </c>
      <c r="K20" s="27">
        <f>C20/100*0.01</f>
        <v>9.0210000000000012E-2</v>
      </c>
      <c r="L20" s="137">
        <v>2910</v>
      </c>
      <c r="M20" s="143">
        <v>180</v>
      </c>
      <c r="N20" s="170">
        <f>L20*M20</f>
        <v>523800</v>
      </c>
      <c r="O20" s="153"/>
    </row>
    <row r="21" spans="1:20" s="2" customFormat="1" ht="21.6" customHeight="1">
      <c r="A21" s="9">
        <v>6</v>
      </c>
      <c r="B21" s="149" t="s">
        <v>28</v>
      </c>
      <c r="C21" s="23">
        <f>L21/100*88</f>
        <v>5068.8</v>
      </c>
      <c r="D21" s="24">
        <f>C21/100*184</f>
        <v>9326.5920000000006</v>
      </c>
      <c r="E21" s="119">
        <f>C21/100*13</f>
        <v>658.94400000000007</v>
      </c>
      <c r="F21" s="25"/>
      <c r="G21" s="25">
        <f>C21/100*14.2</f>
        <v>719.76959999999997</v>
      </c>
      <c r="H21" s="25"/>
      <c r="I21" s="25">
        <f>C21/100*1</f>
        <v>50.688000000000002</v>
      </c>
      <c r="J21" s="27">
        <f>C21/100*71</f>
        <v>3598.848</v>
      </c>
      <c r="K21" s="27">
        <f>C21/100*0.15</f>
        <v>7.6032000000000002</v>
      </c>
      <c r="L21" s="137">
        <v>5760</v>
      </c>
      <c r="M21" s="75">
        <v>57</v>
      </c>
      <c r="N21" s="170">
        <f t="shared" si="0"/>
        <v>328320</v>
      </c>
      <c r="O21" s="153"/>
      <c r="Q21" s="3"/>
      <c r="R21" s="3"/>
      <c r="S21" s="4"/>
    </row>
    <row r="22" spans="1:20" s="2" customFormat="1" ht="21.6" customHeight="1">
      <c r="A22" s="9">
        <v>7</v>
      </c>
      <c r="B22" s="148" t="s">
        <v>3</v>
      </c>
      <c r="C22" s="23">
        <f>L22/100*98</f>
        <v>2214.8000000000002</v>
      </c>
      <c r="D22" s="24">
        <f>C22/100*118</f>
        <v>2613.4640000000004</v>
      </c>
      <c r="E22" s="119">
        <f>C22/100*21</f>
        <v>465.10800000000006</v>
      </c>
      <c r="F22" s="25"/>
      <c r="G22" s="25">
        <f>C22/100*3.8</f>
        <v>84.162400000000005</v>
      </c>
      <c r="H22" s="25"/>
      <c r="I22" s="25"/>
      <c r="J22" s="25">
        <f>C22/100*12</f>
        <v>265.77600000000007</v>
      </c>
      <c r="K22" s="25">
        <f>C22/100*0.1</f>
        <v>2.2148000000000003</v>
      </c>
      <c r="L22" s="137">
        <v>2260</v>
      </c>
      <c r="M22" s="143">
        <v>270</v>
      </c>
      <c r="N22" s="170">
        <f t="shared" si="0"/>
        <v>610200</v>
      </c>
      <c r="O22" s="153"/>
    </row>
    <row r="23" spans="1:20" s="2" customFormat="1" ht="21.6" customHeight="1">
      <c r="A23" s="9">
        <v>8</v>
      </c>
      <c r="B23" s="149" t="s">
        <v>160</v>
      </c>
      <c r="C23" s="23">
        <f>L23/100*83</f>
        <v>5552.7000000000007</v>
      </c>
      <c r="D23" s="24">
        <f>C23/100*14</f>
        <v>777.37800000000016</v>
      </c>
      <c r="E23" s="29"/>
      <c r="F23" s="168">
        <f>C23/100*2</f>
        <v>111.05400000000002</v>
      </c>
      <c r="G23" s="29"/>
      <c r="H23" s="29"/>
      <c r="I23" s="29">
        <f>C23/100*1.4</f>
        <v>77.737800000000007</v>
      </c>
      <c r="J23" s="29">
        <f>C23/100*176</f>
        <v>9772.7520000000022</v>
      </c>
      <c r="K23" s="29">
        <f>C23/100*0.06</f>
        <v>3.3316200000000005</v>
      </c>
      <c r="L23" s="383">
        <v>6690</v>
      </c>
      <c r="M23" s="26">
        <v>20</v>
      </c>
      <c r="N23" s="170">
        <f t="shared" si="0"/>
        <v>133800</v>
      </c>
      <c r="O23" s="153"/>
      <c r="Q23" s="3"/>
      <c r="R23" s="3"/>
      <c r="S23" s="4"/>
    </row>
    <row r="24" spans="1:20" s="2" customFormat="1" ht="21.6" customHeight="1">
      <c r="A24" s="9">
        <v>9</v>
      </c>
      <c r="B24" s="5" t="s">
        <v>72</v>
      </c>
      <c r="C24" s="23">
        <f>L24/100*75</f>
        <v>3090</v>
      </c>
      <c r="D24" s="24">
        <f>C24/100*12</f>
        <v>370.79999999999995</v>
      </c>
      <c r="E24" s="25"/>
      <c r="F24" s="25">
        <f>C24/100*0.6</f>
        <v>18.54</v>
      </c>
      <c r="G24" s="25"/>
      <c r="H24" s="25"/>
      <c r="I24" s="25">
        <f>C24/100*2.4</f>
        <v>74.16</v>
      </c>
      <c r="J24" s="25">
        <f>C24/100*26</f>
        <v>803.4</v>
      </c>
      <c r="K24" s="25">
        <f>C24/100*0.02</f>
        <v>0.61799999999999999</v>
      </c>
      <c r="L24" s="137">
        <v>4120</v>
      </c>
      <c r="M24" s="75">
        <v>20</v>
      </c>
      <c r="N24" s="135">
        <f t="shared" si="0"/>
        <v>82400</v>
      </c>
      <c r="O24" s="153"/>
    </row>
    <row r="25" spans="1:20" s="2" customFormat="1" ht="21.6" customHeight="1">
      <c r="A25" s="86">
        <v>10</v>
      </c>
      <c r="B25" s="5" t="s">
        <v>129</v>
      </c>
      <c r="C25" s="23">
        <f>L25/100*100</f>
        <v>200</v>
      </c>
      <c r="D25" s="24">
        <f>C25/100*247</f>
        <v>494</v>
      </c>
      <c r="E25" s="29"/>
      <c r="F25" s="29">
        <f>C25/100*17.5</f>
        <v>35</v>
      </c>
      <c r="G25" s="29"/>
      <c r="H25" s="29">
        <f>C25/100*1.6</f>
        <v>3.2</v>
      </c>
      <c r="I25" s="29">
        <f>C25/100*39.2</f>
        <v>78.400000000000006</v>
      </c>
      <c r="J25" s="71"/>
      <c r="K25" s="71"/>
      <c r="L25" s="383">
        <v>200</v>
      </c>
      <c r="M25" s="75">
        <v>50</v>
      </c>
      <c r="N25" s="28">
        <f t="shared" si="0"/>
        <v>10000</v>
      </c>
      <c r="O25" s="153"/>
      <c r="Q25" s="3"/>
      <c r="R25" s="3"/>
      <c r="S25" s="4"/>
      <c r="T25" s="3"/>
    </row>
    <row r="26" spans="1:20" s="2" customFormat="1" ht="21.6" customHeight="1">
      <c r="A26" s="86">
        <v>11</v>
      </c>
      <c r="B26" s="6" t="s">
        <v>119</v>
      </c>
      <c r="C26" s="23"/>
      <c r="D26" s="24"/>
      <c r="E26" s="25"/>
      <c r="F26" s="25"/>
      <c r="G26" s="25"/>
      <c r="H26" s="25"/>
      <c r="I26" s="25"/>
      <c r="J26" s="27"/>
      <c r="K26" s="27"/>
      <c r="L26" s="26"/>
      <c r="M26" s="26"/>
      <c r="N26" s="135">
        <v>15200</v>
      </c>
      <c r="O26" s="153"/>
    </row>
    <row r="27" spans="1:20" s="2" customFormat="1" ht="21.6" customHeight="1">
      <c r="A27" s="21" t="s">
        <v>116</v>
      </c>
      <c r="B27" s="22"/>
      <c r="C27" s="34"/>
      <c r="D27" s="121">
        <f>SUM(D16:D26)</f>
        <v>88878.005000000019</v>
      </c>
      <c r="E27" s="36"/>
      <c r="F27" s="36"/>
      <c r="G27" s="36"/>
      <c r="H27" s="36"/>
      <c r="I27" s="36"/>
      <c r="J27" s="36"/>
      <c r="K27" s="36"/>
      <c r="L27" s="37"/>
      <c r="M27" s="73"/>
      <c r="N27" s="249">
        <f>SUM(N16:N26)</f>
        <v>2575330</v>
      </c>
      <c r="O27" s="153"/>
    </row>
    <row r="28" spans="1:20" s="2" customFormat="1" ht="21.6" customHeight="1">
      <c r="A28" s="21" t="s">
        <v>5</v>
      </c>
      <c r="B28" s="22"/>
      <c r="C28" s="34"/>
      <c r="D28" s="35">
        <f>D27/D10</f>
        <v>446.62314070351766</v>
      </c>
      <c r="E28" s="36"/>
      <c r="F28" s="36"/>
      <c r="G28" s="36"/>
      <c r="H28" s="36"/>
      <c r="I28" s="36"/>
      <c r="J28" s="36"/>
      <c r="K28" s="36"/>
      <c r="L28" s="37"/>
      <c r="M28" s="74"/>
      <c r="N28" s="250"/>
      <c r="O28" s="153"/>
    </row>
    <row r="29" spans="1:20" s="2" customFormat="1" ht="21.6" customHeight="1">
      <c r="A29" s="300" t="s">
        <v>49</v>
      </c>
      <c r="B29" s="234"/>
      <c r="C29" s="384" t="s">
        <v>141</v>
      </c>
      <c r="D29" s="20" t="s">
        <v>43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21.6" customHeight="1">
      <c r="A30" s="235"/>
      <c r="B30" s="236"/>
      <c r="C30" s="76" t="s">
        <v>58</v>
      </c>
      <c r="D30" s="20">
        <f>D28*100/1320</f>
        <v>33.835086416933152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1.6" customHeight="1">
      <c r="A31" s="244" t="s">
        <v>33</v>
      </c>
      <c r="B31" s="244"/>
      <c r="C31" s="56"/>
      <c r="D31" s="57"/>
      <c r="E31" s="58"/>
      <c r="F31" s="58"/>
      <c r="G31" s="58"/>
      <c r="H31" s="58"/>
      <c r="I31" s="58"/>
      <c r="J31" s="58"/>
      <c r="K31" s="58"/>
      <c r="L31" s="59"/>
      <c r="M31" s="59"/>
      <c r="N31" s="69"/>
      <c r="O31" s="153"/>
    </row>
    <row r="32" spans="1:20" s="2" customFormat="1" ht="21.6" customHeight="1">
      <c r="A32" s="9">
        <v>1</v>
      </c>
      <c r="B32" s="10" t="s">
        <v>2</v>
      </c>
      <c r="C32" s="23">
        <f>L32/100*100</f>
        <v>240</v>
      </c>
      <c r="D32" s="24">
        <f>C32/100*60</f>
        <v>144</v>
      </c>
      <c r="E32" s="25">
        <f>C32/100*15</f>
        <v>36</v>
      </c>
      <c r="F32" s="25"/>
      <c r="G32" s="25"/>
      <c r="H32" s="25"/>
      <c r="I32" s="25"/>
      <c r="J32" s="27">
        <f>C32/100*387</f>
        <v>928.8</v>
      </c>
      <c r="K32" s="27">
        <f>C32/100*0.09</f>
        <v>0.216</v>
      </c>
      <c r="L32" s="137">
        <v>240</v>
      </c>
      <c r="M32" s="75">
        <v>20</v>
      </c>
      <c r="N32" s="28">
        <f>L32*M32</f>
        <v>4800</v>
      </c>
      <c r="O32" s="153"/>
    </row>
    <row r="33" spans="1:23" s="2" customFormat="1" ht="21.6" customHeight="1">
      <c r="A33" s="9">
        <v>2</v>
      </c>
      <c r="B33" s="146" t="s">
        <v>134</v>
      </c>
      <c r="C33" s="23">
        <f>L33/100*100</f>
        <v>220.00000000000003</v>
      </c>
      <c r="D33" s="24">
        <f>C33/100*899</f>
        <v>1977.8000000000002</v>
      </c>
      <c r="E33" s="25"/>
      <c r="F33" s="25"/>
      <c r="G33" s="25">
        <f>C33/100*100</f>
        <v>220.00000000000003</v>
      </c>
      <c r="H33" s="25"/>
      <c r="I33" s="25"/>
      <c r="J33" s="25"/>
      <c r="K33" s="25"/>
      <c r="L33" s="137">
        <v>220</v>
      </c>
      <c r="M33" s="144">
        <v>69</v>
      </c>
      <c r="N33" s="28">
        <f t="shared" ref="N33:N38" si="1">L33*M33</f>
        <v>15180</v>
      </c>
      <c r="O33" s="179"/>
    </row>
    <row r="34" spans="1:23" s="2" customFormat="1" ht="21.6" customHeight="1">
      <c r="A34" s="9">
        <v>3</v>
      </c>
      <c r="B34" s="148" t="s">
        <v>136</v>
      </c>
      <c r="C34" s="23">
        <f>L34/100*100</f>
        <v>1120</v>
      </c>
      <c r="D34" s="120">
        <f>C34/100*900</f>
        <v>10080</v>
      </c>
      <c r="E34" s="25"/>
      <c r="F34" s="25"/>
      <c r="G34" s="119"/>
      <c r="H34" s="119">
        <f>C34/100*100</f>
        <v>1120</v>
      </c>
      <c r="I34" s="25"/>
      <c r="J34" s="25"/>
      <c r="K34" s="25"/>
      <c r="L34" s="137">
        <v>1120</v>
      </c>
      <c r="M34" s="75">
        <v>65</v>
      </c>
      <c r="N34" s="28">
        <f t="shared" si="1"/>
        <v>72800</v>
      </c>
      <c r="O34" s="179"/>
    </row>
    <row r="35" spans="1:23" s="2" customFormat="1" ht="21.6" customHeight="1">
      <c r="A35" s="9">
        <v>4</v>
      </c>
      <c r="B35" s="5" t="s">
        <v>129</v>
      </c>
      <c r="C35" s="23">
        <f>L35/100*100</f>
        <v>120</v>
      </c>
      <c r="D35" s="24">
        <f>C35/100*247</f>
        <v>296.39999999999998</v>
      </c>
      <c r="E35" s="29"/>
      <c r="F35" s="29">
        <f>C35/100*17.5</f>
        <v>21</v>
      </c>
      <c r="G35" s="29"/>
      <c r="H35" s="29">
        <f>C35/100*1.6</f>
        <v>1.92</v>
      </c>
      <c r="I35" s="29">
        <f>C35/100*39.2</f>
        <v>47.04</v>
      </c>
      <c r="J35" s="71"/>
      <c r="K35" s="71"/>
      <c r="L35" s="383">
        <v>120</v>
      </c>
      <c r="M35" s="75">
        <v>50</v>
      </c>
      <c r="N35" s="28">
        <f t="shared" si="1"/>
        <v>6000</v>
      </c>
      <c r="O35" s="153"/>
      <c r="Q35" s="3"/>
      <c r="R35" s="3"/>
      <c r="S35" s="4"/>
      <c r="T35" s="3"/>
    </row>
    <row r="36" spans="1:23" s="2" customFormat="1" ht="21.6" customHeight="1">
      <c r="A36" s="9">
        <v>5</v>
      </c>
      <c r="B36" s="149" t="s">
        <v>161</v>
      </c>
      <c r="C36" s="23">
        <f>L36/100*100</f>
        <v>17530</v>
      </c>
      <c r="D36" s="120">
        <f>C36/100*110</f>
        <v>19283</v>
      </c>
      <c r="E36" s="168"/>
      <c r="F36" s="168">
        <f>C36/100*1.7</f>
        <v>298.01</v>
      </c>
      <c r="G36" s="29"/>
      <c r="H36" s="29"/>
      <c r="I36" s="29">
        <f>C36/100*25.7</f>
        <v>4505.21</v>
      </c>
      <c r="J36" s="71">
        <f>C36/100*12</f>
        <v>2103.6000000000004</v>
      </c>
      <c r="K36" s="71">
        <f>C36/100*0.04</f>
        <v>7.0120000000000005</v>
      </c>
      <c r="L36" s="383">
        <v>17530</v>
      </c>
      <c r="M36" s="75">
        <v>14</v>
      </c>
      <c r="N36" s="124">
        <f t="shared" ref="N36" si="2">L36*M36</f>
        <v>245420</v>
      </c>
      <c r="O36" s="153"/>
      <c r="Q36" s="3"/>
      <c r="R36" s="3"/>
      <c r="S36" s="4"/>
      <c r="T36" s="3"/>
    </row>
    <row r="37" spans="1:23" s="2" customFormat="1" ht="21.6" customHeight="1">
      <c r="A37" s="9">
        <v>6</v>
      </c>
      <c r="B37" s="149" t="s">
        <v>62</v>
      </c>
      <c r="C37" s="23">
        <f>L37/100*45</f>
        <v>4207.5</v>
      </c>
      <c r="D37" s="120">
        <f>C37/100*276</f>
        <v>11612.7</v>
      </c>
      <c r="E37" s="168">
        <f>C37/100*17.8</f>
        <v>748.93500000000006</v>
      </c>
      <c r="F37" s="29"/>
      <c r="G37" s="29">
        <f>C37/100*21.8</f>
        <v>917.23500000000013</v>
      </c>
      <c r="H37" s="29"/>
      <c r="I37" s="29"/>
      <c r="J37" s="71">
        <f>C37/100*13</f>
        <v>546.97500000000002</v>
      </c>
      <c r="K37" s="71">
        <f>C37/100*0.07</f>
        <v>2.9452500000000006</v>
      </c>
      <c r="L37" s="383">
        <v>9350</v>
      </c>
      <c r="M37" s="75">
        <v>63</v>
      </c>
      <c r="N37" s="124">
        <f t="shared" si="1"/>
        <v>589050</v>
      </c>
      <c r="O37" s="153"/>
      <c r="Q37" s="3"/>
      <c r="R37" s="3"/>
      <c r="S37" s="4"/>
      <c r="T37" s="3"/>
    </row>
    <row r="38" spans="1:23" s="2" customFormat="1" ht="21.6" customHeight="1">
      <c r="A38" s="9">
        <v>7</v>
      </c>
      <c r="B38" s="5" t="s">
        <v>73</v>
      </c>
      <c r="C38" s="23">
        <f>L38/100*80</f>
        <v>21424</v>
      </c>
      <c r="D38" s="24">
        <f>C38/100*40</f>
        <v>8569.6</v>
      </c>
      <c r="E38" s="25"/>
      <c r="F38" s="119">
        <f>C38/100*1.3</f>
        <v>278.512</v>
      </c>
      <c r="G38" s="25"/>
      <c r="H38" s="25"/>
      <c r="I38" s="25">
        <f>C38/100*2.8</f>
        <v>599.87199999999996</v>
      </c>
      <c r="J38" s="25">
        <f>C38/100*11</f>
        <v>2356.6400000000003</v>
      </c>
      <c r="K38" s="25"/>
      <c r="L38" s="405">
        <v>26780</v>
      </c>
      <c r="M38" s="75">
        <v>32</v>
      </c>
      <c r="N38" s="124">
        <f t="shared" si="1"/>
        <v>856960</v>
      </c>
      <c r="O38" s="406"/>
      <c r="P38" s="397"/>
    </row>
    <row r="39" spans="1:23" s="2" customFormat="1" ht="21.6" customHeight="1">
      <c r="A39" s="113">
        <v>8</v>
      </c>
      <c r="B39" s="112" t="s">
        <v>119</v>
      </c>
      <c r="C39" s="104"/>
      <c r="D39" s="105"/>
      <c r="E39" s="106"/>
      <c r="F39" s="106"/>
      <c r="G39" s="106"/>
      <c r="H39" s="106"/>
      <c r="I39" s="106"/>
      <c r="J39" s="106"/>
      <c r="K39" s="106"/>
      <c r="L39" s="107"/>
      <c r="M39" s="107"/>
      <c r="N39" s="167">
        <v>12960</v>
      </c>
      <c r="O39" s="153"/>
    </row>
    <row r="40" spans="1:23" ht="19.8" customHeight="1">
      <c r="A40" s="217" t="s">
        <v>64</v>
      </c>
      <c r="B40" s="220" t="s">
        <v>18</v>
      </c>
      <c r="C40" s="312" t="s">
        <v>7</v>
      </c>
      <c r="D40" s="223" t="s">
        <v>8</v>
      </c>
      <c r="E40" s="226" t="s">
        <v>10</v>
      </c>
      <c r="F40" s="227"/>
      <c r="G40" s="226" t="s">
        <v>12</v>
      </c>
      <c r="H40" s="227"/>
      <c r="I40" s="230" t="s">
        <v>15</v>
      </c>
      <c r="J40" s="230" t="s">
        <v>39</v>
      </c>
      <c r="K40" s="230" t="s">
        <v>40</v>
      </c>
      <c r="L40" s="230" t="s">
        <v>16</v>
      </c>
      <c r="M40" s="230" t="s">
        <v>53</v>
      </c>
      <c r="N40" s="217" t="s">
        <v>17</v>
      </c>
      <c r="O40" s="177"/>
    </row>
    <row r="41" spans="1:23" ht="19.8" customHeight="1">
      <c r="A41" s="218"/>
      <c r="B41" s="221"/>
      <c r="C41" s="313"/>
      <c r="D41" s="224"/>
      <c r="E41" s="228"/>
      <c r="F41" s="229"/>
      <c r="G41" s="228"/>
      <c r="H41" s="229"/>
      <c r="I41" s="231"/>
      <c r="J41" s="231"/>
      <c r="K41" s="231"/>
      <c r="L41" s="231"/>
      <c r="M41" s="231"/>
      <c r="N41" s="218"/>
      <c r="O41" s="184"/>
    </row>
    <row r="42" spans="1:23" ht="19.8" customHeight="1">
      <c r="A42" s="218"/>
      <c r="B42" s="221"/>
      <c r="C42" s="313"/>
      <c r="D42" s="224"/>
      <c r="E42" s="230" t="s">
        <v>9</v>
      </c>
      <c r="F42" s="230" t="s">
        <v>11</v>
      </c>
      <c r="G42" s="230" t="s">
        <v>13</v>
      </c>
      <c r="H42" s="230" t="s">
        <v>14</v>
      </c>
      <c r="I42" s="231"/>
      <c r="J42" s="231"/>
      <c r="K42" s="231"/>
      <c r="L42" s="231"/>
      <c r="M42" s="231"/>
      <c r="N42" s="218"/>
      <c r="O42" s="184"/>
    </row>
    <row r="43" spans="1:23" ht="19.8" customHeight="1">
      <c r="A43" s="219"/>
      <c r="B43" s="222"/>
      <c r="C43" s="314"/>
      <c r="D43" s="225"/>
      <c r="E43" s="232"/>
      <c r="F43" s="232"/>
      <c r="G43" s="232"/>
      <c r="H43" s="232"/>
      <c r="I43" s="232"/>
      <c r="J43" s="232"/>
      <c r="K43" s="232"/>
      <c r="L43" s="232"/>
      <c r="M43" s="232"/>
      <c r="N43" s="219"/>
      <c r="O43" s="184"/>
    </row>
    <row r="44" spans="1:23" s="2" customFormat="1" ht="19.2" customHeight="1">
      <c r="A44" s="21" t="s">
        <v>106</v>
      </c>
      <c r="B44" s="22"/>
      <c r="C44" s="34"/>
      <c r="D44" s="121">
        <f>SUM(D32:D39)</f>
        <v>51963.499999999993</v>
      </c>
      <c r="E44" s="43"/>
      <c r="F44" s="43"/>
      <c r="G44" s="43"/>
      <c r="H44" s="43"/>
      <c r="I44" s="43"/>
      <c r="J44" s="43"/>
      <c r="K44" s="43"/>
      <c r="L44" s="44"/>
      <c r="M44" s="315"/>
      <c r="N44" s="249">
        <f>SUM(N32:N39)</f>
        <v>1803170</v>
      </c>
      <c r="O44" s="153"/>
    </row>
    <row r="45" spans="1:23" ht="19.2" customHeight="1">
      <c r="A45" s="21" t="s">
        <v>6</v>
      </c>
      <c r="B45" s="22"/>
      <c r="C45" s="45"/>
      <c r="D45" s="46">
        <f>D44/D10</f>
        <v>261.12311557788939</v>
      </c>
      <c r="E45" s="46"/>
      <c r="F45" s="46"/>
      <c r="G45" s="46"/>
      <c r="H45" s="46"/>
      <c r="I45" s="46"/>
      <c r="J45" s="46"/>
      <c r="K45" s="46"/>
      <c r="L45" s="47"/>
      <c r="M45" s="316"/>
      <c r="N45" s="250"/>
      <c r="O45" s="4"/>
      <c r="P45" s="2"/>
      <c r="Q45" s="2"/>
      <c r="R45" s="2"/>
      <c r="S45" s="2"/>
      <c r="T45" s="2"/>
      <c r="U45" s="2"/>
      <c r="V45" s="2"/>
    </row>
    <row r="46" spans="1:23" ht="19.2" customHeight="1">
      <c r="A46" s="300" t="s">
        <v>50</v>
      </c>
      <c r="B46" s="234"/>
      <c r="C46" s="384" t="s">
        <v>141</v>
      </c>
      <c r="D46" s="20" t="s">
        <v>56</v>
      </c>
      <c r="E46" s="46"/>
      <c r="F46" s="46"/>
      <c r="G46" s="46"/>
      <c r="H46" s="46"/>
      <c r="I46" s="46"/>
      <c r="J46" s="48"/>
      <c r="K46" s="48"/>
      <c r="L46" s="47"/>
      <c r="M46" s="47"/>
      <c r="N46" s="185"/>
      <c r="O46" s="4"/>
      <c r="P46" s="2"/>
      <c r="Q46" s="2"/>
      <c r="R46" s="2"/>
      <c r="S46" s="2"/>
      <c r="T46" s="2"/>
      <c r="U46" s="2"/>
      <c r="V46" s="2"/>
      <c r="W46" s="2"/>
    </row>
    <row r="47" spans="1:23" ht="19.2" customHeight="1">
      <c r="A47" s="235"/>
      <c r="B47" s="236"/>
      <c r="C47" s="76" t="s">
        <v>58</v>
      </c>
      <c r="D47" s="20">
        <f>D45*100/1320</f>
        <v>19.782054210446166</v>
      </c>
      <c r="E47" s="46"/>
      <c r="F47" s="46"/>
      <c r="G47" s="46"/>
      <c r="H47" s="46"/>
      <c r="I47" s="46"/>
      <c r="J47" s="48"/>
      <c r="K47" s="48"/>
      <c r="L47" s="47"/>
      <c r="M47" s="47"/>
      <c r="N47" s="185"/>
      <c r="O47" s="4"/>
      <c r="P47" s="2"/>
      <c r="Q47" s="2"/>
      <c r="R47" s="2"/>
      <c r="S47" s="2"/>
      <c r="T47" s="2"/>
      <c r="U47" s="2"/>
      <c r="V47" s="2"/>
      <c r="W47" s="2"/>
    </row>
    <row r="48" spans="1:23" ht="19.2" customHeight="1">
      <c r="A48" s="317" t="s">
        <v>103</v>
      </c>
      <c r="B48" s="318"/>
      <c r="C48" s="296"/>
      <c r="D48" s="303">
        <f>D27+D44</f>
        <v>140841.505</v>
      </c>
      <c r="E48" s="123">
        <f>SUM(E16:E39)</f>
        <v>2714.3693000000003</v>
      </c>
      <c r="F48" s="123">
        <f t="shared" ref="F48:H48" si="3">SUM(F16:F39)</f>
        <v>2255.6110000000003</v>
      </c>
      <c r="G48" s="123">
        <f t="shared" si="3"/>
        <v>3052.4083000000001</v>
      </c>
      <c r="H48" s="123">
        <f t="shared" si="3"/>
        <v>1314.17</v>
      </c>
      <c r="I48" s="260">
        <f>SUM(I16:I39)</f>
        <v>19800.044800000003</v>
      </c>
      <c r="J48" s="260">
        <f>SUM(J16:J39)</f>
        <v>28378.483</v>
      </c>
      <c r="K48" s="290">
        <f>SUM(K16:K39)</f>
        <v>74.21647999999999</v>
      </c>
      <c r="L48" s="274"/>
      <c r="M48" s="274"/>
      <c r="N48" s="310">
        <f>N27+N44</f>
        <v>4378500</v>
      </c>
      <c r="P48" s="2"/>
      <c r="Q48" s="2"/>
      <c r="R48" s="2"/>
      <c r="S48" s="2"/>
      <c r="T48" s="2"/>
      <c r="U48" s="2"/>
      <c r="V48" s="2"/>
    </row>
    <row r="49" spans="1:22" ht="19.2" customHeight="1">
      <c r="A49" s="319"/>
      <c r="B49" s="320"/>
      <c r="C49" s="297"/>
      <c r="D49" s="304"/>
      <c r="E49" s="321">
        <f>E48+F48</f>
        <v>4969.9803000000011</v>
      </c>
      <c r="F49" s="322"/>
      <c r="G49" s="288">
        <f>G48+H48</f>
        <v>4366.5783000000001</v>
      </c>
      <c r="H49" s="289"/>
      <c r="I49" s="262"/>
      <c r="J49" s="261"/>
      <c r="K49" s="305"/>
      <c r="L49" s="274"/>
      <c r="M49" s="274"/>
      <c r="N49" s="310"/>
      <c r="U49" s="12"/>
      <c r="V49" s="12"/>
    </row>
    <row r="50" spans="1:22" ht="19.2" customHeight="1">
      <c r="A50" s="254" t="s">
        <v>74</v>
      </c>
      <c r="B50" s="255"/>
      <c r="C50" s="256"/>
      <c r="D50" s="138">
        <f>D48/D10</f>
        <v>707.74625628140711</v>
      </c>
      <c r="E50" s="385">
        <f>E48/D10</f>
        <v>13.640046733668344</v>
      </c>
      <c r="F50" s="386">
        <f>F48/D10</f>
        <v>11.334728643216081</v>
      </c>
      <c r="G50" s="385">
        <f>G48/D10</f>
        <v>15.338735175879398</v>
      </c>
      <c r="H50" s="409">
        <f>H48/D10</f>
        <v>6.6038693467336689</v>
      </c>
      <c r="I50" s="270">
        <f>I48/D10</f>
        <v>99.497712562814087</v>
      </c>
      <c r="J50" s="323">
        <f>J48/D10</f>
        <v>142.60544221105528</v>
      </c>
      <c r="K50" s="323">
        <f>K48/D10</f>
        <v>0.37294713567839188</v>
      </c>
      <c r="L50" s="274"/>
      <c r="M50" s="274"/>
      <c r="N50" s="310"/>
      <c r="U50" s="12"/>
      <c r="V50" s="12"/>
    </row>
    <row r="51" spans="1:22" ht="19.2" customHeight="1">
      <c r="A51" s="257"/>
      <c r="B51" s="258"/>
      <c r="C51" s="259"/>
      <c r="D51" s="127"/>
      <c r="E51" s="387">
        <f>E50+F50</f>
        <v>24.974775376884423</v>
      </c>
      <c r="F51" s="388"/>
      <c r="G51" s="387">
        <f>G50+H50</f>
        <v>21.942604522613067</v>
      </c>
      <c r="H51" s="388"/>
      <c r="I51" s="271"/>
      <c r="J51" s="323"/>
      <c r="K51" s="323"/>
      <c r="L51" s="274"/>
      <c r="M51" s="274"/>
      <c r="N51" s="310"/>
      <c r="P51" s="398"/>
      <c r="Q51" s="399"/>
      <c r="R51" s="399"/>
      <c r="S51" s="399"/>
      <c r="T51" s="399"/>
      <c r="U51" s="400"/>
      <c r="V51" s="400"/>
    </row>
    <row r="52" spans="1:22" ht="19.2" customHeight="1">
      <c r="A52" s="324" t="s">
        <v>77</v>
      </c>
      <c r="B52" s="325"/>
      <c r="C52" s="326"/>
      <c r="D52" s="187" t="s">
        <v>26</v>
      </c>
      <c r="E52" s="203" t="s">
        <v>19</v>
      </c>
      <c r="F52" s="203"/>
      <c r="G52" s="203" t="s">
        <v>20</v>
      </c>
      <c r="H52" s="203"/>
      <c r="I52" s="183" t="s">
        <v>21</v>
      </c>
      <c r="J52" s="389">
        <v>600</v>
      </c>
      <c r="K52" s="389">
        <v>0.7</v>
      </c>
      <c r="L52" s="274"/>
      <c r="M52" s="274"/>
      <c r="N52" s="310"/>
      <c r="O52" s="180"/>
      <c r="P52" s="401"/>
      <c r="Q52" s="399"/>
      <c r="R52" s="399"/>
      <c r="S52" s="399"/>
      <c r="T52" s="399"/>
      <c r="U52" s="399"/>
      <c r="V52" s="399"/>
    </row>
    <row r="53" spans="1:22" ht="19.2" customHeight="1">
      <c r="A53" s="251" t="s">
        <v>75</v>
      </c>
      <c r="B53" s="281"/>
      <c r="C53" s="252"/>
      <c r="D53" s="49"/>
      <c r="E53" s="282">
        <f>E51*4.1</f>
        <v>102.39657904522613</v>
      </c>
      <c r="F53" s="283"/>
      <c r="G53" s="282">
        <f>G51*9</f>
        <v>197.4834407035176</v>
      </c>
      <c r="H53" s="283"/>
      <c r="I53" s="85">
        <f>I50*4.1</f>
        <v>407.94062150753774</v>
      </c>
      <c r="J53" s="263"/>
      <c r="K53" s="263"/>
      <c r="L53" s="274"/>
      <c r="M53" s="274"/>
      <c r="N53" s="310"/>
      <c r="O53" s="180"/>
      <c r="P53" s="402"/>
      <c r="Q53" s="403"/>
      <c r="R53" s="403"/>
      <c r="S53" s="403"/>
      <c r="T53" s="398"/>
      <c r="U53" s="398"/>
      <c r="V53" s="398"/>
    </row>
    <row r="54" spans="1:22" ht="19.2" customHeight="1">
      <c r="A54" s="284" t="s">
        <v>84</v>
      </c>
      <c r="B54" s="285"/>
      <c r="C54" s="251" t="s">
        <v>57</v>
      </c>
      <c r="D54" s="252"/>
      <c r="E54" s="327">
        <f>E53*100/D50</f>
        <v>14.467978902951938</v>
      </c>
      <c r="F54" s="328"/>
      <c r="G54" s="327">
        <f>G53*100/D50</f>
        <v>27.903141691080336</v>
      </c>
      <c r="H54" s="328"/>
      <c r="I54" s="116">
        <f>I53*100/D50</f>
        <v>57.639389525126134</v>
      </c>
      <c r="J54" s="264"/>
      <c r="K54" s="264"/>
      <c r="L54" s="274"/>
      <c r="M54" s="274"/>
      <c r="N54" s="310"/>
      <c r="O54" s="180"/>
      <c r="P54" s="398"/>
      <c r="Q54" s="398"/>
      <c r="R54" s="398"/>
      <c r="S54" s="398"/>
      <c r="T54" s="398"/>
      <c r="U54" s="398"/>
      <c r="V54" s="398"/>
    </row>
    <row r="55" spans="1:22" ht="19.2" customHeight="1">
      <c r="A55" s="286"/>
      <c r="B55" s="287"/>
      <c r="C55" s="251" t="s">
        <v>76</v>
      </c>
      <c r="D55" s="252"/>
      <c r="E55" s="251" t="s">
        <v>79</v>
      </c>
      <c r="F55" s="252"/>
      <c r="G55" s="251" t="s">
        <v>80</v>
      </c>
      <c r="H55" s="252"/>
      <c r="I55" s="187" t="s">
        <v>81</v>
      </c>
      <c r="J55" s="265"/>
      <c r="K55" s="265"/>
      <c r="L55" s="274"/>
      <c r="M55" s="274"/>
      <c r="N55" s="310"/>
      <c r="O55" s="180"/>
    </row>
    <row r="56" spans="1:22" ht="19.2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4"/>
      <c r="M56" s="94"/>
      <c r="N56" s="95"/>
      <c r="O56" s="180"/>
      <c r="P56" s="132"/>
    </row>
    <row r="57" spans="1:22" ht="21" customHeight="1">
      <c r="A57" s="192" t="s">
        <v>110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80"/>
    </row>
    <row r="58" spans="1:22" ht="21" customHeight="1">
      <c r="A58" s="117" t="s">
        <v>111</v>
      </c>
      <c r="B58" s="193" t="s">
        <v>112</v>
      </c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80"/>
    </row>
    <row r="59" spans="1:22" ht="21" customHeight="1">
      <c r="A59" s="118"/>
      <c r="B59" s="194" t="s">
        <v>203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80"/>
    </row>
    <row r="60" spans="1:22" ht="21" customHeight="1">
      <c r="A60" s="118"/>
      <c r="B60" s="194" t="s">
        <v>204</v>
      </c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80"/>
    </row>
    <row r="61" spans="1:22" ht="21" customHeight="1">
      <c r="A61" s="118"/>
      <c r="B61" s="194" t="s">
        <v>159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80"/>
    </row>
    <row r="62" spans="1:22" ht="21" customHeight="1">
      <c r="A62" s="90"/>
      <c r="B62" s="195" t="s">
        <v>113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80"/>
    </row>
    <row r="63" spans="1:22" ht="21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4"/>
      <c r="M63" s="94"/>
      <c r="N63" s="95"/>
      <c r="O63" s="180"/>
    </row>
    <row r="64" spans="1:22" ht="21" customHeight="1">
      <c r="A64" s="196" t="s">
        <v>60</v>
      </c>
      <c r="B64" s="196"/>
      <c r="C64" s="196"/>
      <c r="D64" s="196"/>
      <c r="E64" s="390"/>
      <c r="F64" s="390"/>
      <c r="G64" s="390"/>
      <c r="H64" s="390"/>
      <c r="I64" s="390"/>
      <c r="J64" s="391" t="s">
        <v>31</v>
      </c>
      <c r="K64" s="391"/>
      <c r="L64" s="391"/>
      <c r="M64" s="391"/>
      <c r="N64" s="391"/>
      <c r="O64" s="180"/>
    </row>
    <row r="65" spans="1:15" ht="21" customHeight="1">
      <c r="A65" s="184"/>
      <c r="B65" s="184"/>
      <c r="C65" s="184"/>
      <c r="D65" s="390"/>
      <c r="E65" s="390"/>
      <c r="F65" s="390"/>
      <c r="G65" s="390"/>
      <c r="H65" s="392"/>
      <c r="I65" s="392"/>
      <c r="J65" s="392"/>
      <c r="K65" s="392"/>
      <c r="L65" s="392"/>
      <c r="M65" s="392"/>
      <c r="N65" s="392"/>
      <c r="O65" s="180"/>
    </row>
    <row r="66" spans="1:15" ht="21" customHeight="1">
      <c r="A66" s="184"/>
      <c r="B66" s="184"/>
      <c r="C66" s="184"/>
      <c r="D66" s="390"/>
      <c r="E66" s="390"/>
      <c r="F66" s="390"/>
      <c r="G66" s="390"/>
      <c r="H66" s="392"/>
      <c r="I66" s="392"/>
      <c r="J66" s="392"/>
      <c r="K66" s="392"/>
      <c r="L66" s="392"/>
      <c r="M66" s="392"/>
      <c r="N66" s="392"/>
      <c r="O66" s="180"/>
    </row>
    <row r="67" spans="1:15" ht="21" customHeight="1">
      <c r="A67" s="184"/>
      <c r="B67" s="184"/>
      <c r="C67" s="184"/>
      <c r="D67" s="390"/>
      <c r="E67" s="390"/>
      <c r="F67" s="390"/>
      <c r="G67" s="390"/>
      <c r="H67" s="392"/>
      <c r="I67" s="392"/>
      <c r="J67" s="393" t="s">
        <v>120</v>
      </c>
      <c r="K67" s="393"/>
      <c r="L67" s="393"/>
      <c r="M67" s="393"/>
      <c r="N67" s="393"/>
      <c r="O67" s="180"/>
    </row>
    <row r="68" spans="1:15" ht="21" customHeight="1">
      <c r="A68" s="188" t="s">
        <v>88</v>
      </c>
      <c r="B68" s="188"/>
      <c r="C68" s="188"/>
      <c r="D68" s="188"/>
      <c r="E68" s="390"/>
      <c r="F68" s="390"/>
      <c r="G68" s="390"/>
      <c r="H68" s="392"/>
      <c r="I68" s="392"/>
      <c r="O68" s="180"/>
    </row>
    <row r="69" spans="1:15" ht="19.2" customHeight="1">
      <c r="A69" s="184"/>
      <c r="B69" s="184"/>
      <c r="C69" s="184"/>
      <c r="D69" s="390"/>
      <c r="E69" s="390"/>
      <c r="F69" s="390"/>
      <c r="G69" s="390"/>
      <c r="H69" s="392"/>
      <c r="I69" s="392"/>
      <c r="J69" s="392"/>
      <c r="K69" s="392"/>
      <c r="L69" s="392"/>
      <c r="M69" s="392"/>
      <c r="N69" s="392"/>
      <c r="O69" s="180"/>
    </row>
    <row r="70" spans="1:15" ht="19.2" customHeight="1">
      <c r="A70" s="184"/>
      <c r="B70" s="184"/>
      <c r="C70" s="184"/>
      <c r="D70" s="390"/>
      <c r="E70" s="390"/>
      <c r="F70" s="390"/>
      <c r="G70" s="390"/>
      <c r="H70" s="392"/>
      <c r="I70" s="392"/>
      <c r="J70" s="392"/>
      <c r="K70" s="392"/>
      <c r="L70" s="392"/>
      <c r="M70" s="392"/>
      <c r="N70" s="392"/>
      <c r="O70" s="180"/>
    </row>
    <row r="71" spans="1:15" ht="19.2" customHeight="1">
      <c r="A71" s="184"/>
      <c r="B71" s="184"/>
      <c r="C71" s="184"/>
      <c r="D71" s="390"/>
      <c r="E71" s="390"/>
      <c r="F71" s="390"/>
      <c r="G71" s="390"/>
      <c r="H71" s="392"/>
      <c r="I71" s="392"/>
      <c r="J71" s="393" t="s">
        <v>123</v>
      </c>
      <c r="K71" s="393"/>
      <c r="L71" s="393"/>
      <c r="M71" s="393"/>
      <c r="N71" s="393"/>
      <c r="O71" s="180"/>
    </row>
    <row r="72" spans="1:15" ht="19.2" customHeight="1">
      <c r="A72" s="184"/>
      <c r="B72" s="184"/>
      <c r="C72" s="184"/>
      <c r="D72" s="390"/>
      <c r="E72" s="390"/>
      <c r="F72" s="390"/>
      <c r="G72" s="390"/>
      <c r="H72" s="392"/>
      <c r="I72" s="392"/>
      <c r="J72" s="392"/>
      <c r="K72" s="392"/>
      <c r="L72" s="392"/>
      <c r="M72" s="392"/>
      <c r="N72" s="392"/>
      <c r="O72" s="180"/>
    </row>
    <row r="73" spans="1:15" ht="19.2" customHeight="1">
      <c r="A73" s="184"/>
      <c r="B73" s="184"/>
      <c r="C73" s="184"/>
      <c r="D73" s="390"/>
      <c r="E73" s="390"/>
      <c r="F73" s="390"/>
      <c r="G73" s="390"/>
      <c r="H73" s="392"/>
      <c r="I73" s="392"/>
      <c r="J73" s="392"/>
      <c r="K73" s="392"/>
      <c r="L73" s="392"/>
      <c r="M73" s="392"/>
      <c r="N73" s="392"/>
      <c r="O73" s="180"/>
    </row>
    <row r="74" spans="1:15" ht="19.2" customHeight="1">
      <c r="A74" s="184"/>
      <c r="B74" s="184"/>
      <c r="C74" s="184"/>
      <c r="D74" s="390"/>
      <c r="E74" s="390"/>
      <c r="F74" s="390"/>
      <c r="G74" s="390"/>
      <c r="H74" s="392"/>
      <c r="I74" s="392"/>
      <c r="J74" s="392"/>
      <c r="K74" s="392"/>
      <c r="L74" s="392"/>
      <c r="M74" s="392"/>
      <c r="N74" s="392"/>
      <c r="O74" s="180"/>
    </row>
    <row r="75" spans="1:15" ht="19.2" customHeight="1">
      <c r="A75" s="184"/>
      <c r="B75" s="184"/>
      <c r="C75" s="184"/>
      <c r="D75" s="390"/>
      <c r="E75" s="390"/>
      <c r="F75" s="390"/>
      <c r="G75" s="390"/>
      <c r="H75" s="392"/>
      <c r="I75" s="392"/>
      <c r="J75" s="392"/>
      <c r="K75" s="392"/>
      <c r="L75" s="392"/>
      <c r="M75" s="392"/>
      <c r="N75" s="392"/>
      <c r="O75" s="180"/>
    </row>
    <row r="76" spans="1:15" ht="19.2" customHeight="1">
      <c r="A76" s="184"/>
      <c r="B76" s="184"/>
      <c r="C76" s="184"/>
      <c r="D76" s="390"/>
      <c r="E76" s="390"/>
      <c r="F76" s="390"/>
      <c r="G76" s="390"/>
      <c r="H76" s="392"/>
      <c r="I76" s="392"/>
      <c r="J76" s="392"/>
      <c r="K76" s="392"/>
      <c r="L76" s="392"/>
      <c r="M76" s="392"/>
      <c r="N76" s="392"/>
      <c r="O76" s="180"/>
    </row>
    <row r="77" spans="1:15" ht="19.2" customHeight="1">
      <c r="A77" s="184"/>
      <c r="B77" s="184"/>
      <c r="C77" s="184"/>
      <c r="D77" s="390"/>
      <c r="E77" s="390"/>
      <c r="F77" s="390"/>
      <c r="G77" s="390"/>
      <c r="H77" s="392"/>
      <c r="I77" s="392"/>
      <c r="J77" s="392"/>
      <c r="K77" s="392"/>
      <c r="L77" s="392"/>
      <c r="M77" s="392"/>
      <c r="N77" s="392"/>
      <c r="O77" s="180"/>
    </row>
    <row r="78" spans="1:15" ht="19.2" customHeight="1">
      <c r="A78" s="184"/>
      <c r="B78" s="184"/>
      <c r="C78" s="184"/>
      <c r="D78" s="390"/>
      <c r="E78" s="390"/>
      <c r="F78" s="390"/>
      <c r="G78" s="390"/>
      <c r="H78" s="392"/>
      <c r="I78" s="392"/>
      <c r="J78" s="392"/>
      <c r="K78" s="392"/>
      <c r="L78" s="392"/>
      <c r="M78" s="392"/>
      <c r="N78" s="392"/>
      <c r="O78" s="180"/>
    </row>
    <row r="79" spans="1:15" ht="19.2" customHeight="1">
      <c r="A79" s="184"/>
      <c r="B79" s="184"/>
      <c r="C79" s="184"/>
      <c r="D79" s="390"/>
      <c r="E79" s="390"/>
      <c r="F79" s="390"/>
      <c r="G79" s="390"/>
      <c r="H79" s="392"/>
      <c r="I79" s="392"/>
      <c r="J79" s="392"/>
      <c r="K79" s="392"/>
      <c r="L79" s="392"/>
      <c r="M79" s="392"/>
      <c r="N79" s="392"/>
      <c r="O79" s="180"/>
    </row>
    <row r="80" spans="1:15" ht="19.2" customHeight="1">
      <c r="A80" s="184"/>
      <c r="B80" s="184"/>
      <c r="C80" s="184"/>
      <c r="D80" s="390"/>
      <c r="E80" s="390"/>
      <c r="F80" s="390"/>
      <c r="G80" s="390"/>
      <c r="H80" s="392"/>
      <c r="I80" s="392"/>
      <c r="J80" s="392"/>
      <c r="K80" s="392"/>
      <c r="L80" s="392"/>
      <c r="M80" s="392"/>
      <c r="N80" s="392"/>
      <c r="O80" s="180"/>
    </row>
    <row r="81" spans="1:20" ht="19.2" customHeight="1">
      <c r="A81" s="184"/>
      <c r="B81" s="184"/>
      <c r="C81" s="184"/>
      <c r="D81" s="390"/>
      <c r="E81" s="390"/>
      <c r="F81" s="390"/>
      <c r="G81" s="390"/>
      <c r="H81" s="392"/>
      <c r="I81" s="392"/>
      <c r="J81" s="392"/>
      <c r="K81" s="392"/>
      <c r="L81" s="392"/>
      <c r="M81" s="392"/>
      <c r="N81" s="392"/>
      <c r="O81" s="180"/>
    </row>
    <row r="82" spans="1:20" ht="19.2" customHeight="1">
      <c r="A82" s="11" t="s">
        <v>59</v>
      </c>
      <c r="B82" s="8"/>
      <c r="C82" s="8"/>
      <c r="D82" s="8"/>
      <c r="E82" s="8"/>
      <c r="F82" s="299" t="s">
        <v>30</v>
      </c>
      <c r="G82" s="299"/>
      <c r="H82" s="299"/>
      <c r="I82" s="299"/>
      <c r="J82" s="299"/>
      <c r="K82" s="299"/>
      <c r="L82" s="299"/>
      <c r="M82" s="299"/>
      <c r="N82" s="299"/>
      <c r="O82" s="175"/>
      <c r="P82" s="175"/>
      <c r="T82" s="2"/>
    </row>
    <row r="83" spans="1:20" ht="10.8" customHeight="1">
      <c r="A83" s="11"/>
      <c r="B83" s="8"/>
      <c r="C83" s="8"/>
      <c r="D83" s="8"/>
      <c r="E83" s="8"/>
      <c r="F83" s="181"/>
      <c r="G83" s="181"/>
      <c r="H83" s="181"/>
      <c r="I83" s="181"/>
      <c r="J83" s="181"/>
      <c r="K83" s="181"/>
      <c r="L83" s="181"/>
      <c r="M83" s="181"/>
      <c r="N83" s="181"/>
      <c r="O83" s="175"/>
      <c r="P83" s="175"/>
      <c r="T83" s="2"/>
    </row>
    <row r="84" spans="1:20" ht="19.2" customHeight="1">
      <c r="A84" s="8" t="s">
        <v>202</v>
      </c>
      <c r="B84" s="8"/>
      <c r="C84" s="8"/>
      <c r="D84" s="8"/>
      <c r="E84" s="8"/>
      <c r="F84" s="181"/>
      <c r="G84" s="181"/>
      <c r="H84" s="181"/>
      <c r="I84" s="181"/>
      <c r="J84" s="181"/>
      <c r="K84" s="181"/>
      <c r="L84" s="181"/>
      <c r="M84" s="181"/>
      <c r="N84" s="181"/>
      <c r="O84" s="175"/>
      <c r="P84" s="175"/>
      <c r="T84" s="2"/>
    </row>
    <row r="85" spans="1:20" ht="10.8" customHeight="1">
      <c r="A85" s="8"/>
      <c r="B85" s="8"/>
      <c r="C85" s="8"/>
      <c r="D85" s="8"/>
      <c r="E85" s="8"/>
      <c r="F85" s="181"/>
      <c r="G85" s="181"/>
      <c r="H85" s="181"/>
      <c r="I85" s="181"/>
      <c r="J85" s="181"/>
      <c r="K85" s="181"/>
      <c r="L85" s="181"/>
      <c r="M85" s="181"/>
      <c r="N85" s="181"/>
      <c r="O85" s="175"/>
      <c r="P85" s="175"/>
      <c r="T85" s="2"/>
    </row>
    <row r="86" spans="1:20" s="2" customFormat="1" ht="19.2" customHeight="1">
      <c r="A86" s="203" t="s">
        <v>93</v>
      </c>
      <c r="B86" s="203"/>
      <c r="C86" s="203"/>
      <c r="D86" s="203"/>
      <c r="E86" s="203" t="s">
        <v>86</v>
      </c>
      <c r="F86" s="203"/>
      <c r="G86" s="203"/>
      <c r="H86" s="203"/>
      <c r="I86" s="203"/>
      <c r="J86" s="203"/>
      <c r="K86" s="203"/>
      <c r="L86" s="203"/>
      <c r="M86" s="203"/>
      <c r="N86" s="203"/>
      <c r="O86" s="176"/>
    </row>
    <row r="87" spans="1:20" s="2" customFormat="1" ht="19.2" customHeight="1">
      <c r="A87" s="203"/>
      <c r="B87" s="203"/>
      <c r="C87" s="203"/>
      <c r="D87" s="203"/>
      <c r="E87" s="203" t="s">
        <v>96</v>
      </c>
      <c r="F87" s="203"/>
      <c r="G87" s="203"/>
      <c r="H87" s="203"/>
      <c r="I87" s="203"/>
      <c r="J87" s="203" t="s">
        <v>97</v>
      </c>
      <c r="K87" s="203"/>
      <c r="L87" s="203"/>
      <c r="M87" s="203"/>
      <c r="N87" s="203"/>
      <c r="O87" s="176"/>
    </row>
    <row r="88" spans="1:20" s="2" customFormat="1" ht="19.2" customHeight="1">
      <c r="A88" s="204" t="s">
        <v>87</v>
      </c>
      <c r="B88" s="204"/>
      <c r="C88" s="204"/>
      <c r="D88" s="204"/>
      <c r="E88" s="207" t="s">
        <v>73</v>
      </c>
      <c r="F88" s="207"/>
      <c r="G88" s="207"/>
      <c r="H88" s="207"/>
      <c r="I88" s="207"/>
      <c r="J88" s="329" t="s">
        <v>87</v>
      </c>
      <c r="K88" s="330"/>
      <c r="L88" s="330"/>
      <c r="M88" s="330"/>
      <c r="N88" s="331"/>
      <c r="O88" s="176"/>
    </row>
    <row r="89" spans="1:20" s="2" customFormat="1" ht="19.2" customHeight="1">
      <c r="A89" s="240" t="s">
        <v>148</v>
      </c>
      <c r="B89" s="241"/>
      <c r="C89" s="241"/>
      <c r="D89" s="242"/>
      <c r="E89" s="207"/>
      <c r="F89" s="207"/>
      <c r="G89" s="207"/>
      <c r="H89" s="207"/>
      <c r="I89" s="207"/>
      <c r="J89" s="240" t="s">
        <v>149</v>
      </c>
      <c r="K89" s="241"/>
      <c r="L89" s="241"/>
      <c r="M89" s="241"/>
      <c r="N89" s="242"/>
      <c r="O89" s="176"/>
    </row>
    <row r="90" spans="1:20" s="2" customFormat="1" ht="19.2" customHeight="1">
      <c r="A90" s="206" t="s">
        <v>205</v>
      </c>
      <c r="B90" s="206"/>
      <c r="C90" s="206"/>
      <c r="D90" s="206"/>
      <c r="E90" s="207"/>
      <c r="F90" s="207"/>
      <c r="G90" s="207"/>
      <c r="H90" s="207"/>
      <c r="I90" s="207"/>
      <c r="J90" s="332" t="s">
        <v>150</v>
      </c>
      <c r="K90" s="333"/>
      <c r="L90" s="333"/>
      <c r="M90" s="333"/>
      <c r="N90" s="334"/>
      <c r="O90" s="176"/>
    </row>
    <row r="91" spans="1:20" ht="19.2" customHeight="1">
      <c r="A91" s="237" t="s">
        <v>118</v>
      </c>
      <c r="B91" s="238"/>
      <c r="C91" s="239"/>
      <c r="D91" s="128">
        <v>54</v>
      </c>
      <c r="E91" s="8"/>
      <c r="F91" s="181"/>
      <c r="G91" s="181"/>
      <c r="H91" s="181"/>
      <c r="I91" s="181"/>
      <c r="J91" s="181"/>
      <c r="K91" s="181"/>
      <c r="L91" s="181"/>
      <c r="M91" s="181"/>
      <c r="N91" s="181"/>
      <c r="O91" s="175"/>
      <c r="P91" s="175"/>
      <c r="T91" s="2"/>
    </row>
    <row r="92" spans="1:20" ht="19.2" customHeight="1">
      <c r="A92" s="217" t="s">
        <v>64</v>
      </c>
      <c r="B92" s="220" t="s">
        <v>18</v>
      </c>
      <c r="C92" s="312" t="s">
        <v>7</v>
      </c>
      <c r="D92" s="223" t="s">
        <v>8</v>
      </c>
      <c r="E92" s="226" t="s">
        <v>10</v>
      </c>
      <c r="F92" s="227"/>
      <c r="G92" s="226" t="s">
        <v>12</v>
      </c>
      <c r="H92" s="227"/>
      <c r="I92" s="230" t="s">
        <v>15</v>
      </c>
      <c r="J92" s="230" t="s">
        <v>39</v>
      </c>
      <c r="K92" s="230" t="s">
        <v>40</v>
      </c>
      <c r="L92" s="230" t="s">
        <v>16</v>
      </c>
      <c r="M92" s="230" t="s">
        <v>54</v>
      </c>
      <c r="N92" s="217" t="s">
        <v>17</v>
      </c>
      <c r="O92" s="177"/>
    </row>
    <row r="93" spans="1:20" ht="19.2" customHeight="1">
      <c r="A93" s="218"/>
      <c r="B93" s="221"/>
      <c r="C93" s="313"/>
      <c r="D93" s="224"/>
      <c r="E93" s="228"/>
      <c r="F93" s="229"/>
      <c r="G93" s="228"/>
      <c r="H93" s="229"/>
      <c r="I93" s="231"/>
      <c r="J93" s="231"/>
      <c r="K93" s="231"/>
      <c r="L93" s="231"/>
      <c r="M93" s="231"/>
      <c r="N93" s="218"/>
      <c r="O93" s="184"/>
    </row>
    <row r="94" spans="1:20" ht="19.2" customHeight="1">
      <c r="A94" s="218"/>
      <c r="B94" s="221"/>
      <c r="C94" s="313"/>
      <c r="D94" s="224"/>
      <c r="E94" s="230" t="s">
        <v>9</v>
      </c>
      <c r="F94" s="230" t="s">
        <v>11</v>
      </c>
      <c r="G94" s="230" t="s">
        <v>13</v>
      </c>
      <c r="H94" s="230" t="s">
        <v>14</v>
      </c>
      <c r="I94" s="231"/>
      <c r="J94" s="231"/>
      <c r="K94" s="231"/>
      <c r="L94" s="231"/>
      <c r="M94" s="231"/>
      <c r="N94" s="218"/>
      <c r="O94" s="184"/>
    </row>
    <row r="95" spans="1:20" ht="19.2" customHeight="1">
      <c r="A95" s="219"/>
      <c r="B95" s="222"/>
      <c r="C95" s="314"/>
      <c r="D95" s="225"/>
      <c r="E95" s="232"/>
      <c r="F95" s="232"/>
      <c r="G95" s="232"/>
      <c r="H95" s="232"/>
      <c r="I95" s="232"/>
      <c r="J95" s="232"/>
      <c r="K95" s="232"/>
      <c r="L95" s="232"/>
      <c r="M95" s="232"/>
      <c r="N95" s="219"/>
      <c r="O95" s="184"/>
    </row>
    <row r="96" spans="1:20" ht="19.2" customHeight="1">
      <c r="A96" s="246" t="s">
        <v>37</v>
      </c>
      <c r="B96" s="247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8"/>
      <c r="O96" s="184"/>
    </row>
    <row r="97" spans="1:23" s="2" customFormat="1" ht="19.2" customHeight="1">
      <c r="A97" s="9">
        <v>1</v>
      </c>
      <c r="B97" s="10" t="s">
        <v>2</v>
      </c>
      <c r="C97" s="23">
        <f>L97/100*100</f>
        <v>70</v>
      </c>
      <c r="D97" s="24">
        <f>C97/100*60</f>
        <v>42</v>
      </c>
      <c r="E97" s="25">
        <f>C97/100*15</f>
        <v>10.5</v>
      </c>
      <c r="F97" s="25"/>
      <c r="G97" s="25"/>
      <c r="H97" s="25"/>
      <c r="I97" s="25"/>
      <c r="J97" s="27">
        <f>C97/100*387</f>
        <v>270.89999999999998</v>
      </c>
      <c r="K97" s="27">
        <f>C97/100*0.09</f>
        <v>6.3E-2</v>
      </c>
      <c r="L97" s="137">
        <v>70</v>
      </c>
      <c r="M97" s="75">
        <v>20</v>
      </c>
      <c r="N97" s="28">
        <f>L97*M97</f>
        <v>1400</v>
      </c>
      <c r="O97" s="153"/>
    </row>
    <row r="98" spans="1:23" s="2" customFormat="1" ht="19.2" customHeight="1">
      <c r="A98" s="9">
        <v>2</v>
      </c>
      <c r="B98" s="146" t="s">
        <v>134</v>
      </c>
      <c r="C98" s="23">
        <f>L98/100*100</f>
        <v>350</v>
      </c>
      <c r="D98" s="24">
        <f>C98/100*899</f>
        <v>3146.5</v>
      </c>
      <c r="E98" s="25"/>
      <c r="F98" s="25"/>
      <c r="G98" s="25">
        <f>C98/100*100</f>
        <v>350</v>
      </c>
      <c r="H98" s="25"/>
      <c r="I98" s="25"/>
      <c r="J98" s="25"/>
      <c r="K98" s="25"/>
      <c r="L98" s="137">
        <v>350</v>
      </c>
      <c r="M98" s="144">
        <v>69</v>
      </c>
      <c r="N98" s="28">
        <f t="shared" ref="N98:N104" si="4">L98*M98</f>
        <v>24150</v>
      </c>
      <c r="O98" s="179"/>
    </row>
    <row r="99" spans="1:23" s="2" customFormat="1" ht="19.2" customHeight="1">
      <c r="A99" s="9">
        <v>3</v>
      </c>
      <c r="B99" s="5" t="s">
        <v>1</v>
      </c>
      <c r="C99" s="23">
        <f>L99/100*100</f>
        <v>2322</v>
      </c>
      <c r="D99" s="24">
        <f>C99/100*344</f>
        <v>7987.6799999999994</v>
      </c>
      <c r="E99" s="25"/>
      <c r="F99" s="119">
        <f>C99/100*7.9</f>
        <v>183.43799999999999</v>
      </c>
      <c r="G99" s="25"/>
      <c r="H99" s="25">
        <f>C99/100*1</f>
        <v>23.22</v>
      </c>
      <c r="I99" s="25">
        <f>C99/100*72.88</f>
        <v>1692.2735999999998</v>
      </c>
      <c r="J99" s="27">
        <f>C99/100*30</f>
        <v>696.59999999999991</v>
      </c>
      <c r="K99" s="27">
        <f>C99/100*0.1</f>
        <v>2.3220000000000001</v>
      </c>
      <c r="L99" s="137">
        <v>2322</v>
      </c>
      <c r="M99" s="75">
        <v>18</v>
      </c>
      <c r="N99" s="28">
        <f t="shared" si="4"/>
        <v>41796</v>
      </c>
      <c r="O99" s="153"/>
    </row>
    <row r="100" spans="1:23" s="2" customFormat="1" ht="19.2" customHeight="1">
      <c r="A100" s="9">
        <v>4</v>
      </c>
      <c r="B100" s="10" t="s">
        <v>69</v>
      </c>
      <c r="C100" s="23">
        <f>L100/100*98</f>
        <v>1185.8</v>
      </c>
      <c r="D100" s="24">
        <f>C100/100*139</f>
        <v>1648.2619999999997</v>
      </c>
      <c r="E100" s="119">
        <f>C100/100*19</f>
        <v>225.30199999999996</v>
      </c>
      <c r="F100" s="25"/>
      <c r="G100" s="25">
        <f>C100/100*7</f>
        <v>83.005999999999986</v>
      </c>
      <c r="H100" s="25"/>
      <c r="I100" s="25"/>
      <c r="J100" s="27">
        <f>C100/100*7</f>
        <v>83.005999999999986</v>
      </c>
      <c r="K100" s="27">
        <f>C100/100*0.9</f>
        <v>10.672199999999998</v>
      </c>
      <c r="L100" s="137">
        <v>1210</v>
      </c>
      <c r="M100" s="143">
        <v>133</v>
      </c>
      <c r="N100" s="124">
        <f t="shared" si="4"/>
        <v>160930</v>
      </c>
      <c r="O100" s="153"/>
    </row>
    <row r="101" spans="1:23" s="2" customFormat="1" ht="19.2" customHeight="1">
      <c r="A101" s="9">
        <v>5</v>
      </c>
      <c r="B101" s="5" t="s">
        <v>28</v>
      </c>
      <c r="C101" s="23">
        <f>L101/100*88</f>
        <v>1364</v>
      </c>
      <c r="D101" s="24">
        <f>C101/100*184</f>
        <v>2509.7600000000002</v>
      </c>
      <c r="E101" s="119">
        <f>C101/100*13</f>
        <v>177.32</v>
      </c>
      <c r="F101" s="25"/>
      <c r="G101" s="25">
        <f>C101/100*14.2</f>
        <v>193.68799999999999</v>
      </c>
      <c r="H101" s="25"/>
      <c r="I101" s="25">
        <f>C101/100*1</f>
        <v>13.64</v>
      </c>
      <c r="J101" s="27">
        <f>C101/100*71</f>
        <v>968.44</v>
      </c>
      <c r="K101" s="27">
        <f>C101/100*0.15</f>
        <v>2.0459999999999998</v>
      </c>
      <c r="L101" s="137">
        <v>1550</v>
      </c>
      <c r="M101" s="26">
        <v>57</v>
      </c>
      <c r="N101" s="28">
        <f t="shared" si="4"/>
        <v>88350</v>
      </c>
      <c r="O101" s="153"/>
      <c r="Q101" s="3"/>
      <c r="R101" s="3"/>
      <c r="S101" s="4"/>
    </row>
    <row r="102" spans="1:23" s="2" customFormat="1" ht="19.8" customHeight="1">
      <c r="A102" s="9">
        <v>6</v>
      </c>
      <c r="B102" s="148" t="s">
        <v>162</v>
      </c>
      <c r="C102" s="23">
        <f>L102/100*31</f>
        <v>244.9</v>
      </c>
      <c r="D102" s="24">
        <f>C102/100*87</f>
        <v>213.06299999999999</v>
      </c>
      <c r="E102" s="25">
        <f>C102/100*12.3</f>
        <v>30.122699999999998</v>
      </c>
      <c r="F102" s="25"/>
      <c r="G102" s="25">
        <f>C102/100*3.3</f>
        <v>8.0816999999999997</v>
      </c>
      <c r="H102" s="25"/>
      <c r="I102" s="25">
        <f>C102/100*2</f>
        <v>4.8979999999999997</v>
      </c>
      <c r="J102" s="27">
        <f>C102/100*120</f>
        <v>293.88</v>
      </c>
      <c r="K102" s="27">
        <f>C102/100*0.01</f>
        <v>2.4489999999999998E-2</v>
      </c>
      <c r="L102" s="137">
        <v>790</v>
      </c>
      <c r="M102" s="143">
        <v>180</v>
      </c>
      <c r="N102" s="170">
        <f>L102*M102</f>
        <v>142200</v>
      </c>
      <c r="O102" s="153"/>
    </row>
    <row r="103" spans="1:23" s="2" customFormat="1" ht="19.8" customHeight="1">
      <c r="A103" s="9">
        <v>7</v>
      </c>
      <c r="B103" s="149" t="s">
        <v>160</v>
      </c>
      <c r="C103" s="23">
        <f>L103/100*83</f>
        <v>1120.5</v>
      </c>
      <c r="D103" s="24">
        <f>C103/100*14</f>
        <v>156.87</v>
      </c>
      <c r="E103" s="29"/>
      <c r="F103" s="29">
        <f>C103/100*2</f>
        <v>22.41</v>
      </c>
      <c r="G103" s="29"/>
      <c r="H103" s="29"/>
      <c r="I103" s="29">
        <f>C103/100*1.4</f>
        <v>15.686999999999999</v>
      </c>
      <c r="J103" s="29">
        <f>C103/100*176</f>
        <v>1972.08</v>
      </c>
      <c r="K103" s="29">
        <f>C103/100*0.06</f>
        <v>0.67230000000000001</v>
      </c>
      <c r="L103" s="383">
        <v>1350</v>
      </c>
      <c r="M103" s="26">
        <v>20</v>
      </c>
      <c r="N103" s="135">
        <f t="shared" ref="N103" si="5">L103*M103</f>
        <v>27000</v>
      </c>
      <c r="O103" s="153"/>
      <c r="Q103" s="3"/>
      <c r="R103" s="3"/>
      <c r="S103" s="4"/>
    </row>
    <row r="104" spans="1:23" s="2" customFormat="1" ht="19.2" customHeight="1">
      <c r="A104" s="9">
        <v>8</v>
      </c>
      <c r="B104" s="5" t="s">
        <v>129</v>
      </c>
      <c r="C104" s="23">
        <f>L104/100*100</f>
        <v>40</v>
      </c>
      <c r="D104" s="24">
        <f>C104/100*247</f>
        <v>98.800000000000011</v>
      </c>
      <c r="E104" s="29"/>
      <c r="F104" s="29">
        <f>C104/100*17.5</f>
        <v>7</v>
      </c>
      <c r="G104" s="29"/>
      <c r="H104" s="29">
        <f>C104/100*1.6</f>
        <v>0.64000000000000012</v>
      </c>
      <c r="I104" s="29">
        <f>C104/100*39.2</f>
        <v>15.680000000000001</v>
      </c>
      <c r="J104" s="71"/>
      <c r="K104" s="71"/>
      <c r="L104" s="383">
        <v>40</v>
      </c>
      <c r="M104" s="75">
        <v>50</v>
      </c>
      <c r="N104" s="28">
        <f t="shared" si="4"/>
        <v>2000</v>
      </c>
      <c r="O104" s="153"/>
      <c r="Q104" s="3"/>
      <c r="R104" s="3"/>
      <c r="S104" s="4"/>
      <c r="T104" s="3"/>
    </row>
    <row r="105" spans="1:23" s="2" customFormat="1" ht="19.2" customHeight="1">
      <c r="A105" s="80">
        <v>9</v>
      </c>
      <c r="B105" s="6" t="s">
        <v>119</v>
      </c>
      <c r="C105" s="23"/>
      <c r="D105" s="24"/>
      <c r="E105" s="25"/>
      <c r="F105" s="25"/>
      <c r="G105" s="25"/>
      <c r="H105" s="25"/>
      <c r="I105" s="25"/>
      <c r="J105" s="27"/>
      <c r="K105" s="27"/>
      <c r="L105" s="26"/>
      <c r="M105" s="26"/>
      <c r="N105" s="135">
        <v>4000</v>
      </c>
      <c r="O105" s="153"/>
    </row>
    <row r="106" spans="1:23" s="2" customFormat="1" ht="19.2" customHeight="1">
      <c r="A106" s="21" t="s">
        <v>114</v>
      </c>
      <c r="B106" s="22"/>
      <c r="C106" s="34"/>
      <c r="D106" s="121">
        <f>SUM(D97:D105)</f>
        <v>15802.934999999999</v>
      </c>
      <c r="E106" s="43"/>
      <c r="F106" s="43"/>
      <c r="G106" s="43"/>
      <c r="H106" s="43"/>
      <c r="I106" s="43"/>
      <c r="J106" s="43"/>
      <c r="K106" s="43"/>
      <c r="L106" s="44"/>
      <c r="M106" s="315"/>
      <c r="N106" s="335">
        <f>SUM(N97:N105)</f>
        <v>491826</v>
      </c>
      <c r="O106" s="153"/>
    </row>
    <row r="107" spans="1:23" ht="19.2" customHeight="1">
      <c r="A107" s="21" t="s">
        <v>35</v>
      </c>
      <c r="B107" s="22"/>
      <c r="C107" s="45"/>
      <c r="D107" s="46">
        <f>D106/D91</f>
        <v>292.64694444444444</v>
      </c>
      <c r="E107" s="46"/>
      <c r="F107" s="46"/>
      <c r="G107" s="46"/>
      <c r="H107" s="46"/>
      <c r="I107" s="46"/>
      <c r="J107" s="46"/>
      <c r="K107" s="46"/>
      <c r="L107" s="47"/>
      <c r="M107" s="316"/>
      <c r="N107" s="336"/>
      <c r="O107" s="4"/>
      <c r="P107" s="2"/>
      <c r="Q107" s="2"/>
      <c r="R107" s="2"/>
      <c r="S107" s="2"/>
      <c r="T107" s="2"/>
      <c r="U107" s="2"/>
      <c r="V107" s="2"/>
    </row>
    <row r="108" spans="1:23" ht="19.2" customHeight="1">
      <c r="A108" s="300" t="s">
        <v>51</v>
      </c>
      <c r="B108" s="234"/>
      <c r="C108" s="384" t="s">
        <v>141</v>
      </c>
      <c r="D108" s="20" t="s">
        <v>43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85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9.2" customHeight="1">
      <c r="A109" s="235"/>
      <c r="B109" s="236"/>
      <c r="C109" s="76" t="s">
        <v>58</v>
      </c>
      <c r="D109" s="78">
        <f>D107*100/930</f>
        <v>31.467413381123059</v>
      </c>
      <c r="E109" s="46"/>
      <c r="F109" s="46"/>
      <c r="G109" s="46"/>
      <c r="H109" s="46"/>
      <c r="I109" s="46"/>
      <c r="J109" s="48"/>
      <c r="K109" s="48"/>
      <c r="L109" s="47"/>
      <c r="M109" s="47"/>
      <c r="N109" s="185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9.2" customHeight="1">
      <c r="A110" s="244" t="s">
        <v>36</v>
      </c>
      <c r="B110" s="244"/>
      <c r="C110" s="56"/>
      <c r="D110" s="57"/>
      <c r="E110" s="58"/>
      <c r="F110" s="58"/>
      <c r="G110" s="58"/>
      <c r="H110" s="58"/>
      <c r="I110" s="58"/>
      <c r="J110" s="58"/>
      <c r="K110" s="58"/>
      <c r="L110" s="59"/>
      <c r="M110" s="59"/>
      <c r="N110" s="60"/>
      <c r="O110" s="153"/>
    </row>
    <row r="111" spans="1:23" s="2" customFormat="1" ht="19.2" customHeight="1">
      <c r="A111" s="9">
        <v>1</v>
      </c>
      <c r="B111" s="10" t="s">
        <v>2</v>
      </c>
      <c r="C111" s="23">
        <f>L111/100*100</f>
        <v>70</v>
      </c>
      <c r="D111" s="24">
        <f>C111/100*60</f>
        <v>42</v>
      </c>
      <c r="E111" s="25">
        <f>C111/100*15</f>
        <v>10.5</v>
      </c>
      <c r="F111" s="25"/>
      <c r="G111" s="25"/>
      <c r="H111" s="25"/>
      <c r="I111" s="25"/>
      <c r="J111" s="27">
        <f>C111/100*387</f>
        <v>270.89999999999998</v>
      </c>
      <c r="K111" s="27">
        <f>C111/100*0.09</f>
        <v>6.3E-2</v>
      </c>
      <c r="L111" s="137">
        <v>70</v>
      </c>
      <c r="M111" s="75">
        <v>20</v>
      </c>
      <c r="N111" s="28">
        <f>L111*M111</f>
        <v>1400</v>
      </c>
      <c r="O111" s="153"/>
    </row>
    <row r="112" spans="1:23" s="2" customFormat="1" ht="19.2" customHeight="1">
      <c r="A112" s="9">
        <v>2</v>
      </c>
      <c r="B112" s="150" t="s">
        <v>134</v>
      </c>
      <c r="C112" s="23">
        <f>L112/100*100</f>
        <v>80</v>
      </c>
      <c r="D112" s="24">
        <f>C112/100*899</f>
        <v>719.2</v>
      </c>
      <c r="E112" s="25"/>
      <c r="F112" s="25"/>
      <c r="G112" s="25">
        <f>C112/100*100</f>
        <v>80</v>
      </c>
      <c r="H112" s="25"/>
      <c r="I112" s="25"/>
      <c r="J112" s="27"/>
      <c r="K112" s="27"/>
      <c r="L112" s="137">
        <v>80</v>
      </c>
      <c r="M112" s="75">
        <v>69</v>
      </c>
      <c r="N112" s="28">
        <f t="shared" ref="N112:N118" si="6">L112*M112</f>
        <v>5520</v>
      </c>
      <c r="O112" s="153"/>
    </row>
    <row r="113" spans="1:23" s="2" customFormat="1" ht="19.2" customHeight="1">
      <c r="A113" s="9">
        <v>3</v>
      </c>
      <c r="B113" s="148" t="s">
        <v>136</v>
      </c>
      <c r="C113" s="23">
        <f>L113/100*100</f>
        <v>240</v>
      </c>
      <c r="D113" s="120">
        <f>C113/100*900</f>
        <v>2160</v>
      </c>
      <c r="E113" s="25"/>
      <c r="F113" s="25"/>
      <c r="G113" s="119"/>
      <c r="H113" s="25">
        <f>C113/100*100</f>
        <v>240</v>
      </c>
      <c r="I113" s="25"/>
      <c r="J113" s="25"/>
      <c r="K113" s="25"/>
      <c r="L113" s="137">
        <v>240</v>
      </c>
      <c r="M113" s="75">
        <v>65</v>
      </c>
      <c r="N113" s="28">
        <f t="shared" si="6"/>
        <v>15600</v>
      </c>
      <c r="O113" s="179"/>
    </row>
    <row r="114" spans="1:23" s="2" customFormat="1" ht="19.2" customHeight="1">
      <c r="A114" s="9">
        <v>4</v>
      </c>
      <c r="B114" s="149" t="s">
        <v>66</v>
      </c>
      <c r="C114" s="23">
        <f>L114/100*98</f>
        <v>215.60000000000002</v>
      </c>
      <c r="D114" s="24">
        <f>C114/100*573</f>
        <v>1235.3880000000001</v>
      </c>
      <c r="E114" s="29"/>
      <c r="F114" s="29">
        <f>C114/100*27.5</f>
        <v>59.290000000000006</v>
      </c>
      <c r="G114" s="29"/>
      <c r="H114" s="29">
        <f>C114/100*44.5</f>
        <v>95.942000000000007</v>
      </c>
      <c r="I114" s="29">
        <f>C114/100*15.5</f>
        <v>33.417999999999999</v>
      </c>
      <c r="J114" s="71">
        <f>C114/100*68</f>
        <v>146.608</v>
      </c>
      <c r="K114" s="71">
        <f>C114/100*0.44</f>
        <v>0.94864000000000004</v>
      </c>
      <c r="L114" s="383">
        <v>220</v>
      </c>
      <c r="M114" s="26">
        <v>80</v>
      </c>
      <c r="N114" s="28">
        <f t="shared" si="6"/>
        <v>17600</v>
      </c>
      <c r="O114" s="153"/>
      <c r="Q114" s="3"/>
      <c r="R114" s="3"/>
      <c r="S114" s="4"/>
    </row>
    <row r="115" spans="1:23" s="2" customFormat="1" ht="19.2" customHeight="1">
      <c r="A115" s="9">
        <v>5</v>
      </c>
      <c r="B115" s="149" t="s">
        <v>1</v>
      </c>
      <c r="C115" s="23">
        <f>L115/100*100</f>
        <v>2268</v>
      </c>
      <c r="D115" s="24">
        <f>C115/100*344</f>
        <v>7801.92</v>
      </c>
      <c r="E115" s="25"/>
      <c r="F115" s="119">
        <f>C115/100*7.9</f>
        <v>179.172</v>
      </c>
      <c r="G115" s="25"/>
      <c r="H115" s="25">
        <f>C115/100*1</f>
        <v>22.68</v>
      </c>
      <c r="I115" s="25">
        <f>C115/100*72.88</f>
        <v>1652.9183999999998</v>
      </c>
      <c r="J115" s="27">
        <f>C115/100*30</f>
        <v>680.4</v>
      </c>
      <c r="K115" s="27">
        <f>C115/100*0.1</f>
        <v>2.2680000000000002</v>
      </c>
      <c r="L115" s="137">
        <v>2268</v>
      </c>
      <c r="M115" s="75">
        <v>18</v>
      </c>
      <c r="N115" s="28">
        <f t="shared" si="6"/>
        <v>40824</v>
      </c>
      <c r="O115" s="153"/>
    </row>
    <row r="116" spans="1:23" s="2" customFormat="1" ht="19.2" customHeight="1">
      <c r="A116" s="9">
        <v>6</v>
      </c>
      <c r="B116" s="149" t="s">
        <v>99</v>
      </c>
      <c r="C116" s="23">
        <f>L116/100*87</f>
        <v>1174.5</v>
      </c>
      <c r="D116" s="24">
        <f>C116/100*14</f>
        <v>164.42999999999998</v>
      </c>
      <c r="E116" s="25"/>
      <c r="F116" s="25">
        <f>C116/100*1.9</f>
        <v>22.315499999999997</v>
      </c>
      <c r="G116" s="25"/>
      <c r="H116" s="25"/>
      <c r="I116" s="25">
        <f>C116/100*1.6</f>
        <v>18.791999999999998</v>
      </c>
      <c r="J116" s="119">
        <f>C116/100*48.7</f>
        <v>571.98149999999998</v>
      </c>
      <c r="K116" s="25">
        <f>C116/100*0.03</f>
        <v>0.35234999999999994</v>
      </c>
      <c r="L116" s="26">
        <v>1350</v>
      </c>
      <c r="M116" s="75">
        <v>25</v>
      </c>
      <c r="N116" s="28">
        <f t="shared" si="6"/>
        <v>33750</v>
      </c>
      <c r="O116" s="153"/>
    </row>
    <row r="117" spans="1:23" s="2" customFormat="1" ht="19.2" customHeight="1">
      <c r="A117" s="9">
        <v>7</v>
      </c>
      <c r="B117" s="5" t="s">
        <v>129</v>
      </c>
      <c r="C117" s="23">
        <f>L117/100*100</f>
        <v>40</v>
      </c>
      <c r="D117" s="24">
        <f>C117/100*247</f>
        <v>98.800000000000011</v>
      </c>
      <c r="E117" s="29"/>
      <c r="F117" s="29">
        <f>C117/100*17.5</f>
        <v>7</v>
      </c>
      <c r="G117" s="29"/>
      <c r="H117" s="29">
        <f>C117/100*1.6</f>
        <v>0.64000000000000012</v>
      </c>
      <c r="I117" s="29">
        <f>C117/100*39.2</f>
        <v>15.680000000000001</v>
      </c>
      <c r="J117" s="71"/>
      <c r="K117" s="71"/>
      <c r="L117" s="383">
        <v>40</v>
      </c>
      <c r="M117" s="75">
        <v>50</v>
      </c>
      <c r="N117" s="28">
        <f t="shared" si="6"/>
        <v>2000</v>
      </c>
      <c r="O117" s="153"/>
      <c r="Q117" s="3"/>
      <c r="R117" s="3"/>
      <c r="S117" s="4"/>
      <c r="T117" s="3"/>
    </row>
    <row r="118" spans="1:23" s="2" customFormat="1" ht="19.2" customHeight="1">
      <c r="A118" s="9">
        <v>8</v>
      </c>
      <c r="B118" s="10" t="s">
        <v>69</v>
      </c>
      <c r="C118" s="23">
        <f>L118/100*98</f>
        <v>2293.1999999999998</v>
      </c>
      <c r="D118" s="24">
        <f>C118/100*139</f>
        <v>3187.5479999999998</v>
      </c>
      <c r="E118" s="119">
        <f>C118/100*19</f>
        <v>435.70799999999997</v>
      </c>
      <c r="F118" s="25"/>
      <c r="G118" s="25">
        <f>C118/100*7</f>
        <v>160.524</v>
      </c>
      <c r="H118" s="25"/>
      <c r="I118" s="25"/>
      <c r="J118" s="27">
        <f>C118/100*7</f>
        <v>160.524</v>
      </c>
      <c r="K118" s="27">
        <f>C118/100*0.9</f>
        <v>20.6388</v>
      </c>
      <c r="L118" s="137">
        <v>2340</v>
      </c>
      <c r="M118" s="143">
        <v>133</v>
      </c>
      <c r="N118" s="124">
        <f t="shared" si="6"/>
        <v>311220</v>
      </c>
      <c r="O118" s="153"/>
    </row>
    <row r="119" spans="1:23" s="2" customFormat="1" ht="19.2" customHeight="1">
      <c r="A119" s="80">
        <v>9</v>
      </c>
      <c r="B119" s="6" t="s">
        <v>119</v>
      </c>
      <c r="C119" s="23"/>
      <c r="D119" s="24"/>
      <c r="E119" s="25"/>
      <c r="F119" s="25"/>
      <c r="G119" s="25"/>
      <c r="H119" s="25"/>
      <c r="I119" s="25"/>
      <c r="J119" s="25"/>
      <c r="K119" s="25"/>
      <c r="L119" s="26"/>
      <c r="M119" s="26"/>
      <c r="N119" s="135">
        <v>4000</v>
      </c>
      <c r="O119" s="153"/>
    </row>
    <row r="120" spans="1:23" s="2" customFormat="1" ht="19.2" customHeight="1">
      <c r="A120" s="21" t="s">
        <v>115</v>
      </c>
      <c r="B120" s="22"/>
      <c r="C120" s="34"/>
      <c r="D120" s="121">
        <f>SUM(D111:D119)</f>
        <v>15409.286</v>
      </c>
      <c r="E120" s="43"/>
      <c r="F120" s="43"/>
      <c r="G120" s="43"/>
      <c r="H120" s="43"/>
      <c r="I120" s="43"/>
      <c r="J120" s="43"/>
      <c r="K120" s="43"/>
      <c r="L120" s="44"/>
      <c r="M120" s="315"/>
      <c r="N120" s="335">
        <f>SUM(N111:N119)</f>
        <v>431914</v>
      </c>
      <c r="O120" s="153"/>
    </row>
    <row r="121" spans="1:23" ht="19.2" customHeight="1">
      <c r="A121" s="21" t="s">
        <v>34</v>
      </c>
      <c r="B121" s="22"/>
      <c r="C121" s="61"/>
      <c r="D121" s="48">
        <f>D120/D91</f>
        <v>285.35714814814816</v>
      </c>
      <c r="E121" s="48"/>
      <c r="F121" s="48"/>
      <c r="G121" s="48"/>
      <c r="H121" s="48"/>
      <c r="I121" s="48"/>
      <c r="J121" s="48"/>
      <c r="K121" s="48"/>
      <c r="L121" s="62"/>
      <c r="M121" s="316"/>
      <c r="N121" s="337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300" t="s">
        <v>52</v>
      </c>
      <c r="B122" s="234"/>
      <c r="C122" s="384" t="s">
        <v>141</v>
      </c>
      <c r="D122" s="20" t="s">
        <v>44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85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35"/>
      <c r="B123" s="236"/>
      <c r="C123" s="76" t="s">
        <v>58</v>
      </c>
      <c r="D123" s="78">
        <f>D121*100/930</f>
        <v>30.683564317005178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85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44" t="s">
        <v>33</v>
      </c>
      <c r="B124" s="244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03">
        <v>1</v>
      </c>
      <c r="B125" s="112" t="s">
        <v>73</v>
      </c>
      <c r="C125" s="104">
        <f>L125/100*80</f>
        <v>6600</v>
      </c>
      <c r="D125" s="105">
        <f>C125/100*40</f>
        <v>2640</v>
      </c>
      <c r="E125" s="106"/>
      <c r="F125" s="106">
        <f>C125/100*1.3</f>
        <v>85.8</v>
      </c>
      <c r="G125" s="106"/>
      <c r="H125" s="106"/>
      <c r="I125" s="106">
        <f>C125/100*8.7</f>
        <v>574.19999999999993</v>
      </c>
      <c r="J125" s="106">
        <f>C125/100*11</f>
        <v>726</v>
      </c>
      <c r="K125" s="106"/>
      <c r="L125" s="415">
        <v>8250</v>
      </c>
      <c r="M125" s="145">
        <v>32</v>
      </c>
      <c r="N125" s="171">
        <f t="shared" ref="N125" si="7">L125*M125</f>
        <v>264000</v>
      </c>
      <c r="O125" s="153"/>
      <c r="P125" s="3"/>
    </row>
    <row r="126" spans="1:23" ht="19.2" customHeight="1">
      <c r="A126" s="217" t="s">
        <v>64</v>
      </c>
      <c r="B126" s="220" t="s">
        <v>18</v>
      </c>
      <c r="C126" s="312" t="s">
        <v>7</v>
      </c>
      <c r="D126" s="223" t="s">
        <v>8</v>
      </c>
      <c r="E126" s="226" t="s">
        <v>10</v>
      </c>
      <c r="F126" s="227"/>
      <c r="G126" s="226" t="s">
        <v>12</v>
      </c>
      <c r="H126" s="227"/>
      <c r="I126" s="230" t="s">
        <v>15</v>
      </c>
      <c r="J126" s="230" t="s">
        <v>39</v>
      </c>
      <c r="K126" s="230" t="s">
        <v>40</v>
      </c>
      <c r="L126" s="230" t="s">
        <v>16</v>
      </c>
      <c r="M126" s="230" t="s">
        <v>54</v>
      </c>
      <c r="N126" s="217" t="s">
        <v>17</v>
      </c>
      <c r="O126" s="177"/>
    </row>
    <row r="127" spans="1:23" ht="19.2" customHeight="1">
      <c r="A127" s="218"/>
      <c r="B127" s="221"/>
      <c r="C127" s="313"/>
      <c r="D127" s="224"/>
      <c r="E127" s="228"/>
      <c r="F127" s="229"/>
      <c r="G127" s="228"/>
      <c r="H127" s="229"/>
      <c r="I127" s="231"/>
      <c r="J127" s="231"/>
      <c r="K127" s="231"/>
      <c r="L127" s="231"/>
      <c r="M127" s="231"/>
      <c r="N127" s="218"/>
      <c r="O127" s="184"/>
    </row>
    <row r="128" spans="1:23" ht="19.2" customHeight="1">
      <c r="A128" s="218"/>
      <c r="B128" s="221"/>
      <c r="C128" s="313"/>
      <c r="D128" s="224"/>
      <c r="E128" s="230" t="s">
        <v>9</v>
      </c>
      <c r="F128" s="230" t="s">
        <v>11</v>
      </c>
      <c r="G128" s="230" t="s">
        <v>13</v>
      </c>
      <c r="H128" s="230" t="s">
        <v>14</v>
      </c>
      <c r="I128" s="231"/>
      <c r="J128" s="231"/>
      <c r="K128" s="231"/>
      <c r="L128" s="231"/>
      <c r="M128" s="231"/>
      <c r="N128" s="218"/>
      <c r="O128" s="184"/>
    </row>
    <row r="129" spans="1:23" ht="19.2" customHeight="1">
      <c r="A129" s="219"/>
      <c r="B129" s="222"/>
      <c r="C129" s="314"/>
      <c r="D129" s="225"/>
      <c r="E129" s="232"/>
      <c r="F129" s="232"/>
      <c r="G129" s="232"/>
      <c r="H129" s="232"/>
      <c r="I129" s="232"/>
      <c r="J129" s="232"/>
      <c r="K129" s="232"/>
      <c r="L129" s="232"/>
      <c r="M129" s="232"/>
      <c r="N129" s="219"/>
      <c r="O129" s="184"/>
    </row>
    <row r="130" spans="1:23" s="2" customFormat="1" ht="19.2" customHeight="1">
      <c r="A130" s="21" t="s">
        <v>102</v>
      </c>
      <c r="B130" s="22"/>
      <c r="C130" s="34"/>
      <c r="D130" s="35">
        <f>SUM(D124:D125)</f>
        <v>2640</v>
      </c>
      <c r="E130" s="43"/>
      <c r="F130" s="43"/>
      <c r="G130" s="43"/>
      <c r="H130" s="43"/>
      <c r="I130" s="43"/>
      <c r="J130" s="43"/>
      <c r="K130" s="43"/>
      <c r="L130" s="44"/>
      <c r="M130" s="315"/>
      <c r="N130" s="335">
        <f>SUM(N124:N125)</f>
        <v>264000</v>
      </c>
      <c r="O130" s="153"/>
    </row>
    <row r="131" spans="1:23" ht="19.2" customHeight="1">
      <c r="A131" s="21" t="s">
        <v>6</v>
      </c>
      <c r="B131" s="22"/>
      <c r="C131" s="45"/>
      <c r="D131" s="46">
        <f>D130/D91</f>
        <v>48.888888888888886</v>
      </c>
      <c r="E131" s="46"/>
      <c r="F131" s="46"/>
      <c r="G131" s="46"/>
      <c r="H131" s="46"/>
      <c r="I131" s="46"/>
      <c r="J131" s="46"/>
      <c r="K131" s="46"/>
      <c r="L131" s="47"/>
      <c r="M131" s="316"/>
      <c r="N131" s="336"/>
      <c r="O131" s="4"/>
      <c r="P131" s="2"/>
      <c r="Q131" s="2"/>
      <c r="R131" s="2"/>
      <c r="S131" s="2"/>
      <c r="T131" s="2"/>
      <c r="U131" s="2"/>
      <c r="V131" s="2"/>
    </row>
    <row r="132" spans="1:23" ht="19.2" customHeight="1">
      <c r="A132" s="300" t="s">
        <v>50</v>
      </c>
      <c r="B132" s="234"/>
      <c r="C132" s="384" t="s">
        <v>141</v>
      </c>
      <c r="D132" s="20" t="s">
        <v>48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85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9.2" customHeight="1">
      <c r="A133" s="235"/>
      <c r="B133" s="236"/>
      <c r="C133" s="76" t="s">
        <v>58</v>
      </c>
      <c r="D133" s="78">
        <f>D131*100/930</f>
        <v>5.2568697729988054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85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19.2" customHeight="1">
      <c r="A134" s="292" t="s">
        <v>109</v>
      </c>
      <c r="B134" s="293"/>
      <c r="C134" s="296"/>
      <c r="D134" s="308">
        <f>D106+D120+D130</f>
        <v>33852.220999999998</v>
      </c>
      <c r="E134" s="50">
        <f>SUM(E97:E131)</f>
        <v>889.45269999999994</v>
      </c>
      <c r="F134" s="50">
        <f>SUM(F97:F131)</f>
        <v>566.42549999999994</v>
      </c>
      <c r="G134" s="7">
        <f>SUM(G97:G131)</f>
        <v>875.29969999999992</v>
      </c>
      <c r="H134" s="7">
        <f>SUM(H97:H131)</f>
        <v>383.12200000000001</v>
      </c>
      <c r="I134" s="290">
        <f>SUM(I97:I131)</f>
        <v>4037.186999999999</v>
      </c>
      <c r="J134" s="290">
        <f>SUM(J97:J125)</f>
        <v>6841.3194999999996</v>
      </c>
      <c r="K134" s="290">
        <f>SUM(K97:K125)</f>
        <v>40.070779999999999</v>
      </c>
      <c r="L134" s="274"/>
      <c r="M134" s="274"/>
      <c r="N134" s="310">
        <f>N106+N120+N130</f>
        <v>1187740</v>
      </c>
      <c r="U134" s="12"/>
      <c r="V134" s="12"/>
    </row>
    <row r="135" spans="1:23" ht="19.2" customHeight="1">
      <c r="A135" s="294"/>
      <c r="B135" s="295"/>
      <c r="C135" s="297"/>
      <c r="D135" s="309"/>
      <c r="E135" s="321">
        <f>E134+F134</f>
        <v>1455.8781999999999</v>
      </c>
      <c r="F135" s="322"/>
      <c r="G135" s="288">
        <f>G134+H134</f>
        <v>1258.4216999999999</v>
      </c>
      <c r="H135" s="289"/>
      <c r="I135" s="291"/>
      <c r="J135" s="291"/>
      <c r="K135" s="291"/>
      <c r="L135" s="274"/>
      <c r="M135" s="274"/>
      <c r="N135" s="310"/>
      <c r="P135" s="398"/>
      <c r="Q135" s="399"/>
      <c r="R135" s="399"/>
      <c r="S135" s="399"/>
      <c r="T135" s="399"/>
      <c r="U135" s="400"/>
      <c r="V135" s="400"/>
    </row>
    <row r="136" spans="1:23" ht="19.2" customHeight="1">
      <c r="A136" s="275" t="s">
        <v>74</v>
      </c>
      <c r="B136" s="276"/>
      <c r="C136" s="277"/>
      <c r="D136" s="138">
        <f>D134/D91</f>
        <v>626.89298148148146</v>
      </c>
      <c r="E136" s="385">
        <f>E134/D91</f>
        <v>16.471346296296296</v>
      </c>
      <c r="F136" s="386">
        <f>F134/D91</f>
        <v>10.48936111111111</v>
      </c>
      <c r="G136" s="410">
        <f>G134/D91</f>
        <v>16.209253703703702</v>
      </c>
      <c r="H136" s="409">
        <f>H134/D91</f>
        <v>7.0948518518518524</v>
      </c>
      <c r="I136" s="306">
        <f>I134/D91</f>
        <v>74.762722222222209</v>
      </c>
      <c r="J136" s="306">
        <f>J134/D91</f>
        <v>126.69110185185184</v>
      </c>
      <c r="K136" s="306">
        <f>K134/D91</f>
        <v>0.74205148148148148</v>
      </c>
      <c r="L136" s="274"/>
      <c r="M136" s="274"/>
      <c r="N136" s="310"/>
      <c r="P136" s="401"/>
      <c r="Q136" s="399"/>
      <c r="R136" s="399"/>
      <c r="S136" s="404"/>
      <c r="T136" s="404"/>
      <c r="U136" s="399"/>
      <c r="V136" s="399"/>
    </row>
    <row r="137" spans="1:23" ht="19.2" customHeight="1">
      <c r="A137" s="278"/>
      <c r="B137" s="279"/>
      <c r="C137" s="280"/>
      <c r="D137" s="127"/>
      <c r="E137" s="387">
        <f>E136+F136</f>
        <v>26.960707407407405</v>
      </c>
      <c r="F137" s="388"/>
      <c r="G137" s="387">
        <f>G136+H136</f>
        <v>23.304105555555555</v>
      </c>
      <c r="H137" s="388"/>
      <c r="I137" s="307"/>
      <c r="J137" s="307"/>
      <c r="K137" s="307"/>
      <c r="L137" s="274"/>
      <c r="M137" s="274"/>
      <c r="N137" s="310"/>
      <c r="P137" s="398"/>
      <c r="Q137" s="398"/>
      <c r="R137" s="398"/>
      <c r="S137" s="398"/>
      <c r="T137" s="398"/>
      <c r="U137" s="398"/>
      <c r="V137" s="398"/>
    </row>
    <row r="138" spans="1:23" ht="19.2" customHeight="1">
      <c r="A138" s="324" t="s">
        <v>77</v>
      </c>
      <c r="B138" s="325"/>
      <c r="C138" s="326"/>
      <c r="D138" s="187" t="s">
        <v>27</v>
      </c>
      <c r="E138" s="347" t="s">
        <v>22</v>
      </c>
      <c r="F138" s="347"/>
      <c r="G138" s="347" t="s">
        <v>23</v>
      </c>
      <c r="H138" s="347"/>
      <c r="I138" s="187" t="s">
        <v>24</v>
      </c>
      <c r="J138" s="182">
        <v>500</v>
      </c>
      <c r="K138" s="182">
        <v>0.5</v>
      </c>
      <c r="L138" s="274"/>
      <c r="M138" s="274"/>
      <c r="N138" s="310"/>
      <c r="O138" s="180"/>
      <c r="P138" s="398"/>
      <c r="Q138" s="398"/>
      <c r="R138" s="398"/>
      <c r="S138" s="398"/>
      <c r="T138" s="398"/>
      <c r="U138" s="398"/>
      <c r="V138" s="398"/>
    </row>
    <row r="139" spans="1:23" ht="19.2" customHeight="1">
      <c r="A139" s="251" t="s">
        <v>75</v>
      </c>
      <c r="B139" s="281"/>
      <c r="C139" s="252"/>
      <c r="D139" s="49"/>
      <c r="E139" s="282">
        <f>E137*4.1</f>
        <v>110.53890037037036</v>
      </c>
      <c r="F139" s="283"/>
      <c r="G139" s="282">
        <f>G137*9</f>
        <v>209.73695000000001</v>
      </c>
      <c r="H139" s="283"/>
      <c r="I139" s="85">
        <f>I136*4.1</f>
        <v>306.52716111111101</v>
      </c>
      <c r="J139" s="263"/>
      <c r="K139" s="263"/>
      <c r="L139" s="274"/>
      <c r="M139" s="274"/>
      <c r="N139" s="310"/>
      <c r="O139" s="180"/>
      <c r="P139" s="402"/>
      <c r="Q139" s="403"/>
      <c r="R139" s="403"/>
      <c r="S139" s="403"/>
      <c r="T139" s="398"/>
      <c r="U139" s="398"/>
      <c r="V139" s="398"/>
    </row>
    <row r="140" spans="1:23" ht="19.2" customHeight="1">
      <c r="A140" s="284" t="s">
        <v>84</v>
      </c>
      <c r="B140" s="285"/>
      <c r="C140" s="251" t="s">
        <v>57</v>
      </c>
      <c r="D140" s="252"/>
      <c r="E140" s="197">
        <f>E139*100/D136</f>
        <v>17.632818301641123</v>
      </c>
      <c r="F140" s="198"/>
      <c r="G140" s="197">
        <f>G139*100/D136</f>
        <v>33.45657970270252</v>
      </c>
      <c r="H140" s="198"/>
      <c r="I140" s="115">
        <f>I139*100/D136</f>
        <v>48.896250263756684</v>
      </c>
      <c r="J140" s="264"/>
      <c r="K140" s="264"/>
      <c r="L140" s="274"/>
      <c r="M140" s="274"/>
      <c r="N140" s="310"/>
      <c r="O140" s="180"/>
      <c r="P140" s="398"/>
      <c r="Q140" s="398"/>
      <c r="R140" s="398"/>
      <c r="S140" s="398"/>
      <c r="T140" s="398"/>
      <c r="U140" s="398"/>
      <c r="V140" s="398"/>
    </row>
    <row r="141" spans="1:23" ht="19.2" customHeight="1">
      <c r="A141" s="286"/>
      <c r="B141" s="287"/>
      <c r="C141" s="251" t="s">
        <v>76</v>
      </c>
      <c r="D141" s="252"/>
      <c r="E141" s="251" t="s">
        <v>79</v>
      </c>
      <c r="F141" s="252"/>
      <c r="G141" s="251" t="s">
        <v>82</v>
      </c>
      <c r="H141" s="252"/>
      <c r="I141" s="187" t="s">
        <v>83</v>
      </c>
      <c r="J141" s="265"/>
      <c r="K141" s="265"/>
      <c r="L141" s="274"/>
      <c r="M141" s="274"/>
      <c r="N141" s="310"/>
      <c r="O141" s="180"/>
      <c r="P141" s="132"/>
    </row>
    <row r="142" spans="1:23" ht="19.2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180"/>
    </row>
    <row r="143" spans="1:23" ht="21" customHeight="1">
      <c r="A143" s="192" t="s">
        <v>110</v>
      </c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80"/>
    </row>
    <row r="144" spans="1:23" ht="21" customHeight="1">
      <c r="A144" s="117" t="s">
        <v>111</v>
      </c>
      <c r="B144" s="193" t="s">
        <v>112</v>
      </c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80"/>
    </row>
    <row r="145" spans="1:15" ht="21" customHeight="1">
      <c r="A145" s="118"/>
      <c r="B145" s="194" t="s">
        <v>206</v>
      </c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80"/>
    </row>
    <row r="146" spans="1:15" ht="21" customHeight="1">
      <c r="A146" s="118"/>
      <c r="B146" s="194" t="s">
        <v>207</v>
      </c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80"/>
    </row>
    <row r="147" spans="1:15" ht="21" customHeight="1">
      <c r="A147" s="118"/>
      <c r="B147" s="194" t="s">
        <v>208</v>
      </c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80"/>
    </row>
    <row r="148" spans="1:15" ht="21" customHeight="1">
      <c r="A148" s="90"/>
      <c r="B148" s="195" t="s">
        <v>124</v>
      </c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80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180"/>
    </row>
    <row r="150" spans="1:15" ht="21" customHeight="1">
      <c r="A150" s="196" t="s">
        <v>60</v>
      </c>
      <c r="B150" s="196"/>
      <c r="C150" s="196"/>
      <c r="D150" s="196"/>
      <c r="E150" s="390"/>
      <c r="F150" s="390"/>
      <c r="G150" s="390"/>
      <c r="H150" s="390"/>
      <c r="I150" s="390"/>
      <c r="J150" s="391" t="s">
        <v>31</v>
      </c>
      <c r="K150" s="391"/>
      <c r="L150" s="391"/>
      <c r="M150" s="391"/>
      <c r="N150" s="391"/>
      <c r="O150" s="180"/>
    </row>
    <row r="151" spans="1:15" ht="21" customHeight="1">
      <c r="A151" s="184"/>
      <c r="B151" s="184"/>
      <c r="C151" s="184"/>
      <c r="D151" s="390"/>
      <c r="E151" s="390"/>
      <c r="F151" s="390"/>
      <c r="G151" s="390"/>
      <c r="H151" s="392"/>
      <c r="I151" s="392"/>
      <c r="J151" s="392"/>
      <c r="K151" s="392"/>
      <c r="L151" s="392"/>
      <c r="M151" s="392"/>
      <c r="N151" s="392"/>
      <c r="O151" s="180"/>
    </row>
    <row r="152" spans="1:15" ht="21" customHeight="1">
      <c r="A152" s="184"/>
      <c r="B152" s="184"/>
      <c r="C152" s="184"/>
      <c r="D152" s="390"/>
      <c r="E152" s="390"/>
      <c r="F152" s="390"/>
      <c r="G152" s="390"/>
      <c r="H152" s="392"/>
      <c r="I152" s="392"/>
      <c r="J152" s="392"/>
      <c r="K152" s="392"/>
      <c r="L152" s="392"/>
      <c r="M152" s="392"/>
      <c r="N152" s="392"/>
      <c r="O152" s="180"/>
    </row>
    <row r="153" spans="1:15" ht="21" customHeight="1">
      <c r="A153" s="184"/>
      <c r="B153" s="184"/>
      <c r="C153" s="184"/>
      <c r="D153" s="390"/>
      <c r="E153" s="390"/>
      <c r="F153" s="390"/>
      <c r="G153" s="390"/>
      <c r="H153" s="392"/>
      <c r="I153" s="392"/>
      <c r="J153" s="393" t="s">
        <v>120</v>
      </c>
      <c r="K153" s="393"/>
      <c r="L153" s="393"/>
      <c r="M153" s="393"/>
      <c r="N153" s="393"/>
      <c r="O153" s="180"/>
    </row>
    <row r="154" spans="1:15" ht="21" customHeight="1">
      <c r="A154" s="188" t="s">
        <v>88</v>
      </c>
      <c r="B154" s="188"/>
      <c r="C154" s="188"/>
      <c r="D154" s="188"/>
      <c r="E154" s="390"/>
      <c r="F154" s="390"/>
      <c r="G154" s="390"/>
      <c r="H154" s="392"/>
      <c r="I154" s="392"/>
      <c r="J154" s="393"/>
      <c r="K154" s="393"/>
      <c r="L154" s="393"/>
      <c r="M154" s="393"/>
      <c r="N154" s="393"/>
      <c r="O154" s="180"/>
    </row>
    <row r="156" spans="1:15" ht="19.2" customHeight="1">
      <c r="J156" s="393" t="s">
        <v>123</v>
      </c>
      <c r="K156" s="393"/>
      <c r="L156" s="393"/>
      <c r="M156" s="393"/>
      <c r="N156" s="393"/>
    </row>
  </sheetData>
  <mergeCells count="205">
    <mergeCell ref="B147:N147"/>
    <mergeCell ref="B148:N148"/>
    <mergeCell ref="A150:D150"/>
    <mergeCell ref="J150:N150"/>
    <mergeCell ref="J153:N153"/>
    <mergeCell ref="A154:D154"/>
    <mergeCell ref="J154:N154"/>
    <mergeCell ref="J156:N156"/>
    <mergeCell ref="E140:F140"/>
    <mergeCell ref="G140:H140"/>
    <mergeCell ref="C141:D141"/>
    <mergeCell ref="E141:F141"/>
    <mergeCell ref="G141:H141"/>
    <mergeCell ref="A143:N143"/>
    <mergeCell ref="B144:N144"/>
    <mergeCell ref="B145:N145"/>
    <mergeCell ref="B146:N146"/>
    <mergeCell ref="Q135:R135"/>
    <mergeCell ref="S135:T135"/>
    <mergeCell ref="U135:V135"/>
    <mergeCell ref="A136:C137"/>
    <mergeCell ref="I136:I137"/>
    <mergeCell ref="J136:J137"/>
    <mergeCell ref="K136:K137"/>
    <mergeCell ref="Q136:R136"/>
    <mergeCell ref="S136:T136"/>
    <mergeCell ref="U136:V136"/>
    <mergeCell ref="E137:F137"/>
    <mergeCell ref="G137:H137"/>
    <mergeCell ref="M130:M131"/>
    <mergeCell ref="N130:N131"/>
    <mergeCell ref="A132:B133"/>
    <mergeCell ref="A134:B135"/>
    <mergeCell ref="C134:C135"/>
    <mergeCell ref="D134:D135"/>
    <mergeCell ref="I134:I135"/>
    <mergeCell ref="J134:J135"/>
    <mergeCell ref="K134:K135"/>
    <mergeCell ref="L134:L141"/>
    <mergeCell ref="M134:M141"/>
    <mergeCell ref="N134:N141"/>
    <mergeCell ref="E135:F135"/>
    <mergeCell ref="G135:H135"/>
    <mergeCell ref="A138:C138"/>
    <mergeCell ref="E138:F138"/>
    <mergeCell ref="G138:H138"/>
    <mergeCell ref="A139:C139"/>
    <mergeCell ref="E139:F139"/>
    <mergeCell ref="G139:H139"/>
    <mergeCell ref="J139:J141"/>
    <mergeCell ref="K139:K141"/>
    <mergeCell ref="A140:B141"/>
    <mergeCell ref="C140:D140"/>
    <mergeCell ref="M106:M107"/>
    <mergeCell ref="N106:N107"/>
    <mergeCell ref="A108:B109"/>
    <mergeCell ref="A110:B110"/>
    <mergeCell ref="M120:M121"/>
    <mergeCell ref="N120:N121"/>
    <mergeCell ref="A122:B123"/>
    <mergeCell ref="A124:B124"/>
    <mergeCell ref="A126:A129"/>
    <mergeCell ref="B126:B129"/>
    <mergeCell ref="C126:C129"/>
    <mergeCell ref="D126:D129"/>
    <mergeCell ref="E126:F127"/>
    <mergeCell ref="G126:H127"/>
    <mergeCell ref="I126:I129"/>
    <mergeCell ref="J126:J129"/>
    <mergeCell ref="K126:K129"/>
    <mergeCell ref="L126:L129"/>
    <mergeCell ref="M126:M129"/>
    <mergeCell ref="N126:N129"/>
    <mergeCell ref="E128:E129"/>
    <mergeCell ref="F128:F129"/>
    <mergeCell ref="G128:G129"/>
    <mergeCell ref="H128:H129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J71:N71"/>
    <mergeCell ref="F82:N82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B58:N58"/>
    <mergeCell ref="B59:N59"/>
    <mergeCell ref="B60:N60"/>
    <mergeCell ref="B61:N61"/>
    <mergeCell ref="B62:N62"/>
    <mergeCell ref="A64:D64"/>
    <mergeCell ref="J64:N64"/>
    <mergeCell ref="J67:N67"/>
    <mergeCell ref="A68:D68"/>
    <mergeCell ref="K53:K55"/>
    <mergeCell ref="A54:B55"/>
    <mergeCell ref="C54:D54"/>
    <mergeCell ref="E54:F54"/>
    <mergeCell ref="G54:H54"/>
    <mergeCell ref="C55:D55"/>
    <mergeCell ref="E55:F55"/>
    <mergeCell ref="G55:H55"/>
    <mergeCell ref="A57:N57"/>
    <mergeCell ref="Q51:R51"/>
    <mergeCell ref="S51:T51"/>
    <mergeCell ref="U51:V51"/>
    <mergeCell ref="A52:C52"/>
    <mergeCell ref="E52:F52"/>
    <mergeCell ref="G52:H52"/>
    <mergeCell ref="Q52:R52"/>
    <mergeCell ref="S52:T52"/>
    <mergeCell ref="U52:V52"/>
    <mergeCell ref="M44:M45"/>
    <mergeCell ref="N44:N45"/>
    <mergeCell ref="A46:B47"/>
    <mergeCell ref="A48:B49"/>
    <mergeCell ref="C48:C49"/>
    <mergeCell ref="D48:D49"/>
    <mergeCell ref="I48:I49"/>
    <mergeCell ref="J48:J49"/>
    <mergeCell ref="K48:K49"/>
    <mergeCell ref="L48:L55"/>
    <mergeCell ref="M48:M55"/>
    <mergeCell ref="N48:N55"/>
    <mergeCell ref="E49:F49"/>
    <mergeCell ref="G49:H49"/>
    <mergeCell ref="A50:C51"/>
    <mergeCell ref="I50:I51"/>
    <mergeCell ref="J50:J51"/>
    <mergeCell ref="K50:K51"/>
    <mergeCell ref="E51:F51"/>
    <mergeCell ref="G51:H51"/>
    <mergeCell ref="A53:C53"/>
    <mergeCell ref="E53:F53"/>
    <mergeCell ref="G53:H53"/>
    <mergeCell ref="J53:J55"/>
    <mergeCell ref="N27:N28"/>
    <mergeCell ref="A29:B30"/>
    <mergeCell ref="A31:B31"/>
    <mergeCell ref="A40:A43"/>
    <mergeCell ref="B40:B43"/>
    <mergeCell ref="C40:C43"/>
    <mergeCell ref="D40:D43"/>
    <mergeCell ref="E40:F41"/>
    <mergeCell ref="G40:H41"/>
    <mergeCell ref="I40:I43"/>
    <mergeCell ref="J40:J43"/>
    <mergeCell ref="K40:K43"/>
    <mergeCell ref="L40:L43"/>
    <mergeCell ref="M40:M43"/>
    <mergeCell ref="N40:N43"/>
    <mergeCell ref="E42:E43"/>
    <mergeCell ref="F42:F43"/>
    <mergeCell ref="G42:G43"/>
    <mergeCell ref="H42:H43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F1:N1"/>
    <mergeCell ref="A5:D5"/>
    <mergeCell ref="E5:N5"/>
    <mergeCell ref="A6:D6"/>
    <mergeCell ref="E6:I9"/>
    <mergeCell ref="J6:N9"/>
    <mergeCell ref="A7:D7"/>
    <mergeCell ref="A8:D8"/>
    <mergeCell ref="A9:D9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1" sqref="O1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59</v>
      </c>
      <c r="B1" s="8"/>
      <c r="C1" s="8"/>
      <c r="D1" s="8"/>
      <c r="E1" s="8"/>
      <c r="F1" s="299" t="s">
        <v>29</v>
      </c>
      <c r="G1" s="299"/>
      <c r="H1" s="299"/>
      <c r="I1" s="299"/>
      <c r="J1" s="299"/>
      <c r="K1" s="299"/>
      <c r="L1" s="299"/>
      <c r="M1" s="299"/>
      <c r="N1" s="299"/>
      <c r="O1" s="175"/>
      <c r="P1" s="175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81"/>
      <c r="G2" s="181"/>
      <c r="H2" s="181"/>
      <c r="I2" s="181"/>
      <c r="J2" s="181"/>
      <c r="K2" s="181"/>
      <c r="L2" s="181"/>
      <c r="M2" s="181"/>
      <c r="N2" s="181"/>
      <c r="O2" s="175"/>
      <c r="P2" s="175"/>
      <c r="Q2" s="2"/>
      <c r="R2" s="2"/>
      <c r="S2" s="2"/>
      <c r="T2" s="2"/>
    </row>
    <row r="3" spans="1:20" ht="19.8" customHeight="1">
      <c r="A3" s="8" t="s">
        <v>210</v>
      </c>
      <c r="B3" s="8"/>
      <c r="C3" s="8"/>
      <c r="D3" s="8"/>
      <c r="E3" s="8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  <c r="T3" s="2"/>
    </row>
    <row r="4" spans="1:20" ht="19.8" customHeight="1">
      <c r="A4" s="8"/>
      <c r="B4" s="8"/>
      <c r="C4" s="8"/>
      <c r="D4" s="8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  <c r="T4" s="2"/>
    </row>
    <row r="5" spans="1:20" s="2" customFormat="1" ht="19.8" customHeight="1">
      <c r="A5" s="203" t="s">
        <v>93</v>
      </c>
      <c r="B5" s="203"/>
      <c r="C5" s="203"/>
      <c r="D5" s="203"/>
      <c r="E5" s="203" t="s">
        <v>94</v>
      </c>
      <c r="F5" s="203"/>
      <c r="G5" s="203"/>
      <c r="H5" s="203"/>
      <c r="I5" s="203"/>
      <c r="J5" s="203"/>
      <c r="K5" s="203"/>
      <c r="L5" s="203"/>
      <c r="M5" s="203"/>
      <c r="N5" s="203"/>
      <c r="O5" s="176"/>
    </row>
    <row r="6" spans="1:20" s="2" customFormat="1" ht="19.8" customHeight="1">
      <c r="A6" s="204" t="s">
        <v>87</v>
      </c>
      <c r="B6" s="204"/>
      <c r="C6" s="204"/>
      <c r="D6" s="204"/>
      <c r="E6" s="207" t="s">
        <v>138</v>
      </c>
      <c r="F6" s="207"/>
      <c r="G6" s="207"/>
      <c r="H6" s="207"/>
      <c r="I6" s="207"/>
      <c r="J6" s="208" t="s">
        <v>135</v>
      </c>
      <c r="K6" s="209"/>
      <c r="L6" s="209"/>
      <c r="M6" s="209"/>
      <c r="N6" s="210"/>
      <c r="O6" s="176"/>
    </row>
    <row r="7" spans="1:20" s="2" customFormat="1" ht="19.8" customHeight="1">
      <c r="A7" s="341" t="s">
        <v>145</v>
      </c>
      <c r="B7" s="342"/>
      <c r="C7" s="342"/>
      <c r="D7" s="343"/>
      <c r="E7" s="207"/>
      <c r="F7" s="207"/>
      <c r="G7" s="207"/>
      <c r="H7" s="207"/>
      <c r="I7" s="207"/>
      <c r="J7" s="211"/>
      <c r="K7" s="212"/>
      <c r="L7" s="212"/>
      <c r="M7" s="212"/>
      <c r="N7" s="213"/>
      <c r="O7" s="176"/>
    </row>
    <row r="8" spans="1:20" s="2" customFormat="1" ht="19.8" customHeight="1">
      <c r="A8" s="205" t="s">
        <v>157</v>
      </c>
      <c r="B8" s="205"/>
      <c r="C8" s="205"/>
      <c r="D8" s="205"/>
      <c r="E8" s="207"/>
      <c r="F8" s="207"/>
      <c r="G8" s="207"/>
      <c r="H8" s="207"/>
      <c r="I8" s="207"/>
      <c r="J8" s="211"/>
      <c r="K8" s="212"/>
      <c r="L8" s="212"/>
      <c r="M8" s="212"/>
      <c r="N8" s="213"/>
      <c r="O8" s="176"/>
    </row>
    <row r="9" spans="1:20" s="2" customFormat="1" ht="19.8" customHeight="1">
      <c r="A9" s="206" t="s">
        <v>168</v>
      </c>
      <c r="B9" s="206"/>
      <c r="C9" s="206"/>
      <c r="D9" s="206"/>
      <c r="E9" s="207"/>
      <c r="F9" s="207"/>
      <c r="G9" s="207"/>
      <c r="H9" s="207"/>
      <c r="I9" s="207"/>
      <c r="J9" s="214"/>
      <c r="K9" s="215"/>
      <c r="L9" s="215"/>
      <c r="M9" s="215"/>
      <c r="N9" s="216"/>
      <c r="O9" s="176"/>
    </row>
    <row r="10" spans="1:20" s="2" customFormat="1" ht="19.8" customHeight="1">
      <c r="A10" s="237" t="s">
        <v>118</v>
      </c>
      <c r="B10" s="238"/>
      <c r="C10" s="239"/>
      <c r="D10" s="128">
        <v>216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76"/>
    </row>
    <row r="11" spans="1:20" ht="19.8" customHeight="1">
      <c r="A11" s="217" t="s">
        <v>0</v>
      </c>
      <c r="B11" s="220" t="s">
        <v>18</v>
      </c>
      <c r="C11" s="223" t="s">
        <v>7</v>
      </c>
      <c r="D11" s="223" t="s">
        <v>8</v>
      </c>
      <c r="E11" s="226" t="s">
        <v>10</v>
      </c>
      <c r="F11" s="227"/>
      <c r="G11" s="226" t="s">
        <v>12</v>
      </c>
      <c r="H11" s="227"/>
      <c r="I11" s="230" t="s">
        <v>15</v>
      </c>
      <c r="J11" s="230" t="s">
        <v>39</v>
      </c>
      <c r="K11" s="230" t="s">
        <v>40</v>
      </c>
      <c r="L11" s="344" t="s">
        <v>16</v>
      </c>
      <c r="M11" s="230" t="s">
        <v>53</v>
      </c>
      <c r="N11" s="217" t="s">
        <v>17</v>
      </c>
      <c r="O11" s="177"/>
    </row>
    <row r="12" spans="1:20" ht="19.8" customHeight="1">
      <c r="A12" s="218"/>
      <c r="B12" s="221"/>
      <c r="C12" s="224"/>
      <c r="D12" s="224"/>
      <c r="E12" s="228"/>
      <c r="F12" s="229"/>
      <c r="G12" s="228"/>
      <c r="H12" s="229"/>
      <c r="I12" s="231"/>
      <c r="J12" s="231"/>
      <c r="K12" s="231"/>
      <c r="L12" s="345"/>
      <c r="M12" s="231"/>
      <c r="N12" s="218"/>
      <c r="O12" s="184"/>
    </row>
    <row r="13" spans="1:20" ht="19.8" customHeight="1">
      <c r="A13" s="218"/>
      <c r="B13" s="221"/>
      <c r="C13" s="224"/>
      <c r="D13" s="224"/>
      <c r="E13" s="230" t="s">
        <v>9</v>
      </c>
      <c r="F13" s="230" t="s">
        <v>11</v>
      </c>
      <c r="G13" s="230" t="s">
        <v>13</v>
      </c>
      <c r="H13" s="230" t="s">
        <v>14</v>
      </c>
      <c r="I13" s="231"/>
      <c r="J13" s="231"/>
      <c r="K13" s="231"/>
      <c r="L13" s="345"/>
      <c r="M13" s="231"/>
      <c r="N13" s="218"/>
      <c r="O13" s="184"/>
    </row>
    <row r="14" spans="1:20" ht="19.8" customHeight="1">
      <c r="A14" s="219"/>
      <c r="B14" s="222"/>
      <c r="C14" s="225"/>
      <c r="D14" s="225"/>
      <c r="E14" s="232"/>
      <c r="F14" s="232"/>
      <c r="G14" s="232"/>
      <c r="H14" s="232"/>
      <c r="I14" s="232"/>
      <c r="J14" s="232"/>
      <c r="K14" s="232"/>
      <c r="L14" s="346"/>
      <c r="M14" s="232"/>
      <c r="N14" s="219"/>
      <c r="O14" s="184"/>
    </row>
    <row r="15" spans="1:20" ht="20.399999999999999" customHeight="1">
      <c r="A15" s="246" t="s">
        <v>32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84"/>
    </row>
    <row r="16" spans="1:20" s="2" customFormat="1" ht="20.399999999999999" customHeight="1">
      <c r="A16" s="9">
        <v>1</v>
      </c>
      <c r="B16" s="6" t="s">
        <v>119</v>
      </c>
      <c r="C16" s="23"/>
      <c r="D16" s="139"/>
      <c r="E16" s="25"/>
      <c r="F16" s="25"/>
      <c r="G16" s="25"/>
      <c r="H16" s="25"/>
      <c r="I16" s="25"/>
      <c r="J16" s="25"/>
      <c r="K16" s="25"/>
      <c r="L16" s="26"/>
      <c r="M16" s="26"/>
      <c r="N16" s="28">
        <v>16720</v>
      </c>
      <c r="O16" s="153"/>
    </row>
    <row r="17" spans="1:20" s="2" customFormat="1" ht="20.399999999999999" customHeight="1">
      <c r="A17" s="9">
        <v>2</v>
      </c>
      <c r="B17" s="10" t="s">
        <v>2</v>
      </c>
      <c r="C17" s="23">
        <f>L17/100*100</f>
        <v>290</v>
      </c>
      <c r="D17" s="24">
        <f>C17/100*60</f>
        <v>174</v>
      </c>
      <c r="E17" s="25">
        <f>C17/100*15</f>
        <v>43.5</v>
      </c>
      <c r="F17" s="25"/>
      <c r="G17" s="25"/>
      <c r="H17" s="25"/>
      <c r="I17" s="25"/>
      <c r="J17" s="27">
        <f>C17/100*387</f>
        <v>1122.3</v>
      </c>
      <c r="K17" s="27">
        <f>C17/100*0.09</f>
        <v>0.26100000000000001</v>
      </c>
      <c r="L17" s="137">
        <v>290</v>
      </c>
      <c r="M17" s="75">
        <v>20</v>
      </c>
      <c r="N17" s="28">
        <f>L17*M17</f>
        <v>5800</v>
      </c>
      <c r="O17" s="153"/>
    </row>
    <row r="18" spans="1:20" s="2" customFormat="1" ht="20.399999999999999" customHeight="1">
      <c r="A18" s="9">
        <v>3</v>
      </c>
      <c r="B18" s="10" t="s">
        <v>134</v>
      </c>
      <c r="C18" s="23">
        <f>L18/100*100</f>
        <v>1550</v>
      </c>
      <c r="D18" s="120">
        <f>C18/100*899</f>
        <v>13934.5</v>
      </c>
      <c r="E18" s="25"/>
      <c r="F18" s="25"/>
      <c r="G18" s="119">
        <f>C18/100*100</f>
        <v>1550</v>
      </c>
      <c r="H18" s="25"/>
      <c r="I18" s="25"/>
      <c r="J18" s="25"/>
      <c r="K18" s="25"/>
      <c r="L18" s="137">
        <v>1550</v>
      </c>
      <c r="M18" s="24">
        <v>69</v>
      </c>
      <c r="N18" s="28">
        <f t="shared" ref="N18" si="0">L18*M18</f>
        <v>106950</v>
      </c>
      <c r="O18" s="179"/>
    </row>
    <row r="19" spans="1:20" s="2" customFormat="1" ht="20.399999999999999" customHeight="1">
      <c r="A19" s="9">
        <v>4</v>
      </c>
      <c r="B19" s="10" t="s">
        <v>4</v>
      </c>
      <c r="C19" s="23">
        <f>L19/100*90</f>
        <v>168.3</v>
      </c>
      <c r="D19" s="24">
        <f>C19/100*281</f>
        <v>472.923</v>
      </c>
      <c r="E19" s="25"/>
      <c r="F19" s="25">
        <f>C19/100*9.5</f>
        <v>15.9885</v>
      </c>
      <c r="G19" s="25"/>
      <c r="H19" s="25">
        <f>C19/100*0.2</f>
        <v>0.33660000000000001</v>
      </c>
      <c r="I19" s="25">
        <f>C19/100*58.5</f>
        <v>98.455500000000001</v>
      </c>
      <c r="J19" s="27">
        <f>C19/100*321.3</f>
        <v>540.74790000000007</v>
      </c>
      <c r="K19" s="27">
        <f>C19/100*0.14</f>
        <v>0.23562000000000002</v>
      </c>
      <c r="L19" s="137">
        <v>187</v>
      </c>
      <c r="M19" s="75">
        <v>120</v>
      </c>
      <c r="N19" s="28">
        <f t="shared" ref="N19:N27" si="1">L19*M19</f>
        <v>22440</v>
      </c>
      <c r="O19" s="153"/>
    </row>
    <row r="20" spans="1:20" s="2" customFormat="1" ht="20.399999999999999" customHeight="1">
      <c r="A20" s="9">
        <v>5</v>
      </c>
      <c r="B20" s="10" t="s">
        <v>68</v>
      </c>
      <c r="C20" s="23">
        <f>L20/100*90</f>
        <v>117</v>
      </c>
      <c r="D20" s="24">
        <f>C20/100*253</f>
        <v>296.01</v>
      </c>
      <c r="E20" s="25"/>
      <c r="F20" s="25">
        <f>C20/100*32.4</f>
        <v>37.907999999999994</v>
      </c>
      <c r="G20" s="25"/>
      <c r="H20" s="25">
        <f>C20/100*3.6</f>
        <v>4.2119999999999997</v>
      </c>
      <c r="I20" s="25">
        <f>C20/100*21.1</f>
        <v>24.687000000000001</v>
      </c>
      <c r="J20" s="27">
        <f>C20/100*165.6</f>
        <v>193.75199999999998</v>
      </c>
      <c r="K20" s="27">
        <f>C20/100*0.14</f>
        <v>0.1638</v>
      </c>
      <c r="L20" s="137">
        <v>130</v>
      </c>
      <c r="M20" s="75">
        <v>275</v>
      </c>
      <c r="N20" s="28">
        <f t="shared" si="1"/>
        <v>35750</v>
      </c>
      <c r="O20" s="153"/>
    </row>
    <row r="21" spans="1:20" s="2" customFormat="1" ht="20.399999999999999" customHeight="1">
      <c r="A21" s="9">
        <v>6</v>
      </c>
      <c r="B21" s="5" t="s">
        <v>1</v>
      </c>
      <c r="C21" s="23">
        <f>L21/100*100</f>
        <v>20520</v>
      </c>
      <c r="D21" s="120">
        <f>C21/100*344</f>
        <v>70588.800000000003</v>
      </c>
      <c r="E21" s="25"/>
      <c r="F21" s="140">
        <f>C21/100*7.9</f>
        <v>1621.08</v>
      </c>
      <c r="G21" s="25"/>
      <c r="H21" s="25">
        <f>C21/100*1</f>
        <v>205.2</v>
      </c>
      <c r="I21" s="140">
        <f>C21/100*73.3</f>
        <v>15041.159999999998</v>
      </c>
      <c r="J21" s="27">
        <f>C21/100*30</f>
        <v>6156</v>
      </c>
      <c r="K21" s="27">
        <f>C21/100*0.1</f>
        <v>20.52</v>
      </c>
      <c r="L21" s="405">
        <v>20520</v>
      </c>
      <c r="M21" s="75">
        <v>18</v>
      </c>
      <c r="N21" s="28">
        <f t="shared" si="1"/>
        <v>369360</v>
      </c>
      <c r="O21" s="153"/>
      <c r="R21" s="18"/>
      <c r="S21" s="18"/>
    </row>
    <row r="22" spans="1:20" s="2" customFormat="1" ht="20.399999999999999" customHeight="1">
      <c r="A22" s="9">
        <v>7</v>
      </c>
      <c r="B22" s="5" t="s">
        <v>61</v>
      </c>
      <c r="C22" s="23">
        <f>L22/100*86</f>
        <v>2803.6</v>
      </c>
      <c r="D22" s="24">
        <f>C22/100*166</f>
        <v>4653.9759999999997</v>
      </c>
      <c r="E22" s="25">
        <f>C22/100*14.8</f>
        <v>414.93279999999999</v>
      </c>
      <c r="F22" s="25"/>
      <c r="G22" s="25">
        <f>C22/100*11.6</f>
        <v>325.21759999999995</v>
      </c>
      <c r="H22" s="25"/>
      <c r="I22" s="25">
        <f>C22/100*0.5</f>
        <v>14.017999999999999</v>
      </c>
      <c r="J22" s="27">
        <f>C22/100*55</f>
        <v>1541.9799999999998</v>
      </c>
      <c r="K22" s="27">
        <f>C22/100*0.16</f>
        <v>4.48576</v>
      </c>
      <c r="L22" s="137">
        <v>3260</v>
      </c>
      <c r="M22" s="75">
        <v>57</v>
      </c>
      <c r="N22" s="28">
        <f t="shared" si="1"/>
        <v>185820</v>
      </c>
      <c r="O22" s="153"/>
      <c r="Q22" s="3"/>
      <c r="R22" s="3"/>
      <c r="S22" s="4"/>
    </row>
    <row r="23" spans="1:20" s="2" customFormat="1" ht="20.399999999999999" customHeight="1">
      <c r="A23" s="9">
        <v>8</v>
      </c>
      <c r="B23" s="10" t="s">
        <v>69</v>
      </c>
      <c r="C23" s="23">
        <f>L23/100*98</f>
        <v>8486.7999999999993</v>
      </c>
      <c r="D23" s="120">
        <f>C23/100*139</f>
        <v>11796.652</v>
      </c>
      <c r="E23" s="119">
        <f>C23/100*19</f>
        <v>1612.492</v>
      </c>
      <c r="F23" s="25"/>
      <c r="G23" s="25">
        <f>C23/100*7</f>
        <v>594.07600000000002</v>
      </c>
      <c r="H23" s="25"/>
      <c r="I23" s="25"/>
      <c r="J23" s="27">
        <f>C23/100*7</f>
        <v>594.07600000000002</v>
      </c>
      <c r="K23" s="27">
        <f>C23/100*0.9</f>
        <v>76.381199999999993</v>
      </c>
      <c r="L23" s="137">
        <v>8660</v>
      </c>
      <c r="M23" s="75">
        <v>133</v>
      </c>
      <c r="N23" s="124">
        <f t="shared" si="1"/>
        <v>1151780</v>
      </c>
      <c r="O23" s="153"/>
    </row>
    <row r="24" spans="1:20" s="2" customFormat="1" ht="20.399999999999999" customHeight="1">
      <c r="A24" s="9">
        <v>9</v>
      </c>
      <c r="B24" s="149" t="s">
        <v>92</v>
      </c>
      <c r="C24" s="23">
        <f>L24/100*90</f>
        <v>1620</v>
      </c>
      <c r="D24" s="24">
        <f>C24/100*90</f>
        <v>1458</v>
      </c>
      <c r="E24" s="25">
        <f>C24/100*18.4</f>
        <v>298.08</v>
      </c>
      <c r="F24" s="25"/>
      <c r="G24" s="25">
        <f>C24/100*1.8</f>
        <v>29.16</v>
      </c>
      <c r="H24" s="25"/>
      <c r="I24" s="25"/>
      <c r="J24" s="81">
        <f>C24/100*1120</f>
        <v>18144</v>
      </c>
      <c r="K24" s="27">
        <f>C24/100*0.02</f>
        <v>0.32400000000000001</v>
      </c>
      <c r="L24" s="137">
        <v>1800</v>
      </c>
      <c r="M24" s="26">
        <v>260</v>
      </c>
      <c r="N24" s="124">
        <f t="shared" si="1"/>
        <v>468000</v>
      </c>
      <c r="O24" s="153"/>
      <c r="Q24" s="3"/>
      <c r="R24" s="3"/>
      <c r="S24" s="4"/>
    </row>
    <row r="25" spans="1:20" s="141" customFormat="1" ht="19.8" customHeight="1">
      <c r="A25" s="164">
        <v>10</v>
      </c>
      <c r="B25" s="149" t="s">
        <v>166</v>
      </c>
      <c r="C25" s="165">
        <f>L25/100*65</f>
        <v>4946.5</v>
      </c>
      <c r="D25" s="139">
        <f>C25/100*14</f>
        <v>692.51</v>
      </c>
      <c r="E25" s="136"/>
      <c r="F25" s="136">
        <f>C25/100*0.6</f>
        <v>29.679000000000002</v>
      </c>
      <c r="G25" s="136"/>
      <c r="H25" s="136">
        <f>C25/100*0.02</f>
        <v>0.98930000000000007</v>
      </c>
      <c r="I25" s="136">
        <f>C25/100*2.9</f>
        <v>143.4485</v>
      </c>
      <c r="J25" s="136">
        <f>C25/100*21</f>
        <v>1038.7650000000001</v>
      </c>
      <c r="K25" s="136">
        <f>C25/100*0.03</f>
        <v>1.4839500000000001</v>
      </c>
      <c r="L25" s="137">
        <v>7610</v>
      </c>
      <c r="M25" s="166">
        <v>23</v>
      </c>
      <c r="N25" s="135">
        <f t="shared" si="1"/>
        <v>175030</v>
      </c>
      <c r="O25" s="406"/>
    </row>
    <row r="26" spans="1:20" s="2" customFormat="1" ht="20.399999999999999" customHeight="1">
      <c r="A26" s="9">
        <v>11</v>
      </c>
      <c r="B26" s="5" t="s">
        <v>90</v>
      </c>
      <c r="C26" s="23">
        <f>L26/100*81.7</f>
        <v>3627.48</v>
      </c>
      <c r="D26" s="24">
        <f>C26/100*27</f>
        <v>979.41959999999995</v>
      </c>
      <c r="E26" s="29"/>
      <c r="F26" s="29">
        <f>C26/100*0.3</f>
        <v>10.882439999999999</v>
      </c>
      <c r="G26" s="29"/>
      <c r="H26" s="29">
        <f>C26/100*0.1</f>
        <v>3.6274800000000003</v>
      </c>
      <c r="I26" s="29">
        <f>C26/100*6.1</f>
        <v>221.27627999999999</v>
      </c>
      <c r="J26" s="71">
        <f>C26/100*24</f>
        <v>870.59519999999998</v>
      </c>
      <c r="K26" s="71">
        <f>C26/100*0.06</f>
        <v>2.176488</v>
      </c>
      <c r="L26" s="383">
        <v>4440</v>
      </c>
      <c r="M26" s="26">
        <v>22</v>
      </c>
      <c r="N26" s="28">
        <f t="shared" si="1"/>
        <v>97680</v>
      </c>
      <c r="O26" s="153"/>
      <c r="Q26" s="3"/>
      <c r="R26" s="3"/>
      <c r="S26" s="4"/>
    </row>
    <row r="27" spans="1:20" s="2" customFormat="1" ht="20.399999999999999" customHeight="1">
      <c r="A27" s="9">
        <v>12</v>
      </c>
      <c r="B27" s="5" t="s">
        <v>129</v>
      </c>
      <c r="C27" s="23">
        <f>L27/100*100</f>
        <v>220.00000000000003</v>
      </c>
      <c r="D27" s="24">
        <f>C27/100*247</f>
        <v>543.40000000000009</v>
      </c>
      <c r="E27" s="29"/>
      <c r="F27" s="29">
        <f>C27/100*17.5</f>
        <v>38.5</v>
      </c>
      <c r="G27" s="29"/>
      <c r="H27" s="29">
        <f>C27/100*1.6</f>
        <v>3.5200000000000005</v>
      </c>
      <c r="I27" s="29">
        <f>C27/100*39.2</f>
        <v>86.240000000000009</v>
      </c>
      <c r="J27" s="71"/>
      <c r="K27" s="71"/>
      <c r="L27" s="383">
        <v>220</v>
      </c>
      <c r="M27" s="75">
        <v>50</v>
      </c>
      <c r="N27" s="28">
        <f t="shared" si="1"/>
        <v>11000</v>
      </c>
      <c r="O27" s="153"/>
      <c r="Q27" s="3"/>
      <c r="R27" s="3"/>
      <c r="S27" s="4"/>
      <c r="T27" s="3"/>
    </row>
    <row r="28" spans="1:20" s="2" customFormat="1" ht="20.399999999999999" customHeight="1">
      <c r="A28" s="21" t="s">
        <v>101</v>
      </c>
      <c r="B28" s="22"/>
      <c r="C28" s="34"/>
      <c r="D28" s="172">
        <f>SUM(D16:D27)</f>
        <v>105590.19059999999</v>
      </c>
      <c r="E28" s="36"/>
      <c r="F28" s="36"/>
      <c r="G28" s="36"/>
      <c r="H28" s="36"/>
      <c r="I28" s="36"/>
      <c r="J28" s="36"/>
      <c r="K28" s="36"/>
      <c r="L28" s="37"/>
      <c r="M28" s="339"/>
      <c r="N28" s="249">
        <f>SUM(N16:N27)</f>
        <v>2646330</v>
      </c>
      <c r="O28" s="153"/>
    </row>
    <row r="29" spans="1:20" s="2" customFormat="1" ht="20.399999999999999" customHeight="1">
      <c r="A29" s="21" t="s">
        <v>5</v>
      </c>
      <c r="B29" s="22"/>
      <c r="C29" s="34"/>
      <c r="D29" s="35">
        <f>D28/D10</f>
        <v>488.84347499999996</v>
      </c>
      <c r="E29" s="36"/>
      <c r="F29" s="36"/>
      <c r="G29" s="36"/>
      <c r="H29" s="36"/>
      <c r="I29" s="36"/>
      <c r="J29" s="36"/>
      <c r="K29" s="36"/>
      <c r="L29" s="37"/>
      <c r="M29" s="340"/>
      <c r="N29" s="250"/>
      <c r="O29" s="153"/>
    </row>
    <row r="30" spans="1:20" s="2" customFormat="1" ht="20.399999999999999" customHeight="1">
      <c r="A30" s="300" t="s">
        <v>49</v>
      </c>
      <c r="B30" s="234"/>
      <c r="C30" s="384" t="s">
        <v>141</v>
      </c>
      <c r="D30" s="20" t="s">
        <v>43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0.399999999999999" customHeight="1">
      <c r="A31" s="235"/>
      <c r="B31" s="236"/>
      <c r="C31" s="76" t="s">
        <v>58</v>
      </c>
      <c r="D31" s="20">
        <f>D29*100/1320</f>
        <v>37.033596590909085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0.399999999999999" customHeight="1">
      <c r="A32" s="244" t="s">
        <v>33</v>
      </c>
      <c r="B32" s="244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0.399999999999999" customHeight="1">
      <c r="A33" s="9">
        <v>1</v>
      </c>
      <c r="B33" s="6" t="s">
        <v>119</v>
      </c>
      <c r="C33" s="23"/>
      <c r="D33" s="139"/>
      <c r="E33" s="25"/>
      <c r="F33" s="25"/>
      <c r="G33" s="25"/>
      <c r="H33" s="25"/>
      <c r="I33" s="25">
        <v>49</v>
      </c>
      <c r="J33" s="25"/>
      <c r="K33" s="25"/>
      <c r="L33" s="26"/>
      <c r="M33" s="26"/>
      <c r="N33" s="28">
        <v>14480</v>
      </c>
      <c r="O33" s="153"/>
    </row>
    <row r="34" spans="1:23" s="2" customFormat="1" ht="20.399999999999999" customHeight="1">
      <c r="A34" s="9">
        <v>2</v>
      </c>
      <c r="B34" s="5" t="s">
        <v>1</v>
      </c>
      <c r="C34" s="23">
        <f>L34/100*100</f>
        <v>3240</v>
      </c>
      <c r="D34" s="120">
        <f>C34/100*344</f>
        <v>11145.6</v>
      </c>
      <c r="E34" s="25"/>
      <c r="F34" s="25">
        <f>C34/100*7.9</f>
        <v>255.96</v>
      </c>
      <c r="G34" s="25"/>
      <c r="H34" s="25">
        <f>C34/100*1</f>
        <v>32.4</v>
      </c>
      <c r="I34" s="25">
        <f>C34/100*73.3</f>
        <v>2374.9199999999996</v>
      </c>
      <c r="J34" s="27">
        <f>C34/100*30</f>
        <v>972</v>
      </c>
      <c r="K34" s="27">
        <f>C34/100*0.1</f>
        <v>3.24</v>
      </c>
      <c r="L34" s="137">
        <v>3240</v>
      </c>
      <c r="M34" s="77">
        <v>18</v>
      </c>
      <c r="N34" s="28">
        <f t="shared" ref="N34:N35" si="2">L34*M34</f>
        <v>58320</v>
      </c>
      <c r="O34" s="153"/>
    </row>
    <row r="35" spans="1:23" s="2" customFormat="1" ht="20.399999999999999" customHeight="1">
      <c r="A35" s="9">
        <v>3</v>
      </c>
      <c r="B35" s="5" t="s">
        <v>70</v>
      </c>
      <c r="C35" s="23">
        <f>L35/100*100</f>
        <v>2160</v>
      </c>
      <c r="D35" s="24">
        <f>C35/100*344</f>
        <v>7430.4000000000005</v>
      </c>
      <c r="E35" s="25"/>
      <c r="F35" s="25">
        <f>C35/100*8.6</f>
        <v>185.76</v>
      </c>
      <c r="G35" s="25"/>
      <c r="H35" s="25">
        <f>C35/100*1.5</f>
        <v>32.400000000000006</v>
      </c>
      <c r="I35" s="25">
        <f>C35/100*74.5</f>
        <v>1609.2</v>
      </c>
      <c r="J35" s="25">
        <f>C35/100*32</f>
        <v>691.2</v>
      </c>
      <c r="K35" s="25">
        <f>C35/100*0.14</f>
        <v>3.0240000000000005</v>
      </c>
      <c r="L35" s="137">
        <v>2160</v>
      </c>
      <c r="M35" s="75">
        <v>30</v>
      </c>
      <c r="N35" s="28">
        <f t="shared" si="2"/>
        <v>64800</v>
      </c>
      <c r="O35" s="153"/>
      <c r="P35" s="18"/>
    </row>
    <row r="36" spans="1:23" s="2" customFormat="1" ht="20.399999999999999" customHeight="1">
      <c r="A36" s="9">
        <v>4</v>
      </c>
      <c r="B36" s="10" t="s">
        <v>2</v>
      </c>
      <c r="C36" s="23">
        <f>L36/100*100</f>
        <v>260</v>
      </c>
      <c r="D36" s="24">
        <f>C36/100*60</f>
        <v>156</v>
      </c>
      <c r="E36" s="25">
        <f>C36/100*15</f>
        <v>39</v>
      </c>
      <c r="F36" s="25"/>
      <c r="G36" s="25"/>
      <c r="H36" s="25"/>
      <c r="I36" s="25"/>
      <c r="J36" s="27">
        <f>C36/100*387</f>
        <v>1006.2</v>
      </c>
      <c r="K36" s="27">
        <f>C36/100*0.09</f>
        <v>0.23399999999999999</v>
      </c>
      <c r="L36" s="137">
        <v>260</v>
      </c>
      <c r="M36" s="75">
        <v>20</v>
      </c>
      <c r="N36" s="28">
        <f>L36*M36</f>
        <v>5200</v>
      </c>
      <c r="O36" s="153"/>
    </row>
    <row r="37" spans="1:23" s="2" customFormat="1" ht="20.399999999999999" customHeight="1">
      <c r="A37" s="9">
        <v>5</v>
      </c>
      <c r="B37" s="148" t="s">
        <v>136</v>
      </c>
      <c r="C37" s="23">
        <f t="shared" ref="C37" si="3">L37/100*100</f>
        <v>220.00000000000003</v>
      </c>
      <c r="D37" s="120">
        <f>C37/100*900</f>
        <v>1980.0000000000002</v>
      </c>
      <c r="E37" s="25"/>
      <c r="F37" s="25"/>
      <c r="G37" s="119"/>
      <c r="H37" s="25">
        <f>C37/100*100</f>
        <v>220.00000000000003</v>
      </c>
      <c r="I37" s="25"/>
      <c r="J37" s="25"/>
      <c r="K37" s="25"/>
      <c r="L37" s="137">
        <v>220</v>
      </c>
      <c r="M37" s="75">
        <v>65</v>
      </c>
      <c r="N37" s="28">
        <f t="shared" ref="N37" si="4">L37*M37</f>
        <v>14300</v>
      </c>
      <c r="O37" s="179"/>
    </row>
    <row r="38" spans="1:23" s="2" customFormat="1" ht="20.399999999999999" customHeight="1">
      <c r="A38" s="9">
        <v>6</v>
      </c>
      <c r="B38" s="5" t="s">
        <v>67</v>
      </c>
      <c r="C38" s="23">
        <f>L38/100*48</f>
        <v>5126.3999999999996</v>
      </c>
      <c r="D38" s="120">
        <f>C38/100*199</f>
        <v>10201.536</v>
      </c>
      <c r="E38" s="119">
        <f>C38/100*20.3</f>
        <v>1040.6592000000001</v>
      </c>
      <c r="F38" s="25"/>
      <c r="G38" s="25">
        <f>C38/100*13.1</f>
        <v>671.55839999999989</v>
      </c>
      <c r="H38" s="25"/>
      <c r="I38" s="25"/>
      <c r="J38" s="27">
        <f>C38/100*12</f>
        <v>615.16799999999989</v>
      </c>
      <c r="K38" s="27">
        <f>C38/100*0.15</f>
        <v>7.6895999999999987</v>
      </c>
      <c r="L38" s="411">
        <v>10680</v>
      </c>
      <c r="M38" s="137">
        <v>84</v>
      </c>
      <c r="N38" s="28">
        <f t="shared" ref="N38:N41" si="5">L38*M38</f>
        <v>897120</v>
      </c>
      <c r="O38" s="153"/>
      <c r="Q38" s="3"/>
      <c r="R38" s="3"/>
      <c r="S38" s="4"/>
    </row>
    <row r="39" spans="1:23" s="2" customFormat="1" ht="20.399999999999999" customHeight="1">
      <c r="A39" s="9">
        <v>7</v>
      </c>
      <c r="B39" s="5" t="s">
        <v>129</v>
      </c>
      <c r="C39" s="23">
        <f>L39/100*100</f>
        <v>130</v>
      </c>
      <c r="D39" s="24">
        <f>C39/100*247</f>
        <v>321.10000000000002</v>
      </c>
      <c r="E39" s="29"/>
      <c r="F39" s="29">
        <f>C39/100*17.5</f>
        <v>22.75</v>
      </c>
      <c r="G39" s="29"/>
      <c r="H39" s="29">
        <f>C39/100*1.6</f>
        <v>2.08</v>
      </c>
      <c r="I39" s="29">
        <f>C39/100*39.2</f>
        <v>50.960000000000008</v>
      </c>
      <c r="J39" s="71"/>
      <c r="K39" s="71"/>
      <c r="L39" s="383">
        <v>130</v>
      </c>
      <c r="M39" s="75">
        <v>50</v>
      </c>
      <c r="N39" s="28">
        <f t="shared" si="5"/>
        <v>6500</v>
      </c>
      <c r="O39" s="153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72</v>
      </c>
      <c r="C40" s="23">
        <f>L40/100*75</f>
        <v>3187.5</v>
      </c>
      <c r="D40" s="24">
        <f>C40/100*12</f>
        <v>382.5</v>
      </c>
      <c r="E40" s="25"/>
      <c r="F40" s="25">
        <f>C40/100*0.6</f>
        <v>19.125</v>
      </c>
      <c r="G40" s="25"/>
      <c r="H40" s="25"/>
      <c r="I40" s="25">
        <f>C40/100*2.4</f>
        <v>76.5</v>
      </c>
      <c r="J40" s="25">
        <f>C40/100*26</f>
        <v>828.75</v>
      </c>
      <c r="K40" s="25">
        <f>C40/100*0.02</f>
        <v>0.63750000000000007</v>
      </c>
      <c r="L40" s="137">
        <v>4250</v>
      </c>
      <c r="M40" s="75">
        <v>20</v>
      </c>
      <c r="N40" s="28">
        <f t="shared" si="5"/>
        <v>85000</v>
      </c>
      <c r="O40" s="153"/>
    </row>
    <row r="41" spans="1:23" s="2" customFormat="1" ht="20.399999999999999" customHeight="1">
      <c r="A41" s="103">
        <v>9</v>
      </c>
      <c r="B41" s="156" t="s">
        <v>139</v>
      </c>
      <c r="C41" s="104">
        <f>L41/100*100</f>
        <v>3690</v>
      </c>
      <c r="D41" s="169">
        <f>C41/100*487</f>
        <v>17970.3</v>
      </c>
      <c r="E41" s="106"/>
      <c r="F41" s="106">
        <f>C41/100*19.5</f>
        <v>719.55</v>
      </c>
      <c r="G41" s="106"/>
      <c r="H41" s="106">
        <f>C41/100*23.2</f>
        <v>856.07999999999993</v>
      </c>
      <c r="I41" s="106">
        <f>C41/100*46</f>
        <v>1697.3999999999999</v>
      </c>
      <c r="J41" s="147">
        <f>C41/100*680</f>
        <v>25092</v>
      </c>
      <c r="K41" s="106">
        <f>C41/100*0.55</f>
        <v>20.295000000000002</v>
      </c>
      <c r="L41" s="107">
        <v>3690</v>
      </c>
      <c r="M41" s="157">
        <v>260</v>
      </c>
      <c r="N41" s="108">
        <f t="shared" si="5"/>
        <v>959400</v>
      </c>
      <c r="O41" s="153"/>
      <c r="P41" s="3"/>
    </row>
    <row r="42" spans="1:23" ht="19.2" customHeight="1">
      <c r="A42" s="217" t="s">
        <v>0</v>
      </c>
      <c r="B42" s="220" t="s">
        <v>18</v>
      </c>
      <c r="C42" s="223" t="s">
        <v>7</v>
      </c>
      <c r="D42" s="223" t="s">
        <v>8</v>
      </c>
      <c r="E42" s="226" t="s">
        <v>10</v>
      </c>
      <c r="F42" s="227"/>
      <c r="G42" s="226" t="s">
        <v>12</v>
      </c>
      <c r="H42" s="227"/>
      <c r="I42" s="230" t="s">
        <v>15</v>
      </c>
      <c r="J42" s="230" t="s">
        <v>39</v>
      </c>
      <c r="K42" s="230" t="s">
        <v>40</v>
      </c>
      <c r="L42" s="230" t="s">
        <v>16</v>
      </c>
      <c r="M42" s="230" t="s">
        <v>53</v>
      </c>
      <c r="N42" s="217" t="s">
        <v>17</v>
      </c>
      <c r="O42" s="177"/>
    </row>
    <row r="43" spans="1:23" ht="19.2" customHeight="1">
      <c r="A43" s="218"/>
      <c r="B43" s="221"/>
      <c r="C43" s="224"/>
      <c r="D43" s="224"/>
      <c r="E43" s="228"/>
      <c r="F43" s="229"/>
      <c r="G43" s="228"/>
      <c r="H43" s="229"/>
      <c r="I43" s="231"/>
      <c r="J43" s="231"/>
      <c r="K43" s="231"/>
      <c r="L43" s="231"/>
      <c r="M43" s="231"/>
      <c r="N43" s="218"/>
      <c r="O43" s="184"/>
    </row>
    <row r="44" spans="1:23" ht="19.2" customHeight="1">
      <c r="A44" s="218"/>
      <c r="B44" s="221"/>
      <c r="C44" s="224"/>
      <c r="D44" s="224"/>
      <c r="E44" s="230" t="s">
        <v>9</v>
      </c>
      <c r="F44" s="230" t="s">
        <v>11</v>
      </c>
      <c r="G44" s="230" t="s">
        <v>13</v>
      </c>
      <c r="H44" s="230" t="s">
        <v>14</v>
      </c>
      <c r="I44" s="231"/>
      <c r="J44" s="231"/>
      <c r="K44" s="231"/>
      <c r="L44" s="231"/>
      <c r="M44" s="231"/>
      <c r="N44" s="218"/>
      <c r="O44" s="184"/>
    </row>
    <row r="45" spans="1:23" ht="30.6" customHeight="1">
      <c r="A45" s="219"/>
      <c r="B45" s="222"/>
      <c r="C45" s="225"/>
      <c r="D45" s="225"/>
      <c r="E45" s="232"/>
      <c r="F45" s="232"/>
      <c r="G45" s="232"/>
      <c r="H45" s="232"/>
      <c r="I45" s="232"/>
      <c r="J45" s="232"/>
      <c r="K45" s="232"/>
      <c r="L45" s="232"/>
      <c r="M45" s="232"/>
      <c r="N45" s="219"/>
      <c r="O45" s="184"/>
    </row>
    <row r="46" spans="1:23" s="2" customFormat="1" ht="22.2" customHeight="1">
      <c r="A46" s="21" t="s">
        <v>102</v>
      </c>
      <c r="B46" s="22"/>
      <c r="C46" s="34"/>
      <c r="D46" s="121">
        <f>SUM(D33:D41)</f>
        <v>49587.436000000002</v>
      </c>
      <c r="E46" s="43"/>
      <c r="F46" s="43"/>
      <c r="G46" s="43"/>
      <c r="H46" s="43"/>
      <c r="I46" s="43"/>
      <c r="J46" s="43"/>
      <c r="K46" s="43"/>
      <c r="L46" s="44"/>
      <c r="M46" s="315"/>
      <c r="N46" s="249">
        <f>SUM(N33:N41)</f>
        <v>2105120</v>
      </c>
      <c r="O46" s="153"/>
    </row>
    <row r="47" spans="1:23" ht="22.2" customHeight="1">
      <c r="A47" s="21" t="s">
        <v>6</v>
      </c>
      <c r="B47" s="22"/>
      <c r="C47" s="45"/>
      <c r="D47" s="46">
        <f>D46/D10</f>
        <v>229.57146296296298</v>
      </c>
      <c r="E47" s="46"/>
      <c r="F47" s="46"/>
      <c r="G47" s="46"/>
      <c r="H47" s="46"/>
      <c r="I47" s="46"/>
      <c r="J47" s="46"/>
      <c r="K47" s="46"/>
      <c r="L47" s="47"/>
      <c r="M47" s="316"/>
      <c r="N47" s="250"/>
      <c r="O47" s="408"/>
      <c r="P47" s="2"/>
      <c r="Q47" s="2"/>
      <c r="R47" s="2"/>
      <c r="S47" s="2"/>
      <c r="T47" s="2"/>
      <c r="U47" s="2"/>
      <c r="V47" s="2"/>
    </row>
    <row r="48" spans="1:23" ht="22.2" customHeight="1">
      <c r="A48" s="300" t="s">
        <v>50</v>
      </c>
      <c r="B48" s="234"/>
      <c r="C48" s="384" t="s">
        <v>141</v>
      </c>
      <c r="D48" s="20" t="s">
        <v>56</v>
      </c>
      <c r="E48" s="46"/>
      <c r="F48" s="46"/>
      <c r="G48" s="46"/>
      <c r="H48" s="46"/>
      <c r="I48" s="46"/>
      <c r="J48" s="48"/>
      <c r="K48" s="48"/>
      <c r="L48" s="47"/>
      <c r="M48" s="47"/>
      <c r="N48" s="185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35"/>
      <c r="B49" s="236"/>
      <c r="C49" s="76" t="s">
        <v>58</v>
      </c>
      <c r="D49" s="20">
        <f>D47*100/1320</f>
        <v>17.391777497194166</v>
      </c>
      <c r="E49" s="46"/>
      <c r="F49" s="46"/>
      <c r="G49" s="46"/>
      <c r="H49" s="46"/>
      <c r="I49" s="46"/>
      <c r="J49" s="48"/>
      <c r="K49" s="48"/>
      <c r="L49" s="47"/>
      <c r="M49" s="47"/>
      <c r="N49" s="185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92" t="s">
        <v>103</v>
      </c>
      <c r="B50" s="293"/>
      <c r="C50" s="296"/>
      <c r="D50" s="303">
        <f>D28+D46</f>
        <v>155177.62659999999</v>
      </c>
      <c r="E50" s="123">
        <f>SUM(E16:E41)</f>
        <v>3448.6639999999998</v>
      </c>
      <c r="F50" s="123">
        <f>SUM(F17:F41)</f>
        <v>2957.1829400000006</v>
      </c>
      <c r="G50" s="123">
        <f>SUM(G17:G41)</f>
        <v>3170.0119999999997</v>
      </c>
      <c r="H50" s="123">
        <f>SUM(H17:H41)</f>
        <v>1360.84538</v>
      </c>
      <c r="I50" s="260">
        <f>SUM(I17:I41)</f>
        <v>21487.26528</v>
      </c>
      <c r="J50" s="260">
        <f>SUM(J16:J41)</f>
        <v>59407.534099999997</v>
      </c>
      <c r="K50" s="290">
        <f>SUM(K16:K41)</f>
        <v>141.15191799999997</v>
      </c>
      <c r="L50" s="274"/>
      <c r="M50" s="274"/>
      <c r="N50" s="310">
        <f>N28+N46</f>
        <v>4751450</v>
      </c>
      <c r="U50" s="12"/>
      <c r="V50" s="12"/>
    </row>
    <row r="51" spans="1:23" ht="22.2" customHeight="1">
      <c r="A51" s="294"/>
      <c r="B51" s="295"/>
      <c r="C51" s="297"/>
      <c r="D51" s="304"/>
      <c r="E51" s="288">
        <f>E50+F50</f>
        <v>6405.8469400000004</v>
      </c>
      <c r="F51" s="289"/>
      <c r="G51" s="288">
        <f>G50+H50</f>
        <v>4530.8573799999995</v>
      </c>
      <c r="H51" s="289"/>
      <c r="I51" s="262"/>
      <c r="J51" s="262"/>
      <c r="K51" s="291"/>
      <c r="L51" s="274"/>
      <c r="M51" s="274"/>
      <c r="N51" s="310"/>
      <c r="U51" s="12"/>
      <c r="V51" s="12"/>
    </row>
    <row r="52" spans="1:23" ht="22.2" customHeight="1">
      <c r="A52" s="254" t="s">
        <v>74</v>
      </c>
      <c r="B52" s="255"/>
      <c r="C52" s="256"/>
      <c r="D52" s="138">
        <f>D50/D10</f>
        <v>718.41493796296288</v>
      </c>
      <c r="E52" s="385">
        <f>E50/D10</f>
        <v>15.966037037037037</v>
      </c>
      <c r="F52" s="386">
        <f>F50/D10</f>
        <v>13.690661759259262</v>
      </c>
      <c r="G52" s="385">
        <f>G50/D10</f>
        <v>14.675981481481481</v>
      </c>
      <c r="H52" s="409">
        <f>H50/D10</f>
        <v>6.3002100925925921</v>
      </c>
      <c r="I52" s="270">
        <f>I50/D10</f>
        <v>99.478079999999991</v>
      </c>
      <c r="J52" s="306">
        <f>J50/D10</f>
        <v>275.03488009259257</v>
      </c>
      <c r="K52" s="306">
        <f>K50/D10</f>
        <v>0.65348110185185171</v>
      </c>
      <c r="L52" s="274"/>
      <c r="M52" s="274"/>
      <c r="N52" s="310"/>
      <c r="P52" s="398"/>
      <c r="Q52" s="399"/>
      <c r="R52" s="399"/>
      <c r="S52" s="399"/>
      <c r="T52" s="399"/>
      <c r="U52" s="400"/>
      <c r="V52" s="400"/>
    </row>
    <row r="53" spans="1:23" ht="22.2" customHeight="1">
      <c r="A53" s="257"/>
      <c r="B53" s="258"/>
      <c r="C53" s="259"/>
      <c r="D53" s="412"/>
      <c r="E53" s="387">
        <f>E52+F52</f>
        <v>29.656698796296297</v>
      </c>
      <c r="F53" s="388"/>
      <c r="G53" s="387">
        <f>G52+H52</f>
        <v>20.976191574074072</v>
      </c>
      <c r="H53" s="388"/>
      <c r="I53" s="271"/>
      <c r="J53" s="307"/>
      <c r="K53" s="307"/>
      <c r="L53" s="274"/>
      <c r="M53" s="274"/>
      <c r="N53" s="310"/>
      <c r="P53" s="401"/>
      <c r="Q53" s="399"/>
      <c r="R53" s="399"/>
      <c r="S53" s="399"/>
      <c r="T53" s="399"/>
      <c r="U53" s="399"/>
      <c r="V53" s="399"/>
    </row>
    <row r="54" spans="1:23" ht="22.2" customHeight="1">
      <c r="A54" s="324" t="s">
        <v>77</v>
      </c>
      <c r="B54" s="325"/>
      <c r="C54" s="326"/>
      <c r="D54" s="187" t="s">
        <v>26</v>
      </c>
      <c r="E54" s="203" t="s">
        <v>19</v>
      </c>
      <c r="F54" s="203"/>
      <c r="G54" s="203" t="s">
        <v>20</v>
      </c>
      <c r="H54" s="203"/>
      <c r="I54" s="183" t="s">
        <v>21</v>
      </c>
      <c r="J54" s="389">
        <v>600</v>
      </c>
      <c r="K54" s="389">
        <v>0.7</v>
      </c>
      <c r="L54" s="274"/>
      <c r="M54" s="274"/>
      <c r="N54" s="310"/>
      <c r="O54" s="180"/>
      <c r="P54" s="398"/>
      <c r="Q54" s="403"/>
      <c r="R54" s="403"/>
      <c r="S54" s="403"/>
      <c r="T54" s="403"/>
      <c r="U54" s="398"/>
      <c r="V54" s="398"/>
    </row>
    <row r="55" spans="1:23" ht="22.2" customHeight="1">
      <c r="A55" s="251" t="s">
        <v>75</v>
      </c>
      <c r="B55" s="281"/>
      <c r="C55" s="252"/>
      <c r="D55" s="49"/>
      <c r="E55" s="282">
        <f>E53*4.1</f>
        <v>121.5924650648148</v>
      </c>
      <c r="F55" s="283"/>
      <c r="G55" s="282">
        <f>G53*9</f>
        <v>188.78572416666665</v>
      </c>
      <c r="H55" s="283"/>
      <c r="I55" s="85">
        <f>I52*4.1</f>
        <v>407.86012799999992</v>
      </c>
      <c r="J55" s="263"/>
      <c r="K55" s="263"/>
      <c r="L55" s="274"/>
      <c r="M55" s="274"/>
      <c r="N55" s="310"/>
      <c r="O55" s="180"/>
      <c r="P55" s="402"/>
      <c r="Q55" s="398"/>
      <c r="R55" s="398"/>
      <c r="S55" s="398"/>
      <c r="T55" s="398"/>
      <c r="U55" s="398"/>
      <c r="V55" s="398"/>
    </row>
    <row r="56" spans="1:23" ht="22.2" customHeight="1">
      <c r="A56" s="284" t="s">
        <v>78</v>
      </c>
      <c r="B56" s="285"/>
      <c r="C56" s="251" t="s">
        <v>57</v>
      </c>
      <c r="D56" s="252"/>
      <c r="E56" s="197">
        <f>E55*100/D52</f>
        <v>16.925102561144598</v>
      </c>
      <c r="F56" s="198"/>
      <c r="G56" s="197">
        <f>G55*100/D52</f>
        <v>26.278090027186948</v>
      </c>
      <c r="H56" s="198"/>
      <c r="I56" s="115">
        <f>I55*100/D52</f>
        <v>56.772222631738579</v>
      </c>
      <c r="J56" s="264"/>
      <c r="K56" s="264"/>
      <c r="L56" s="274"/>
      <c r="M56" s="274"/>
      <c r="N56" s="310"/>
      <c r="O56" s="180"/>
    </row>
    <row r="57" spans="1:23" ht="22.2" customHeight="1">
      <c r="A57" s="286"/>
      <c r="B57" s="287"/>
      <c r="C57" s="251" t="s">
        <v>76</v>
      </c>
      <c r="D57" s="252"/>
      <c r="E57" s="251" t="s">
        <v>79</v>
      </c>
      <c r="F57" s="252"/>
      <c r="G57" s="251" t="s">
        <v>80</v>
      </c>
      <c r="H57" s="252"/>
      <c r="I57" s="187" t="s">
        <v>81</v>
      </c>
      <c r="J57" s="265"/>
      <c r="K57" s="265"/>
      <c r="L57" s="274"/>
      <c r="M57" s="274"/>
      <c r="N57" s="310"/>
      <c r="O57" s="180"/>
      <c r="P57" s="132"/>
    </row>
    <row r="58" spans="1:23" ht="22.2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180"/>
    </row>
    <row r="59" spans="1:23" ht="21" customHeight="1">
      <c r="A59" s="192" t="s">
        <v>110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80"/>
    </row>
    <row r="60" spans="1:23" ht="21" customHeight="1">
      <c r="A60" s="117" t="s">
        <v>111</v>
      </c>
      <c r="B60" s="193" t="s">
        <v>121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80"/>
    </row>
    <row r="61" spans="1:23" ht="21" customHeight="1">
      <c r="A61" s="118"/>
      <c r="B61" s="194" t="s">
        <v>211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80"/>
    </row>
    <row r="62" spans="1:23" ht="21" customHeight="1">
      <c r="A62" s="118"/>
      <c r="B62" s="194" t="s">
        <v>212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80"/>
    </row>
    <row r="63" spans="1:23" ht="21" customHeight="1">
      <c r="A63" s="118"/>
      <c r="B63" s="194" t="s">
        <v>159</v>
      </c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80"/>
    </row>
    <row r="64" spans="1:23" ht="21" customHeight="1">
      <c r="A64" s="90"/>
      <c r="B64" s="195" t="s">
        <v>113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80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180"/>
    </row>
    <row r="66" spans="1:20" ht="21" customHeight="1">
      <c r="A66" s="196" t="s">
        <v>60</v>
      </c>
      <c r="B66" s="196"/>
      <c r="C66" s="196"/>
      <c r="D66" s="196"/>
      <c r="E66" s="390"/>
      <c r="F66" s="390"/>
      <c r="G66" s="390"/>
      <c r="H66" s="390"/>
      <c r="I66" s="390"/>
      <c r="J66" s="391" t="s">
        <v>31</v>
      </c>
      <c r="K66" s="391"/>
      <c r="L66" s="391"/>
      <c r="M66" s="391"/>
      <c r="N66" s="391"/>
      <c r="O66" s="180"/>
    </row>
    <row r="67" spans="1:20" ht="21" customHeight="1">
      <c r="A67" s="184"/>
      <c r="B67" s="184"/>
      <c r="C67" s="184"/>
      <c r="D67" s="390"/>
      <c r="E67" s="390"/>
      <c r="F67" s="390"/>
      <c r="G67" s="390"/>
      <c r="H67" s="392"/>
      <c r="I67" s="392"/>
      <c r="J67" s="392"/>
      <c r="K67" s="392"/>
      <c r="L67" s="392"/>
      <c r="M67" s="392"/>
      <c r="N67" s="392"/>
      <c r="O67" s="180"/>
    </row>
    <row r="68" spans="1:20" ht="21" customHeight="1">
      <c r="A68" s="184"/>
      <c r="B68" s="184"/>
      <c r="C68" s="184"/>
      <c r="D68" s="390"/>
      <c r="E68" s="390"/>
      <c r="F68" s="390"/>
      <c r="G68" s="390"/>
      <c r="H68" s="392"/>
      <c r="I68" s="392"/>
      <c r="J68" s="392"/>
      <c r="K68" s="392"/>
      <c r="L68" s="392"/>
      <c r="M68" s="392"/>
      <c r="N68" s="392"/>
      <c r="O68" s="180"/>
    </row>
    <row r="69" spans="1:20" ht="21" customHeight="1">
      <c r="A69" s="184"/>
      <c r="B69" s="184"/>
      <c r="C69" s="184"/>
      <c r="D69" s="390"/>
      <c r="E69" s="390"/>
      <c r="F69" s="390"/>
      <c r="G69" s="390"/>
      <c r="H69" s="392"/>
      <c r="I69" s="392"/>
      <c r="J69" s="393" t="s">
        <v>120</v>
      </c>
      <c r="K69" s="393"/>
      <c r="L69" s="393"/>
      <c r="M69" s="393"/>
      <c r="N69" s="393"/>
      <c r="O69" s="180"/>
    </row>
    <row r="70" spans="1:20" ht="22.2" customHeight="1">
      <c r="A70" s="188" t="s">
        <v>88</v>
      </c>
      <c r="B70" s="188"/>
      <c r="C70" s="188"/>
      <c r="D70" s="188"/>
      <c r="E70" s="390"/>
      <c r="F70" s="390"/>
      <c r="G70" s="390"/>
      <c r="H70" s="392"/>
      <c r="I70" s="392"/>
      <c r="J70" s="393"/>
      <c r="K70" s="393"/>
      <c r="L70" s="393"/>
      <c r="M70" s="393"/>
      <c r="N70" s="393"/>
      <c r="O70" s="180"/>
    </row>
    <row r="71" spans="1:20" ht="22.2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4"/>
      <c r="M71" s="94"/>
      <c r="N71" s="95"/>
      <c r="O71" s="180"/>
    </row>
    <row r="72" spans="1:20" ht="22.2" customHeight="1">
      <c r="A72" s="90"/>
      <c r="B72" s="90"/>
      <c r="C72" s="90"/>
      <c r="D72" s="90"/>
      <c r="E72" s="90"/>
      <c r="F72" s="90"/>
      <c r="G72" s="90"/>
      <c r="H72" s="90"/>
      <c r="I72" s="90"/>
      <c r="J72" s="393" t="s">
        <v>123</v>
      </c>
      <c r="K72" s="393"/>
      <c r="L72" s="393"/>
      <c r="M72" s="393"/>
      <c r="N72" s="393"/>
      <c r="O72" s="180"/>
    </row>
    <row r="73" spans="1:20" ht="22.2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4"/>
      <c r="M73" s="94"/>
      <c r="N73" s="95"/>
      <c r="O73" s="180"/>
    </row>
    <row r="74" spans="1:20" ht="22.2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4"/>
      <c r="M74" s="94"/>
      <c r="N74" s="95"/>
      <c r="O74" s="180"/>
    </row>
    <row r="75" spans="1:20" ht="22.2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4"/>
      <c r="M75" s="94"/>
      <c r="N75" s="95"/>
      <c r="O75" s="180"/>
    </row>
    <row r="76" spans="1:20" ht="22.2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4"/>
      <c r="M76" s="94"/>
      <c r="N76" s="95"/>
      <c r="O76" s="180"/>
    </row>
    <row r="77" spans="1:20" ht="22.2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4"/>
      <c r="M77" s="94"/>
      <c r="N77" s="95"/>
      <c r="O77" s="180"/>
    </row>
    <row r="78" spans="1:20" ht="22.2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4"/>
      <c r="M78" s="94"/>
      <c r="N78" s="95"/>
      <c r="O78" s="180"/>
    </row>
    <row r="79" spans="1:20" ht="22.2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4"/>
      <c r="M79" s="94"/>
      <c r="N79" s="95"/>
      <c r="O79" s="180"/>
    </row>
    <row r="80" spans="1:20" ht="17.399999999999999" customHeight="1">
      <c r="A80" s="11" t="s">
        <v>59</v>
      </c>
      <c r="B80" s="8"/>
      <c r="C80" s="8"/>
      <c r="D80" s="8"/>
      <c r="E80" s="8"/>
      <c r="F80" s="299" t="s">
        <v>30</v>
      </c>
      <c r="G80" s="299"/>
      <c r="H80" s="299"/>
      <c r="I80" s="299"/>
      <c r="J80" s="299"/>
      <c r="K80" s="299"/>
      <c r="L80" s="299"/>
      <c r="M80" s="299"/>
      <c r="N80" s="299"/>
      <c r="O80" s="175"/>
      <c r="P80" s="413"/>
      <c r="Q80" s="413"/>
      <c r="R80" s="141"/>
      <c r="S80" s="141"/>
      <c r="T80" s="2"/>
    </row>
    <row r="81" spans="1:20" ht="17.399999999999999" customHeight="1">
      <c r="A81" s="8" t="s">
        <v>210</v>
      </c>
      <c r="B81" s="8"/>
      <c r="C81" s="8"/>
      <c r="D81" s="8"/>
      <c r="E81" s="8"/>
      <c r="F81" s="181"/>
      <c r="G81" s="181"/>
      <c r="H81" s="181"/>
      <c r="I81" s="181"/>
      <c r="J81" s="181"/>
      <c r="K81" s="181"/>
      <c r="L81" s="181"/>
      <c r="M81" s="181"/>
      <c r="N81" s="181"/>
      <c r="O81" s="175"/>
      <c r="P81" s="175"/>
      <c r="T81" s="2"/>
    </row>
    <row r="82" spans="1:20" s="2" customFormat="1" ht="17.399999999999999" customHeight="1">
      <c r="A82" s="203" t="s">
        <v>93</v>
      </c>
      <c r="B82" s="203"/>
      <c r="C82" s="203"/>
      <c r="D82" s="203"/>
      <c r="E82" s="203" t="s">
        <v>86</v>
      </c>
      <c r="F82" s="203"/>
      <c r="G82" s="203"/>
      <c r="H82" s="203"/>
      <c r="I82" s="203"/>
      <c r="J82" s="203"/>
      <c r="K82" s="203"/>
      <c r="L82" s="203"/>
      <c r="M82" s="203"/>
      <c r="N82" s="203"/>
      <c r="O82" s="176"/>
    </row>
    <row r="83" spans="1:20" s="2" customFormat="1" ht="17.399999999999999" customHeight="1">
      <c r="A83" s="203"/>
      <c r="B83" s="203"/>
      <c r="C83" s="203"/>
      <c r="D83" s="203"/>
      <c r="E83" s="203" t="s">
        <v>96</v>
      </c>
      <c r="F83" s="203"/>
      <c r="G83" s="203"/>
      <c r="H83" s="203"/>
      <c r="I83" s="203"/>
      <c r="J83" s="203" t="s">
        <v>97</v>
      </c>
      <c r="K83" s="203"/>
      <c r="L83" s="203"/>
      <c r="M83" s="203"/>
      <c r="N83" s="203"/>
      <c r="O83" s="176"/>
    </row>
    <row r="84" spans="1:20" s="2" customFormat="1" ht="17.399999999999999" customHeight="1">
      <c r="A84" s="204" t="s">
        <v>87</v>
      </c>
      <c r="B84" s="204"/>
      <c r="C84" s="204"/>
      <c r="D84" s="204"/>
      <c r="E84" s="207" t="s">
        <v>138</v>
      </c>
      <c r="F84" s="207"/>
      <c r="G84" s="207"/>
      <c r="H84" s="207"/>
      <c r="I84" s="207"/>
      <c r="J84" s="204" t="s">
        <v>87</v>
      </c>
      <c r="K84" s="204"/>
      <c r="L84" s="204"/>
      <c r="M84" s="204"/>
      <c r="N84" s="204"/>
      <c r="O84" s="176"/>
    </row>
    <row r="85" spans="1:20" s="2" customFormat="1" ht="17.399999999999999" customHeight="1">
      <c r="A85" s="341" t="s">
        <v>145</v>
      </c>
      <c r="B85" s="342"/>
      <c r="C85" s="342"/>
      <c r="D85" s="343"/>
      <c r="E85" s="207"/>
      <c r="F85" s="207"/>
      <c r="G85" s="207"/>
      <c r="H85" s="207"/>
      <c r="I85" s="207"/>
      <c r="J85" s="205" t="s">
        <v>98</v>
      </c>
      <c r="K85" s="205"/>
      <c r="L85" s="205"/>
      <c r="M85" s="205"/>
      <c r="N85" s="205"/>
      <c r="O85" s="176"/>
    </row>
    <row r="86" spans="1:20" s="2" customFormat="1" ht="17.399999999999999" customHeight="1">
      <c r="A86" s="206" t="s">
        <v>168</v>
      </c>
      <c r="B86" s="206"/>
      <c r="C86" s="206"/>
      <c r="D86" s="206"/>
      <c r="E86" s="207"/>
      <c r="F86" s="207"/>
      <c r="G86" s="207"/>
      <c r="H86" s="207"/>
      <c r="I86" s="207"/>
      <c r="J86" s="206" t="s">
        <v>151</v>
      </c>
      <c r="K86" s="206"/>
      <c r="L86" s="206"/>
      <c r="M86" s="206"/>
      <c r="N86" s="206"/>
      <c r="O86" s="212"/>
      <c r="P86" s="212"/>
      <c r="Q86" s="212"/>
      <c r="R86" s="212"/>
    </row>
    <row r="87" spans="1:20" ht="17.399999999999999" customHeight="1">
      <c r="A87" s="237" t="s">
        <v>118</v>
      </c>
      <c r="B87" s="238"/>
      <c r="C87" s="239"/>
      <c r="D87" s="128">
        <v>61</v>
      </c>
      <c r="E87" s="8"/>
      <c r="F87" s="181"/>
      <c r="G87" s="181"/>
      <c r="H87" s="181"/>
      <c r="I87" s="181"/>
      <c r="J87" s="181"/>
      <c r="K87" s="181"/>
      <c r="L87" s="181"/>
      <c r="M87" s="181"/>
      <c r="N87" s="181"/>
      <c r="O87" s="175"/>
      <c r="P87" s="175"/>
      <c r="T87" s="2"/>
    </row>
    <row r="88" spans="1:20" ht="17.399999999999999" customHeight="1">
      <c r="A88" s="217" t="s">
        <v>0</v>
      </c>
      <c r="B88" s="220" t="s">
        <v>18</v>
      </c>
      <c r="C88" s="223" t="s">
        <v>7</v>
      </c>
      <c r="D88" s="223" t="s">
        <v>8</v>
      </c>
      <c r="E88" s="226" t="s">
        <v>10</v>
      </c>
      <c r="F88" s="227"/>
      <c r="G88" s="226" t="s">
        <v>12</v>
      </c>
      <c r="H88" s="227"/>
      <c r="I88" s="230" t="s">
        <v>15</v>
      </c>
      <c r="J88" s="230" t="s">
        <v>39</v>
      </c>
      <c r="K88" s="230" t="s">
        <v>40</v>
      </c>
      <c r="L88" s="230" t="s">
        <v>16</v>
      </c>
      <c r="M88" s="230" t="s">
        <v>53</v>
      </c>
      <c r="N88" s="217" t="s">
        <v>17</v>
      </c>
      <c r="O88" s="177"/>
    </row>
    <row r="89" spans="1:20" ht="17.399999999999999" customHeight="1">
      <c r="A89" s="218"/>
      <c r="B89" s="221"/>
      <c r="C89" s="224"/>
      <c r="D89" s="224"/>
      <c r="E89" s="228"/>
      <c r="F89" s="229"/>
      <c r="G89" s="228"/>
      <c r="H89" s="229"/>
      <c r="I89" s="231"/>
      <c r="J89" s="231"/>
      <c r="K89" s="231"/>
      <c r="L89" s="231"/>
      <c r="M89" s="231"/>
      <c r="N89" s="218"/>
      <c r="O89" s="184"/>
    </row>
    <row r="90" spans="1:20" ht="17.399999999999999" customHeight="1">
      <c r="A90" s="218"/>
      <c r="B90" s="221"/>
      <c r="C90" s="224"/>
      <c r="D90" s="224"/>
      <c r="E90" s="230" t="s">
        <v>9</v>
      </c>
      <c r="F90" s="230" t="s">
        <v>11</v>
      </c>
      <c r="G90" s="230" t="s">
        <v>13</v>
      </c>
      <c r="H90" s="230" t="s">
        <v>14</v>
      </c>
      <c r="I90" s="231"/>
      <c r="J90" s="231"/>
      <c r="K90" s="231"/>
      <c r="L90" s="231"/>
      <c r="M90" s="231"/>
      <c r="N90" s="218"/>
      <c r="O90" s="184"/>
    </row>
    <row r="91" spans="1:20" ht="17.399999999999999" customHeight="1">
      <c r="A91" s="219"/>
      <c r="B91" s="222"/>
      <c r="C91" s="225"/>
      <c r="D91" s="225"/>
      <c r="E91" s="232"/>
      <c r="F91" s="232"/>
      <c r="G91" s="232"/>
      <c r="H91" s="232"/>
      <c r="I91" s="232"/>
      <c r="J91" s="232"/>
      <c r="K91" s="232"/>
      <c r="L91" s="232"/>
      <c r="M91" s="232"/>
      <c r="N91" s="219"/>
      <c r="O91" s="184"/>
    </row>
    <row r="92" spans="1:20" ht="18.600000000000001" customHeight="1">
      <c r="A92" s="246" t="s">
        <v>37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8"/>
      <c r="O92" s="184"/>
    </row>
    <row r="93" spans="1:20" s="2" customFormat="1" ht="18.600000000000001" customHeight="1">
      <c r="A93" s="9">
        <v>1</v>
      </c>
      <c r="B93" s="10" t="s">
        <v>2</v>
      </c>
      <c r="C93" s="23">
        <f>L93/100*100</f>
        <v>80</v>
      </c>
      <c r="D93" s="24">
        <f>C93/100*60</f>
        <v>48</v>
      </c>
      <c r="E93" s="25">
        <f>C93/100*15</f>
        <v>12</v>
      </c>
      <c r="F93" s="25"/>
      <c r="G93" s="25"/>
      <c r="H93" s="25"/>
      <c r="I93" s="25"/>
      <c r="J93" s="27">
        <f>C93/100*387</f>
        <v>309.60000000000002</v>
      </c>
      <c r="K93" s="27">
        <f>C93/100*0.09</f>
        <v>7.1999999999999995E-2</v>
      </c>
      <c r="L93" s="137">
        <v>80</v>
      </c>
      <c r="M93" s="75">
        <v>20</v>
      </c>
      <c r="N93" s="28">
        <f>L93*M93</f>
        <v>1600</v>
      </c>
      <c r="O93" s="153"/>
    </row>
    <row r="94" spans="1:20" s="2" customFormat="1" ht="18.600000000000001" customHeight="1">
      <c r="A94" s="9">
        <v>2</v>
      </c>
      <c r="B94" s="148" t="s">
        <v>134</v>
      </c>
      <c r="C94" s="23">
        <f>L94/100*100</f>
        <v>300</v>
      </c>
      <c r="D94" s="24">
        <f>C94/100*899</f>
        <v>2697</v>
      </c>
      <c r="E94" s="25"/>
      <c r="F94" s="25"/>
      <c r="G94" s="25">
        <f>C94/100*100</f>
        <v>300</v>
      </c>
      <c r="H94" s="25"/>
      <c r="I94" s="25"/>
      <c r="J94" s="25"/>
      <c r="K94" s="25"/>
      <c r="L94" s="137">
        <v>300</v>
      </c>
      <c r="M94" s="24">
        <v>69</v>
      </c>
      <c r="N94" s="28">
        <f t="shared" ref="N94:N103" si="6">L94*M94</f>
        <v>20700</v>
      </c>
      <c r="O94" s="179"/>
    </row>
    <row r="95" spans="1:20" s="2" customFormat="1" ht="18.600000000000001" customHeight="1">
      <c r="A95" s="9">
        <v>3</v>
      </c>
      <c r="B95" s="148" t="s">
        <v>136</v>
      </c>
      <c r="C95" s="23">
        <f>L95/100*100</f>
        <v>150</v>
      </c>
      <c r="D95" s="120">
        <f>C95/100*900</f>
        <v>1350</v>
      </c>
      <c r="E95" s="25"/>
      <c r="F95" s="25"/>
      <c r="G95" s="119"/>
      <c r="H95" s="25">
        <f>C95/100*100</f>
        <v>150</v>
      </c>
      <c r="I95" s="25"/>
      <c r="J95" s="25"/>
      <c r="K95" s="25"/>
      <c r="L95" s="137">
        <v>150</v>
      </c>
      <c r="M95" s="75">
        <v>65</v>
      </c>
      <c r="N95" s="28">
        <f t="shared" si="6"/>
        <v>9750</v>
      </c>
      <c r="O95" s="179"/>
    </row>
    <row r="96" spans="1:20" s="2" customFormat="1" ht="18.600000000000001" customHeight="1">
      <c r="A96" s="9">
        <v>3</v>
      </c>
      <c r="B96" s="149" t="s">
        <v>1</v>
      </c>
      <c r="C96" s="23">
        <f>L96/100*100</f>
        <v>2623</v>
      </c>
      <c r="D96" s="120">
        <f>C96/100*352.8</f>
        <v>9253.9440000000013</v>
      </c>
      <c r="E96" s="25"/>
      <c r="F96" s="119">
        <f>C96/100*7.9</f>
        <v>207.21700000000001</v>
      </c>
      <c r="G96" s="25"/>
      <c r="H96" s="25">
        <f>C96/100*1</f>
        <v>26.23</v>
      </c>
      <c r="I96" s="119">
        <f>C96/100*75.9</f>
        <v>1990.8570000000002</v>
      </c>
      <c r="J96" s="27">
        <f>C96/100*30</f>
        <v>786.9</v>
      </c>
      <c r="K96" s="27">
        <f>C96/100*0.1</f>
        <v>2.6230000000000002</v>
      </c>
      <c r="L96" s="405">
        <v>2623</v>
      </c>
      <c r="M96" s="75">
        <v>18</v>
      </c>
      <c r="N96" s="28">
        <f t="shared" si="6"/>
        <v>47214</v>
      </c>
      <c r="O96" s="153"/>
    </row>
    <row r="97" spans="1:23" s="2" customFormat="1" ht="18.600000000000001" customHeight="1">
      <c r="A97" s="9">
        <v>4</v>
      </c>
      <c r="B97" s="148" t="s">
        <v>4</v>
      </c>
      <c r="C97" s="23">
        <f>L97/100*90</f>
        <v>11.700000000000001</v>
      </c>
      <c r="D97" s="24">
        <f>C97/100*281</f>
        <v>32.877000000000002</v>
      </c>
      <c r="E97" s="25"/>
      <c r="F97" s="25">
        <f>C97/100*9.5</f>
        <v>1.1115000000000002</v>
      </c>
      <c r="G97" s="25"/>
      <c r="H97" s="25">
        <f>C97/100*0.2</f>
        <v>2.3400000000000004E-2</v>
      </c>
      <c r="I97" s="25">
        <f>C97/100*58.5</f>
        <v>6.8445</v>
      </c>
      <c r="J97" s="27">
        <f>C97/100*321.3</f>
        <v>37.592100000000002</v>
      </c>
      <c r="K97" s="27">
        <f>C97/100*0.14</f>
        <v>1.6380000000000002E-2</v>
      </c>
      <c r="L97" s="137">
        <v>13</v>
      </c>
      <c r="M97" s="75">
        <v>120</v>
      </c>
      <c r="N97" s="28">
        <f t="shared" si="6"/>
        <v>1560</v>
      </c>
      <c r="O97" s="153"/>
    </row>
    <row r="98" spans="1:23" s="2" customFormat="1" ht="18.600000000000001" customHeight="1">
      <c r="A98" s="9">
        <v>5</v>
      </c>
      <c r="B98" s="148" t="s">
        <v>68</v>
      </c>
      <c r="C98" s="23">
        <f>L98/100*90</f>
        <v>13.5</v>
      </c>
      <c r="D98" s="24">
        <f>C98/100*253</f>
        <v>34.155000000000001</v>
      </c>
      <c r="E98" s="25"/>
      <c r="F98" s="25">
        <f>C98/100*32.4</f>
        <v>4.3739999999999997</v>
      </c>
      <c r="G98" s="25"/>
      <c r="H98" s="25">
        <f>C98/100*3.6</f>
        <v>0.48600000000000004</v>
      </c>
      <c r="I98" s="25">
        <f>C98/100*21.1</f>
        <v>2.8485000000000005</v>
      </c>
      <c r="J98" s="27">
        <f>C98/100*165.6</f>
        <v>22.356000000000002</v>
      </c>
      <c r="K98" s="27">
        <f>C98/100*0.14</f>
        <v>1.8900000000000004E-2</v>
      </c>
      <c r="L98" s="137">
        <v>15</v>
      </c>
      <c r="M98" s="75">
        <v>275</v>
      </c>
      <c r="N98" s="28">
        <f t="shared" si="6"/>
        <v>4125</v>
      </c>
      <c r="O98" s="153"/>
    </row>
    <row r="99" spans="1:23" s="2" customFormat="1" ht="18.600000000000001" customHeight="1">
      <c r="A99" s="9">
        <v>7</v>
      </c>
      <c r="B99" s="149" t="s">
        <v>61</v>
      </c>
      <c r="C99" s="23">
        <f>L99/100*86</f>
        <v>688</v>
      </c>
      <c r="D99" s="24">
        <f>C99/100*166</f>
        <v>1142.08</v>
      </c>
      <c r="E99" s="25">
        <f>C99/100*14.8</f>
        <v>101.824</v>
      </c>
      <c r="F99" s="25"/>
      <c r="G99" s="25">
        <f>C99/100*11.6</f>
        <v>79.807999999999993</v>
      </c>
      <c r="H99" s="25"/>
      <c r="I99" s="25">
        <f>C99/100*0.5</f>
        <v>3.44</v>
      </c>
      <c r="J99" s="27">
        <f>C99/100*55</f>
        <v>378.4</v>
      </c>
      <c r="K99" s="27">
        <f>C99/100*0.16</f>
        <v>1.1008</v>
      </c>
      <c r="L99" s="137">
        <v>800</v>
      </c>
      <c r="M99" s="75">
        <v>57</v>
      </c>
      <c r="N99" s="28">
        <f t="shared" si="6"/>
        <v>45600</v>
      </c>
      <c r="O99" s="153"/>
      <c r="Q99" s="3"/>
      <c r="R99" s="3"/>
      <c r="S99" s="4"/>
    </row>
    <row r="100" spans="1:23" s="2" customFormat="1" ht="18.600000000000001" customHeight="1">
      <c r="A100" s="9">
        <v>8</v>
      </c>
      <c r="B100" s="148" t="s">
        <v>69</v>
      </c>
      <c r="C100" s="23">
        <f>L100/100*98</f>
        <v>1558.2</v>
      </c>
      <c r="D100" s="24">
        <f>C100/100*139</f>
        <v>2165.8980000000001</v>
      </c>
      <c r="E100" s="25">
        <f>C100/100*19</f>
        <v>296.05799999999999</v>
      </c>
      <c r="F100" s="25"/>
      <c r="G100" s="25">
        <f>C100/100*7</f>
        <v>109.07400000000001</v>
      </c>
      <c r="H100" s="25"/>
      <c r="I100" s="25"/>
      <c r="J100" s="27">
        <f>C100/100*7</f>
        <v>109.07400000000001</v>
      </c>
      <c r="K100" s="27">
        <f>C100/100*0.9</f>
        <v>14.023800000000001</v>
      </c>
      <c r="L100" s="137">
        <v>1590</v>
      </c>
      <c r="M100" s="75">
        <v>133</v>
      </c>
      <c r="N100" s="28">
        <f t="shared" si="6"/>
        <v>211470</v>
      </c>
      <c r="O100" s="153"/>
    </row>
    <row r="101" spans="1:23" s="2" customFormat="1" ht="18.600000000000001" customHeight="1">
      <c r="A101" s="9">
        <v>9</v>
      </c>
      <c r="B101" s="149" t="s">
        <v>92</v>
      </c>
      <c r="C101" s="23">
        <f>L101/100*90</f>
        <v>450</v>
      </c>
      <c r="D101" s="24">
        <f>C101/100*90</f>
        <v>405</v>
      </c>
      <c r="E101" s="25">
        <f>C101/100*18.4</f>
        <v>82.8</v>
      </c>
      <c r="F101" s="25"/>
      <c r="G101" s="25">
        <f>C101/100*1.8</f>
        <v>8.1</v>
      </c>
      <c r="H101" s="25"/>
      <c r="I101" s="25"/>
      <c r="J101" s="81">
        <f>C101/100*1120</f>
        <v>5040</v>
      </c>
      <c r="K101" s="27">
        <f>C101/100*0.02</f>
        <v>0.09</v>
      </c>
      <c r="L101" s="137">
        <v>500</v>
      </c>
      <c r="M101" s="26">
        <v>260</v>
      </c>
      <c r="N101" s="124">
        <f t="shared" si="6"/>
        <v>130000</v>
      </c>
      <c r="O101" s="153"/>
      <c r="Q101" s="3"/>
      <c r="R101" s="3"/>
      <c r="S101" s="4"/>
    </row>
    <row r="102" spans="1:23" s="141" customFormat="1" ht="18.600000000000001" customHeight="1">
      <c r="A102" s="164">
        <v>10</v>
      </c>
      <c r="B102" s="149" t="s">
        <v>166</v>
      </c>
      <c r="C102" s="165">
        <f>L102/100*65</f>
        <v>1111.5</v>
      </c>
      <c r="D102" s="139">
        <f>C102/100*14</f>
        <v>155.61000000000001</v>
      </c>
      <c r="E102" s="136"/>
      <c r="F102" s="136">
        <f>C102/100*0.6</f>
        <v>6.6689999999999996</v>
      </c>
      <c r="G102" s="136"/>
      <c r="H102" s="136">
        <f>C102/100*0.02</f>
        <v>0.2223</v>
      </c>
      <c r="I102" s="136">
        <f>C102/100*2.9</f>
        <v>32.233499999999999</v>
      </c>
      <c r="J102" s="136">
        <f>C102/100*21</f>
        <v>233.41499999999999</v>
      </c>
      <c r="K102" s="136">
        <f>C102/100*0.03</f>
        <v>0.33344999999999997</v>
      </c>
      <c r="L102" s="137">
        <v>1710</v>
      </c>
      <c r="M102" s="166">
        <v>23</v>
      </c>
      <c r="N102" s="135">
        <f t="shared" si="6"/>
        <v>39330</v>
      </c>
      <c r="O102" s="406"/>
    </row>
    <row r="103" spans="1:23" s="2" customFormat="1" ht="18.600000000000001" customHeight="1">
      <c r="A103" s="9">
        <v>11</v>
      </c>
      <c r="B103" s="5" t="s">
        <v>129</v>
      </c>
      <c r="C103" s="23">
        <f>L103/100*100</f>
        <v>50</v>
      </c>
      <c r="D103" s="24">
        <f>C103/100*247</f>
        <v>123.5</v>
      </c>
      <c r="E103" s="29"/>
      <c r="F103" s="29">
        <f>C103/100*17.5</f>
        <v>8.75</v>
      </c>
      <c r="G103" s="29"/>
      <c r="H103" s="29">
        <f>C103/100*1.6</f>
        <v>0.8</v>
      </c>
      <c r="I103" s="29">
        <f>C103/100*39.2</f>
        <v>19.600000000000001</v>
      </c>
      <c r="J103" s="71"/>
      <c r="K103" s="71"/>
      <c r="L103" s="383">
        <v>50</v>
      </c>
      <c r="M103" s="75">
        <v>50</v>
      </c>
      <c r="N103" s="28">
        <f t="shared" si="6"/>
        <v>2500</v>
      </c>
      <c r="O103" s="153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119</v>
      </c>
      <c r="C104" s="23"/>
      <c r="D104" s="139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4200</v>
      </c>
      <c r="O104" s="153"/>
    </row>
    <row r="105" spans="1:23" s="2" customFormat="1" ht="18.600000000000001" customHeight="1">
      <c r="A105" s="21" t="s">
        <v>114</v>
      </c>
      <c r="B105" s="22"/>
      <c r="C105" s="34"/>
      <c r="D105" s="121">
        <f>SUM(D93:D104)</f>
        <v>17408.064000000002</v>
      </c>
      <c r="E105" s="43"/>
      <c r="F105" s="43"/>
      <c r="G105" s="43"/>
      <c r="H105" s="43"/>
      <c r="I105" s="43"/>
      <c r="J105" s="43"/>
      <c r="K105" s="43"/>
      <c r="L105" s="44"/>
      <c r="M105" s="315"/>
      <c r="N105" s="201">
        <f>SUM(N93:N104)</f>
        <v>518049</v>
      </c>
      <c r="O105" s="153"/>
    </row>
    <row r="106" spans="1:23" ht="18.600000000000001" customHeight="1">
      <c r="A106" s="21" t="s">
        <v>35</v>
      </c>
      <c r="B106" s="22"/>
      <c r="C106" s="45"/>
      <c r="D106" s="46">
        <f>D105/D87</f>
        <v>285.37809836065577</v>
      </c>
      <c r="E106" s="46"/>
      <c r="F106" s="46"/>
      <c r="G106" s="46"/>
      <c r="H106" s="46"/>
      <c r="I106" s="46"/>
      <c r="J106" s="46"/>
      <c r="K106" s="46"/>
      <c r="L106" s="47"/>
      <c r="M106" s="316"/>
      <c r="N106" s="202"/>
      <c r="O106" s="408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300" t="s">
        <v>51</v>
      </c>
      <c r="B107" s="234"/>
      <c r="C107" s="384" t="s">
        <v>141</v>
      </c>
      <c r="D107" s="20" t="s">
        <v>43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85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35"/>
      <c r="B108" s="236"/>
      <c r="C108" s="76" t="s">
        <v>58</v>
      </c>
      <c r="D108" s="78">
        <f>D106*100/930</f>
        <v>30.685817028027504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85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44" t="s">
        <v>36</v>
      </c>
      <c r="B109" s="244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8.600000000000001" customHeight="1">
      <c r="A110" s="9">
        <v>1</v>
      </c>
      <c r="B110" s="10" t="s">
        <v>2</v>
      </c>
      <c r="C110" s="23">
        <f>L110/100*100</f>
        <v>70</v>
      </c>
      <c r="D110" s="24">
        <f>C110/100*60</f>
        <v>42</v>
      </c>
      <c r="E110" s="25">
        <f>C110/100*15</f>
        <v>10.5</v>
      </c>
      <c r="F110" s="25"/>
      <c r="G110" s="25"/>
      <c r="H110" s="25"/>
      <c r="I110" s="25"/>
      <c r="J110" s="27">
        <f>C110/100*387</f>
        <v>270.89999999999998</v>
      </c>
      <c r="K110" s="27">
        <f>C110/100*0.09</f>
        <v>6.3E-2</v>
      </c>
      <c r="L110" s="137">
        <v>70</v>
      </c>
      <c r="M110" s="75">
        <v>20</v>
      </c>
      <c r="N110" s="28">
        <f>L110*M110</f>
        <v>1400</v>
      </c>
      <c r="O110" s="153"/>
    </row>
    <row r="111" spans="1:23" s="2" customFormat="1" ht="18.600000000000001" customHeight="1">
      <c r="A111" s="9">
        <v>2</v>
      </c>
      <c r="B111" s="10" t="s">
        <v>134</v>
      </c>
      <c r="C111" s="23">
        <f>L111/100*100</f>
        <v>240</v>
      </c>
      <c r="D111" s="24">
        <f>C111/100*899</f>
        <v>2157.6</v>
      </c>
      <c r="E111" s="25"/>
      <c r="F111" s="25"/>
      <c r="G111" s="25">
        <f>C111/100*100</f>
        <v>240</v>
      </c>
      <c r="H111" s="25"/>
      <c r="I111" s="25"/>
      <c r="J111" s="27"/>
      <c r="K111" s="27"/>
      <c r="L111" s="137">
        <v>240</v>
      </c>
      <c r="M111" s="75">
        <v>69</v>
      </c>
      <c r="N111" s="28">
        <f t="shared" ref="N111" si="7">L111*M111</f>
        <v>16560</v>
      </c>
      <c r="O111" s="153"/>
    </row>
    <row r="112" spans="1:23" s="2" customFormat="1" ht="18.600000000000001" customHeight="1">
      <c r="A112" s="9">
        <v>3</v>
      </c>
      <c r="B112" s="5" t="s">
        <v>1</v>
      </c>
      <c r="C112" s="23">
        <f>L112/100*100</f>
        <v>2562</v>
      </c>
      <c r="D112" s="24">
        <f>C112/100*352.8</f>
        <v>9038.7360000000008</v>
      </c>
      <c r="E112" s="25"/>
      <c r="F112" s="25">
        <f>C112/100*7.9</f>
        <v>202.39800000000002</v>
      </c>
      <c r="G112" s="25"/>
      <c r="H112" s="25">
        <f>C112/100*1</f>
        <v>25.62</v>
      </c>
      <c r="I112" s="25">
        <f>C112/100*75.9</f>
        <v>1944.5580000000002</v>
      </c>
      <c r="J112" s="27">
        <f>C112/100*30</f>
        <v>768.6</v>
      </c>
      <c r="K112" s="27">
        <f>C112/100*0.1</f>
        <v>2.5620000000000003</v>
      </c>
      <c r="L112" s="137">
        <v>2562</v>
      </c>
      <c r="M112" s="75">
        <v>18</v>
      </c>
      <c r="N112" s="28">
        <f t="shared" ref="N112:N117" si="8">L112*M112</f>
        <v>46116</v>
      </c>
      <c r="O112" s="153"/>
    </row>
    <row r="113" spans="1:23" s="2" customFormat="1" ht="18.600000000000001" customHeight="1">
      <c r="A113" s="9">
        <v>4</v>
      </c>
      <c r="B113" s="5" t="s">
        <v>129</v>
      </c>
      <c r="C113" s="23">
        <f>L113/100*100</f>
        <v>50</v>
      </c>
      <c r="D113" s="24">
        <f>C113/100*247</f>
        <v>123.5</v>
      </c>
      <c r="E113" s="29"/>
      <c r="F113" s="29">
        <f>C113/100*17.5</f>
        <v>8.75</v>
      </c>
      <c r="G113" s="29"/>
      <c r="H113" s="29">
        <f>C113/100*1.6</f>
        <v>0.8</v>
      </c>
      <c r="I113" s="29">
        <f>C113/100*39.2</f>
        <v>19.600000000000001</v>
      </c>
      <c r="J113" s="71"/>
      <c r="K113" s="71"/>
      <c r="L113" s="383">
        <v>50</v>
      </c>
      <c r="M113" s="75">
        <v>50</v>
      </c>
      <c r="N113" s="28">
        <f t="shared" si="8"/>
        <v>2500</v>
      </c>
      <c r="O113" s="153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68</v>
      </c>
      <c r="C114" s="23">
        <f>L114/100*90</f>
        <v>13.5</v>
      </c>
      <c r="D114" s="24">
        <f>C114/100*253</f>
        <v>34.155000000000001</v>
      </c>
      <c r="E114" s="25"/>
      <c r="F114" s="25">
        <f>C114/100*32.4</f>
        <v>4.3739999999999997</v>
      </c>
      <c r="G114" s="25"/>
      <c r="H114" s="25">
        <f>C114/100*3.6</f>
        <v>0.48600000000000004</v>
      </c>
      <c r="I114" s="25">
        <f>C114/100*21.1</f>
        <v>2.8485000000000005</v>
      </c>
      <c r="J114" s="27">
        <f>C114/100*165.6</f>
        <v>22.356000000000002</v>
      </c>
      <c r="K114" s="27">
        <f>C114/100*0.14</f>
        <v>1.8900000000000004E-2</v>
      </c>
      <c r="L114" s="137">
        <v>15</v>
      </c>
      <c r="M114" s="75">
        <v>275</v>
      </c>
      <c r="N114" s="28">
        <f t="shared" si="8"/>
        <v>4125</v>
      </c>
      <c r="O114" s="153"/>
    </row>
    <row r="115" spans="1:23" s="2" customFormat="1" ht="18.600000000000001" customHeight="1">
      <c r="A115" s="9">
        <v>6</v>
      </c>
      <c r="B115" s="5" t="s">
        <v>72</v>
      </c>
      <c r="C115" s="23">
        <f>L115/100*75</f>
        <v>1462.5</v>
      </c>
      <c r="D115" s="24">
        <f>C115/100*12</f>
        <v>175.5</v>
      </c>
      <c r="E115" s="25"/>
      <c r="F115" s="25">
        <f>C115/100*0.6</f>
        <v>8.7750000000000004</v>
      </c>
      <c r="G115" s="25"/>
      <c r="H115" s="25"/>
      <c r="I115" s="25">
        <f>C115/100*2.4</f>
        <v>35.1</v>
      </c>
      <c r="J115" s="25">
        <f>C115/100*26</f>
        <v>380.25</v>
      </c>
      <c r="K115" s="25">
        <f>C115/100*0.02</f>
        <v>0.29249999999999998</v>
      </c>
      <c r="L115" s="137">
        <v>1950</v>
      </c>
      <c r="M115" s="75">
        <v>20</v>
      </c>
      <c r="N115" s="28">
        <f t="shared" si="8"/>
        <v>39000</v>
      </c>
      <c r="O115" s="153"/>
    </row>
    <row r="116" spans="1:23" s="2" customFormat="1" ht="18.600000000000001" customHeight="1">
      <c r="A116" s="9">
        <v>7</v>
      </c>
      <c r="B116" s="10" t="s">
        <v>69</v>
      </c>
      <c r="C116" s="23">
        <f>L116/100*98</f>
        <v>597.79999999999995</v>
      </c>
      <c r="D116" s="24">
        <f>C116/100*139</f>
        <v>830.94200000000001</v>
      </c>
      <c r="E116" s="25">
        <f>C116/100*19</f>
        <v>113.58199999999999</v>
      </c>
      <c r="F116" s="25"/>
      <c r="G116" s="25">
        <f>C116/100*7</f>
        <v>41.845999999999997</v>
      </c>
      <c r="H116" s="25"/>
      <c r="I116" s="25"/>
      <c r="J116" s="27">
        <f>C116/100*7</f>
        <v>41.845999999999997</v>
      </c>
      <c r="K116" s="27">
        <f>C116/100*0.9</f>
        <v>5.3802000000000003</v>
      </c>
      <c r="L116" s="137">
        <v>610</v>
      </c>
      <c r="M116" s="75">
        <v>133</v>
      </c>
      <c r="N116" s="28">
        <f t="shared" si="8"/>
        <v>81130</v>
      </c>
      <c r="O116" s="153"/>
    </row>
    <row r="117" spans="1:23" s="2" customFormat="1" ht="18.600000000000001" customHeight="1">
      <c r="A117" s="9">
        <v>8</v>
      </c>
      <c r="B117" s="10" t="s">
        <v>89</v>
      </c>
      <c r="C117" s="23">
        <f>L117/100*48</f>
        <v>2049.6000000000004</v>
      </c>
      <c r="D117" s="24">
        <f>C117/100*199</f>
        <v>4078.7040000000006</v>
      </c>
      <c r="E117" s="25">
        <f>C117/100*20.3</f>
        <v>416.06880000000007</v>
      </c>
      <c r="F117" s="25"/>
      <c r="G117" s="25">
        <f>C117/100*13.1</f>
        <v>268.49760000000003</v>
      </c>
      <c r="H117" s="25"/>
      <c r="I117" s="25"/>
      <c r="J117" s="27">
        <f>C117/100*12</f>
        <v>245.95200000000003</v>
      </c>
      <c r="K117" s="27">
        <f>C117/100*0.15</f>
        <v>3.0744000000000002</v>
      </c>
      <c r="L117" s="137">
        <v>4270</v>
      </c>
      <c r="M117" s="75">
        <v>84</v>
      </c>
      <c r="N117" s="28">
        <f t="shared" si="8"/>
        <v>358680</v>
      </c>
      <c r="O117" s="153"/>
      <c r="Q117" s="153"/>
    </row>
    <row r="118" spans="1:23" s="2" customFormat="1" ht="18.600000000000001" customHeight="1">
      <c r="A118" s="9">
        <v>9</v>
      </c>
      <c r="B118" s="6" t="s">
        <v>119</v>
      </c>
      <c r="C118" s="23"/>
      <c r="D118" s="139"/>
      <c r="E118" s="25"/>
      <c r="F118" s="25"/>
      <c r="G118" s="25"/>
      <c r="H118" s="25"/>
      <c r="I118" s="25"/>
      <c r="J118" s="27"/>
      <c r="K118" s="27"/>
      <c r="L118" s="26"/>
      <c r="M118" s="26"/>
      <c r="N118" s="28">
        <v>4200</v>
      </c>
      <c r="O118" s="153"/>
    </row>
    <row r="119" spans="1:23" s="2" customFormat="1" ht="18.600000000000001" customHeight="1">
      <c r="A119" s="21" t="s">
        <v>115</v>
      </c>
      <c r="B119" s="22"/>
      <c r="C119" s="34"/>
      <c r="D119" s="121">
        <f>SUM(D110:D118)</f>
        <v>16481.137000000002</v>
      </c>
      <c r="E119" s="43"/>
      <c r="F119" s="43"/>
      <c r="G119" s="43"/>
      <c r="H119" s="43"/>
      <c r="I119" s="43"/>
      <c r="J119" s="43"/>
      <c r="K119" s="43"/>
      <c r="L119" s="44"/>
      <c r="M119" s="315"/>
      <c r="N119" s="201">
        <f>SUM(N110:N118)</f>
        <v>553711</v>
      </c>
      <c r="O119" s="153"/>
    </row>
    <row r="120" spans="1:23" ht="18.600000000000001" customHeight="1">
      <c r="A120" s="21" t="s">
        <v>34</v>
      </c>
      <c r="B120" s="22"/>
      <c r="C120" s="61"/>
      <c r="D120" s="48">
        <f>D119/D87</f>
        <v>270.18257377049184</v>
      </c>
      <c r="E120" s="48"/>
      <c r="F120" s="48"/>
      <c r="G120" s="48"/>
      <c r="H120" s="48"/>
      <c r="I120" s="48"/>
      <c r="J120" s="48"/>
      <c r="K120" s="48"/>
      <c r="L120" s="62"/>
      <c r="M120" s="316"/>
      <c r="N120" s="243"/>
      <c r="O120" s="408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300" t="s">
        <v>52</v>
      </c>
      <c r="B121" s="234"/>
      <c r="C121" s="384" t="s">
        <v>141</v>
      </c>
      <c r="D121" s="20" t="s">
        <v>44</v>
      </c>
      <c r="E121" s="46"/>
      <c r="F121" s="46"/>
      <c r="G121" s="46"/>
      <c r="H121" s="46"/>
      <c r="I121" s="46"/>
      <c r="J121" s="48"/>
      <c r="K121" s="48"/>
      <c r="L121" s="47"/>
      <c r="M121" s="47"/>
      <c r="N121" s="185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35"/>
      <c r="B122" s="236"/>
      <c r="C122" s="76" t="s">
        <v>58</v>
      </c>
      <c r="D122" s="78">
        <f>D120*100/930</f>
        <v>29.051889652741057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85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44" t="s">
        <v>33</v>
      </c>
      <c r="B123" s="244"/>
      <c r="C123" s="63"/>
      <c r="D123" s="64"/>
      <c r="E123" s="64"/>
      <c r="F123" s="64"/>
      <c r="G123" s="64"/>
      <c r="H123" s="64"/>
      <c r="I123" s="64"/>
      <c r="J123" s="64"/>
      <c r="K123" s="64"/>
      <c r="L123" s="65"/>
      <c r="M123" s="65"/>
      <c r="N123" s="66"/>
      <c r="O123" s="408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103">
        <v>1</v>
      </c>
      <c r="B124" s="156" t="s">
        <v>139</v>
      </c>
      <c r="C124" s="104">
        <f>L124/100*100</f>
        <v>1040</v>
      </c>
      <c r="D124" s="105">
        <f>C124/100*487</f>
        <v>5064.8</v>
      </c>
      <c r="E124" s="106"/>
      <c r="F124" s="106">
        <f>C124/100*19.5</f>
        <v>202.8</v>
      </c>
      <c r="G124" s="106"/>
      <c r="H124" s="106">
        <f>C124/100*23.2</f>
        <v>241.28</v>
      </c>
      <c r="I124" s="106">
        <f>C124/100*46</f>
        <v>478.40000000000003</v>
      </c>
      <c r="J124" s="147">
        <f>C124/100*680</f>
        <v>7072</v>
      </c>
      <c r="K124" s="106">
        <f>C124/100*0.55</f>
        <v>5.7200000000000006</v>
      </c>
      <c r="L124" s="107">
        <v>1040</v>
      </c>
      <c r="M124" s="157">
        <v>260</v>
      </c>
      <c r="N124" s="108">
        <f t="shared" ref="N124" si="9">L124*M124</f>
        <v>270400</v>
      </c>
      <c r="O124" s="153"/>
      <c r="P124" s="3"/>
    </row>
    <row r="125" spans="1:23" ht="17.399999999999999" customHeight="1">
      <c r="A125" s="217" t="s">
        <v>0</v>
      </c>
      <c r="B125" s="220" t="s">
        <v>18</v>
      </c>
      <c r="C125" s="223" t="s">
        <v>7</v>
      </c>
      <c r="D125" s="223" t="s">
        <v>8</v>
      </c>
      <c r="E125" s="226" t="s">
        <v>10</v>
      </c>
      <c r="F125" s="227"/>
      <c r="G125" s="226" t="s">
        <v>12</v>
      </c>
      <c r="H125" s="227"/>
      <c r="I125" s="230" t="s">
        <v>15</v>
      </c>
      <c r="J125" s="230" t="s">
        <v>39</v>
      </c>
      <c r="K125" s="230" t="s">
        <v>40</v>
      </c>
      <c r="L125" s="230" t="s">
        <v>16</v>
      </c>
      <c r="M125" s="230" t="s">
        <v>53</v>
      </c>
      <c r="N125" s="217" t="s">
        <v>17</v>
      </c>
      <c r="O125" s="177"/>
    </row>
    <row r="126" spans="1:23" ht="17.399999999999999" customHeight="1">
      <c r="A126" s="218"/>
      <c r="B126" s="221"/>
      <c r="C126" s="224"/>
      <c r="D126" s="224"/>
      <c r="E126" s="228"/>
      <c r="F126" s="229"/>
      <c r="G126" s="228"/>
      <c r="H126" s="229"/>
      <c r="I126" s="231"/>
      <c r="J126" s="231"/>
      <c r="K126" s="231"/>
      <c r="L126" s="231"/>
      <c r="M126" s="231"/>
      <c r="N126" s="218"/>
      <c r="O126" s="184"/>
    </row>
    <row r="127" spans="1:23" ht="17.399999999999999" customHeight="1">
      <c r="A127" s="218"/>
      <c r="B127" s="221"/>
      <c r="C127" s="224"/>
      <c r="D127" s="224"/>
      <c r="E127" s="230" t="s">
        <v>9</v>
      </c>
      <c r="F127" s="230" t="s">
        <v>11</v>
      </c>
      <c r="G127" s="230" t="s">
        <v>13</v>
      </c>
      <c r="H127" s="230" t="s">
        <v>14</v>
      </c>
      <c r="I127" s="231"/>
      <c r="J127" s="231"/>
      <c r="K127" s="231"/>
      <c r="L127" s="231"/>
      <c r="M127" s="231"/>
      <c r="N127" s="218"/>
      <c r="O127" s="184"/>
    </row>
    <row r="128" spans="1:23" ht="17.399999999999999" customHeight="1">
      <c r="A128" s="219"/>
      <c r="B128" s="222"/>
      <c r="C128" s="225"/>
      <c r="D128" s="225"/>
      <c r="E128" s="232"/>
      <c r="F128" s="232"/>
      <c r="G128" s="232"/>
      <c r="H128" s="232"/>
      <c r="I128" s="232"/>
      <c r="J128" s="232"/>
      <c r="K128" s="232"/>
      <c r="L128" s="232"/>
      <c r="M128" s="232"/>
      <c r="N128" s="219"/>
      <c r="O128" s="184"/>
    </row>
    <row r="129" spans="1:23" s="2" customFormat="1" ht="18" customHeight="1">
      <c r="A129" s="21" t="s">
        <v>102</v>
      </c>
      <c r="B129" s="22"/>
      <c r="C129" s="34"/>
      <c r="D129" s="35">
        <f>SUM(D123:D124)</f>
        <v>5064.8</v>
      </c>
      <c r="E129" s="43"/>
      <c r="F129" s="43"/>
      <c r="G129" s="43"/>
      <c r="H129" s="43"/>
      <c r="I129" s="43"/>
      <c r="J129" s="43"/>
      <c r="K129" s="43"/>
      <c r="L129" s="44"/>
      <c r="M129" s="315"/>
      <c r="N129" s="201">
        <f>SUM(N123:N124)</f>
        <v>270400</v>
      </c>
      <c r="O129" s="153"/>
    </row>
    <row r="130" spans="1:23" ht="18" customHeight="1">
      <c r="A130" s="21" t="s">
        <v>6</v>
      </c>
      <c r="B130" s="22"/>
      <c r="C130" s="45"/>
      <c r="D130" s="46">
        <f>D129/D87</f>
        <v>83.029508196721309</v>
      </c>
      <c r="E130" s="46"/>
      <c r="F130" s="46"/>
      <c r="G130" s="46"/>
      <c r="H130" s="46"/>
      <c r="I130" s="46"/>
      <c r="J130" s="46"/>
      <c r="K130" s="46"/>
      <c r="L130" s="47"/>
      <c r="M130" s="316"/>
      <c r="N130" s="202"/>
      <c r="O130" s="408"/>
      <c r="P130" s="2"/>
      <c r="Q130" s="2"/>
      <c r="R130" s="2"/>
      <c r="S130" s="2"/>
      <c r="T130" s="2"/>
      <c r="U130" s="2"/>
      <c r="V130" s="2"/>
    </row>
    <row r="131" spans="1:23" ht="18" customHeight="1">
      <c r="A131" s="300" t="s">
        <v>50</v>
      </c>
      <c r="B131" s="234"/>
      <c r="C131" s="384" t="s">
        <v>141</v>
      </c>
      <c r="D131" s="20" t="s">
        <v>48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85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35"/>
      <c r="B132" s="236"/>
      <c r="C132" s="76" t="s">
        <v>58</v>
      </c>
      <c r="D132" s="20">
        <f>D130*100/930</f>
        <v>8.927904107174335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85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92" t="s">
        <v>103</v>
      </c>
      <c r="B133" s="293"/>
      <c r="C133" s="296"/>
      <c r="D133" s="308">
        <f>D105+D119+D129</f>
        <v>38954.001000000004</v>
      </c>
      <c r="E133" s="123">
        <f>SUM(E93:E130)</f>
        <v>1032.8328000000001</v>
      </c>
      <c r="F133" s="7">
        <f>SUM(F93:F130)</f>
        <v>655.21850000000006</v>
      </c>
      <c r="G133" s="123">
        <f>SUM(G93:G130)</f>
        <v>1047.3256000000001</v>
      </c>
      <c r="H133" s="7">
        <f>SUM(H93:H130)</f>
        <v>445.9477</v>
      </c>
      <c r="I133" s="290">
        <f>SUM(I93:I130)</f>
        <v>4536.33</v>
      </c>
      <c r="J133" s="260">
        <f>SUM(J93:J124)</f>
        <v>15719.241099999999</v>
      </c>
      <c r="K133" s="290">
        <f>SUM(K93:K124)</f>
        <v>35.389330000000001</v>
      </c>
      <c r="L133" s="274"/>
      <c r="M133" s="274"/>
      <c r="N133" s="310">
        <f>N105+N119+N129</f>
        <v>1342160</v>
      </c>
      <c r="U133" s="12"/>
      <c r="V133" s="12"/>
    </row>
    <row r="134" spans="1:23" ht="18" customHeight="1">
      <c r="A134" s="294"/>
      <c r="B134" s="295"/>
      <c r="C134" s="297"/>
      <c r="D134" s="309"/>
      <c r="E134" s="288">
        <f>E133+F133</f>
        <v>1688.0513000000001</v>
      </c>
      <c r="F134" s="289"/>
      <c r="G134" s="288">
        <f>G133+H133</f>
        <v>1493.2733000000001</v>
      </c>
      <c r="H134" s="289"/>
      <c r="I134" s="414"/>
      <c r="J134" s="338"/>
      <c r="K134" s="414"/>
      <c r="L134" s="274"/>
      <c r="M134" s="274"/>
      <c r="N134" s="310"/>
      <c r="P134" s="398"/>
      <c r="Q134" s="399"/>
      <c r="R134" s="399"/>
      <c r="S134" s="399"/>
      <c r="T134" s="399"/>
      <c r="U134" s="400"/>
      <c r="V134" s="400"/>
    </row>
    <row r="135" spans="1:23" ht="18" customHeight="1">
      <c r="A135" s="275" t="s">
        <v>74</v>
      </c>
      <c r="B135" s="276"/>
      <c r="C135" s="277"/>
      <c r="D135" s="138">
        <f>D133/D87</f>
        <v>638.59018032786889</v>
      </c>
      <c r="E135" s="410">
        <f>E133/D87</f>
        <v>16.93168524590164</v>
      </c>
      <c r="F135" s="409">
        <f>F133/D87</f>
        <v>10.741286885245902</v>
      </c>
      <c r="G135" s="410">
        <f>G133/D87</f>
        <v>17.169272131147544</v>
      </c>
      <c r="H135" s="409">
        <f>H133/D87</f>
        <v>7.310618032786885</v>
      </c>
      <c r="I135" s="306">
        <f>I133/D87</f>
        <v>74.366065573770484</v>
      </c>
      <c r="J135" s="306">
        <f>J133/D87</f>
        <v>257.6924770491803</v>
      </c>
      <c r="K135" s="306">
        <f>K133/D87</f>
        <v>0.58015295081967211</v>
      </c>
      <c r="L135" s="274"/>
      <c r="M135" s="274"/>
      <c r="N135" s="310"/>
      <c r="P135" s="401"/>
      <c r="Q135" s="399"/>
      <c r="R135" s="399"/>
      <c r="S135" s="404"/>
      <c r="T135" s="404"/>
      <c r="U135" s="399"/>
      <c r="V135" s="399"/>
    </row>
    <row r="136" spans="1:23" ht="18" customHeight="1">
      <c r="A136" s="278"/>
      <c r="B136" s="279"/>
      <c r="C136" s="280"/>
      <c r="D136" s="127"/>
      <c r="E136" s="387">
        <f>E135+F135</f>
        <v>27.672972131147542</v>
      </c>
      <c r="F136" s="388"/>
      <c r="G136" s="387">
        <f>G135+H135</f>
        <v>24.479890163934428</v>
      </c>
      <c r="H136" s="388"/>
      <c r="I136" s="414"/>
      <c r="J136" s="414"/>
      <c r="K136" s="414"/>
      <c r="L136" s="274"/>
      <c r="M136" s="274"/>
      <c r="N136" s="310"/>
      <c r="P136" s="398"/>
      <c r="Q136" s="398"/>
      <c r="R136" s="398"/>
      <c r="S136" s="398"/>
      <c r="T136" s="398"/>
      <c r="U136" s="398"/>
      <c r="V136" s="398"/>
    </row>
    <row r="137" spans="1:23" ht="18" customHeight="1">
      <c r="A137" s="324" t="s">
        <v>77</v>
      </c>
      <c r="B137" s="325"/>
      <c r="C137" s="326"/>
      <c r="D137" s="187" t="s">
        <v>27</v>
      </c>
      <c r="E137" s="347" t="s">
        <v>22</v>
      </c>
      <c r="F137" s="347"/>
      <c r="G137" s="347" t="s">
        <v>23</v>
      </c>
      <c r="H137" s="347"/>
      <c r="I137" s="187" t="s">
        <v>24</v>
      </c>
      <c r="J137" s="182">
        <v>500</v>
      </c>
      <c r="K137" s="182">
        <v>0.5</v>
      </c>
      <c r="L137" s="274"/>
      <c r="M137" s="274"/>
      <c r="N137" s="310"/>
      <c r="O137" s="180"/>
      <c r="P137" s="398"/>
      <c r="Q137" s="403"/>
      <c r="R137" s="403"/>
      <c r="S137" s="403"/>
      <c r="T137" s="398"/>
      <c r="U137" s="398"/>
      <c r="V137" s="398"/>
    </row>
    <row r="138" spans="1:23" ht="18" customHeight="1">
      <c r="A138" s="251" t="s">
        <v>75</v>
      </c>
      <c r="B138" s="281"/>
      <c r="C138" s="252"/>
      <c r="D138" s="49"/>
      <c r="E138" s="282">
        <f>E136*4.1</f>
        <v>113.45918573770491</v>
      </c>
      <c r="F138" s="283"/>
      <c r="G138" s="282">
        <f>G136*9</f>
        <v>220.31901147540987</v>
      </c>
      <c r="H138" s="283"/>
      <c r="I138" s="85">
        <f>I135*4.1</f>
        <v>304.90086885245898</v>
      </c>
      <c r="J138" s="263"/>
      <c r="K138" s="263"/>
      <c r="L138" s="274"/>
      <c r="M138" s="274"/>
      <c r="N138" s="310"/>
      <c r="O138" s="180"/>
      <c r="P138" s="402"/>
      <c r="Q138" s="398"/>
      <c r="R138" s="398"/>
      <c r="S138" s="398"/>
      <c r="T138" s="398"/>
      <c r="U138" s="398"/>
      <c r="V138" s="398"/>
    </row>
    <row r="139" spans="1:23" ht="18" customHeight="1">
      <c r="A139" s="284" t="s">
        <v>84</v>
      </c>
      <c r="B139" s="285"/>
      <c r="C139" s="251" t="s">
        <v>57</v>
      </c>
      <c r="D139" s="252"/>
      <c r="E139" s="197">
        <f>E138*100/D135</f>
        <v>17.767135986878472</v>
      </c>
      <c r="F139" s="198"/>
      <c r="G139" s="197">
        <f>G138*100/D135</f>
        <v>34.500845497231467</v>
      </c>
      <c r="H139" s="198"/>
      <c r="I139" s="115">
        <f>I138*100/D135</f>
        <v>47.745937573909281</v>
      </c>
      <c r="J139" s="264"/>
      <c r="K139" s="264"/>
      <c r="L139" s="274"/>
      <c r="M139" s="274"/>
      <c r="N139" s="310"/>
      <c r="O139" s="180"/>
    </row>
    <row r="140" spans="1:23" ht="18" customHeight="1">
      <c r="A140" s="286"/>
      <c r="B140" s="287"/>
      <c r="C140" s="251" t="s">
        <v>76</v>
      </c>
      <c r="D140" s="252"/>
      <c r="E140" s="251" t="s">
        <v>79</v>
      </c>
      <c r="F140" s="252"/>
      <c r="G140" s="251" t="s">
        <v>82</v>
      </c>
      <c r="H140" s="252"/>
      <c r="I140" s="187" t="s">
        <v>83</v>
      </c>
      <c r="J140" s="265"/>
      <c r="K140" s="265"/>
      <c r="L140" s="274"/>
      <c r="M140" s="274"/>
      <c r="N140" s="310"/>
      <c r="O140" s="180"/>
      <c r="P140" s="132"/>
    </row>
    <row r="141" spans="1:23" ht="22.2" customHeight="1">
      <c r="A141" s="90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1"/>
      <c r="M141" s="91"/>
      <c r="N141" s="92"/>
      <c r="O141" s="180"/>
    </row>
    <row r="142" spans="1:23" ht="21" customHeight="1">
      <c r="A142" s="192" t="s">
        <v>110</v>
      </c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80"/>
    </row>
    <row r="143" spans="1:23" ht="21" customHeight="1">
      <c r="A143" s="117" t="s">
        <v>111</v>
      </c>
      <c r="B143" s="193" t="s">
        <v>122</v>
      </c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80"/>
    </row>
    <row r="144" spans="1:23" ht="21" customHeight="1">
      <c r="A144" s="118"/>
      <c r="B144" s="194" t="s">
        <v>213</v>
      </c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80"/>
    </row>
    <row r="145" spans="1:15" ht="21" customHeight="1">
      <c r="A145" s="118"/>
      <c r="B145" s="194" t="s">
        <v>214</v>
      </c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80"/>
    </row>
    <row r="146" spans="1:15" ht="21" customHeight="1">
      <c r="A146" s="118"/>
      <c r="B146" s="194" t="s">
        <v>155</v>
      </c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80"/>
    </row>
    <row r="147" spans="1:15" ht="21" customHeight="1">
      <c r="A147" s="90"/>
      <c r="B147" s="195" t="s">
        <v>113</v>
      </c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80"/>
    </row>
    <row r="148" spans="1:15" ht="2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180"/>
    </row>
    <row r="149" spans="1:15" ht="21" customHeight="1">
      <c r="A149" s="196" t="s">
        <v>60</v>
      </c>
      <c r="B149" s="196"/>
      <c r="C149" s="196"/>
      <c r="D149" s="196"/>
      <c r="E149" s="390"/>
      <c r="F149" s="390"/>
      <c r="G149" s="390"/>
      <c r="H149" s="390"/>
      <c r="I149" s="390"/>
      <c r="J149" s="391" t="s">
        <v>31</v>
      </c>
      <c r="K149" s="391"/>
      <c r="L149" s="391"/>
      <c r="M149" s="391"/>
      <c r="N149" s="391"/>
      <c r="O149" s="180"/>
    </row>
    <row r="150" spans="1:15" ht="21" customHeight="1">
      <c r="A150" s="184"/>
      <c r="B150" s="184"/>
      <c r="C150" s="184"/>
      <c r="D150" s="390"/>
      <c r="E150" s="390"/>
      <c r="F150" s="390"/>
      <c r="G150" s="390"/>
      <c r="H150" s="392"/>
      <c r="I150" s="392"/>
      <c r="J150" s="392"/>
      <c r="K150" s="392"/>
      <c r="L150" s="392"/>
      <c r="M150" s="392"/>
      <c r="N150" s="392"/>
      <c r="O150" s="180"/>
    </row>
    <row r="151" spans="1:15" ht="21" customHeight="1">
      <c r="A151" s="184"/>
      <c r="B151" s="184"/>
      <c r="C151" s="184"/>
      <c r="D151" s="390"/>
      <c r="E151" s="390"/>
      <c r="F151" s="390"/>
      <c r="G151" s="390"/>
      <c r="H151" s="392"/>
      <c r="I151" s="392"/>
      <c r="J151" s="392"/>
      <c r="K151" s="392"/>
      <c r="L151" s="392"/>
      <c r="M151" s="392"/>
      <c r="N151" s="392"/>
      <c r="O151" s="180"/>
    </row>
    <row r="152" spans="1:15" ht="21" customHeight="1">
      <c r="A152" s="184"/>
      <c r="B152" s="184"/>
      <c r="C152" s="184"/>
      <c r="D152" s="390"/>
      <c r="E152" s="390"/>
      <c r="F152" s="390"/>
      <c r="G152" s="390"/>
      <c r="H152" s="392"/>
      <c r="I152" s="392"/>
      <c r="J152" s="393" t="s">
        <v>120</v>
      </c>
      <c r="K152" s="393"/>
      <c r="L152" s="393"/>
      <c r="M152" s="393"/>
      <c r="N152" s="393"/>
      <c r="O152" s="180"/>
    </row>
    <row r="153" spans="1:15" ht="22.2" customHeight="1">
      <c r="A153" s="188" t="s">
        <v>88</v>
      </c>
      <c r="B153" s="188"/>
      <c r="C153" s="188"/>
      <c r="D153" s="188"/>
      <c r="E153" s="390"/>
      <c r="F153" s="390"/>
      <c r="G153" s="390"/>
      <c r="H153" s="392"/>
      <c r="I153" s="392"/>
      <c r="O153" s="180"/>
    </row>
    <row r="155" spans="1:15" ht="22.2" customHeight="1">
      <c r="J155" s="393" t="s">
        <v>123</v>
      </c>
      <c r="K155" s="393"/>
      <c r="L155" s="393"/>
      <c r="M155" s="393"/>
      <c r="N155" s="393"/>
    </row>
    <row r="156" spans="1:15" ht="22.2" customHeight="1">
      <c r="J156" s="393"/>
      <c r="K156" s="393"/>
      <c r="L156" s="393"/>
      <c r="M156" s="393"/>
      <c r="N156" s="393"/>
    </row>
  </sheetData>
  <mergeCells count="208"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</mergeCells>
  <pageMargins left="0.125" right="0.11666666666666667" top="0.44791666666666669" bottom="0.4062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2"/>
  <sheetViews>
    <sheetView workbookViewId="0">
      <selection activeCell="O1" sqref="O1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6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59</v>
      </c>
      <c r="B1" s="8"/>
      <c r="C1" s="8"/>
      <c r="D1" s="8"/>
      <c r="E1" s="8"/>
      <c r="F1" s="299" t="s">
        <v>29</v>
      </c>
      <c r="G1" s="299"/>
      <c r="H1" s="299"/>
      <c r="I1" s="299"/>
      <c r="J1" s="299"/>
      <c r="K1" s="299"/>
      <c r="L1" s="299"/>
      <c r="M1" s="299"/>
      <c r="N1" s="299"/>
      <c r="O1" s="175"/>
      <c r="P1" s="175"/>
      <c r="T1" s="2"/>
    </row>
    <row r="2" spans="1:20" ht="23.4" customHeight="1">
      <c r="A2" s="11"/>
      <c r="B2" s="8"/>
      <c r="C2" s="8"/>
      <c r="D2" s="8"/>
      <c r="E2" s="8"/>
      <c r="F2" s="181"/>
      <c r="G2" s="181"/>
      <c r="H2" s="181"/>
      <c r="I2" s="181"/>
      <c r="J2" s="181"/>
      <c r="K2" s="181"/>
      <c r="L2" s="181"/>
      <c r="M2" s="181"/>
      <c r="N2" s="181"/>
      <c r="O2" s="175"/>
      <c r="P2" s="175"/>
      <c r="T2" s="2"/>
    </row>
    <row r="3" spans="1:20" ht="23.4" customHeight="1">
      <c r="A3" s="8" t="s">
        <v>209</v>
      </c>
      <c r="B3" s="8"/>
      <c r="C3" s="8"/>
      <c r="D3" s="8"/>
      <c r="E3" s="8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  <c r="T3" s="2"/>
    </row>
    <row r="4" spans="1:20" ht="23.4" customHeight="1">
      <c r="A4" s="8"/>
      <c r="B4" s="8"/>
      <c r="C4" s="8"/>
      <c r="D4" s="8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  <c r="T4" s="2"/>
    </row>
    <row r="5" spans="1:20" s="2" customFormat="1" ht="19.2" customHeight="1">
      <c r="A5" s="203" t="s">
        <v>93</v>
      </c>
      <c r="B5" s="203"/>
      <c r="C5" s="203"/>
      <c r="D5" s="203"/>
      <c r="E5" s="203" t="s">
        <v>94</v>
      </c>
      <c r="F5" s="203"/>
      <c r="G5" s="203"/>
      <c r="H5" s="203"/>
      <c r="I5" s="203"/>
      <c r="J5" s="203"/>
      <c r="K5" s="203"/>
      <c r="L5" s="203"/>
      <c r="M5" s="203"/>
      <c r="N5" s="203"/>
      <c r="O5" s="176"/>
    </row>
    <row r="6" spans="1:20" s="2" customFormat="1" ht="19.2" customHeight="1">
      <c r="A6" s="204" t="s">
        <v>87</v>
      </c>
      <c r="B6" s="204"/>
      <c r="C6" s="204"/>
      <c r="D6" s="204"/>
      <c r="E6" s="208" t="s">
        <v>152</v>
      </c>
      <c r="F6" s="209"/>
      <c r="G6" s="209"/>
      <c r="H6" s="209"/>
      <c r="I6" s="210"/>
      <c r="J6" s="208" t="s">
        <v>130</v>
      </c>
      <c r="K6" s="209"/>
      <c r="L6" s="209"/>
      <c r="M6" s="209"/>
      <c r="N6" s="210"/>
      <c r="O6" s="176"/>
    </row>
    <row r="7" spans="1:20" s="2" customFormat="1" ht="19.2" customHeight="1">
      <c r="A7" s="353" t="s">
        <v>183</v>
      </c>
      <c r="B7" s="354"/>
      <c r="C7" s="354"/>
      <c r="D7" s="355"/>
      <c r="E7" s="211"/>
      <c r="F7" s="212"/>
      <c r="G7" s="212"/>
      <c r="H7" s="212"/>
      <c r="I7" s="213"/>
      <c r="J7" s="211"/>
      <c r="K7" s="212"/>
      <c r="L7" s="212"/>
      <c r="M7" s="212"/>
      <c r="N7" s="213"/>
      <c r="O7" s="176"/>
    </row>
    <row r="8" spans="1:20" s="2" customFormat="1" ht="19.2" customHeight="1">
      <c r="A8" s="353" t="s">
        <v>163</v>
      </c>
      <c r="B8" s="354"/>
      <c r="C8" s="354"/>
      <c r="D8" s="355"/>
      <c r="E8" s="211"/>
      <c r="F8" s="212"/>
      <c r="G8" s="212"/>
      <c r="H8" s="212"/>
      <c r="I8" s="213"/>
      <c r="J8" s="211"/>
      <c r="K8" s="212"/>
      <c r="L8" s="212"/>
      <c r="M8" s="212"/>
      <c r="N8" s="213"/>
      <c r="O8" s="176"/>
    </row>
    <row r="9" spans="1:20" s="2" customFormat="1" ht="19.2" customHeight="1">
      <c r="A9" s="365" t="s">
        <v>164</v>
      </c>
      <c r="B9" s="365"/>
      <c r="C9" s="365"/>
      <c r="D9" s="365"/>
      <c r="E9" s="214"/>
      <c r="F9" s="215"/>
      <c r="G9" s="215"/>
      <c r="H9" s="215"/>
      <c r="I9" s="216"/>
      <c r="J9" s="214"/>
      <c r="K9" s="215"/>
      <c r="L9" s="215"/>
      <c r="M9" s="215"/>
      <c r="N9" s="216"/>
      <c r="O9" s="176"/>
    </row>
    <row r="10" spans="1:20" s="2" customFormat="1" ht="19.2" customHeight="1">
      <c r="A10" s="237" t="s">
        <v>118</v>
      </c>
      <c r="B10" s="238"/>
      <c r="C10" s="239"/>
      <c r="D10" s="128">
        <v>212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76"/>
    </row>
    <row r="11" spans="1:20" ht="21" customHeight="1">
      <c r="A11" s="217" t="s">
        <v>0</v>
      </c>
      <c r="B11" s="220" t="s">
        <v>18</v>
      </c>
      <c r="C11" s="223" t="s">
        <v>7</v>
      </c>
      <c r="D11" s="223" t="s">
        <v>8</v>
      </c>
      <c r="E11" s="226" t="s">
        <v>10</v>
      </c>
      <c r="F11" s="227"/>
      <c r="G11" s="226" t="s">
        <v>12</v>
      </c>
      <c r="H11" s="227"/>
      <c r="I11" s="230" t="s">
        <v>15</v>
      </c>
      <c r="J11" s="230" t="s">
        <v>39</v>
      </c>
      <c r="K11" s="230" t="s">
        <v>40</v>
      </c>
      <c r="L11" s="348" t="s">
        <v>16</v>
      </c>
      <c r="M11" s="230" t="s">
        <v>55</v>
      </c>
      <c r="N11" s="217" t="s">
        <v>17</v>
      </c>
      <c r="O11" s="177"/>
    </row>
    <row r="12" spans="1:20" ht="21" customHeight="1">
      <c r="A12" s="218"/>
      <c r="B12" s="221"/>
      <c r="C12" s="224"/>
      <c r="D12" s="224"/>
      <c r="E12" s="228"/>
      <c r="F12" s="229"/>
      <c r="G12" s="228"/>
      <c r="H12" s="229"/>
      <c r="I12" s="231"/>
      <c r="J12" s="231"/>
      <c r="K12" s="231"/>
      <c r="L12" s="349"/>
      <c r="M12" s="231"/>
      <c r="N12" s="218"/>
      <c r="O12" s="184"/>
    </row>
    <row r="13" spans="1:20" ht="21" customHeight="1">
      <c r="A13" s="218"/>
      <c r="B13" s="221"/>
      <c r="C13" s="224"/>
      <c r="D13" s="224"/>
      <c r="E13" s="230" t="s">
        <v>9</v>
      </c>
      <c r="F13" s="230" t="s">
        <v>11</v>
      </c>
      <c r="G13" s="230" t="s">
        <v>13</v>
      </c>
      <c r="H13" s="230" t="s">
        <v>14</v>
      </c>
      <c r="I13" s="231"/>
      <c r="J13" s="231"/>
      <c r="K13" s="231"/>
      <c r="L13" s="349"/>
      <c r="M13" s="231"/>
      <c r="N13" s="218"/>
      <c r="O13" s="184"/>
    </row>
    <row r="14" spans="1:20" ht="21" customHeight="1">
      <c r="A14" s="219"/>
      <c r="B14" s="222"/>
      <c r="C14" s="225"/>
      <c r="D14" s="225"/>
      <c r="E14" s="232"/>
      <c r="F14" s="232"/>
      <c r="G14" s="232"/>
      <c r="H14" s="232"/>
      <c r="I14" s="232"/>
      <c r="J14" s="232"/>
      <c r="K14" s="232"/>
      <c r="L14" s="350"/>
      <c r="M14" s="232"/>
      <c r="N14" s="219"/>
      <c r="O14" s="184"/>
    </row>
    <row r="15" spans="1:20" ht="18.600000000000001" customHeight="1">
      <c r="A15" s="246" t="s">
        <v>32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84"/>
    </row>
    <row r="16" spans="1:20" s="2" customFormat="1" ht="18.600000000000001" customHeight="1">
      <c r="A16" s="9">
        <v>1</v>
      </c>
      <c r="B16" s="10" t="s">
        <v>2</v>
      </c>
      <c r="C16" s="23">
        <f>L16/100*100</f>
        <v>270</v>
      </c>
      <c r="D16" s="24">
        <f>C16/100*60</f>
        <v>162</v>
      </c>
      <c r="E16" s="25">
        <f>C16/100*15</f>
        <v>40.5</v>
      </c>
      <c r="F16" s="25"/>
      <c r="G16" s="25"/>
      <c r="H16" s="25"/>
      <c r="I16" s="25"/>
      <c r="J16" s="81">
        <f>C16/100*387</f>
        <v>1044.9000000000001</v>
      </c>
      <c r="K16" s="27">
        <f>C16/100*0.09</f>
        <v>0.24299999999999999</v>
      </c>
      <c r="L16" s="137">
        <v>270</v>
      </c>
      <c r="M16" s="75">
        <v>20</v>
      </c>
      <c r="N16" s="28">
        <f>L16*M16</f>
        <v>5400</v>
      </c>
      <c r="O16" s="153"/>
    </row>
    <row r="17" spans="1:20" s="2" customFormat="1" ht="18.600000000000001" customHeight="1">
      <c r="A17" s="9">
        <v>3</v>
      </c>
      <c r="B17" s="148" t="s">
        <v>136</v>
      </c>
      <c r="C17" s="23">
        <f>L17/100*100</f>
        <v>910</v>
      </c>
      <c r="D17" s="120">
        <f>C17/100*900</f>
        <v>8190</v>
      </c>
      <c r="E17" s="25"/>
      <c r="F17" s="25"/>
      <c r="G17" s="119"/>
      <c r="H17" s="25">
        <f>C17/100*100</f>
        <v>910</v>
      </c>
      <c r="I17" s="25"/>
      <c r="J17" s="25"/>
      <c r="K17" s="25"/>
      <c r="L17" s="137">
        <v>910</v>
      </c>
      <c r="M17" s="75">
        <v>65</v>
      </c>
      <c r="N17" s="28">
        <f t="shared" ref="N17:N24" si="0">L17*M17</f>
        <v>59150</v>
      </c>
      <c r="O17" s="179"/>
    </row>
    <row r="18" spans="1:20" s="2" customFormat="1" ht="18.600000000000001" customHeight="1">
      <c r="A18" s="9">
        <v>4</v>
      </c>
      <c r="B18" s="5" t="s">
        <v>1</v>
      </c>
      <c r="C18" s="23">
        <f>L18/100*100</f>
        <v>20140</v>
      </c>
      <c r="D18" s="120">
        <f>C18/100*344</f>
        <v>69281.600000000006</v>
      </c>
      <c r="E18" s="25"/>
      <c r="F18" s="119">
        <f>C18/100*7.9</f>
        <v>1591.0600000000002</v>
      </c>
      <c r="G18" s="25"/>
      <c r="H18" s="25">
        <f>C18/100*1</f>
        <v>201.4</v>
      </c>
      <c r="I18" s="130">
        <f>C18/100*73.2</f>
        <v>14742.480000000001</v>
      </c>
      <c r="J18" s="81">
        <f>C18/100*30</f>
        <v>6042</v>
      </c>
      <c r="K18" s="27">
        <f>C18/100*0.1</f>
        <v>20.14</v>
      </c>
      <c r="L18" s="405">
        <v>20140</v>
      </c>
      <c r="M18" s="75">
        <v>18</v>
      </c>
      <c r="N18" s="124">
        <f t="shared" si="0"/>
        <v>362520</v>
      </c>
      <c r="O18" s="153"/>
    </row>
    <row r="19" spans="1:20" s="2" customFormat="1" ht="18.600000000000001" customHeight="1">
      <c r="A19" s="9">
        <v>5</v>
      </c>
      <c r="B19" s="5" t="s">
        <v>92</v>
      </c>
      <c r="C19" s="23">
        <f>L19/100*90</f>
        <v>4473</v>
      </c>
      <c r="D19" s="24">
        <f>C19/100*90</f>
        <v>4025.7</v>
      </c>
      <c r="E19" s="25">
        <f>C19/100*18.4</f>
        <v>823.03199999999993</v>
      </c>
      <c r="F19" s="25"/>
      <c r="G19" s="25">
        <f>C19/100*1.8</f>
        <v>80.513999999999996</v>
      </c>
      <c r="H19" s="25"/>
      <c r="I19" s="25"/>
      <c r="J19" s="81">
        <f>C19/100*1120</f>
        <v>50097.599999999999</v>
      </c>
      <c r="K19" s="27">
        <f>C19/100*0.02</f>
        <v>0.89459999999999995</v>
      </c>
      <c r="L19" s="137">
        <v>4970</v>
      </c>
      <c r="M19" s="75">
        <v>260</v>
      </c>
      <c r="N19" s="173">
        <f t="shared" si="0"/>
        <v>1292200</v>
      </c>
      <c r="O19" s="153"/>
      <c r="Q19" s="3"/>
      <c r="R19" s="3"/>
      <c r="S19" s="4"/>
    </row>
    <row r="20" spans="1:20" s="2" customFormat="1" ht="18.600000000000001" customHeight="1">
      <c r="A20" s="9">
        <v>6</v>
      </c>
      <c r="B20" s="10" t="s">
        <v>69</v>
      </c>
      <c r="C20" s="23">
        <f>L20/100*98</f>
        <v>7634.2000000000007</v>
      </c>
      <c r="D20" s="120">
        <f>C20/100*139</f>
        <v>10611.538000000002</v>
      </c>
      <c r="E20" s="119">
        <f>C20/100*19</f>
        <v>1450.4980000000003</v>
      </c>
      <c r="F20" s="25"/>
      <c r="G20" s="25">
        <f>C20/100*7</f>
        <v>534.39400000000012</v>
      </c>
      <c r="H20" s="25"/>
      <c r="I20" s="25"/>
      <c r="J20" s="27">
        <f>C20/100*7</f>
        <v>534.39400000000012</v>
      </c>
      <c r="K20" s="27">
        <f>C20/100*0.9</f>
        <v>68.70780000000002</v>
      </c>
      <c r="L20" s="137">
        <v>7790</v>
      </c>
      <c r="M20" s="143">
        <v>133</v>
      </c>
      <c r="N20" s="173">
        <f t="shared" si="0"/>
        <v>1036070</v>
      </c>
      <c r="O20" s="153"/>
    </row>
    <row r="21" spans="1:20" s="141" customFormat="1" ht="18.600000000000001" customHeight="1">
      <c r="A21" s="164">
        <v>7</v>
      </c>
      <c r="B21" s="149" t="s">
        <v>166</v>
      </c>
      <c r="C21" s="165">
        <f>L21/100*65</f>
        <v>2821</v>
      </c>
      <c r="D21" s="139">
        <f>C21/100*14</f>
        <v>394.94</v>
      </c>
      <c r="E21" s="136"/>
      <c r="F21" s="136">
        <f>C21/100*0.6</f>
        <v>16.925999999999998</v>
      </c>
      <c r="G21" s="136"/>
      <c r="H21" s="136">
        <f>C21/100*0.02</f>
        <v>0.56420000000000003</v>
      </c>
      <c r="I21" s="136">
        <f>C21/100*2.9</f>
        <v>81.808999999999997</v>
      </c>
      <c r="J21" s="136">
        <f>C21/100*21</f>
        <v>592.41</v>
      </c>
      <c r="K21" s="136">
        <f>C21/100*0.03</f>
        <v>0.84629999999999994</v>
      </c>
      <c r="L21" s="137">
        <v>4340</v>
      </c>
      <c r="M21" s="166">
        <v>23</v>
      </c>
      <c r="N21" s="135">
        <f t="shared" si="0"/>
        <v>99820</v>
      </c>
      <c r="O21" s="406"/>
    </row>
    <row r="22" spans="1:20" s="2" customFormat="1" ht="18.600000000000001" customHeight="1">
      <c r="A22" s="9">
        <v>8</v>
      </c>
      <c r="B22" s="149" t="s">
        <v>143</v>
      </c>
      <c r="C22" s="23">
        <f>L22/100*81</f>
        <v>1927.8</v>
      </c>
      <c r="D22" s="24">
        <f>C22/100*17</f>
        <v>327.726</v>
      </c>
      <c r="E22" s="29"/>
      <c r="F22" s="29">
        <f>C22/100*0.9</f>
        <v>17.350200000000001</v>
      </c>
      <c r="G22" s="29"/>
      <c r="H22" s="29">
        <f>C22/100*0.2</f>
        <v>3.8555999999999999</v>
      </c>
      <c r="I22" s="29">
        <f>C22/100*2.8</f>
        <v>53.978399999999993</v>
      </c>
      <c r="J22" s="25">
        <f>C22/100*28</f>
        <v>539.78399999999999</v>
      </c>
      <c r="K22" s="27">
        <f>C22/100*0.04</f>
        <v>0.77111999999999992</v>
      </c>
      <c r="L22" s="383">
        <v>2380</v>
      </c>
      <c r="M22" s="75">
        <v>20</v>
      </c>
      <c r="N22" s="28">
        <f t="shared" si="0"/>
        <v>47600</v>
      </c>
      <c r="O22" s="153"/>
      <c r="P22" s="3"/>
    </row>
    <row r="23" spans="1:20" s="141" customFormat="1" ht="16.2" customHeight="1">
      <c r="A23" s="164">
        <v>9</v>
      </c>
      <c r="B23" s="149" t="s">
        <v>165</v>
      </c>
      <c r="C23" s="165">
        <f>L23/100*63</f>
        <v>4788</v>
      </c>
      <c r="D23" s="139">
        <f>C23/100*25</f>
        <v>1197</v>
      </c>
      <c r="E23" s="136"/>
      <c r="F23" s="136">
        <f>C23/100*3.2</f>
        <v>153.21600000000001</v>
      </c>
      <c r="G23" s="136"/>
      <c r="H23" s="136">
        <f>C23/100*0.4</f>
        <v>19.152000000000001</v>
      </c>
      <c r="I23" s="136">
        <f>C23/100*2.1</f>
        <v>100.54800000000002</v>
      </c>
      <c r="J23" s="140">
        <f>C23/100*100</f>
        <v>4788</v>
      </c>
      <c r="K23" s="136">
        <f>C23/100*0.1</f>
        <v>4.7880000000000003</v>
      </c>
      <c r="L23" s="137">
        <v>7600</v>
      </c>
      <c r="M23" s="166">
        <v>15</v>
      </c>
      <c r="N23" s="170">
        <f t="shared" si="0"/>
        <v>114000</v>
      </c>
      <c r="O23" s="406"/>
    </row>
    <row r="24" spans="1:20" s="2" customFormat="1" ht="18.600000000000001" customHeight="1">
      <c r="A24" s="9">
        <v>10</v>
      </c>
      <c r="B24" s="5" t="s">
        <v>129</v>
      </c>
      <c r="C24" s="23">
        <f>L24/100*100</f>
        <v>210</v>
      </c>
      <c r="D24" s="24">
        <f>C24/100*247</f>
        <v>518.70000000000005</v>
      </c>
      <c r="E24" s="29"/>
      <c r="F24" s="29">
        <f>C24/100*17.5</f>
        <v>36.75</v>
      </c>
      <c r="G24" s="29"/>
      <c r="H24" s="29">
        <f>C24/100*1.6</f>
        <v>3.3600000000000003</v>
      </c>
      <c r="I24" s="29">
        <f>C24/100*39.2</f>
        <v>82.320000000000007</v>
      </c>
      <c r="J24" s="71"/>
      <c r="K24" s="71"/>
      <c r="L24" s="383">
        <v>210</v>
      </c>
      <c r="M24" s="75">
        <v>50</v>
      </c>
      <c r="N24" s="28">
        <f t="shared" si="0"/>
        <v>10500</v>
      </c>
      <c r="O24" s="153"/>
      <c r="Q24" s="3"/>
      <c r="R24" s="3"/>
      <c r="S24" s="4"/>
      <c r="T24" s="3"/>
    </row>
    <row r="25" spans="1:20" s="2" customFormat="1" ht="18.600000000000001" customHeight="1">
      <c r="A25" s="9">
        <v>11</v>
      </c>
      <c r="B25" s="6" t="s">
        <v>119</v>
      </c>
      <c r="C25" s="23"/>
      <c r="D25" s="24"/>
      <c r="E25" s="29"/>
      <c r="F25" s="29"/>
      <c r="G25" s="29"/>
      <c r="H25" s="29"/>
      <c r="I25" s="29"/>
      <c r="J25" s="71"/>
      <c r="K25" s="71"/>
      <c r="L25" s="30"/>
      <c r="M25" s="26"/>
      <c r="N25" s="28">
        <v>15960</v>
      </c>
      <c r="O25" s="153"/>
    </row>
    <row r="26" spans="1:20" s="2" customFormat="1" ht="18.600000000000001" customHeight="1">
      <c r="A26" s="21" t="s">
        <v>117</v>
      </c>
      <c r="B26" s="22"/>
      <c r="C26" s="34"/>
      <c r="D26" s="121">
        <f>SUM(D16:D25)</f>
        <v>94709.203999999998</v>
      </c>
      <c r="E26" s="36"/>
      <c r="F26" s="36"/>
      <c r="G26" s="36"/>
      <c r="H26" s="36"/>
      <c r="I26" s="36"/>
      <c r="J26" s="36"/>
      <c r="K26" s="36"/>
      <c r="L26" s="37"/>
      <c r="M26" s="339"/>
      <c r="N26" s="358">
        <f>SUM(N16:N25)</f>
        <v>3043220</v>
      </c>
      <c r="O26" s="153"/>
    </row>
    <row r="27" spans="1:20" s="2" customFormat="1" ht="18.600000000000001" customHeight="1">
      <c r="A27" s="21" t="s">
        <v>5</v>
      </c>
      <c r="B27" s="22"/>
      <c r="C27" s="34"/>
      <c r="D27" s="35">
        <f>D26/D10</f>
        <v>446.74152830188677</v>
      </c>
      <c r="E27" s="36"/>
      <c r="F27" s="36"/>
      <c r="G27" s="36"/>
      <c r="H27" s="36"/>
      <c r="I27" s="36"/>
      <c r="J27" s="36"/>
      <c r="K27" s="36"/>
      <c r="L27" s="37"/>
      <c r="M27" s="340"/>
      <c r="N27" s="359"/>
      <c r="O27" s="153"/>
    </row>
    <row r="28" spans="1:20" s="2" customFormat="1" ht="18.600000000000001" customHeight="1">
      <c r="A28" s="300" t="s">
        <v>49</v>
      </c>
      <c r="B28" s="360"/>
      <c r="C28" s="384" t="s">
        <v>141</v>
      </c>
      <c r="D28" s="20" t="s">
        <v>43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18.600000000000001" customHeight="1">
      <c r="A29" s="361"/>
      <c r="B29" s="362"/>
      <c r="C29" s="76" t="s">
        <v>58</v>
      </c>
      <c r="D29" s="20">
        <f>D27*100/1320</f>
        <v>33.84405517438536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18.600000000000001" customHeight="1">
      <c r="A30" s="244" t="s">
        <v>33</v>
      </c>
      <c r="B30" s="244"/>
      <c r="C30" s="56"/>
      <c r="D30" s="57"/>
      <c r="E30" s="58"/>
      <c r="F30" s="58"/>
      <c r="G30" s="58"/>
      <c r="H30" s="58"/>
      <c r="I30" s="58"/>
      <c r="J30" s="58"/>
      <c r="K30" s="58"/>
      <c r="L30" s="59"/>
      <c r="M30" s="59"/>
      <c r="N30" s="69"/>
      <c r="O30" s="153"/>
    </row>
    <row r="31" spans="1:20" s="2" customFormat="1" ht="18.600000000000001" customHeight="1">
      <c r="A31" s="14">
        <v>1</v>
      </c>
      <c r="B31" s="159" t="s">
        <v>119</v>
      </c>
      <c r="C31" s="160"/>
      <c r="D31" s="161"/>
      <c r="E31" s="162"/>
      <c r="F31" s="162"/>
      <c r="G31" s="162"/>
      <c r="H31" s="162"/>
      <c r="I31" s="162"/>
      <c r="J31" s="162"/>
      <c r="K31" s="162"/>
      <c r="L31" s="163"/>
      <c r="M31" s="163"/>
      <c r="N31" s="174">
        <v>13720</v>
      </c>
      <c r="O31" s="153"/>
    </row>
    <row r="32" spans="1:20" s="2" customFormat="1" ht="18.600000000000001" customHeight="1">
      <c r="A32" s="9">
        <v>2</v>
      </c>
      <c r="B32" s="10" t="s">
        <v>2</v>
      </c>
      <c r="C32" s="23">
        <f>L32/100*100</f>
        <v>260</v>
      </c>
      <c r="D32" s="24">
        <f>C32/100*60</f>
        <v>156</v>
      </c>
      <c r="E32" s="25">
        <f>C32/100*15</f>
        <v>39</v>
      </c>
      <c r="F32" s="25"/>
      <c r="G32" s="25"/>
      <c r="H32" s="25"/>
      <c r="I32" s="25"/>
      <c r="J32" s="81">
        <f>C32/100*387</f>
        <v>1006.2</v>
      </c>
      <c r="K32" s="27">
        <f>C32/100*0.09</f>
        <v>0.23399999999999999</v>
      </c>
      <c r="L32" s="137">
        <v>260</v>
      </c>
      <c r="M32" s="75">
        <v>20</v>
      </c>
      <c r="N32" s="28">
        <f>L32*M32</f>
        <v>5200</v>
      </c>
      <c r="O32" s="153"/>
    </row>
    <row r="33" spans="1:20" s="2" customFormat="1" ht="18.600000000000001" customHeight="1">
      <c r="A33" s="9">
        <v>3</v>
      </c>
      <c r="B33" s="5" t="s">
        <v>1</v>
      </c>
      <c r="C33" s="23">
        <f>L33/100*100</f>
        <v>3180</v>
      </c>
      <c r="D33" s="120">
        <f>C33/100*344</f>
        <v>10939.2</v>
      </c>
      <c r="E33" s="25"/>
      <c r="F33" s="25">
        <f>C33/100*7.9</f>
        <v>251.22000000000003</v>
      </c>
      <c r="G33" s="25"/>
      <c r="H33" s="25">
        <f>C33/100*1</f>
        <v>31.8</v>
      </c>
      <c r="I33" s="119">
        <f>C33/100*73.2</f>
        <v>2327.7600000000002</v>
      </c>
      <c r="J33" s="27">
        <f>C33/100*30</f>
        <v>954</v>
      </c>
      <c r="K33" s="27">
        <f>C33/100*0.1</f>
        <v>3.18</v>
      </c>
      <c r="L33" s="137">
        <v>3180</v>
      </c>
      <c r="M33" s="75">
        <v>18</v>
      </c>
      <c r="N33" s="28">
        <f t="shared" ref="N33:N34" si="1">L33*M33</f>
        <v>57240</v>
      </c>
      <c r="O33" s="153"/>
    </row>
    <row r="34" spans="1:20" s="2" customFormat="1" ht="18.600000000000001" customHeight="1">
      <c r="A34" s="9">
        <v>4</v>
      </c>
      <c r="B34" s="5" t="s">
        <v>70</v>
      </c>
      <c r="C34" s="23">
        <f>L34/100*100</f>
        <v>2120</v>
      </c>
      <c r="D34" s="24">
        <f>C34/100*344</f>
        <v>7292.8</v>
      </c>
      <c r="E34" s="25"/>
      <c r="F34" s="25">
        <f>C34/100*8.6</f>
        <v>182.32</v>
      </c>
      <c r="G34" s="25"/>
      <c r="H34" s="25">
        <f>C34/100*1.5</f>
        <v>31.799999999999997</v>
      </c>
      <c r="I34" s="119">
        <f>C34/100*74.5</f>
        <v>1579.3999999999999</v>
      </c>
      <c r="J34" s="25">
        <f>C34/100*32</f>
        <v>678.4</v>
      </c>
      <c r="K34" s="25">
        <f>C34/100*0.14</f>
        <v>2.968</v>
      </c>
      <c r="L34" s="137">
        <v>2120</v>
      </c>
      <c r="M34" s="75">
        <v>30</v>
      </c>
      <c r="N34" s="28">
        <f t="shared" si="1"/>
        <v>63600</v>
      </c>
      <c r="O34" s="153"/>
      <c r="P34" s="18"/>
    </row>
    <row r="35" spans="1:20" s="2" customFormat="1" ht="18.600000000000001" customHeight="1">
      <c r="A35" s="9">
        <v>5</v>
      </c>
      <c r="B35" s="146" t="s">
        <v>134</v>
      </c>
      <c r="C35" s="23">
        <f>L35/100*100</f>
        <v>1320</v>
      </c>
      <c r="D35" s="120">
        <f>C35/100*899</f>
        <v>11866.8</v>
      </c>
      <c r="E35" s="119"/>
      <c r="F35" s="119"/>
      <c r="G35" s="119">
        <f>C35/100*100</f>
        <v>1320</v>
      </c>
      <c r="H35" s="25"/>
      <c r="I35" s="25"/>
      <c r="J35" s="27"/>
      <c r="K35" s="27"/>
      <c r="L35" s="137">
        <v>1320</v>
      </c>
      <c r="M35" s="75">
        <v>69</v>
      </c>
      <c r="N35" s="28">
        <f t="shared" ref="N35:N42" si="2">L35*M35</f>
        <v>91080</v>
      </c>
      <c r="O35" s="153"/>
    </row>
    <row r="36" spans="1:20" s="2" customFormat="1" ht="18.600000000000001" customHeight="1">
      <c r="A36" s="9">
        <v>6</v>
      </c>
      <c r="B36" s="5" t="s">
        <v>129</v>
      </c>
      <c r="C36" s="23">
        <f>L36/100*100</f>
        <v>140</v>
      </c>
      <c r="D36" s="24">
        <f>C36/100*247</f>
        <v>345.79999999999995</v>
      </c>
      <c r="E36" s="29"/>
      <c r="F36" s="29">
        <f>C36/100*17.5</f>
        <v>24.5</v>
      </c>
      <c r="G36" s="29"/>
      <c r="H36" s="29">
        <f>C36/100*1.6</f>
        <v>2.2399999999999998</v>
      </c>
      <c r="I36" s="29">
        <f>C36/100*39.2</f>
        <v>54.88</v>
      </c>
      <c r="J36" s="71"/>
      <c r="K36" s="71"/>
      <c r="L36" s="383">
        <v>140</v>
      </c>
      <c r="M36" s="75">
        <v>50</v>
      </c>
      <c r="N36" s="28">
        <f t="shared" si="2"/>
        <v>7000</v>
      </c>
      <c r="O36" s="153"/>
      <c r="Q36" s="3"/>
      <c r="R36" s="3"/>
      <c r="S36" s="4"/>
      <c r="T36" s="3"/>
    </row>
    <row r="37" spans="1:20" s="2" customFormat="1" ht="18.600000000000001" customHeight="1">
      <c r="A37" s="9">
        <v>7</v>
      </c>
      <c r="B37" s="10" t="s">
        <v>68</v>
      </c>
      <c r="C37" s="23">
        <f>L37/100*90</f>
        <v>54</v>
      </c>
      <c r="D37" s="24">
        <f>C37/100*253</f>
        <v>136.62</v>
      </c>
      <c r="E37" s="25"/>
      <c r="F37" s="25">
        <f>C37/100*32.4</f>
        <v>17.495999999999999</v>
      </c>
      <c r="G37" s="25"/>
      <c r="H37" s="25">
        <f>C37/100*3.6</f>
        <v>1.9440000000000002</v>
      </c>
      <c r="I37" s="25">
        <f>C37/100*21.1</f>
        <v>11.394000000000002</v>
      </c>
      <c r="J37" s="27">
        <f>C37/100*165.6</f>
        <v>89.424000000000007</v>
      </c>
      <c r="K37" s="27">
        <f>C37/100*0.14</f>
        <v>7.5600000000000014E-2</v>
      </c>
      <c r="L37" s="137">
        <v>60</v>
      </c>
      <c r="M37" s="75">
        <v>275</v>
      </c>
      <c r="N37" s="28">
        <f t="shared" ref="N37:N38" si="3">L37*M37</f>
        <v>16500</v>
      </c>
      <c r="O37" s="153"/>
    </row>
    <row r="38" spans="1:20" s="2" customFormat="1" ht="18.600000000000001" customHeight="1">
      <c r="A38" s="9">
        <v>8</v>
      </c>
      <c r="B38" s="5" t="s">
        <v>131</v>
      </c>
      <c r="C38" s="23">
        <f>L38/100*100</f>
        <v>850</v>
      </c>
      <c r="D38" s="24">
        <f>C38/100*340</f>
        <v>2890</v>
      </c>
      <c r="E38" s="29"/>
      <c r="F38" s="29">
        <f>C38/100*0.7</f>
        <v>5.9499999999999993</v>
      </c>
      <c r="G38" s="29"/>
      <c r="H38" s="29"/>
      <c r="I38" s="29">
        <f>C38/100*84.3</f>
        <v>716.55</v>
      </c>
      <c r="J38" s="71"/>
      <c r="K38" s="71"/>
      <c r="L38" s="383">
        <v>850</v>
      </c>
      <c r="M38" s="75">
        <v>180</v>
      </c>
      <c r="N38" s="124">
        <f t="shared" si="3"/>
        <v>153000</v>
      </c>
      <c r="O38" s="153"/>
      <c r="Q38" s="3"/>
      <c r="R38" s="3"/>
      <c r="S38" s="4"/>
      <c r="T38" s="3"/>
    </row>
    <row r="39" spans="1:20" s="2" customFormat="1" ht="18.600000000000001" customHeight="1">
      <c r="A39" s="9">
        <v>9</v>
      </c>
      <c r="B39" s="5" t="s">
        <v>90</v>
      </c>
      <c r="C39" s="23">
        <f>L39/100*81.7</f>
        <v>3545.78</v>
      </c>
      <c r="D39" s="24">
        <f>C39/100*27</f>
        <v>957.36059999999998</v>
      </c>
      <c r="E39" s="29"/>
      <c r="F39" s="29">
        <f>C39/100*0.3</f>
        <v>10.63734</v>
      </c>
      <c r="G39" s="29"/>
      <c r="H39" s="29">
        <f>C39/100*0.1</f>
        <v>3.5457800000000002</v>
      </c>
      <c r="I39" s="29">
        <f>C39/100*6.1</f>
        <v>216.29257999999999</v>
      </c>
      <c r="J39" s="71">
        <f>C39/100*24</f>
        <v>850.98720000000003</v>
      </c>
      <c r="K39" s="71">
        <f>C39/100*0.06</f>
        <v>2.1274679999999999</v>
      </c>
      <c r="L39" s="383">
        <v>4340</v>
      </c>
      <c r="M39" s="26">
        <v>22</v>
      </c>
      <c r="N39" s="28">
        <f t="shared" si="2"/>
        <v>95480</v>
      </c>
      <c r="O39" s="153"/>
      <c r="Q39" s="3"/>
      <c r="R39" s="3"/>
      <c r="S39" s="4"/>
    </row>
    <row r="40" spans="1:20" s="2" customFormat="1" ht="18.600000000000001" customHeight="1">
      <c r="A40" s="9">
        <v>10</v>
      </c>
      <c r="B40" s="10" t="s">
        <v>153</v>
      </c>
      <c r="C40" s="23">
        <f>L40/100*55</f>
        <v>1793</v>
      </c>
      <c r="D40" s="120">
        <f>C40/100*196</f>
        <v>3514.2799999999997</v>
      </c>
      <c r="E40" s="25"/>
      <c r="F40" s="136">
        <f>C40/100*4.1</f>
        <v>73.512999999999991</v>
      </c>
      <c r="G40" s="25"/>
      <c r="H40" s="25">
        <f>C40/100*2.3</f>
        <v>41.238999999999997</v>
      </c>
      <c r="I40" s="25">
        <f>C40/100*39.6</f>
        <v>710.02800000000002</v>
      </c>
      <c r="J40" s="27">
        <f>C40/100*4</f>
        <v>71.72</v>
      </c>
      <c r="K40" s="27">
        <f>C40/100*0.15</f>
        <v>2.6894999999999998</v>
      </c>
      <c r="L40" s="405">
        <v>3260</v>
      </c>
      <c r="M40" s="75">
        <v>22</v>
      </c>
      <c r="N40" s="28">
        <f t="shared" si="2"/>
        <v>71720</v>
      </c>
      <c r="O40" s="406"/>
      <c r="P40" s="141"/>
      <c r="Q40" s="141"/>
    </row>
    <row r="41" spans="1:20" s="2" customFormat="1" ht="18.600000000000001" customHeight="1">
      <c r="A41" s="9">
        <v>11</v>
      </c>
      <c r="B41" s="5" t="s">
        <v>67</v>
      </c>
      <c r="C41" s="23">
        <f>L41/100*48</f>
        <v>3955.2000000000003</v>
      </c>
      <c r="D41" s="24">
        <f>C41/100*199</f>
        <v>7870.848</v>
      </c>
      <c r="E41" s="25">
        <f>C41/100*20.3</f>
        <v>802.90560000000005</v>
      </c>
      <c r="F41" s="25"/>
      <c r="G41" s="25">
        <f>C41/100*13.1</f>
        <v>518.13120000000004</v>
      </c>
      <c r="H41" s="25"/>
      <c r="I41" s="25"/>
      <c r="J41" s="27">
        <f>C41/100*12</f>
        <v>474.62400000000002</v>
      </c>
      <c r="K41" s="27">
        <f>C41/100*0.15</f>
        <v>5.9327999999999994</v>
      </c>
      <c r="L41" s="26">
        <v>8240</v>
      </c>
      <c r="M41" s="137">
        <v>84</v>
      </c>
      <c r="N41" s="124">
        <f t="shared" si="2"/>
        <v>692160</v>
      </c>
      <c r="O41" s="153"/>
      <c r="Q41" s="3"/>
      <c r="R41" s="3"/>
      <c r="S41" s="4"/>
    </row>
    <row r="42" spans="1:20" s="2" customFormat="1" ht="18.600000000000001" customHeight="1">
      <c r="A42" s="9">
        <v>12</v>
      </c>
      <c r="B42" s="10" t="s">
        <v>62</v>
      </c>
      <c r="C42" s="23">
        <f>L42/100*40</f>
        <v>2248</v>
      </c>
      <c r="D42" s="24">
        <f>C42/100*276</f>
        <v>6204.4800000000005</v>
      </c>
      <c r="E42" s="25">
        <f>C42/100*17.8</f>
        <v>400.14400000000001</v>
      </c>
      <c r="F42" s="25"/>
      <c r="G42" s="25">
        <f>C42/100*21.8</f>
        <v>490.06400000000002</v>
      </c>
      <c r="H42" s="25"/>
      <c r="I42" s="25"/>
      <c r="J42" s="27">
        <f>C42/100*13</f>
        <v>292.24</v>
      </c>
      <c r="K42" s="27">
        <f>C42/100*0.07</f>
        <v>1.5736000000000001</v>
      </c>
      <c r="L42" s="137">
        <v>5620</v>
      </c>
      <c r="M42" s="75">
        <v>63</v>
      </c>
      <c r="N42" s="124">
        <f t="shared" si="2"/>
        <v>354060</v>
      </c>
      <c r="O42" s="153"/>
    </row>
    <row r="43" spans="1:20" s="2" customFormat="1" ht="18.600000000000001" customHeight="1">
      <c r="A43" s="103"/>
      <c r="B43" s="112"/>
      <c r="C43" s="104"/>
      <c r="D43" s="105"/>
      <c r="E43" s="106"/>
      <c r="F43" s="106"/>
      <c r="G43" s="106"/>
      <c r="H43" s="106"/>
      <c r="I43" s="106"/>
      <c r="J43" s="114"/>
      <c r="K43" s="114"/>
      <c r="L43" s="407"/>
      <c r="M43" s="145"/>
      <c r="N43" s="108"/>
      <c r="O43" s="153"/>
      <c r="Q43" s="3"/>
      <c r="R43" s="3"/>
    </row>
    <row r="44" spans="1:20" ht="22.8" customHeight="1">
      <c r="A44" s="217" t="s">
        <v>0</v>
      </c>
      <c r="B44" s="220" t="s">
        <v>18</v>
      </c>
      <c r="C44" s="223" t="s">
        <v>7</v>
      </c>
      <c r="D44" s="223" t="s">
        <v>8</v>
      </c>
      <c r="E44" s="226" t="s">
        <v>10</v>
      </c>
      <c r="F44" s="227"/>
      <c r="G44" s="226" t="s">
        <v>12</v>
      </c>
      <c r="H44" s="227"/>
      <c r="I44" s="230" t="s">
        <v>15</v>
      </c>
      <c r="J44" s="230" t="s">
        <v>39</v>
      </c>
      <c r="K44" s="230" t="s">
        <v>40</v>
      </c>
      <c r="L44" s="348" t="s">
        <v>16</v>
      </c>
      <c r="M44" s="230" t="s">
        <v>55</v>
      </c>
      <c r="N44" s="217" t="s">
        <v>17</v>
      </c>
      <c r="O44" s="177"/>
    </row>
    <row r="45" spans="1:20" ht="22.8" customHeight="1">
      <c r="A45" s="218"/>
      <c r="B45" s="221"/>
      <c r="C45" s="224"/>
      <c r="D45" s="224"/>
      <c r="E45" s="228"/>
      <c r="F45" s="229"/>
      <c r="G45" s="228"/>
      <c r="H45" s="229"/>
      <c r="I45" s="231"/>
      <c r="J45" s="231"/>
      <c r="K45" s="231"/>
      <c r="L45" s="349"/>
      <c r="M45" s="231"/>
      <c r="N45" s="218"/>
      <c r="O45" s="184"/>
    </row>
    <row r="46" spans="1:20" ht="22.8" customHeight="1">
      <c r="A46" s="218"/>
      <c r="B46" s="221"/>
      <c r="C46" s="224"/>
      <c r="D46" s="224"/>
      <c r="E46" s="230" t="s">
        <v>9</v>
      </c>
      <c r="F46" s="230" t="s">
        <v>11</v>
      </c>
      <c r="G46" s="230" t="s">
        <v>13</v>
      </c>
      <c r="H46" s="230" t="s">
        <v>14</v>
      </c>
      <c r="I46" s="231"/>
      <c r="J46" s="231"/>
      <c r="K46" s="231"/>
      <c r="L46" s="349"/>
      <c r="M46" s="231"/>
      <c r="N46" s="218"/>
      <c r="O46" s="184"/>
    </row>
    <row r="47" spans="1:20" ht="22.8" customHeight="1">
      <c r="A47" s="219"/>
      <c r="B47" s="222"/>
      <c r="C47" s="225"/>
      <c r="D47" s="225"/>
      <c r="E47" s="232"/>
      <c r="F47" s="232"/>
      <c r="G47" s="232"/>
      <c r="H47" s="232"/>
      <c r="I47" s="232"/>
      <c r="J47" s="232"/>
      <c r="K47" s="232"/>
      <c r="L47" s="350"/>
      <c r="M47" s="232"/>
      <c r="N47" s="219"/>
      <c r="O47" s="184"/>
    </row>
    <row r="48" spans="1:20" s="2" customFormat="1" ht="19.2" customHeight="1">
      <c r="A48" s="21" t="s">
        <v>102</v>
      </c>
      <c r="B48" s="22"/>
      <c r="C48" s="34"/>
      <c r="D48" s="121">
        <f>SUM(D32:D43)</f>
        <v>52174.188600000001</v>
      </c>
      <c r="E48" s="43"/>
      <c r="F48" s="43"/>
      <c r="G48" s="43"/>
      <c r="H48" s="43"/>
      <c r="I48" s="43"/>
      <c r="J48" s="43"/>
      <c r="K48" s="43"/>
      <c r="L48" s="44"/>
      <c r="M48" s="315"/>
      <c r="N48" s="356">
        <f>SUM(N29:N43)</f>
        <v>1620760</v>
      </c>
      <c r="O48" s="153"/>
    </row>
    <row r="49" spans="1:23" ht="19.2" customHeight="1">
      <c r="A49" s="21" t="s">
        <v>6</v>
      </c>
      <c r="B49" s="22"/>
      <c r="C49" s="45"/>
      <c r="D49" s="46">
        <f>D48/D10</f>
        <v>246.10466320754716</v>
      </c>
      <c r="E49" s="46"/>
      <c r="F49" s="46"/>
      <c r="G49" s="46"/>
      <c r="H49" s="46"/>
      <c r="I49" s="46"/>
      <c r="J49" s="46"/>
      <c r="K49" s="46"/>
      <c r="L49" s="47"/>
      <c r="M49" s="316"/>
      <c r="N49" s="357"/>
      <c r="O49" s="408"/>
      <c r="P49" s="2"/>
      <c r="Q49" s="2"/>
      <c r="R49" s="2"/>
      <c r="S49" s="2"/>
      <c r="T49" s="2"/>
      <c r="U49" s="2"/>
      <c r="V49" s="2"/>
    </row>
    <row r="50" spans="1:23" ht="19.2" customHeight="1">
      <c r="A50" s="300" t="s">
        <v>50</v>
      </c>
      <c r="B50" s="234"/>
      <c r="C50" s="384" t="s">
        <v>141</v>
      </c>
      <c r="D50" s="20" t="s">
        <v>56</v>
      </c>
      <c r="E50" s="46"/>
      <c r="F50" s="46"/>
      <c r="G50" s="46"/>
      <c r="H50" s="46"/>
      <c r="I50" s="46"/>
      <c r="J50" s="48"/>
      <c r="K50" s="48"/>
      <c r="L50" s="47"/>
      <c r="M50" s="47"/>
      <c r="N50" s="185"/>
      <c r="O50" s="4"/>
      <c r="P50" s="2"/>
      <c r="Q50" s="2"/>
      <c r="R50" s="2"/>
      <c r="S50" s="2"/>
      <c r="T50" s="2"/>
      <c r="U50" s="2"/>
      <c r="V50" s="2"/>
      <c r="W50" s="2"/>
    </row>
    <row r="51" spans="1:23" ht="19.2" customHeight="1">
      <c r="A51" s="235"/>
      <c r="B51" s="236"/>
      <c r="C51" s="76" t="s">
        <v>58</v>
      </c>
      <c r="D51" s="20">
        <f>D49*100/1320</f>
        <v>18.644292667238421</v>
      </c>
      <c r="E51" s="46"/>
      <c r="F51" s="46"/>
      <c r="G51" s="46"/>
      <c r="H51" s="46"/>
      <c r="I51" s="46"/>
      <c r="J51" s="48"/>
      <c r="K51" s="48"/>
      <c r="L51" s="47"/>
      <c r="M51" s="47"/>
      <c r="N51" s="185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92" t="s">
        <v>103</v>
      </c>
      <c r="B52" s="293"/>
      <c r="C52" s="296"/>
      <c r="D52" s="303">
        <f>D26+D48</f>
        <v>146883.39259999999</v>
      </c>
      <c r="E52" s="123">
        <f t="shared" ref="E52:K52" si="4">SUM(E16:E43)</f>
        <v>3556.0796</v>
      </c>
      <c r="F52" s="123">
        <f t="shared" si="4"/>
        <v>2380.9385400000006</v>
      </c>
      <c r="G52" s="123">
        <f t="shared" si="4"/>
        <v>2943.1032</v>
      </c>
      <c r="H52" s="123">
        <f t="shared" si="4"/>
        <v>1250.90058</v>
      </c>
      <c r="I52" s="363">
        <f t="shared" si="4"/>
        <v>20677.439980000003</v>
      </c>
      <c r="J52" s="363">
        <f t="shared" si="4"/>
        <v>68056.683199999999</v>
      </c>
      <c r="K52" s="290">
        <f t="shared" si="4"/>
        <v>115.17178800000001</v>
      </c>
      <c r="L52" s="274"/>
      <c r="M52" s="274"/>
      <c r="N52" s="366">
        <f>N26+N48</f>
        <v>4663980</v>
      </c>
      <c r="U52" s="12"/>
      <c r="V52" s="12"/>
    </row>
    <row r="53" spans="1:23" ht="19.2" customHeight="1">
      <c r="A53" s="294"/>
      <c r="B53" s="295"/>
      <c r="C53" s="297"/>
      <c r="D53" s="304"/>
      <c r="E53" s="288">
        <f>E52+F52</f>
        <v>5937.0181400000001</v>
      </c>
      <c r="F53" s="289"/>
      <c r="G53" s="288">
        <f>G52+H52</f>
        <v>4194.00378</v>
      </c>
      <c r="H53" s="289"/>
      <c r="I53" s="364"/>
      <c r="J53" s="364"/>
      <c r="K53" s="291"/>
      <c r="L53" s="274"/>
      <c r="M53" s="274"/>
      <c r="N53" s="366"/>
      <c r="P53" s="398"/>
      <c r="Q53" s="399"/>
      <c r="R53" s="399"/>
      <c r="S53" s="399"/>
      <c r="T53" s="399"/>
      <c r="U53" s="400"/>
      <c r="V53" s="400"/>
    </row>
    <row r="54" spans="1:23" ht="20.399999999999999" customHeight="1">
      <c r="A54" s="275" t="s">
        <v>74</v>
      </c>
      <c r="B54" s="276"/>
      <c r="C54" s="277"/>
      <c r="D54" s="142">
        <f>D52/D10</f>
        <v>692.84619150943388</v>
      </c>
      <c r="E54" s="385">
        <f>E52/D10</f>
        <v>16.773960377358492</v>
      </c>
      <c r="F54" s="386">
        <f>F52/D10</f>
        <v>11.230842169811323</v>
      </c>
      <c r="G54" s="385">
        <f>G52/D10</f>
        <v>13.882562264150943</v>
      </c>
      <c r="H54" s="409">
        <f>H52/D10</f>
        <v>5.9004744339622643</v>
      </c>
      <c r="I54" s="351">
        <f>I52/D10</f>
        <v>97.535094245283034</v>
      </c>
      <c r="J54" s="351">
        <f>J52/D10</f>
        <v>321.02209056603772</v>
      </c>
      <c r="K54" s="306">
        <f>K52/D10</f>
        <v>0.54326315094339628</v>
      </c>
      <c r="L54" s="274"/>
      <c r="M54" s="274"/>
      <c r="N54" s="366"/>
      <c r="P54" s="401"/>
      <c r="Q54" s="399"/>
      <c r="R54" s="399"/>
      <c r="S54" s="399"/>
      <c r="T54" s="399"/>
      <c r="U54" s="399"/>
      <c r="V54" s="399"/>
    </row>
    <row r="55" spans="1:23" ht="20.399999999999999" customHeight="1">
      <c r="A55" s="278"/>
      <c r="B55" s="279"/>
      <c r="C55" s="280"/>
      <c r="D55" s="127"/>
      <c r="E55" s="387">
        <f>E54+F54</f>
        <v>28.004802547169817</v>
      </c>
      <c r="F55" s="388"/>
      <c r="G55" s="387">
        <f>G54+H54</f>
        <v>19.783036698113207</v>
      </c>
      <c r="H55" s="388"/>
      <c r="I55" s="352"/>
      <c r="J55" s="352"/>
      <c r="K55" s="307"/>
      <c r="L55" s="274"/>
      <c r="M55" s="274"/>
      <c r="N55" s="366"/>
      <c r="P55" s="398"/>
      <c r="Q55" s="398"/>
      <c r="R55" s="398"/>
      <c r="S55" s="398"/>
      <c r="T55" s="398"/>
      <c r="U55" s="398"/>
      <c r="V55" s="398"/>
    </row>
    <row r="56" spans="1:23" ht="20.399999999999999" customHeight="1">
      <c r="A56" s="324" t="s">
        <v>77</v>
      </c>
      <c r="B56" s="325"/>
      <c r="C56" s="326"/>
      <c r="D56" s="187" t="s">
        <v>26</v>
      </c>
      <c r="E56" s="203" t="s">
        <v>19</v>
      </c>
      <c r="F56" s="203"/>
      <c r="G56" s="203" t="s">
        <v>20</v>
      </c>
      <c r="H56" s="203"/>
      <c r="I56" s="183" t="s">
        <v>21</v>
      </c>
      <c r="J56" s="389">
        <v>600</v>
      </c>
      <c r="K56" s="389">
        <v>0.7</v>
      </c>
      <c r="L56" s="274"/>
      <c r="M56" s="274"/>
      <c r="N56" s="366"/>
      <c r="O56" s="180"/>
      <c r="P56" s="398"/>
      <c r="Q56" s="398"/>
      <c r="R56" s="398"/>
      <c r="S56" s="398"/>
      <c r="T56" s="398"/>
      <c r="U56" s="398"/>
      <c r="V56" s="398"/>
    </row>
    <row r="57" spans="1:23" ht="20.399999999999999" customHeight="1">
      <c r="A57" s="251" t="s">
        <v>75</v>
      </c>
      <c r="B57" s="281"/>
      <c r="C57" s="252"/>
      <c r="D57" s="49"/>
      <c r="E57" s="282">
        <f>E55*4.1</f>
        <v>114.81969044339624</v>
      </c>
      <c r="F57" s="283"/>
      <c r="G57" s="282">
        <f>G55*9</f>
        <v>178.04733028301888</v>
      </c>
      <c r="H57" s="283"/>
      <c r="I57" s="122">
        <f>I54*4.1</f>
        <v>399.8938864056604</v>
      </c>
      <c r="J57" s="263"/>
      <c r="K57" s="263"/>
      <c r="L57" s="274"/>
      <c r="M57" s="274"/>
      <c r="N57" s="366"/>
      <c r="O57" s="180"/>
      <c r="P57" s="402"/>
      <c r="Q57" s="403"/>
      <c r="R57" s="403"/>
      <c r="S57" s="403"/>
      <c r="T57" s="398"/>
      <c r="U57" s="398"/>
      <c r="V57" s="398"/>
    </row>
    <row r="58" spans="1:23" ht="20.399999999999999" customHeight="1">
      <c r="A58" s="284" t="s">
        <v>78</v>
      </c>
      <c r="B58" s="285"/>
      <c r="C58" s="251" t="s">
        <v>57</v>
      </c>
      <c r="D58" s="252"/>
      <c r="E58" s="197">
        <f>E57*100/D54</f>
        <v>16.572176025569284</v>
      </c>
      <c r="F58" s="198"/>
      <c r="G58" s="197">
        <f>G57*100/D54</f>
        <v>25.697959008062842</v>
      </c>
      <c r="H58" s="198"/>
      <c r="I58" s="115">
        <f>I57*100/D54</f>
        <v>57.71755568641462</v>
      </c>
      <c r="J58" s="264"/>
      <c r="K58" s="264"/>
      <c r="L58" s="274"/>
      <c r="M58" s="274"/>
      <c r="N58" s="366"/>
      <c r="O58" s="180"/>
      <c r="P58" s="398"/>
      <c r="Q58" s="398"/>
      <c r="R58" s="398"/>
      <c r="S58" s="398"/>
      <c r="T58" s="398"/>
      <c r="U58" s="398"/>
      <c r="V58" s="398"/>
    </row>
    <row r="59" spans="1:23" ht="20.399999999999999" customHeight="1">
      <c r="A59" s="286"/>
      <c r="B59" s="287"/>
      <c r="C59" s="251" t="s">
        <v>76</v>
      </c>
      <c r="D59" s="252"/>
      <c r="E59" s="251" t="s">
        <v>79</v>
      </c>
      <c r="F59" s="252"/>
      <c r="G59" s="251" t="s">
        <v>80</v>
      </c>
      <c r="H59" s="252"/>
      <c r="I59" s="187" t="s">
        <v>81</v>
      </c>
      <c r="J59" s="265"/>
      <c r="K59" s="265"/>
      <c r="L59" s="274"/>
      <c r="M59" s="274"/>
      <c r="N59" s="366"/>
      <c r="O59" s="180"/>
      <c r="P59" s="132"/>
    </row>
    <row r="60" spans="1:23" ht="20.399999999999999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4"/>
      <c r="M60" s="94"/>
      <c r="N60" s="95"/>
      <c r="O60" s="180"/>
    </row>
    <row r="61" spans="1:23" ht="21" customHeight="1">
      <c r="A61" s="192" t="s">
        <v>110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80"/>
    </row>
    <row r="62" spans="1:23" ht="21" customHeight="1">
      <c r="A62" s="117" t="s">
        <v>111</v>
      </c>
      <c r="B62" s="193" t="s">
        <v>112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80"/>
    </row>
    <row r="63" spans="1:23" ht="21" customHeight="1">
      <c r="A63" s="118"/>
      <c r="B63" s="194" t="s">
        <v>215</v>
      </c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80"/>
    </row>
    <row r="64" spans="1:23" ht="21" customHeight="1">
      <c r="A64" s="118"/>
      <c r="B64" s="194" t="s">
        <v>216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80"/>
    </row>
    <row r="65" spans="1:15" ht="21" customHeight="1">
      <c r="A65" s="118"/>
      <c r="B65" s="194" t="s">
        <v>156</v>
      </c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80"/>
    </row>
    <row r="66" spans="1:15" ht="21" customHeight="1">
      <c r="A66" s="90"/>
      <c r="B66" s="195" t="s">
        <v>113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80"/>
    </row>
    <row r="67" spans="1:15" ht="21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4"/>
      <c r="M67" s="94"/>
      <c r="N67" s="95"/>
      <c r="O67" s="180"/>
    </row>
    <row r="68" spans="1:15" ht="21" customHeight="1">
      <c r="A68" s="196" t="s">
        <v>60</v>
      </c>
      <c r="B68" s="196"/>
      <c r="C68" s="196"/>
      <c r="D68" s="196"/>
      <c r="E68" s="390"/>
      <c r="F68" s="390"/>
      <c r="G68" s="390"/>
      <c r="H68" s="390"/>
      <c r="I68" s="390"/>
      <c r="J68" s="391" t="s">
        <v>31</v>
      </c>
      <c r="K68" s="391"/>
      <c r="L68" s="391"/>
      <c r="M68" s="391"/>
      <c r="N68" s="391"/>
      <c r="O68" s="180"/>
    </row>
    <row r="69" spans="1:15" ht="21" customHeight="1">
      <c r="A69" s="184"/>
      <c r="B69" s="184"/>
      <c r="C69" s="184"/>
      <c r="D69" s="390"/>
      <c r="E69" s="390"/>
      <c r="F69" s="390"/>
      <c r="G69" s="390"/>
      <c r="H69" s="392"/>
      <c r="I69" s="392"/>
      <c r="J69" s="392"/>
      <c r="K69" s="392"/>
      <c r="L69" s="392"/>
      <c r="M69" s="392"/>
      <c r="N69" s="392"/>
      <c r="O69" s="180"/>
    </row>
    <row r="70" spans="1:15" ht="21" customHeight="1">
      <c r="A70" s="184"/>
      <c r="B70" s="184"/>
      <c r="C70" s="184"/>
      <c r="D70" s="390"/>
      <c r="E70" s="390"/>
      <c r="F70" s="390"/>
      <c r="G70" s="390"/>
      <c r="H70" s="392"/>
      <c r="I70" s="392"/>
      <c r="J70" s="392"/>
      <c r="K70" s="392"/>
      <c r="L70" s="392"/>
      <c r="M70" s="392"/>
      <c r="N70" s="392"/>
      <c r="O70" s="180"/>
    </row>
    <row r="71" spans="1:15" ht="21" customHeight="1">
      <c r="A71" s="184"/>
      <c r="B71" s="184"/>
      <c r="C71" s="184"/>
      <c r="D71" s="390"/>
      <c r="E71" s="390"/>
      <c r="F71" s="390"/>
      <c r="G71" s="390"/>
      <c r="H71" s="392"/>
      <c r="I71" s="392"/>
      <c r="J71" s="393" t="s">
        <v>120</v>
      </c>
      <c r="K71" s="393"/>
      <c r="L71" s="393"/>
      <c r="M71" s="393"/>
      <c r="N71" s="393"/>
      <c r="O71" s="180"/>
    </row>
    <row r="72" spans="1:15" ht="21" customHeight="1">
      <c r="A72" s="188" t="s">
        <v>88</v>
      </c>
      <c r="B72" s="188"/>
      <c r="C72" s="188"/>
      <c r="D72" s="188"/>
      <c r="E72" s="390"/>
      <c r="F72" s="390"/>
      <c r="G72" s="390"/>
      <c r="H72" s="392"/>
      <c r="I72" s="392"/>
      <c r="J72" s="393"/>
      <c r="K72" s="393"/>
      <c r="L72" s="393"/>
      <c r="M72" s="393"/>
      <c r="N72" s="393"/>
      <c r="O72" s="180"/>
    </row>
    <row r="73" spans="1:15" ht="20.399999999999999" customHeight="1">
      <c r="A73" s="184"/>
      <c r="B73" s="184"/>
      <c r="C73" s="184"/>
      <c r="D73" s="390"/>
      <c r="E73" s="390"/>
      <c r="F73" s="390"/>
      <c r="G73" s="390"/>
      <c r="H73" s="392"/>
      <c r="I73" s="392"/>
      <c r="J73" s="392"/>
      <c r="K73" s="392"/>
      <c r="L73" s="392"/>
      <c r="M73" s="392"/>
      <c r="N73" s="392"/>
      <c r="O73" s="180"/>
    </row>
    <row r="74" spans="1:15" ht="20.399999999999999" customHeight="1">
      <c r="A74" s="184"/>
      <c r="B74" s="184"/>
      <c r="C74" s="184"/>
      <c r="D74" s="390"/>
      <c r="E74" s="390"/>
      <c r="F74" s="390"/>
      <c r="G74" s="390"/>
      <c r="H74" s="392"/>
      <c r="I74" s="392"/>
      <c r="J74" s="393" t="s">
        <v>123</v>
      </c>
      <c r="K74" s="393"/>
      <c r="L74" s="393"/>
      <c r="M74" s="393"/>
      <c r="N74" s="393"/>
      <c r="O74" s="180"/>
    </row>
    <row r="75" spans="1:15" ht="20.399999999999999" customHeight="1">
      <c r="A75" s="184"/>
      <c r="B75" s="184"/>
      <c r="C75" s="184"/>
      <c r="D75" s="390"/>
      <c r="E75" s="390"/>
      <c r="F75" s="390"/>
      <c r="G75" s="390"/>
      <c r="H75" s="392"/>
      <c r="I75" s="392"/>
      <c r="J75" s="392"/>
      <c r="K75" s="392"/>
      <c r="L75" s="392"/>
      <c r="M75" s="392"/>
      <c r="N75" s="392"/>
      <c r="O75" s="180"/>
    </row>
    <row r="76" spans="1:15" ht="20.399999999999999" customHeight="1">
      <c r="A76" s="184"/>
      <c r="B76" s="184"/>
      <c r="C76" s="184"/>
      <c r="D76" s="390"/>
      <c r="E76" s="390"/>
      <c r="F76" s="390"/>
      <c r="G76" s="390"/>
      <c r="H76" s="392"/>
      <c r="I76" s="392"/>
      <c r="J76" s="392"/>
      <c r="K76" s="392"/>
      <c r="L76" s="392"/>
      <c r="M76" s="392"/>
      <c r="N76" s="392"/>
      <c r="O76" s="180"/>
    </row>
    <row r="77" spans="1:15" ht="20.399999999999999" customHeight="1">
      <c r="A77" s="184"/>
      <c r="B77" s="184"/>
      <c r="C77" s="184"/>
      <c r="D77" s="390"/>
      <c r="E77" s="390"/>
      <c r="F77" s="390"/>
      <c r="G77" s="390"/>
      <c r="H77" s="392"/>
      <c r="I77" s="392"/>
      <c r="J77" s="392"/>
      <c r="K77" s="392"/>
      <c r="L77" s="392"/>
      <c r="M77" s="392"/>
      <c r="N77" s="392"/>
      <c r="O77" s="180"/>
    </row>
    <row r="78" spans="1:15" ht="20.399999999999999" customHeight="1">
      <c r="A78" s="184"/>
      <c r="B78" s="184"/>
      <c r="C78" s="184"/>
      <c r="D78" s="390"/>
      <c r="E78" s="390"/>
      <c r="F78" s="390"/>
      <c r="G78" s="390"/>
      <c r="H78" s="392"/>
      <c r="I78" s="392"/>
      <c r="J78" s="392"/>
      <c r="K78" s="392"/>
      <c r="L78" s="392"/>
      <c r="M78" s="392"/>
      <c r="N78" s="392"/>
      <c r="O78" s="180"/>
    </row>
    <row r="79" spans="1:15" ht="20.399999999999999" customHeight="1">
      <c r="A79" s="184"/>
      <c r="B79" s="184"/>
      <c r="C79" s="184"/>
      <c r="D79" s="390"/>
      <c r="E79" s="390"/>
      <c r="F79" s="390"/>
      <c r="G79" s="390"/>
      <c r="H79" s="392"/>
      <c r="I79" s="392"/>
      <c r="J79" s="392"/>
      <c r="K79" s="392"/>
      <c r="L79" s="392"/>
      <c r="M79" s="392"/>
      <c r="N79" s="392"/>
      <c r="O79" s="180"/>
    </row>
    <row r="80" spans="1:15" ht="20.399999999999999" customHeight="1">
      <c r="A80" s="184"/>
      <c r="B80" s="184"/>
      <c r="C80" s="184"/>
      <c r="D80" s="390"/>
      <c r="E80" s="390"/>
      <c r="F80" s="390"/>
      <c r="G80" s="390"/>
      <c r="H80" s="392"/>
      <c r="I80" s="392"/>
      <c r="J80" s="392"/>
      <c r="K80" s="392"/>
      <c r="L80" s="392"/>
      <c r="M80" s="392"/>
      <c r="N80" s="392"/>
      <c r="O80" s="180"/>
    </row>
    <row r="81" spans="1:20" ht="20.399999999999999" customHeight="1">
      <c r="A81" s="184"/>
      <c r="B81" s="184"/>
      <c r="C81" s="184"/>
      <c r="D81" s="390"/>
      <c r="E81" s="390"/>
      <c r="F81" s="390"/>
      <c r="G81" s="390"/>
      <c r="H81" s="392"/>
      <c r="I81" s="392"/>
      <c r="J81" s="392"/>
      <c r="K81" s="392"/>
      <c r="L81" s="392"/>
      <c r="M81" s="392"/>
      <c r="N81" s="392"/>
      <c r="O81" s="180"/>
    </row>
    <row r="82" spans="1:20" ht="20.399999999999999" customHeight="1">
      <c r="A82" s="184"/>
      <c r="B82" s="184"/>
      <c r="C82" s="184"/>
      <c r="D82" s="390"/>
      <c r="E82" s="390"/>
      <c r="F82" s="390"/>
      <c r="G82" s="390"/>
      <c r="H82" s="392"/>
      <c r="I82" s="392"/>
      <c r="J82" s="392"/>
      <c r="K82" s="392"/>
      <c r="L82" s="392"/>
      <c r="M82" s="392"/>
      <c r="N82" s="392"/>
      <c r="O82" s="180"/>
    </row>
    <row r="83" spans="1:20" ht="20.399999999999999" customHeight="1">
      <c r="A83" s="184"/>
      <c r="B83" s="184"/>
      <c r="C83" s="184"/>
      <c r="D83" s="390"/>
      <c r="E83" s="390"/>
      <c r="F83" s="390"/>
      <c r="G83" s="390"/>
      <c r="H83" s="392"/>
      <c r="I83" s="392"/>
      <c r="J83" s="392"/>
      <c r="K83" s="392"/>
      <c r="L83" s="392"/>
      <c r="M83" s="392"/>
      <c r="N83" s="392"/>
      <c r="O83" s="180"/>
    </row>
    <row r="84" spans="1:20" ht="19.8" customHeight="1">
      <c r="A84" s="11" t="s">
        <v>59</v>
      </c>
      <c r="B84" s="8"/>
      <c r="C84" s="8"/>
      <c r="D84" s="8"/>
      <c r="E84" s="8"/>
      <c r="F84" s="299" t="s">
        <v>30</v>
      </c>
      <c r="G84" s="299"/>
      <c r="H84" s="299"/>
      <c r="I84" s="299"/>
      <c r="J84" s="299"/>
      <c r="K84" s="299"/>
      <c r="L84" s="299"/>
      <c r="M84" s="299"/>
      <c r="N84" s="299"/>
      <c r="O84" s="175"/>
      <c r="P84" s="175"/>
      <c r="T84" s="2"/>
    </row>
    <row r="85" spans="1:20" ht="12" customHeight="1">
      <c r="A85" s="11"/>
      <c r="B85" s="8"/>
      <c r="C85" s="8"/>
      <c r="D85" s="8"/>
      <c r="E85" s="8"/>
      <c r="F85" s="181"/>
      <c r="G85" s="181"/>
      <c r="H85" s="181"/>
      <c r="I85" s="181"/>
      <c r="J85" s="181"/>
      <c r="K85" s="181"/>
      <c r="L85" s="181"/>
      <c r="M85" s="181"/>
      <c r="N85" s="181"/>
      <c r="O85" s="175"/>
      <c r="P85" s="175"/>
      <c r="T85" s="2"/>
    </row>
    <row r="86" spans="1:20" ht="19.8" customHeight="1">
      <c r="A86" s="8" t="s">
        <v>209</v>
      </c>
      <c r="B86" s="8"/>
      <c r="C86" s="8"/>
      <c r="D86" s="8"/>
      <c r="E86" s="8"/>
      <c r="F86" s="181"/>
      <c r="G86" s="181"/>
      <c r="H86" s="181"/>
      <c r="I86" s="181"/>
      <c r="J86" s="181"/>
      <c r="K86" s="181"/>
      <c r="L86" s="181"/>
      <c r="M86" s="181"/>
      <c r="N86" s="181"/>
      <c r="O86" s="175"/>
      <c r="P86" s="175"/>
      <c r="T86" s="2"/>
    </row>
    <row r="87" spans="1:20" ht="12.6" customHeight="1">
      <c r="A87" s="8"/>
      <c r="B87" s="8"/>
      <c r="C87" s="8"/>
      <c r="D87" s="8"/>
      <c r="E87" s="8"/>
      <c r="F87" s="181"/>
      <c r="G87" s="181"/>
      <c r="H87" s="181"/>
      <c r="I87" s="181"/>
      <c r="J87" s="181"/>
      <c r="K87" s="181"/>
      <c r="L87" s="181"/>
      <c r="M87" s="181"/>
      <c r="N87" s="181"/>
      <c r="O87" s="175"/>
      <c r="P87" s="175"/>
      <c r="T87" s="2"/>
    </row>
    <row r="88" spans="1:20" s="2" customFormat="1" ht="16.2" customHeight="1">
      <c r="A88" s="203" t="s">
        <v>93</v>
      </c>
      <c r="B88" s="203"/>
      <c r="C88" s="203"/>
      <c r="D88" s="203"/>
      <c r="E88" s="203" t="s">
        <v>86</v>
      </c>
      <c r="F88" s="203"/>
      <c r="G88" s="203"/>
      <c r="H88" s="203"/>
      <c r="I88" s="203"/>
      <c r="J88" s="203"/>
      <c r="K88" s="203"/>
      <c r="L88" s="203"/>
      <c r="M88" s="203"/>
      <c r="N88" s="203"/>
      <c r="O88" s="176"/>
    </row>
    <row r="89" spans="1:20" s="2" customFormat="1" ht="16.2" customHeight="1">
      <c r="A89" s="203"/>
      <c r="B89" s="203"/>
      <c r="C89" s="203"/>
      <c r="D89" s="203"/>
      <c r="E89" s="203" t="s">
        <v>96</v>
      </c>
      <c r="F89" s="203"/>
      <c r="G89" s="203"/>
      <c r="H89" s="203"/>
      <c r="I89" s="203"/>
      <c r="J89" s="203" t="s">
        <v>97</v>
      </c>
      <c r="K89" s="203"/>
      <c r="L89" s="203"/>
      <c r="M89" s="203"/>
      <c r="N89" s="203"/>
      <c r="O89" s="176"/>
    </row>
    <row r="90" spans="1:20" s="2" customFormat="1" ht="16.2" customHeight="1">
      <c r="A90" s="204" t="s">
        <v>87</v>
      </c>
      <c r="B90" s="204"/>
      <c r="C90" s="204"/>
      <c r="D90" s="204"/>
      <c r="E90" s="207" t="s">
        <v>152</v>
      </c>
      <c r="F90" s="207"/>
      <c r="G90" s="207"/>
      <c r="H90" s="207"/>
      <c r="I90" s="207"/>
      <c r="J90" s="329" t="s">
        <v>87</v>
      </c>
      <c r="K90" s="330"/>
      <c r="L90" s="330"/>
      <c r="M90" s="330"/>
      <c r="N90" s="331"/>
      <c r="O90" s="176"/>
    </row>
    <row r="91" spans="1:20" s="2" customFormat="1" ht="16.2" customHeight="1">
      <c r="A91" s="353" t="s">
        <v>183</v>
      </c>
      <c r="B91" s="354"/>
      <c r="C91" s="354"/>
      <c r="D91" s="355"/>
      <c r="E91" s="207"/>
      <c r="F91" s="207"/>
      <c r="G91" s="207"/>
      <c r="H91" s="207"/>
      <c r="I91" s="207"/>
      <c r="J91" s="240" t="s">
        <v>184</v>
      </c>
      <c r="K91" s="241"/>
      <c r="L91" s="241"/>
      <c r="M91" s="241"/>
      <c r="N91" s="242"/>
      <c r="O91" s="176"/>
    </row>
    <row r="92" spans="1:20" s="2" customFormat="1" ht="16.2" customHeight="1">
      <c r="A92" s="365" t="s">
        <v>164</v>
      </c>
      <c r="B92" s="365"/>
      <c r="C92" s="365"/>
      <c r="D92" s="365"/>
      <c r="E92" s="207"/>
      <c r="F92" s="207"/>
      <c r="G92" s="207"/>
      <c r="H92" s="207"/>
      <c r="I92" s="207"/>
      <c r="J92" s="332" t="s">
        <v>127</v>
      </c>
      <c r="K92" s="333"/>
      <c r="L92" s="333"/>
      <c r="M92" s="333"/>
      <c r="N92" s="334"/>
      <c r="O92" s="176"/>
    </row>
    <row r="93" spans="1:20" s="2" customFormat="1" ht="16.2" customHeight="1">
      <c r="A93" s="237" t="s">
        <v>118</v>
      </c>
      <c r="B93" s="238"/>
      <c r="C93" s="239"/>
      <c r="D93" s="128">
        <v>58</v>
      </c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176"/>
    </row>
    <row r="94" spans="1:20" ht="19.8" customHeight="1">
      <c r="A94" s="217" t="s">
        <v>0</v>
      </c>
      <c r="B94" s="220" t="s">
        <v>18</v>
      </c>
      <c r="C94" s="223" t="s">
        <v>7</v>
      </c>
      <c r="D94" s="223" t="s">
        <v>8</v>
      </c>
      <c r="E94" s="226" t="s">
        <v>10</v>
      </c>
      <c r="F94" s="227"/>
      <c r="G94" s="226" t="s">
        <v>12</v>
      </c>
      <c r="H94" s="227"/>
      <c r="I94" s="230" t="s">
        <v>15</v>
      </c>
      <c r="J94" s="230" t="s">
        <v>39</v>
      </c>
      <c r="K94" s="230" t="s">
        <v>40</v>
      </c>
      <c r="L94" s="348" t="s">
        <v>16</v>
      </c>
      <c r="M94" s="230" t="s">
        <v>55</v>
      </c>
      <c r="N94" s="217" t="s">
        <v>17</v>
      </c>
      <c r="O94" s="177"/>
    </row>
    <row r="95" spans="1:20" ht="19.8" customHeight="1">
      <c r="A95" s="218"/>
      <c r="B95" s="221"/>
      <c r="C95" s="224"/>
      <c r="D95" s="224"/>
      <c r="E95" s="228"/>
      <c r="F95" s="229"/>
      <c r="G95" s="228"/>
      <c r="H95" s="229"/>
      <c r="I95" s="231"/>
      <c r="J95" s="231"/>
      <c r="K95" s="231"/>
      <c r="L95" s="349"/>
      <c r="M95" s="231"/>
      <c r="N95" s="218"/>
      <c r="O95" s="184"/>
    </row>
    <row r="96" spans="1:20" ht="19.8" customHeight="1">
      <c r="A96" s="218"/>
      <c r="B96" s="221"/>
      <c r="C96" s="224"/>
      <c r="D96" s="224"/>
      <c r="E96" s="230" t="s">
        <v>9</v>
      </c>
      <c r="F96" s="230" t="s">
        <v>11</v>
      </c>
      <c r="G96" s="230" t="s">
        <v>13</v>
      </c>
      <c r="H96" s="230" t="s">
        <v>14</v>
      </c>
      <c r="I96" s="231"/>
      <c r="J96" s="231"/>
      <c r="K96" s="231"/>
      <c r="L96" s="349"/>
      <c r="M96" s="231"/>
      <c r="N96" s="218"/>
      <c r="O96" s="184"/>
    </row>
    <row r="97" spans="1:23" ht="19.8" customHeight="1">
      <c r="A97" s="219"/>
      <c r="B97" s="222"/>
      <c r="C97" s="225"/>
      <c r="D97" s="225"/>
      <c r="E97" s="232"/>
      <c r="F97" s="232"/>
      <c r="G97" s="232"/>
      <c r="H97" s="232"/>
      <c r="I97" s="232"/>
      <c r="J97" s="232"/>
      <c r="K97" s="232"/>
      <c r="L97" s="350"/>
      <c r="M97" s="232"/>
      <c r="N97" s="219"/>
      <c r="O97" s="184"/>
    </row>
    <row r="98" spans="1:23" ht="17.399999999999999" customHeight="1">
      <c r="A98" s="246" t="s">
        <v>37</v>
      </c>
      <c r="B98" s="247"/>
      <c r="C98" s="247"/>
      <c r="D98" s="247"/>
      <c r="E98" s="247"/>
      <c r="F98" s="247"/>
      <c r="G98" s="247"/>
      <c r="H98" s="247"/>
      <c r="I98" s="247"/>
      <c r="J98" s="247"/>
      <c r="K98" s="247"/>
      <c r="L98" s="247"/>
      <c r="M98" s="247"/>
      <c r="N98" s="248"/>
      <c r="O98" s="184"/>
    </row>
    <row r="99" spans="1:23" s="2" customFormat="1" ht="17.399999999999999" customHeight="1">
      <c r="A99" s="9">
        <v>1</v>
      </c>
      <c r="B99" s="10" t="s">
        <v>2</v>
      </c>
      <c r="C99" s="23">
        <f>L99/100*100</f>
        <v>80</v>
      </c>
      <c r="D99" s="24">
        <f>C99/100*60</f>
        <v>48</v>
      </c>
      <c r="E99" s="25">
        <f>C99/100*15</f>
        <v>12</v>
      </c>
      <c r="F99" s="25"/>
      <c r="G99" s="25"/>
      <c r="H99" s="25"/>
      <c r="I99" s="25"/>
      <c r="J99" s="27">
        <f>C99/100*387</f>
        <v>309.60000000000002</v>
      </c>
      <c r="K99" s="27">
        <f>C99/100*0.09</f>
        <v>7.1999999999999995E-2</v>
      </c>
      <c r="L99" s="137">
        <v>80</v>
      </c>
      <c r="M99" s="75">
        <v>20</v>
      </c>
      <c r="N99" s="135">
        <f>L99*M99</f>
        <v>1600</v>
      </c>
      <c r="O99" s="153"/>
    </row>
    <row r="100" spans="1:23" s="2" customFormat="1" ht="17.399999999999999" customHeight="1">
      <c r="A100" s="9">
        <v>2</v>
      </c>
      <c r="B100" s="146" t="s">
        <v>134</v>
      </c>
      <c r="C100" s="23">
        <f>L100/100*100</f>
        <v>120</v>
      </c>
      <c r="D100" s="24">
        <f>C100/100*899</f>
        <v>1078.8</v>
      </c>
      <c r="E100" s="25"/>
      <c r="F100" s="25"/>
      <c r="G100" s="25">
        <f>C100/100*100</f>
        <v>120</v>
      </c>
      <c r="H100" s="25"/>
      <c r="I100" s="25"/>
      <c r="J100" s="25"/>
      <c r="K100" s="25"/>
      <c r="L100" s="137">
        <v>120</v>
      </c>
      <c r="M100" s="120">
        <v>69</v>
      </c>
      <c r="N100" s="135">
        <f t="shared" ref="N100:N107" si="5">L100*M100</f>
        <v>8280</v>
      </c>
      <c r="O100" s="179"/>
    </row>
    <row r="101" spans="1:23" s="2" customFormat="1" ht="17.399999999999999" customHeight="1">
      <c r="A101" s="9">
        <v>3</v>
      </c>
      <c r="B101" s="148" t="s">
        <v>136</v>
      </c>
      <c r="C101" s="23">
        <f>L101/100*100</f>
        <v>370</v>
      </c>
      <c r="D101" s="120">
        <f>C101/100*900</f>
        <v>3330</v>
      </c>
      <c r="E101" s="25"/>
      <c r="F101" s="25"/>
      <c r="G101" s="119"/>
      <c r="H101" s="25">
        <f>C101/100*100</f>
        <v>370</v>
      </c>
      <c r="I101" s="25"/>
      <c r="J101" s="25"/>
      <c r="K101" s="25"/>
      <c r="L101" s="137">
        <v>370</v>
      </c>
      <c r="M101" s="75">
        <v>65</v>
      </c>
      <c r="N101" s="135">
        <f t="shared" si="5"/>
        <v>24050</v>
      </c>
      <c r="O101" s="179"/>
    </row>
    <row r="102" spans="1:23" s="2" customFormat="1" ht="17.399999999999999" customHeight="1">
      <c r="A102" s="9">
        <v>4</v>
      </c>
      <c r="B102" s="5" t="s">
        <v>1</v>
      </c>
      <c r="C102" s="23">
        <f>L102/100*100</f>
        <v>2494</v>
      </c>
      <c r="D102" s="24">
        <f>C102/100*344</f>
        <v>8579.36</v>
      </c>
      <c r="E102" s="25"/>
      <c r="F102" s="25">
        <f>C102/100*7.9</f>
        <v>197.02600000000001</v>
      </c>
      <c r="G102" s="25"/>
      <c r="H102" s="25">
        <f>C102/100*1</f>
        <v>24.94</v>
      </c>
      <c r="I102" s="119">
        <f>C102/100*73.3</f>
        <v>1828.1020000000001</v>
      </c>
      <c r="J102" s="27">
        <f>C102/100*30</f>
        <v>748.2</v>
      </c>
      <c r="K102" s="27">
        <f>C102/100*0.1</f>
        <v>2.4940000000000002</v>
      </c>
      <c r="L102" s="137">
        <v>2494</v>
      </c>
      <c r="M102" s="75">
        <v>18</v>
      </c>
      <c r="N102" s="135">
        <f t="shared" si="5"/>
        <v>44892</v>
      </c>
      <c r="O102" s="153"/>
    </row>
    <row r="103" spans="1:23" s="2" customFormat="1" ht="17.399999999999999" customHeight="1">
      <c r="A103" s="9">
        <v>5</v>
      </c>
      <c r="B103" s="5" t="s">
        <v>92</v>
      </c>
      <c r="C103" s="23">
        <f>L103/100*90</f>
        <v>1332</v>
      </c>
      <c r="D103" s="24">
        <f>C103/100*90</f>
        <v>1198.8</v>
      </c>
      <c r="E103" s="25">
        <f>C103/100*18.4</f>
        <v>245.08799999999999</v>
      </c>
      <c r="F103" s="25"/>
      <c r="G103" s="25">
        <f>C103/100*1.8</f>
        <v>23.976000000000003</v>
      </c>
      <c r="H103" s="25"/>
      <c r="I103" s="25"/>
      <c r="J103" s="81">
        <f>C103/100*1120</f>
        <v>14918.4</v>
      </c>
      <c r="K103" s="27">
        <f>C103/100*0.02</f>
        <v>0.26640000000000003</v>
      </c>
      <c r="L103" s="137">
        <v>1480</v>
      </c>
      <c r="M103" s="26">
        <v>260</v>
      </c>
      <c r="N103" s="170">
        <f t="shared" si="5"/>
        <v>384800</v>
      </c>
      <c r="O103" s="153"/>
      <c r="Q103" s="3"/>
      <c r="R103" s="3"/>
      <c r="S103" s="4"/>
    </row>
    <row r="104" spans="1:23" s="2" customFormat="1" ht="17.399999999999999" customHeight="1">
      <c r="A104" s="9">
        <v>6</v>
      </c>
      <c r="B104" s="10" t="s">
        <v>69</v>
      </c>
      <c r="C104" s="23">
        <f>L104/100*98</f>
        <v>1499.4</v>
      </c>
      <c r="D104" s="24">
        <f>C104/100*139</f>
        <v>2084.1660000000002</v>
      </c>
      <c r="E104" s="25">
        <f>C104/100*19</f>
        <v>284.88600000000002</v>
      </c>
      <c r="F104" s="25"/>
      <c r="G104" s="25">
        <f>C104/100*7</f>
        <v>104.95800000000001</v>
      </c>
      <c r="H104" s="25"/>
      <c r="I104" s="25"/>
      <c r="J104" s="27">
        <f>C104/100*7</f>
        <v>104.95800000000001</v>
      </c>
      <c r="K104" s="27">
        <f>C104/100*0.9</f>
        <v>13.494600000000002</v>
      </c>
      <c r="L104" s="137">
        <v>1530</v>
      </c>
      <c r="M104" s="143">
        <v>133</v>
      </c>
      <c r="N104" s="170">
        <f t="shared" si="5"/>
        <v>203490</v>
      </c>
      <c r="O104" s="153"/>
    </row>
    <row r="105" spans="1:23" s="2" customFormat="1" ht="17.399999999999999" customHeight="1">
      <c r="A105" s="9">
        <v>7</v>
      </c>
      <c r="B105" s="5" t="s">
        <v>143</v>
      </c>
      <c r="C105" s="23">
        <f>L105/100*81</f>
        <v>486</v>
      </c>
      <c r="D105" s="24">
        <f>C105/100*17</f>
        <v>82.62</v>
      </c>
      <c r="E105" s="29"/>
      <c r="F105" s="29">
        <f>C105/100*0.9</f>
        <v>4.3740000000000006</v>
      </c>
      <c r="G105" s="29"/>
      <c r="H105" s="29">
        <f>C105/100*0.2</f>
        <v>0.97200000000000009</v>
      </c>
      <c r="I105" s="29">
        <f>C105/100*2.8</f>
        <v>13.608000000000001</v>
      </c>
      <c r="J105" s="25">
        <f>C105/100*28</f>
        <v>136.08000000000001</v>
      </c>
      <c r="K105" s="27">
        <f>C105/100*0.04</f>
        <v>0.19440000000000002</v>
      </c>
      <c r="L105" s="383">
        <v>600</v>
      </c>
      <c r="M105" s="75">
        <v>20</v>
      </c>
      <c r="N105" s="135">
        <f t="shared" si="5"/>
        <v>12000</v>
      </c>
      <c r="O105" s="153"/>
      <c r="P105" s="3"/>
    </row>
    <row r="106" spans="1:23" s="141" customFormat="1" ht="17.399999999999999" customHeight="1">
      <c r="A106" s="9">
        <v>8</v>
      </c>
      <c r="B106" s="149" t="s">
        <v>165</v>
      </c>
      <c r="C106" s="165">
        <f>L106/100*63</f>
        <v>1058.4000000000001</v>
      </c>
      <c r="D106" s="139">
        <f>C106/100*25</f>
        <v>264.60000000000002</v>
      </c>
      <c r="E106" s="136"/>
      <c r="F106" s="136">
        <f>C106/100*3.2</f>
        <v>33.868800000000007</v>
      </c>
      <c r="G106" s="136"/>
      <c r="H106" s="136">
        <f>C106/100*0.4</f>
        <v>4.2336000000000009</v>
      </c>
      <c r="I106" s="136">
        <f>C106/100*2.1</f>
        <v>22.226400000000005</v>
      </c>
      <c r="J106" s="140">
        <f>C106/100*100</f>
        <v>1058.4000000000001</v>
      </c>
      <c r="K106" s="136">
        <f>C106/100*0.1</f>
        <v>1.0584000000000002</v>
      </c>
      <c r="L106" s="137">
        <v>1680</v>
      </c>
      <c r="M106" s="166">
        <v>15</v>
      </c>
      <c r="N106" s="135">
        <f t="shared" si="5"/>
        <v>25200</v>
      </c>
      <c r="O106" s="406"/>
    </row>
    <row r="107" spans="1:23" s="2" customFormat="1" ht="17.399999999999999" customHeight="1">
      <c r="A107" s="9">
        <v>9</v>
      </c>
      <c r="B107" s="5" t="s">
        <v>129</v>
      </c>
      <c r="C107" s="23">
        <f>L107/100*100</f>
        <v>50</v>
      </c>
      <c r="D107" s="24">
        <f>C107/100*247</f>
        <v>123.5</v>
      </c>
      <c r="E107" s="29"/>
      <c r="F107" s="29">
        <f>C107/100*17.5</f>
        <v>8.75</v>
      </c>
      <c r="G107" s="29"/>
      <c r="H107" s="29">
        <f>C107/100*1.6</f>
        <v>0.8</v>
      </c>
      <c r="I107" s="29">
        <f>C107/100*39.2</f>
        <v>19.600000000000001</v>
      </c>
      <c r="J107" s="71"/>
      <c r="K107" s="71"/>
      <c r="L107" s="383">
        <v>50</v>
      </c>
      <c r="M107" s="75">
        <v>50</v>
      </c>
      <c r="N107" s="135">
        <f t="shared" si="5"/>
        <v>2500</v>
      </c>
      <c r="O107" s="153"/>
      <c r="Q107" s="3"/>
      <c r="R107" s="3"/>
      <c r="S107" s="4"/>
      <c r="T107" s="3"/>
    </row>
    <row r="108" spans="1:23" s="2" customFormat="1" ht="17.399999999999999" customHeight="1">
      <c r="A108" s="9">
        <v>10</v>
      </c>
      <c r="B108" s="6" t="s">
        <v>119</v>
      </c>
      <c r="C108" s="23"/>
      <c r="D108" s="24"/>
      <c r="E108" s="25"/>
      <c r="F108" s="25"/>
      <c r="G108" s="25"/>
      <c r="H108" s="25"/>
      <c r="I108" s="25"/>
      <c r="J108" s="27"/>
      <c r="K108" s="27"/>
      <c r="L108" s="26"/>
      <c r="M108" s="26"/>
      <c r="N108" s="28">
        <v>4000</v>
      </c>
      <c r="O108" s="153"/>
      <c r="Q108" s="3"/>
      <c r="R108" s="3"/>
      <c r="S108" s="4"/>
      <c r="T108" s="3"/>
    </row>
    <row r="109" spans="1:23" s="2" customFormat="1" ht="17.399999999999999" customHeight="1">
      <c r="A109" s="21" t="s">
        <v>114</v>
      </c>
      <c r="B109" s="22"/>
      <c r="C109" s="34"/>
      <c r="D109" s="121">
        <f>SUM(D99:D108)</f>
        <v>16789.845999999998</v>
      </c>
      <c r="E109" s="43"/>
      <c r="F109" s="43"/>
      <c r="G109" s="43"/>
      <c r="H109" s="43"/>
      <c r="I109" s="43"/>
      <c r="J109" s="43"/>
      <c r="K109" s="43"/>
      <c r="L109" s="44"/>
      <c r="M109" s="315"/>
      <c r="N109" s="335">
        <f>SUM(N99:N108)</f>
        <v>710812</v>
      </c>
      <c r="O109" s="153"/>
    </row>
    <row r="110" spans="1:23" ht="17.399999999999999" customHeight="1">
      <c r="A110" s="21" t="s">
        <v>35</v>
      </c>
      <c r="B110" s="22"/>
      <c r="C110" s="45"/>
      <c r="D110" s="46">
        <f>D109/D93</f>
        <v>289.48010344827583</v>
      </c>
      <c r="E110" s="46"/>
      <c r="F110" s="46"/>
      <c r="G110" s="46"/>
      <c r="H110" s="46"/>
      <c r="I110" s="46"/>
      <c r="J110" s="46"/>
      <c r="K110" s="46"/>
      <c r="L110" s="47"/>
      <c r="M110" s="316"/>
      <c r="N110" s="336"/>
      <c r="O110" s="4"/>
      <c r="P110" s="2"/>
      <c r="Q110" s="2"/>
      <c r="R110" s="2"/>
      <c r="S110" s="2"/>
      <c r="T110" s="2"/>
      <c r="U110" s="2"/>
      <c r="V110" s="2"/>
    </row>
    <row r="111" spans="1:23" ht="17.399999999999999" customHeight="1">
      <c r="A111" s="300" t="s">
        <v>51</v>
      </c>
      <c r="B111" s="234"/>
      <c r="C111" s="384" t="s">
        <v>141</v>
      </c>
      <c r="D111" s="20" t="s">
        <v>43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85"/>
      <c r="O111" s="4"/>
      <c r="P111" s="2"/>
      <c r="Q111" s="2"/>
      <c r="R111" s="2"/>
      <c r="S111" s="2"/>
      <c r="T111" s="2"/>
      <c r="U111" s="2"/>
      <c r="V111" s="2"/>
      <c r="W111" s="2"/>
    </row>
    <row r="112" spans="1:23" ht="17.399999999999999" customHeight="1">
      <c r="A112" s="235"/>
      <c r="B112" s="236"/>
      <c r="C112" s="76" t="s">
        <v>58</v>
      </c>
      <c r="D112" s="78">
        <f>D110*100/930</f>
        <v>31.126892843900627</v>
      </c>
      <c r="E112" s="46"/>
      <c r="F112" s="46"/>
      <c r="G112" s="46"/>
      <c r="H112" s="46"/>
      <c r="I112" s="46"/>
      <c r="J112" s="48"/>
      <c r="K112" s="48"/>
      <c r="L112" s="47"/>
      <c r="M112" s="47"/>
      <c r="N112" s="185"/>
      <c r="O112" s="4"/>
      <c r="P112" s="2"/>
      <c r="Q112" s="2"/>
      <c r="R112" s="2"/>
      <c r="S112" s="2"/>
      <c r="T112" s="2"/>
      <c r="U112" s="2"/>
      <c r="V112" s="2"/>
      <c r="W112" s="2"/>
    </row>
    <row r="113" spans="1:23" s="2" customFormat="1" ht="17.399999999999999" customHeight="1">
      <c r="A113" s="244" t="s">
        <v>36</v>
      </c>
      <c r="B113" s="244"/>
      <c r="C113" s="56"/>
      <c r="D113" s="57"/>
      <c r="E113" s="58"/>
      <c r="F113" s="58"/>
      <c r="G113" s="58"/>
      <c r="H113" s="58"/>
      <c r="I113" s="58"/>
      <c r="J113" s="58"/>
      <c r="K113" s="58"/>
      <c r="L113" s="59"/>
      <c r="M113" s="59"/>
      <c r="N113" s="60"/>
      <c r="O113" s="153"/>
    </row>
    <row r="114" spans="1:23" s="2" customFormat="1" ht="17.399999999999999" customHeight="1">
      <c r="A114" s="9">
        <v>1</v>
      </c>
      <c r="B114" s="10" t="s">
        <v>2</v>
      </c>
      <c r="C114" s="23">
        <f>L114/100*100</f>
        <v>70</v>
      </c>
      <c r="D114" s="24">
        <f>C114/100*60</f>
        <v>42</v>
      </c>
      <c r="E114" s="25">
        <f>C114/100*15</f>
        <v>10.5</v>
      </c>
      <c r="F114" s="25"/>
      <c r="G114" s="25"/>
      <c r="H114" s="25"/>
      <c r="I114" s="25"/>
      <c r="J114" s="27">
        <f>C114/100*387</f>
        <v>270.89999999999998</v>
      </c>
      <c r="K114" s="27">
        <f>C114/100*0.09</f>
        <v>6.3E-2</v>
      </c>
      <c r="L114" s="137">
        <v>70</v>
      </c>
      <c r="M114" s="75">
        <v>20</v>
      </c>
      <c r="N114" s="135">
        <f>L114*M114</f>
        <v>1400</v>
      </c>
      <c r="O114" s="153"/>
    </row>
    <row r="115" spans="1:23" s="2" customFormat="1" ht="17.399999999999999" customHeight="1">
      <c r="A115" s="9">
        <v>2</v>
      </c>
      <c r="B115" s="146" t="s">
        <v>134</v>
      </c>
      <c r="C115" s="23">
        <f>L115/100*100</f>
        <v>270</v>
      </c>
      <c r="D115" s="24">
        <f>C115/100*899</f>
        <v>2427.3000000000002</v>
      </c>
      <c r="E115" s="25"/>
      <c r="F115" s="25"/>
      <c r="G115" s="25">
        <f>C115/100*100</f>
        <v>270</v>
      </c>
      <c r="H115" s="25"/>
      <c r="I115" s="25"/>
      <c r="J115" s="27"/>
      <c r="K115" s="27"/>
      <c r="L115" s="137">
        <v>270</v>
      </c>
      <c r="M115" s="75">
        <v>69</v>
      </c>
      <c r="N115" s="135">
        <f t="shared" ref="N115:N120" si="6">L115*M115</f>
        <v>18630</v>
      </c>
      <c r="O115" s="153"/>
    </row>
    <row r="116" spans="1:23" s="2" customFormat="1" ht="17.399999999999999" customHeight="1">
      <c r="A116" s="9">
        <v>3</v>
      </c>
      <c r="B116" s="5" t="s">
        <v>1</v>
      </c>
      <c r="C116" s="23">
        <f>L116/100*100</f>
        <v>2436</v>
      </c>
      <c r="D116" s="24">
        <f>C116/100*344</f>
        <v>8379.84</v>
      </c>
      <c r="E116" s="25"/>
      <c r="F116" s="25">
        <f>C116/100*7.9</f>
        <v>192.44400000000002</v>
      </c>
      <c r="G116" s="25"/>
      <c r="H116" s="25">
        <f>C116/100*1</f>
        <v>24.36</v>
      </c>
      <c r="I116" s="119">
        <f>C116/100*73.3</f>
        <v>1785.588</v>
      </c>
      <c r="J116" s="27">
        <f>C116/100*30</f>
        <v>730.8</v>
      </c>
      <c r="K116" s="27">
        <f>C116/100*0.1</f>
        <v>2.4359999999999999</v>
      </c>
      <c r="L116" s="137">
        <v>2436</v>
      </c>
      <c r="M116" s="75">
        <v>18</v>
      </c>
      <c r="N116" s="135">
        <f t="shared" si="6"/>
        <v>43848</v>
      </c>
      <c r="O116" s="153"/>
    </row>
    <row r="117" spans="1:23" s="2" customFormat="1" ht="17.399999999999999" customHeight="1">
      <c r="A117" s="9">
        <v>4</v>
      </c>
      <c r="B117" s="10" t="s">
        <v>62</v>
      </c>
      <c r="C117" s="23">
        <f>L117/100*40</f>
        <v>552</v>
      </c>
      <c r="D117" s="24">
        <f>C117/100*276</f>
        <v>1523.52</v>
      </c>
      <c r="E117" s="25">
        <f>C117/100*17.8</f>
        <v>98.256</v>
      </c>
      <c r="F117" s="25"/>
      <c r="G117" s="25">
        <f>C117/100*21.8</f>
        <v>120.336</v>
      </c>
      <c r="H117" s="25"/>
      <c r="I117" s="136"/>
      <c r="J117" s="27">
        <f>C117/100*13</f>
        <v>71.759999999999991</v>
      </c>
      <c r="K117" s="27">
        <f>C117/100*0.07</f>
        <v>0.38640000000000002</v>
      </c>
      <c r="L117" s="137">
        <v>1380</v>
      </c>
      <c r="M117" s="75">
        <v>63</v>
      </c>
      <c r="N117" s="28">
        <f t="shared" si="6"/>
        <v>86940</v>
      </c>
      <c r="O117" s="153"/>
    </row>
    <row r="118" spans="1:23" s="2" customFormat="1" ht="17.399999999999999" customHeight="1">
      <c r="A118" s="9">
        <v>5</v>
      </c>
      <c r="B118" s="5" t="s">
        <v>28</v>
      </c>
      <c r="C118" s="23">
        <f>L118/100*88</f>
        <v>1742.4</v>
      </c>
      <c r="D118" s="24">
        <f>C118/100*184</f>
        <v>3206.0160000000001</v>
      </c>
      <c r="E118" s="25">
        <f>C118/100*13</f>
        <v>226.512</v>
      </c>
      <c r="F118" s="25"/>
      <c r="G118" s="25">
        <f>C118/100*14.2</f>
        <v>247.42079999999999</v>
      </c>
      <c r="H118" s="25"/>
      <c r="I118" s="25">
        <f>C118/100*1</f>
        <v>17.423999999999999</v>
      </c>
      <c r="J118" s="81">
        <f>C118/100*71</f>
        <v>1237.104</v>
      </c>
      <c r="K118" s="27">
        <f>C118/100*0.15</f>
        <v>2.6135999999999999</v>
      </c>
      <c r="L118" s="137">
        <v>1980</v>
      </c>
      <c r="M118" s="75">
        <v>57</v>
      </c>
      <c r="N118" s="124">
        <f t="shared" si="6"/>
        <v>112860</v>
      </c>
      <c r="O118" s="153"/>
      <c r="Q118" s="3"/>
      <c r="R118" s="3"/>
      <c r="S118" s="4"/>
    </row>
    <row r="119" spans="1:23" s="2" customFormat="1" ht="17.399999999999999" customHeight="1">
      <c r="A119" s="9">
        <v>7</v>
      </c>
      <c r="B119" s="5" t="s">
        <v>90</v>
      </c>
      <c r="C119" s="23">
        <f>L119/100*81.7</f>
        <v>1470.6000000000001</v>
      </c>
      <c r="D119" s="24">
        <f>C119/100*27</f>
        <v>397.06200000000001</v>
      </c>
      <c r="E119" s="29"/>
      <c r="F119" s="29">
        <f>C119/100*0.3</f>
        <v>4.4118000000000004</v>
      </c>
      <c r="G119" s="29"/>
      <c r="H119" s="29">
        <f>C119/100*0.1</f>
        <v>1.4706000000000001</v>
      </c>
      <c r="I119" s="29">
        <f>C119/100*6.1</f>
        <v>89.706600000000009</v>
      </c>
      <c r="J119" s="71">
        <f>C119/100*24</f>
        <v>352.94400000000002</v>
      </c>
      <c r="K119" s="71">
        <f>C119/100*0.06</f>
        <v>0.88236000000000003</v>
      </c>
      <c r="L119" s="383">
        <v>1800</v>
      </c>
      <c r="M119" s="26">
        <v>22</v>
      </c>
      <c r="N119" s="28">
        <f t="shared" si="6"/>
        <v>39600</v>
      </c>
      <c r="O119" s="153"/>
      <c r="Q119" s="3"/>
      <c r="R119" s="3"/>
      <c r="S119" s="4"/>
    </row>
    <row r="120" spans="1:23" s="2" customFormat="1" ht="17.399999999999999" customHeight="1">
      <c r="A120" s="9">
        <v>8</v>
      </c>
      <c r="B120" s="5" t="s">
        <v>129</v>
      </c>
      <c r="C120" s="23">
        <f>L120/100*100</f>
        <v>40</v>
      </c>
      <c r="D120" s="24">
        <f>C120/100*247</f>
        <v>98.800000000000011</v>
      </c>
      <c r="E120" s="29"/>
      <c r="F120" s="29">
        <f>C120/100*17.5</f>
        <v>7</v>
      </c>
      <c r="G120" s="29"/>
      <c r="H120" s="29">
        <f>C120/100*1.6</f>
        <v>0.64000000000000012</v>
      </c>
      <c r="I120" s="29">
        <f>C120/100*39.2</f>
        <v>15.680000000000001</v>
      </c>
      <c r="J120" s="71"/>
      <c r="K120" s="71"/>
      <c r="L120" s="383">
        <v>40</v>
      </c>
      <c r="M120" s="75">
        <v>50</v>
      </c>
      <c r="N120" s="28">
        <f t="shared" si="6"/>
        <v>2000</v>
      </c>
      <c r="O120" s="153"/>
      <c r="Q120" s="3"/>
      <c r="R120" s="3"/>
      <c r="S120" s="4"/>
      <c r="T120" s="3"/>
    </row>
    <row r="121" spans="1:23" s="2" customFormat="1" ht="17.399999999999999" customHeight="1">
      <c r="A121" s="9">
        <v>9</v>
      </c>
      <c r="B121" s="6" t="s">
        <v>119</v>
      </c>
      <c r="C121" s="23"/>
      <c r="D121" s="24"/>
      <c r="E121" s="25"/>
      <c r="F121" s="25"/>
      <c r="G121" s="25"/>
      <c r="H121" s="25"/>
      <c r="I121" s="25"/>
      <c r="J121" s="27"/>
      <c r="K121" s="27"/>
      <c r="L121" s="26"/>
      <c r="M121" s="26"/>
      <c r="N121" s="28">
        <v>4000</v>
      </c>
      <c r="O121" s="153"/>
      <c r="Q121" s="3"/>
      <c r="R121" s="3"/>
      <c r="S121" s="4"/>
      <c r="T121" s="3"/>
    </row>
    <row r="122" spans="1:23" s="2" customFormat="1" ht="17.399999999999999" customHeight="1">
      <c r="A122" s="21" t="s">
        <v>115</v>
      </c>
      <c r="B122" s="22"/>
      <c r="C122" s="34"/>
      <c r="D122" s="121">
        <f>SUM(D114:D121)</f>
        <v>16074.537999999999</v>
      </c>
      <c r="E122" s="43"/>
      <c r="F122" s="43"/>
      <c r="G122" s="43"/>
      <c r="H122" s="43"/>
      <c r="I122" s="43"/>
      <c r="J122" s="43"/>
      <c r="K122" s="43"/>
      <c r="L122" s="44"/>
      <c r="M122" s="315"/>
      <c r="N122" s="335">
        <f>SUM(N114:N121)</f>
        <v>309278</v>
      </c>
      <c r="O122" s="153"/>
    </row>
    <row r="123" spans="1:23" ht="17.399999999999999" customHeight="1">
      <c r="A123" s="21" t="s">
        <v>34</v>
      </c>
      <c r="B123" s="22"/>
      <c r="C123" s="61"/>
      <c r="D123" s="48">
        <f>D122/D93</f>
        <v>277.14720689655172</v>
      </c>
      <c r="E123" s="48"/>
      <c r="F123" s="48"/>
      <c r="G123" s="48"/>
      <c r="H123" s="48"/>
      <c r="I123" s="48"/>
      <c r="J123" s="48"/>
      <c r="K123" s="48"/>
      <c r="L123" s="62"/>
      <c r="M123" s="316"/>
      <c r="N123" s="337"/>
      <c r="O123" s="4"/>
      <c r="P123" s="2"/>
      <c r="Q123" s="2"/>
      <c r="R123" s="2"/>
      <c r="S123" s="2"/>
      <c r="T123" s="2"/>
      <c r="U123" s="2"/>
      <c r="V123" s="2"/>
    </row>
    <row r="124" spans="1:23" ht="17.399999999999999" customHeight="1">
      <c r="A124" s="300" t="s">
        <v>52</v>
      </c>
      <c r="B124" s="234"/>
      <c r="C124" s="384" t="s">
        <v>141</v>
      </c>
      <c r="D124" s="20" t="s">
        <v>44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85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7.399999999999999" customHeight="1">
      <c r="A125" s="235"/>
      <c r="B125" s="236"/>
      <c r="C125" s="76" t="s">
        <v>58</v>
      </c>
      <c r="D125" s="78">
        <f>D123*100/930</f>
        <v>29.80077493511309</v>
      </c>
      <c r="E125" s="46"/>
      <c r="F125" s="46"/>
      <c r="G125" s="45"/>
      <c r="H125" s="45"/>
      <c r="I125" s="45"/>
      <c r="J125" s="48"/>
      <c r="K125" s="48"/>
      <c r="L125" s="47"/>
      <c r="M125" s="47"/>
      <c r="N125" s="185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7.399999999999999" customHeight="1">
      <c r="A126" s="244" t="s">
        <v>33</v>
      </c>
      <c r="B126" s="244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7.399999999999999" customHeight="1">
      <c r="A127" s="9">
        <v>1</v>
      </c>
      <c r="B127" s="10" t="s">
        <v>68</v>
      </c>
      <c r="C127" s="23">
        <f>L127/100*90</f>
        <v>18</v>
      </c>
      <c r="D127" s="24">
        <f>C127/100*253</f>
        <v>45.54</v>
      </c>
      <c r="E127" s="25"/>
      <c r="F127" s="25">
        <f>C127/100*32.4</f>
        <v>5.8319999999999999</v>
      </c>
      <c r="G127" s="25"/>
      <c r="H127" s="25">
        <f>C127/100*3.6</f>
        <v>0.64800000000000002</v>
      </c>
      <c r="I127" s="25">
        <f>C127/100*21.1</f>
        <v>3.798</v>
      </c>
      <c r="J127" s="27">
        <f>C127/100*165.6</f>
        <v>29.807999999999996</v>
      </c>
      <c r="K127" s="27">
        <f>C127/100*0.14</f>
        <v>2.52E-2</v>
      </c>
      <c r="L127" s="137">
        <v>20</v>
      </c>
      <c r="M127" s="75">
        <v>275</v>
      </c>
      <c r="N127" s="28">
        <f t="shared" ref="N127:N130" si="7">L127*M127</f>
        <v>5500</v>
      </c>
      <c r="O127" s="153"/>
    </row>
    <row r="128" spans="1:23" s="2" customFormat="1" ht="17.399999999999999" customHeight="1">
      <c r="A128" s="9">
        <v>2</v>
      </c>
      <c r="B128" s="5" t="s">
        <v>131</v>
      </c>
      <c r="C128" s="23">
        <f>L128/100*100</f>
        <v>229.99999999999997</v>
      </c>
      <c r="D128" s="24">
        <f>C128/100*340</f>
        <v>781.99999999999989</v>
      </c>
      <c r="E128" s="29"/>
      <c r="F128" s="29">
        <f>C128/100*0.7</f>
        <v>1.6099999999999999</v>
      </c>
      <c r="G128" s="29"/>
      <c r="H128" s="29"/>
      <c r="I128" s="29">
        <f>C128/100*84.3</f>
        <v>193.89</v>
      </c>
      <c r="J128" s="71"/>
      <c r="K128" s="71"/>
      <c r="L128" s="383">
        <v>230</v>
      </c>
      <c r="M128" s="75">
        <v>180</v>
      </c>
      <c r="N128" s="28">
        <f t="shared" si="7"/>
        <v>41400</v>
      </c>
      <c r="O128" s="153"/>
      <c r="Q128" s="3"/>
      <c r="R128" s="3"/>
      <c r="S128" s="4"/>
      <c r="T128" s="3"/>
    </row>
    <row r="129" spans="1:23" s="2" customFormat="1" ht="17.399999999999999" customHeight="1">
      <c r="A129" s="9">
        <v>3</v>
      </c>
      <c r="B129" s="10" t="s">
        <v>153</v>
      </c>
      <c r="C129" s="23">
        <f>L129/100*55</f>
        <v>495</v>
      </c>
      <c r="D129" s="120">
        <f>C129/100*196</f>
        <v>970.2</v>
      </c>
      <c r="E129" s="25"/>
      <c r="F129" s="136">
        <f>C129/100*4.1</f>
        <v>20.294999999999998</v>
      </c>
      <c r="G129" s="25"/>
      <c r="H129" s="25">
        <f>C129/100*2.3</f>
        <v>11.385</v>
      </c>
      <c r="I129" s="25">
        <f>C129/100*39.6</f>
        <v>196.02</v>
      </c>
      <c r="J129" s="27">
        <f>C129/100*4</f>
        <v>19.8</v>
      </c>
      <c r="K129" s="27">
        <f>C129/100*0.15</f>
        <v>0.74250000000000005</v>
      </c>
      <c r="L129" s="405">
        <v>900</v>
      </c>
      <c r="M129" s="75">
        <v>22</v>
      </c>
      <c r="N129" s="28">
        <f t="shared" si="7"/>
        <v>19800</v>
      </c>
      <c r="O129" s="406"/>
      <c r="P129" s="141"/>
      <c r="Q129" s="141"/>
    </row>
    <row r="130" spans="1:23" s="2" customFormat="1" ht="17.399999999999999" customHeight="1">
      <c r="A130" s="9">
        <v>4</v>
      </c>
      <c r="B130" s="5" t="s">
        <v>67</v>
      </c>
      <c r="C130" s="23">
        <f>L130/100*48</f>
        <v>1080</v>
      </c>
      <c r="D130" s="24">
        <f>C130/100*199</f>
        <v>2149.2000000000003</v>
      </c>
      <c r="E130" s="25">
        <f>C130/100*20.3</f>
        <v>219.24</v>
      </c>
      <c r="F130" s="25"/>
      <c r="G130" s="25">
        <f>C130/100*13.1</f>
        <v>141.48000000000002</v>
      </c>
      <c r="H130" s="25"/>
      <c r="I130" s="25"/>
      <c r="J130" s="27">
        <f>C130/100*12</f>
        <v>129.60000000000002</v>
      </c>
      <c r="K130" s="27">
        <f>C130/100*0.15</f>
        <v>1.62</v>
      </c>
      <c r="L130" s="26">
        <v>2250</v>
      </c>
      <c r="M130" s="137">
        <v>84</v>
      </c>
      <c r="N130" s="124">
        <f t="shared" si="7"/>
        <v>189000</v>
      </c>
      <c r="O130" s="153"/>
      <c r="Q130" s="3"/>
      <c r="R130" s="3"/>
      <c r="S130" s="4"/>
    </row>
    <row r="131" spans="1:23" s="2" customFormat="1" ht="17.399999999999999" customHeight="1">
      <c r="A131" s="103"/>
      <c r="B131" s="112"/>
      <c r="C131" s="104"/>
      <c r="D131" s="105"/>
      <c r="E131" s="106"/>
      <c r="F131" s="106"/>
      <c r="G131" s="106"/>
      <c r="H131" s="106"/>
      <c r="I131" s="106"/>
      <c r="J131" s="114"/>
      <c r="K131" s="114"/>
      <c r="L131" s="407"/>
      <c r="M131" s="145"/>
      <c r="N131" s="108"/>
      <c r="O131" s="153"/>
      <c r="Q131" s="3"/>
      <c r="R131" s="3"/>
    </row>
    <row r="132" spans="1:23" ht="20.399999999999999" customHeight="1">
      <c r="A132" s="217" t="s">
        <v>0</v>
      </c>
      <c r="B132" s="220" t="s">
        <v>18</v>
      </c>
      <c r="C132" s="223" t="s">
        <v>7</v>
      </c>
      <c r="D132" s="223" t="s">
        <v>8</v>
      </c>
      <c r="E132" s="226" t="s">
        <v>10</v>
      </c>
      <c r="F132" s="227"/>
      <c r="G132" s="226" t="s">
        <v>12</v>
      </c>
      <c r="H132" s="227"/>
      <c r="I132" s="230" t="s">
        <v>15</v>
      </c>
      <c r="J132" s="230" t="s">
        <v>39</v>
      </c>
      <c r="K132" s="230" t="s">
        <v>40</v>
      </c>
      <c r="L132" s="348" t="s">
        <v>16</v>
      </c>
      <c r="M132" s="230" t="s">
        <v>55</v>
      </c>
      <c r="N132" s="217" t="s">
        <v>17</v>
      </c>
      <c r="O132" s="177"/>
    </row>
    <row r="133" spans="1:23" ht="20.399999999999999" customHeight="1">
      <c r="A133" s="218"/>
      <c r="B133" s="221"/>
      <c r="C133" s="224"/>
      <c r="D133" s="224"/>
      <c r="E133" s="228"/>
      <c r="F133" s="229"/>
      <c r="G133" s="228"/>
      <c r="H133" s="229"/>
      <c r="I133" s="231"/>
      <c r="J133" s="231"/>
      <c r="K133" s="231"/>
      <c r="L133" s="349"/>
      <c r="M133" s="231"/>
      <c r="N133" s="218"/>
      <c r="O133" s="184"/>
    </row>
    <row r="134" spans="1:23" ht="20.399999999999999" customHeight="1">
      <c r="A134" s="218"/>
      <c r="B134" s="221"/>
      <c r="C134" s="224"/>
      <c r="D134" s="224"/>
      <c r="E134" s="230" t="s">
        <v>9</v>
      </c>
      <c r="F134" s="230" t="s">
        <v>11</v>
      </c>
      <c r="G134" s="230" t="s">
        <v>13</v>
      </c>
      <c r="H134" s="230" t="s">
        <v>14</v>
      </c>
      <c r="I134" s="231"/>
      <c r="J134" s="231"/>
      <c r="K134" s="231"/>
      <c r="L134" s="349"/>
      <c r="M134" s="231"/>
      <c r="N134" s="218"/>
      <c r="O134" s="184"/>
    </row>
    <row r="135" spans="1:23" ht="20.399999999999999" customHeight="1">
      <c r="A135" s="219"/>
      <c r="B135" s="222"/>
      <c r="C135" s="225"/>
      <c r="D135" s="225"/>
      <c r="E135" s="232"/>
      <c r="F135" s="232"/>
      <c r="G135" s="232"/>
      <c r="H135" s="232"/>
      <c r="I135" s="232"/>
      <c r="J135" s="232"/>
      <c r="K135" s="232"/>
      <c r="L135" s="350"/>
      <c r="M135" s="232"/>
      <c r="N135" s="219"/>
      <c r="O135" s="184"/>
    </row>
    <row r="136" spans="1:23" s="2" customFormat="1" ht="20.399999999999999" customHeight="1">
      <c r="A136" s="21" t="s">
        <v>102</v>
      </c>
      <c r="B136" s="22"/>
      <c r="C136" s="34"/>
      <c r="D136" s="35">
        <f>SUM(D127:D131)</f>
        <v>3946.94</v>
      </c>
      <c r="E136" s="43"/>
      <c r="F136" s="43"/>
      <c r="G136" s="43"/>
      <c r="H136" s="43"/>
      <c r="I136" s="43"/>
      <c r="J136" s="82"/>
      <c r="K136" s="43"/>
      <c r="L136" s="44"/>
      <c r="M136" s="315"/>
      <c r="N136" s="335">
        <f>SUM(N127:N131)</f>
        <v>255700</v>
      </c>
      <c r="O136" s="153"/>
    </row>
    <row r="137" spans="1:23" ht="20.399999999999999" customHeight="1">
      <c r="A137" s="21" t="s">
        <v>6</v>
      </c>
      <c r="B137" s="22"/>
      <c r="C137" s="45"/>
      <c r="D137" s="72">
        <f>D136/D93</f>
        <v>68.05068965517242</v>
      </c>
      <c r="E137" s="46"/>
      <c r="F137" s="46"/>
      <c r="G137" s="46"/>
      <c r="H137" s="46"/>
      <c r="I137" s="46"/>
      <c r="J137" s="83"/>
      <c r="K137" s="46"/>
      <c r="L137" s="47"/>
      <c r="M137" s="316"/>
      <c r="N137" s="336"/>
      <c r="O137" s="4"/>
      <c r="P137" s="2"/>
      <c r="Q137" s="2"/>
      <c r="R137" s="2"/>
      <c r="S137" s="2"/>
      <c r="T137" s="2"/>
      <c r="U137" s="2"/>
      <c r="V137" s="2"/>
    </row>
    <row r="138" spans="1:23" ht="20.399999999999999" customHeight="1">
      <c r="A138" s="300" t="s">
        <v>50</v>
      </c>
      <c r="B138" s="234"/>
      <c r="C138" s="384" t="s">
        <v>141</v>
      </c>
      <c r="D138" s="20" t="s">
        <v>48</v>
      </c>
      <c r="E138" s="46"/>
      <c r="F138" s="46"/>
      <c r="G138" s="46"/>
      <c r="H138" s="46"/>
      <c r="I138" s="46"/>
      <c r="J138" s="84"/>
      <c r="K138" s="48"/>
      <c r="L138" s="47"/>
      <c r="M138" s="47"/>
      <c r="N138" s="185"/>
      <c r="O138" s="4"/>
      <c r="P138" s="2"/>
      <c r="Q138" s="2"/>
      <c r="R138" s="2"/>
      <c r="S138" s="2"/>
      <c r="T138" s="2"/>
      <c r="U138" s="2"/>
      <c r="V138" s="2"/>
      <c r="W138" s="2"/>
    </row>
    <row r="139" spans="1:23" ht="20.399999999999999" customHeight="1">
      <c r="A139" s="235"/>
      <c r="B139" s="236"/>
      <c r="C139" s="76" t="s">
        <v>58</v>
      </c>
      <c r="D139" s="78">
        <f>D137*100/930</f>
        <v>7.3172784575454211</v>
      </c>
      <c r="E139" s="46"/>
      <c r="F139" s="46"/>
      <c r="G139" s="46"/>
      <c r="H139" s="46"/>
      <c r="I139" s="46"/>
      <c r="J139" s="84"/>
      <c r="K139" s="48"/>
      <c r="L139" s="47"/>
      <c r="M139" s="47"/>
      <c r="N139" s="185"/>
      <c r="O139" s="4"/>
      <c r="P139" s="2"/>
      <c r="Q139" s="2"/>
      <c r="R139" s="2"/>
      <c r="S139" s="2"/>
      <c r="T139" s="2"/>
      <c r="U139" s="2"/>
      <c r="V139" s="2"/>
      <c r="W139" s="2"/>
    </row>
    <row r="140" spans="1:23" ht="20.399999999999999" customHeight="1">
      <c r="A140" s="292" t="s">
        <v>103</v>
      </c>
      <c r="B140" s="293"/>
      <c r="C140" s="296"/>
      <c r="D140" s="308">
        <f>SUM(D109+D122+D136)</f>
        <v>36811.324000000001</v>
      </c>
      <c r="E140" s="123">
        <f t="shared" ref="E140:K140" si="8">SUM(E99:E131)</f>
        <v>1096.482</v>
      </c>
      <c r="F140" s="7">
        <f t="shared" si="8"/>
        <v>475.61160000000007</v>
      </c>
      <c r="G140" s="123">
        <f t="shared" si="8"/>
        <v>1028.1707999999999</v>
      </c>
      <c r="H140" s="7">
        <f t="shared" si="8"/>
        <v>439.44920000000002</v>
      </c>
      <c r="I140" s="363">
        <f t="shared" si="8"/>
        <v>4185.6429999999991</v>
      </c>
      <c r="J140" s="363">
        <f t="shared" si="8"/>
        <v>20118.353999999999</v>
      </c>
      <c r="K140" s="290">
        <f t="shared" si="8"/>
        <v>26.348860000000002</v>
      </c>
      <c r="L140" s="274"/>
      <c r="M140" s="274"/>
      <c r="N140" s="367">
        <f>N109+N122+N136</f>
        <v>1275790</v>
      </c>
      <c r="U140" s="12"/>
      <c r="V140" s="12"/>
    </row>
    <row r="141" spans="1:23" ht="20.399999999999999" customHeight="1">
      <c r="A141" s="294"/>
      <c r="B141" s="295"/>
      <c r="C141" s="297"/>
      <c r="D141" s="309"/>
      <c r="E141" s="288">
        <f>E140+F140</f>
        <v>1572.0936000000002</v>
      </c>
      <c r="F141" s="289"/>
      <c r="G141" s="288">
        <f>G140+H140</f>
        <v>1467.62</v>
      </c>
      <c r="H141" s="289"/>
      <c r="I141" s="364"/>
      <c r="J141" s="364"/>
      <c r="K141" s="291"/>
      <c r="L141" s="274"/>
      <c r="M141" s="274"/>
      <c r="N141" s="368"/>
      <c r="U141" s="12"/>
      <c r="V141" s="12"/>
    </row>
    <row r="142" spans="1:23" ht="20.399999999999999" customHeight="1">
      <c r="A142" s="275" t="s">
        <v>74</v>
      </c>
      <c r="B142" s="276"/>
      <c r="C142" s="277"/>
      <c r="D142" s="133">
        <f>D140/D93</f>
        <v>634.678</v>
      </c>
      <c r="E142" s="410">
        <f>E140/D93</f>
        <v>18.904862068965517</v>
      </c>
      <c r="F142" s="409">
        <f>F140/D93</f>
        <v>8.2002000000000006</v>
      </c>
      <c r="G142" s="410">
        <f>G140/D93</f>
        <v>17.727082758620689</v>
      </c>
      <c r="H142" s="409">
        <f>H140/D93</f>
        <v>7.5767103448275863</v>
      </c>
      <c r="I142" s="270">
        <f>I140/D93</f>
        <v>72.166258620689646</v>
      </c>
      <c r="J142" s="270">
        <f>J140/D93</f>
        <v>346.8681724137931</v>
      </c>
      <c r="K142" s="306">
        <f>K140/D93</f>
        <v>0.45429068965517244</v>
      </c>
      <c r="L142" s="274"/>
      <c r="M142" s="274"/>
      <c r="N142" s="368"/>
      <c r="P142" s="398"/>
      <c r="Q142" s="399"/>
      <c r="R142" s="399"/>
      <c r="S142" s="399"/>
      <c r="T142" s="399"/>
      <c r="U142" s="400"/>
      <c r="V142" s="400"/>
    </row>
    <row r="143" spans="1:23" ht="20.399999999999999" customHeight="1">
      <c r="A143" s="278"/>
      <c r="B143" s="279"/>
      <c r="C143" s="280"/>
      <c r="D143" s="127"/>
      <c r="E143" s="387">
        <f>E142+F142</f>
        <v>27.105062068965516</v>
      </c>
      <c r="F143" s="388"/>
      <c r="G143" s="387">
        <f>G142+H142</f>
        <v>25.303793103448275</v>
      </c>
      <c r="H143" s="388"/>
      <c r="I143" s="271"/>
      <c r="J143" s="271"/>
      <c r="K143" s="307"/>
      <c r="L143" s="274"/>
      <c r="M143" s="274"/>
      <c r="N143" s="368"/>
      <c r="P143" s="401"/>
      <c r="Q143" s="399"/>
      <c r="R143" s="399"/>
      <c r="S143" s="404"/>
      <c r="T143" s="404"/>
      <c r="U143" s="399"/>
      <c r="V143" s="399"/>
    </row>
    <row r="144" spans="1:23" ht="20.399999999999999" customHeight="1">
      <c r="A144" s="324" t="s">
        <v>77</v>
      </c>
      <c r="B144" s="325"/>
      <c r="C144" s="326"/>
      <c r="D144" s="187" t="s">
        <v>27</v>
      </c>
      <c r="E144" s="347" t="s">
        <v>22</v>
      </c>
      <c r="F144" s="347"/>
      <c r="G144" s="347" t="s">
        <v>23</v>
      </c>
      <c r="H144" s="347"/>
      <c r="I144" s="396" t="s">
        <v>24</v>
      </c>
      <c r="J144" s="182">
        <v>500</v>
      </c>
      <c r="K144" s="182">
        <v>0.5</v>
      </c>
      <c r="L144" s="274"/>
      <c r="M144" s="274"/>
      <c r="N144" s="368"/>
      <c r="O144" s="180"/>
      <c r="P144" s="398"/>
      <c r="Q144" s="398"/>
      <c r="R144" s="398"/>
      <c r="S144" s="398"/>
      <c r="T144" s="398"/>
      <c r="U144" s="398"/>
      <c r="V144" s="398"/>
    </row>
    <row r="145" spans="1:22" ht="20.399999999999999" customHeight="1">
      <c r="A145" s="251" t="s">
        <v>75</v>
      </c>
      <c r="B145" s="281"/>
      <c r="C145" s="252"/>
      <c r="D145" s="49"/>
      <c r="E145" s="282">
        <f>E143*4.1</f>
        <v>111.1307544827586</v>
      </c>
      <c r="F145" s="283"/>
      <c r="G145" s="282">
        <f>G143*9</f>
        <v>227.73413793103447</v>
      </c>
      <c r="H145" s="283"/>
      <c r="I145" s="85">
        <f>I142*4.1</f>
        <v>295.88166034482754</v>
      </c>
      <c r="J145" s="263"/>
      <c r="K145" s="263"/>
      <c r="L145" s="274"/>
      <c r="M145" s="274"/>
      <c r="N145" s="368"/>
      <c r="O145" s="180"/>
      <c r="P145" s="402"/>
      <c r="Q145" s="403"/>
      <c r="R145" s="403"/>
      <c r="S145" s="403"/>
      <c r="T145" s="398"/>
      <c r="U145" s="398"/>
      <c r="V145" s="398"/>
    </row>
    <row r="146" spans="1:22" ht="20.399999999999999" customHeight="1">
      <c r="A146" s="284" t="s">
        <v>84</v>
      </c>
      <c r="B146" s="285"/>
      <c r="C146" s="251" t="s">
        <v>57</v>
      </c>
      <c r="D146" s="252"/>
      <c r="E146" s="197">
        <f>E145*100/D142</f>
        <v>17.50978519544692</v>
      </c>
      <c r="F146" s="198"/>
      <c r="G146" s="197">
        <f>G145*100/D142</f>
        <v>35.881838968899892</v>
      </c>
      <c r="H146" s="198"/>
      <c r="I146" s="115">
        <f>I145*100/D142</f>
        <v>46.619177022809602</v>
      </c>
      <c r="J146" s="264"/>
      <c r="K146" s="264"/>
      <c r="L146" s="274"/>
      <c r="M146" s="274"/>
      <c r="N146" s="368"/>
      <c r="O146" s="180"/>
      <c r="P146" s="398"/>
      <c r="Q146" s="398"/>
      <c r="R146" s="398"/>
      <c r="S146" s="398"/>
      <c r="T146" s="398"/>
      <c r="U146" s="398"/>
      <c r="V146" s="398"/>
    </row>
    <row r="147" spans="1:22" ht="20.399999999999999" customHeight="1">
      <c r="A147" s="286"/>
      <c r="B147" s="287"/>
      <c r="C147" s="251" t="s">
        <v>76</v>
      </c>
      <c r="D147" s="252"/>
      <c r="E147" s="251" t="s">
        <v>79</v>
      </c>
      <c r="F147" s="252"/>
      <c r="G147" s="251" t="s">
        <v>82</v>
      </c>
      <c r="H147" s="252"/>
      <c r="I147" s="187" t="s">
        <v>83</v>
      </c>
      <c r="J147" s="265"/>
      <c r="K147" s="265"/>
      <c r="L147" s="274"/>
      <c r="M147" s="274"/>
      <c r="N147" s="369"/>
      <c r="O147" s="180"/>
      <c r="P147" s="132"/>
    </row>
    <row r="148" spans="1:22" ht="20.399999999999999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180"/>
    </row>
    <row r="149" spans="1:22" ht="21" customHeight="1">
      <c r="A149" s="192" t="s">
        <v>110</v>
      </c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80"/>
    </row>
    <row r="150" spans="1:22" ht="21" customHeight="1">
      <c r="A150" s="117" t="s">
        <v>111</v>
      </c>
      <c r="B150" s="193" t="s">
        <v>112</v>
      </c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80"/>
    </row>
    <row r="151" spans="1:22" ht="21" customHeight="1">
      <c r="A151" s="118"/>
      <c r="B151" s="194" t="s">
        <v>217</v>
      </c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80"/>
    </row>
    <row r="152" spans="1:22" ht="21" customHeight="1">
      <c r="A152" s="118"/>
      <c r="B152" s="194" t="s">
        <v>185</v>
      </c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80"/>
    </row>
    <row r="153" spans="1:22" ht="21" customHeight="1">
      <c r="A153" s="118"/>
      <c r="B153" s="194" t="s">
        <v>218</v>
      </c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80"/>
    </row>
    <row r="154" spans="1:22" ht="21" customHeight="1">
      <c r="A154" s="90"/>
      <c r="B154" s="195" t="s">
        <v>113</v>
      </c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80"/>
    </row>
    <row r="155" spans="1:22" ht="21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4"/>
      <c r="M155" s="94"/>
      <c r="N155" s="95"/>
      <c r="O155" s="180"/>
    </row>
    <row r="156" spans="1:22" ht="21" customHeight="1">
      <c r="A156" s="196" t="s">
        <v>60</v>
      </c>
      <c r="B156" s="196"/>
      <c r="C156" s="196"/>
      <c r="D156" s="196"/>
      <c r="E156" s="390"/>
      <c r="F156" s="390"/>
      <c r="G156" s="390"/>
      <c r="H156" s="390"/>
      <c r="I156" s="390"/>
      <c r="J156" s="391" t="s">
        <v>31</v>
      </c>
      <c r="K156" s="391"/>
      <c r="L156" s="391"/>
      <c r="M156" s="391"/>
      <c r="N156" s="391"/>
      <c r="O156" s="180"/>
    </row>
    <row r="157" spans="1:22" ht="21" customHeight="1">
      <c r="A157" s="184"/>
      <c r="B157" s="184"/>
      <c r="C157" s="184"/>
      <c r="D157" s="390"/>
      <c r="E157" s="390"/>
      <c r="F157" s="390"/>
      <c r="G157" s="390"/>
      <c r="H157" s="392"/>
      <c r="I157" s="392"/>
      <c r="J157" s="392"/>
      <c r="K157" s="392"/>
      <c r="L157" s="392"/>
      <c r="M157" s="392"/>
      <c r="N157" s="392"/>
      <c r="O157" s="180"/>
    </row>
    <row r="158" spans="1:22" ht="21" customHeight="1">
      <c r="A158" s="184"/>
      <c r="B158" s="184"/>
      <c r="C158" s="184"/>
      <c r="D158" s="390"/>
      <c r="E158" s="390"/>
      <c r="F158" s="390"/>
      <c r="G158" s="390"/>
      <c r="H158" s="392"/>
      <c r="I158" s="392"/>
      <c r="J158" s="392"/>
      <c r="K158" s="392"/>
      <c r="L158" s="392"/>
      <c r="M158" s="392"/>
      <c r="N158" s="392"/>
      <c r="O158" s="180"/>
    </row>
    <row r="159" spans="1:22" ht="21" customHeight="1">
      <c r="A159" s="184"/>
      <c r="B159" s="184"/>
      <c r="C159" s="184"/>
      <c r="D159" s="390"/>
      <c r="E159" s="390"/>
      <c r="F159" s="390"/>
      <c r="G159" s="390"/>
      <c r="H159" s="392"/>
      <c r="I159" s="392"/>
      <c r="J159" s="393" t="s">
        <v>120</v>
      </c>
      <c r="K159" s="393"/>
      <c r="L159" s="393"/>
      <c r="M159" s="393"/>
      <c r="N159" s="393"/>
      <c r="O159" s="180"/>
    </row>
    <row r="160" spans="1:22" ht="21" customHeight="1">
      <c r="A160" s="188" t="s">
        <v>88</v>
      </c>
      <c r="B160" s="188"/>
      <c r="C160" s="188"/>
      <c r="D160" s="188"/>
      <c r="E160" s="390"/>
      <c r="F160" s="390"/>
      <c r="G160" s="390"/>
      <c r="H160" s="392"/>
      <c r="I160" s="392"/>
      <c r="J160" s="393"/>
      <c r="K160" s="393"/>
      <c r="L160" s="393"/>
      <c r="M160" s="393"/>
      <c r="N160" s="393"/>
      <c r="O160" s="180"/>
    </row>
    <row r="161" spans="10:14" ht="20.399999999999999" customHeight="1">
      <c r="J161" s="392"/>
      <c r="K161" s="392"/>
      <c r="L161" s="392"/>
      <c r="M161" s="392"/>
      <c r="N161" s="392"/>
    </row>
    <row r="162" spans="10:14" ht="20.399999999999999" customHeight="1">
      <c r="J162" s="393" t="s">
        <v>123</v>
      </c>
      <c r="K162" s="393"/>
      <c r="L162" s="393"/>
      <c r="M162" s="393"/>
      <c r="N162" s="393"/>
    </row>
  </sheetData>
  <mergeCells count="207">
    <mergeCell ref="J159:N159"/>
    <mergeCell ref="J162:N162"/>
    <mergeCell ref="D44:D47"/>
    <mergeCell ref="J71:N71"/>
    <mergeCell ref="J74:N74"/>
    <mergeCell ref="B150:N150"/>
    <mergeCell ref="B151:N151"/>
    <mergeCell ref="B152:N152"/>
    <mergeCell ref="B153:N153"/>
    <mergeCell ref="B154:N154"/>
    <mergeCell ref="A156:D156"/>
    <mergeCell ref="J156:N156"/>
    <mergeCell ref="A145:C145"/>
    <mergeCell ref="E145:F145"/>
    <mergeCell ref="G145:H145"/>
    <mergeCell ref="A111:B112"/>
    <mergeCell ref="E90:I92"/>
    <mergeCell ref="E134:E135"/>
    <mergeCell ref="F134:F135"/>
    <mergeCell ref="G134:G135"/>
    <mergeCell ref="H134:H135"/>
    <mergeCell ref="A91:D91"/>
    <mergeCell ref="A92:D92"/>
    <mergeCell ref="J94:J97"/>
    <mergeCell ref="B64:N64"/>
    <mergeCell ref="B65:N65"/>
    <mergeCell ref="A68:D68"/>
    <mergeCell ref="J68:N68"/>
    <mergeCell ref="A72:D72"/>
    <mergeCell ref="J72:N72"/>
    <mergeCell ref="A88:D89"/>
    <mergeCell ref="E88:N88"/>
    <mergeCell ref="E89:I89"/>
    <mergeCell ref="D94:D97"/>
    <mergeCell ref="F96:F97"/>
    <mergeCell ref="G96:G97"/>
    <mergeCell ref="K94:K97"/>
    <mergeCell ref="A90:D90"/>
    <mergeCell ref="J90:N90"/>
    <mergeCell ref="J91:N91"/>
    <mergeCell ref="J92:N92"/>
    <mergeCell ref="A160:D160"/>
    <mergeCell ref="J160:N160"/>
    <mergeCell ref="K145:K147"/>
    <mergeCell ref="A146:B147"/>
    <mergeCell ref="C146:D146"/>
    <mergeCell ref="E146:F146"/>
    <mergeCell ref="K142:K143"/>
    <mergeCell ref="D140:D141"/>
    <mergeCell ref="I140:I141"/>
    <mergeCell ref="E141:F141"/>
    <mergeCell ref="I142:I143"/>
    <mergeCell ref="E143:F143"/>
    <mergeCell ref="J142:J143"/>
    <mergeCell ref="G146:H146"/>
    <mergeCell ref="C147:D147"/>
    <mergeCell ref="E147:F147"/>
    <mergeCell ref="G147:H147"/>
    <mergeCell ref="L140:L147"/>
    <mergeCell ref="M140:M147"/>
    <mergeCell ref="N140:N147"/>
    <mergeCell ref="A142:C143"/>
    <mergeCell ref="A144:C144"/>
    <mergeCell ref="J145:J147"/>
    <mergeCell ref="A149:N149"/>
    <mergeCell ref="U143:V143"/>
    <mergeCell ref="Q143:R143"/>
    <mergeCell ref="S143:T143"/>
    <mergeCell ref="A124:B125"/>
    <mergeCell ref="A126:B126"/>
    <mergeCell ref="M136:M137"/>
    <mergeCell ref="N136:N137"/>
    <mergeCell ref="A138:B139"/>
    <mergeCell ref="J140:J141"/>
    <mergeCell ref="K140:K141"/>
    <mergeCell ref="M122:M123"/>
    <mergeCell ref="N122:N123"/>
    <mergeCell ref="A132:A135"/>
    <mergeCell ref="B132:B135"/>
    <mergeCell ref="C132:C135"/>
    <mergeCell ref="D132:D135"/>
    <mergeCell ref="E132:F133"/>
    <mergeCell ref="G132:H133"/>
    <mergeCell ref="I132:I135"/>
    <mergeCell ref="J132:J135"/>
    <mergeCell ref="K132:K135"/>
    <mergeCell ref="L132:L135"/>
    <mergeCell ref="M132:M135"/>
    <mergeCell ref="N132:N135"/>
    <mergeCell ref="U53:V53"/>
    <mergeCell ref="U54:V54"/>
    <mergeCell ref="U142:V142"/>
    <mergeCell ref="Q53:R53"/>
    <mergeCell ref="S53:T53"/>
    <mergeCell ref="A94:A97"/>
    <mergeCell ref="B94:B97"/>
    <mergeCell ref="I54:I55"/>
    <mergeCell ref="A52:B53"/>
    <mergeCell ref="C52:C53"/>
    <mergeCell ref="M94:M97"/>
    <mergeCell ref="J57:J59"/>
    <mergeCell ref="K57:K59"/>
    <mergeCell ref="A93:C93"/>
    <mergeCell ref="A61:N61"/>
    <mergeCell ref="B62:N62"/>
    <mergeCell ref="B63:N63"/>
    <mergeCell ref="L52:L59"/>
    <mergeCell ref="M52:M59"/>
    <mergeCell ref="N52:N59"/>
    <mergeCell ref="I52:I53"/>
    <mergeCell ref="A140:B141"/>
    <mergeCell ref="C140:C141"/>
    <mergeCell ref="A113:B113"/>
    <mergeCell ref="M26:M27"/>
    <mergeCell ref="A50:B51"/>
    <mergeCell ref="M48:M49"/>
    <mergeCell ref="N48:N49"/>
    <mergeCell ref="E53:F53"/>
    <mergeCell ref="G53:H53"/>
    <mergeCell ref="J6:N9"/>
    <mergeCell ref="M11:M14"/>
    <mergeCell ref="A57:C57"/>
    <mergeCell ref="E57:F57"/>
    <mergeCell ref="G57:H57"/>
    <mergeCell ref="N26:N27"/>
    <mergeCell ref="A28:B29"/>
    <mergeCell ref="A30:B30"/>
    <mergeCell ref="A54:C55"/>
    <mergeCell ref="E56:F56"/>
    <mergeCell ref="D52:D53"/>
    <mergeCell ref="J52:J53"/>
    <mergeCell ref="K52:K53"/>
    <mergeCell ref="B44:B47"/>
    <mergeCell ref="K54:K55"/>
    <mergeCell ref="K11:K14"/>
    <mergeCell ref="A9:D9"/>
    <mergeCell ref="E6:I9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E44:F45"/>
    <mergeCell ref="G44:H45"/>
    <mergeCell ref="I44:I47"/>
    <mergeCell ref="J44:J47"/>
    <mergeCell ref="J89:N89"/>
    <mergeCell ref="C44:C47"/>
    <mergeCell ref="G58:H58"/>
    <mergeCell ref="C59:D59"/>
    <mergeCell ref="A58:B59"/>
    <mergeCell ref="C58:D58"/>
    <mergeCell ref="E58:F58"/>
    <mergeCell ref="E59:F59"/>
    <mergeCell ref="G59:H59"/>
    <mergeCell ref="M44:M47"/>
    <mergeCell ref="N44:N47"/>
    <mergeCell ref="E46:E47"/>
    <mergeCell ref="F46:F47"/>
    <mergeCell ref="G46:G47"/>
    <mergeCell ref="H46:H47"/>
    <mergeCell ref="K44:K47"/>
    <mergeCell ref="L44:L47"/>
    <mergeCell ref="A44:A47"/>
    <mergeCell ref="A56:C56"/>
    <mergeCell ref="J54:J55"/>
    <mergeCell ref="S54:T54"/>
    <mergeCell ref="Q142:R142"/>
    <mergeCell ref="S142:T142"/>
    <mergeCell ref="E144:F144"/>
    <mergeCell ref="G144:H144"/>
    <mergeCell ref="E94:F95"/>
    <mergeCell ref="G94:H95"/>
    <mergeCell ref="I94:I97"/>
    <mergeCell ref="L94:L97"/>
    <mergeCell ref="N94:N97"/>
    <mergeCell ref="E96:E97"/>
    <mergeCell ref="M109:M110"/>
    <mergeCell ref="N109:N110"/>
    <mergeCell ref="E55:F55"/>
    <mergeCell ref="G55:H55"/>
    <mergeCell ref="F84:N84"/>
    <mergeCell ref="G56:H56"/>
    <mergeCell ref="G143:H143"/>
    <mergeCell ref="H96:H97"/>
    <mergeCell ref="A98:N98"/>
    <mergeCell ref="C94:C97"/>
    <mergeCell ref="G141:H141"/>
    <mergeCell ref="Q54:R54"/>
    <mergeCell ref="B66:N66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P141" sqref="P141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59</v>
      </c>
      <c r="B1" s="8"/>
      <c r="C1" s="8"/>
      <c r="D1" s="8"/>
      <c r="E1" s="8"/>
      <c r="F1" s="299" t="s">
        <v>29</v>
      </c>
      <c r="G1" s="299"/>
      <c r="H1" s="299"/>
      <c r="I1" s="299"/>
      <c r="J1" s="299"/>
      <c r="K1" s="299"/>
      <c r="L1" s="299"/>
      <c r="M1" s="299"/>
      <c r="N1" s="299"/>
      <c r="O1" s="175"/>
      <c r="P1" s="175"/>
      <c r="T1" s="2"/>
    </row>
    <row r="2" spans="1:20" ht="21.6" customHeight="1">
      <c r="A2" s="11"/>
      <c r="B2" s="8"/>
      <c r="C2" s="8"/>
      <c r="D2" s="8"/>
      <c r="E2" s="8"/>
      <c r="F2" s="181"/>
      <c r="G2" s="181"/>
      <c r="H2" s="181"/>
      <c r="I2" s="181"/>
      <c r="J2" s="181"/>
      <c r="K2" s="181"/>
      <c r="L2" s="181"/>
      <c r="M2" s="181"/>
      <c r="N2" s="181"/>
      <c r="O2" s="175"/>
      <c r="P2" s="175"/>
      <c r="T2" s="2"/>
    </row>
    <row r="3" spans="1:20" ht="21.6" customHeight="1">
      <c r="A3" s="8" t="s">
        <v>219</v>
      </c>
      <c r="B3" s="8"/>
      <c r="C3" s="8"/>
      <c r="D3" s="8"/>
      <c r="E3" s="8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  <c r="T3" s="2"/>
    </row>
    <row r="4" spans="1:20" ht="21.6" customHeight="1">
      <c r="A4" s="8"/>
      <c r="B4" s="8"/>
      <c r="C4" s="8"/>
      <c r="D4" s="8"/>
      <c r="E4" s="8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  <c r="T4" s="2"/>
    </row>
    <row r="5" spans="1:20" s="2" customFormat="1" ht="21.6" customHeight="1">
      <c r="A5" s="203" t="s">
        <v>93</v>
      </c>
      <c r="B5" s="203"/>
      <c r="C5" s="203"/>
      <c r="D5" s="203"/>
      <c r="E5" s="203" t="s">
        <v>94</v>
      </c>
      <c r="F5" s="203"/>
      <c r="G5" s="203"/>
      <c r="H5" s="203"/>
      <c r="I5" s="203"/>
      <c r="J5" s="203"/>
      <c r="K5" s="203"/>
      <c r="L5" s="203"/>
      <c r="M5" s="203"/>
      <c r="N5" s="203"/>
      <c r="O5" s="176"/>
    </row>
    <row r="6" spans="1:20" s="2" customFormat="1" ht="21.6" customHeight="1">
      <c r="A6" s="204" t="s">
        <v>87</v>
      </c>
      <c r="B6" s="204"/>
      <c r="C6" s="204"/>
      <c r="D6" s="204"/>
      <c r="E6" s="207" t="s">
        <v>138</v>
      </c>
      <c r="F6" s="207"/>
      <c r="G6" s="207"/>
      <c r="H6" s="207"/>
      <c r="I6" s="207"/>
      <c r="J6" s="208" t="s">
        <v>188</v>
      </c>
      <c r="K6" s="209"/>
      <c r="L6" s="209"/>
      <c r="M6" s="209"/>
      <c r="N6" s="210"/>
      <c r="O6" s="176"/>
    </row>
    <row r="7" spans="1:20" s="2" customFormat="1" ht="21.6" customHeight="1">
      <c r="A7" s="353" t="s">
        <v>186</v>
      </c>
      <c r="B7" s="354"/>
      <c r="C7" s="354"/>
      <c r="D7" s="355"/>
      <c r="E7" s="207"/>
      <c r="F7" s="207"/>
      <c r="G7" s="207"/>
      <c r="H7" s="207"/>
      <c r="I7" s="207"/>
      <c r="J7" s="211"/>
      <c r="K7" s="212"/>
      <c r="L7" s="212"/>
      <c r="M7" s="212"/>
      <c r="N7" s="213"/>
      <c r="O7" s="176"/>
    </row>
    <row r="8" spans="1:20" s="2" customFormat="1" ht="21.6" customHeight="1">
      <c r="A8" s="205" t="s">
        <v>167</v>
      </c>
      <c r="B8" s="205"/>
      <c r="C8" s="205"/>
      <c r="D8" s="205"/>
      <c r="E8" s="207"/>
      <c r="F8" s="207"/>
      <c r="G8" s="207"/>
      <c r="H8" s="207"/>
      <c r="I8" s="207"/>
      <c r="J8" s="211"/>
      <c r="K8" s="212"/>
      <c r="L8" s="212"/>
      <c r="M8" s="212"/>
      <c r="N8" s="213"/>
      <c r="O8" s="176"/>
    </row>
    <row r="9" spans="1:20" s="2" customFormat="1" ht="21.6" customHeight="1">
      <c r="A9" s="365" t="s">
        <v>187</v>
      </c>
      <c r="B9" s="365"/>
      <c r="C9" s="365"/>
      <c r="D9" s="365"/>
      <c r="E9" s="207"/>
      <c r="F9" s="207"/>
      <c r="G9" s="207"/>
      <c r="H9" s="207"/>
      <c r="I9" s="207"/>
      <c r="J9" s="214"/>
      <c r="K9" s="215"/>
      <c r="L9" s="215"/>
      <c r="M9" s="215"/>
      <c r="N9" s="216"/>
      <c r="O9" s="176"/>
    </row>
    <row r="10" spans="1:20" s="2" customFormat="1" ht="21.6" customHeight="1">
      <c r="A10" s="237" t="s">
        <v>118</v>
      </c>
      <c r="B10" s="238"/>
      <c r="C10" s="239"/>
      <c r="D10" s="128">
        <v>104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76"/>
    </row>
    <row r="11" spans="1:20" ht="21.6" customHeight="1">
      <c r="A11" s="217" t="s">
        <v>0</v>
      </c>
      <c r="B11" s="220" t="s">
        <v>18</v>
      </c>
      <c r="C11" s="312" t="s">
        <v>7</v>
      </c>
      <c r="D11" s="223" t="s">
        <v>8</v>
      </c>
      <c r="E11" s="226" t="s">
        <v>10</v>
      </c>
      <c r="F11" s="227"/>
      <c r="G11" s="226" t="s">
        <v>12</v>
      </c>
      <c r="H11" s="227"/>
      <c r="I11" s="230" t="s">
        <v>15</v>
      </c>
      <c r="J11" s="230" t="s">
        <v>39</v>
      </c>
      <c r="K11" s="230" t="s">
        <v>40</v>
      </c>
      <c r="L11" s="230" t="s">
        <v>16</v>
      </c>
      <c r="M11" s="230" t="s">
        <v>55</v>
      </c>
      <c r="N11" s="217" t="s">
        <v>17</v>
      </c>
      <c r="O11" s="177"/>
    </row>
    <row r="12" spans="1:20" ht="21.6" customHeight="1">
      <c r="A12" s="218"/>
      <c r="B12" s="221"/>
      <c r="C12" s="313"/>
      <c r="D12" s="224"/>
      <c r="E12" s="228"/>
      <c r="F12" s="229"/>
      <c r="G12" s="228"/>
      <c r="H12" s="229"/>
      <c r="I12" s="231"/>
      <c r="J12" s="231"/>
      <c r="K12" s="231"/>
      <c r="L12" s="231"/>
      <c r="M12" s="231"/>
      <c r="N12" s="218"/>
      <c r="O12" s="184"/>
    </row>
    <row r="13" spans="1:20" ht="21.6" customHeight="1">
      <c r="A13" s="218"/>
      <c r="B13" s="221"/>
      <c r="C13" s="313"/>
      <c r="D13" s="224"/>
      <c r="E13" s="230" t="s">
        <v>9</v>
      </c>
      <c r="F13" s="230" t="s">
        <v>11</v>
      </c>
      <c r="G13" s="230" t="s">
        <v>13</v>
      </c>
      <c r="H13" s="230" t="s">
        <v>14</v>
      </c>
      <c r="I13" s="231"/>
      <c r="J13" s="231"/>
      <c r="K13" s="231"/>
      <c r="L13" s="231"/>
      <c r="M13" s="231"/>
      <c r="N13" s="218"/>
      <c r="O13" s="184"/>
    </row>
    <row r="14" spans="1:20" ht="21.6" customHeight="1">
      <c r="A14" s="219"/>
      <c r="B14" s="222"/>
      <c r="C14" s="314"/>
      <c r="D14" s="225"/>
      <c r="E14" s="232"/>
      <c r="F14" s="232"/>
      <c r="G14" s="232"/>
      <c r="H14" s="232"/>
      <c r="I14" s="232"/>
      <c r="J14" s="232"/>
      <c r="K14" s="232"/>
      <c r="L14" s="232"/>
      <c r="M14" s="232"/>
      <c r="N14" s="219"/>
      <c r="O14" s="184"/>
    </row>
    <row r="15" spans="1:20" ht="19.8" customHeight="1">
      <c r="A15" s="246" t="s">
        <v>32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84"/>
    </row>
    <row r="16" spans="1:20" s="2" customFormat="1" ht="19.8" customHeight="1">
      <c r="A16" s="9">
        <v>1</v>
      </c>
      <c r="B16" s="10" t="s">
        <v>2</v>
      </c>
      <c r="C16" s="23">
        <f>L16/100*100</f>
        <v>160</v>
      </c>
      <c r="D16" s="24">
        <f>C16/100*60</f>
        <v>96</v>
      </c>
      <c r="E16" s="25">
        <f>C16/100*15</f>
        <v>24</v>
      </c>
      <c r="F16" s="25"/>
      <c r="G16" s="25"/>
      <c r="H16" s="25"/>
      <c r="I16" s="25"/>
      <c r="J16" s="27">
        <f>C16/100*387</f>
        <v>619.20000000000005</v>
      </c>
      <c r="K16" s="27">
        <f>C16/100*0.09</f>
        <v>0.14399999999999999</v>
      </c>
      <c r="L16" s="137">
        <v>160</v>
      </c>
      <c r="M16" s="75">
        <v>20</v>
      </c>
      <c r="N16" s="28">
        <f>L16*M16</f>
        <v>3200</v>
      </c>
      <c r="O16" s="153"/>
    </row>
    <row r="17" spans="1:20" s="2" customFormat="1" ht="19.8" customHeight="1">
      <c r="A17" s="9">
        <v>2</v>
      </c>
      <c r="B17" s="146" t="s">
        <v>134</v>
      </c>
      <c r="C17" s="23">
        <f>L17/100*100</f>
        <v>310</v>
      </c>
      <c r="D17" s="24">
        <f>C17/100*899</f>
        <v>2786.9</v>
      </c>
      <c r="E17" s="25"/>
      <c r="F17" s="25"/>
      <c r="G17" s="119">
        <f>C17/100*100</f>
        <v>310</v>
      </c>
      <c r="H17" s="25"/>
      <c r="I17" s="25"/>
      <c r="J17" s="27"/>
      <c r="K17" s="27"/>
      <c r="L17" s="137">
        <v>310</v>
      </c>
      <c r="M17" s="75">
        <v>69</v>
      </c>
      <c r="N17" s="28">
        <f t="shared" ref="N17:N24" si="0">L17*M17</f>
        <v>21390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9880</v>
      </c>
      <c r="D18" s="120">
        <f>C18/100*325.3</f>
        <v>32139.64</v>
      </c>
      <c r="E18" s="25"/>
      <c r="F18" s="119">
        <f>C18/100*7.9</f>
        <v>780.52</v>
      </c>
      <c r="G18" s="25"/>
      <c r="H18" s="25">
        <f>C18/100*1</f>
        <v>98.8</v>
      </c>
      <c r="I18" s="119">
        <f>C18/100*68</f>
        <v>6718.4</v>
      </c>
      <c r="J18" s="81">
        <f>C18/100*30</f>
        <v>2964</v>
      </c>
      <c r="K18" s="27">
        <f>C18/100*0.1</f>
        <v>9.8800000000000008</v>
      </c>
      <c r="L18" s="137">
        <v>9880</v>
      </c>
      <c r="M18" s="75">
        <v>18</v>
      </c>
      <c r="N18" s="28">
        <f t="shared" si="0"/>
        <v>177840</v>
      </c>
      <c r="O18" s="153"/>
    </row>
    <row r="19" spans="1:20" s="2" customFormat="1" ht="19.8" customHeight="1">
      <c r="A19" s="9">
        <v>4</v>
      </c>
      <c r="B19" s="5" t="s">
        <v>67</v>
      </c>
      <c r="C19" s="23">
        <f>L19/100*48</f>
        <v>2025.6000000000001</v>
      </c>
      <c r="D19" s="24">
        <f>C19/100*199</f>
        <v>4030.944</v>
      </c>
      <c r="E19" s="119">
        <f>C19/100*22</f>
        <v>445.63200000000001</v>
      </c>
      <c r="F19" s="119"/>
      <c r="G19" s="119">
        <f>C19/100*13.1</f>
        <v>265.35359999999997</v>
      </c>
      <c r="H19" s="25"/>
      <c r="I19" s="25"/>
      <c r="J19" s="27">
        <f>C19/100*12</f>
        <v>243.072</v>
      </c>
      <c r="K19" s="27">
        <f>C19/100*0.15</f>
        <v>3.0383999999999998</v>
      </c>
      <c r="L19" s="137">
        <v>4220</v>
      </c>
      <c r="M19" s="26">
        <v>84</v>
      </c>
      <c r="N19" s="28">
        <f t="shared" si="0"/>
        <v>354480</v>
      </c>
      <c r="O19" s="153"/>
      <c r="Q19" s="3"/>
      <c r="R19" s="3"/>
      <c r="S19" s="4"/>
    </row>
    <row r="20" spans="1:20" s="2" customFormat="1" ht="19.8" customHeight="1">
      <c r="A20" s="9">
        <v>5</v>
      </c>
      <c r="B20" s="10" t="s">
        <v>69</v>
      </c>
      <c r="C20" s="23">
        <f>L20/100*98</f>
        <v>1626.8000000000002</v>
      </c>
      <c r="D20" s="24">
        <f>C20/100*139</f>
        <v>2261.252</v>
      </c>
      <c r="E20" s="119">
        <f>C20/100*20</f>
        <v>325.36</v>
      </c>
      <c r="F20" s="25"/>
      <c r="G20" s="119">
        <f>C20/100*7</f>
        <v>113.876</v>
      </c>
      <c r="H20" s="25"/>
      <c r="I20" s="25"/>
      <c r="J20" s="25">
        <f>C20/100*7</f>
        <v>113.876</v>
      </c>
      <c r="K20" s="25">
        <f>C20/100*0.9</f>
        <v>14.641200000000001</v>
      </c>
      <c r="L20" s="137">
        <v>1660</v>
      </c>
      <c r="M20" s="75">
        <v>133</v>
      </c>
      <c r="N20" s="28">
        <f t="shared" si="0"/>
        <v>220780</v>
      </c>
      <c r="O20" s="153"/>
    </row>
    <row r="21" spans="1:20" s="2" customFormat="1" ht="19.8" customHeight="1">
      <c r="A21" s="9">
        <v>6</v>
      </c>
      <c r="B21" s="79" t="s">
        <v>137</v>
      </c>
      <c r="C21" s="23">
        <f>L21/100*89</f>
        <v>2331.7999999999997</v>
      </c>
      <c r="D21" s="24">
        <f>C21/100*154</f>
        <v>3590.9719999999998</v>
      </c>
      <c r="E21" s="119">
        <f>C21/100*13.1</f>
        <v>305.46579999999994</v>
      </c>
      <c r="F21" s="119"/>
      <c r="G21" s="119">
        <f>C21/100*11.1</f>
        <v>258.82979999999998</v>
      </c>
      <c r="H21" s="25"/>
      <c r="I21" s="25">
        <f>C21/100*0.4</f>
        <v>9.3271999999999995</v>
      </c>
      <c r="J21" s="81">
        <f>C21/100*64</f>
        <v>1492.3519999999999</v>
      </c>
      <c r="K21" s="27">
        <f>C21/100*0.13</f>
        <v>3.0313399999999997</v>
      </c>
      <c r="L21" s="26">
        <v>2620</v>
      </c>
      <c r="M21" s="54">
        <v>77</v>
      </c>
      <c r="N21" s="151">
        <f t="shared" si="0"/>
        <v>201740</v>
      </c>
      <c r="O21" s="153"/>
    </row>
    <row r="22" spans="1:20" s="2" customFormat="1" ht="19.8" customHeight="1">
      <c r="A22" s="9">
        <v>7</v>
      </c>
      <c r="B22" s="5" t="s">
        <v>129</v>
      </c>
      <c r="C22" s="23">
        <f>L22/100*100</f>
        <v>100</v>
      </c>
      <c r="D22" s="24">
        <f>C22/100*247</f>
        <v>247</v>
      </c>
      <c r="E22" s="29"/>
      <c r="F22" s="29">
        <f>C22/100*17.5</f>
        <v>17.5</v>
      </c>
      <c r="G22" s="29"/>
      <c r="H22" s="29">
        <f>C22/100*1.6</f>
        <v>1.6</v>
      </c>
      <c r="I22" s="29">
        <f>C22/100*39.2</f>
        <v>39.200000000000003</v>
      </c>
      <c r="J22" s="71"/>
      <c r="K22" s="71"/>
      <c r="L22" s="383">
        <v>100</v>
      </c>
      <c r="M22" s="75">
        <v>50</v>
      </c>
      <c r="N22" s="28">
        <f t="shared" si="0"/>
        <v>5000</v>
      </c>
      <c r="O22" s="153"/>
      <c r="Q22" s="3"/>
      <c r="R22" s="3"/>
      <c r="S22" s="4"/>
      <c r="T22" s="3"/>
    </row>
    <row r="23" spans="1:20" s="2" customFormat="1" ht="20.399999999999999" customHeight="1">
      <c r="A23" s="9">
        <v>8</v>
      </c>
      <c r="B23" s="5" t="s">
        <v>189</v>
      </c>
      <c r="C23" s="23">
        <f>L23/100*82</f>
        <v>2820.7999999999997</v>
      </c>
      <c r="D23" s="24">
        <f>C23/100*114</f>
        <v>3215.712</v>
      </c>
      <c r="E23" s="25"/>
      <c r="F23" s="25">
        <f>C23/100*1.8</f>
        <v>50.7744</v>
      </c>
      <c r="G23" s="25"/>
      <c r="H23" s="25">
        <f>C23/100*0.1</f>
        <v>2.8208000000000002</v>
      </c>
      <c r="I23" s="25">
        <f>C23/100*26.5</f>
        <v>747.51199999999994</v>
      </c>
      <c r="J23" s="81">
        <f>C23/100*64</f>
        <v>1805.3119999999999</v>
      </c>
      <c r="K23" s="24">
        <f>C23/100*0.06</f>
        <v>1.6924799999999998</v>
      </c>
      <c r="L23" s="137">
        <v>3440</v>
      </c>
      <c r="M23" s="77">
        <v>30</v>
      </c>
      <c r="N23" s="28">
        <f t="shared" si="0"/>
        <v>103200</v>
      </c>
      <c r="O23" s="178"/>
      <c r="Q23" s="3"/>
      <c r="R23" s="3"/>
      <c r="S23" s="4"/>
    </row>
    <row r="24" spans="1:20" s="2" customFormat="1" ht="19.8" customHeight="1">
      <c r="A24" s="9">
        <v>9</v>
      </c>
      <c r="B24" s="149" t="s">
        <v>72</v>
      </c>
      <c r="C24" s="23">
        <f>L24/100*75</f>
        <v>1440</v>
      </c>
      <c r="D24" s="24">
        <f>C24/100*12</f>
        <v>172.8</v>
      </c>
      <c r="E24" s="25"/>
      <c r="F24" s="25">
        <f>C24/100*0.6</f>
        <v>8.64</v>
      </c>
      <c r="G24" s="25"/>
      <c r="H24" s="25"/>
      <c r="I24" s="25">
        <f>C24/100*2.4</f>
        <v>34.56</v>
      </c>
      <c r="J24" s="25">
        <f>C24/100*26</f>
        <v>374.40000000000003</v>
      </c>
      <c r="K24" s="25">
        <f>C24/100*0.02</f>
        <v>0.28800000000000003</v>
      </c>
      <c r="L24" s="137">
        <v>1920</v>
      </c>
      <c r="M24" s="75">
        <v>20</v>
      </c>
      <c r="N24" s="28">
        <f t="shared" si="0"/>
        <v>38400</v>
      </c>
      <c r="O24" s="153"/>
    </row>
    <row r="25" spans="1:20" s="2" customFormat="1" ht="19.8" customHeight="1">
      <c r="A25" s="9">
        <v>10</v>
      </c>
      <c r="B25" s="6" t="s">
        <v>119</v>
      </c>
      <c r="C25" s="23"/>
      <c r="D25" s="24"/>
      <c r="E25" s="25"/>
      <c r="F25" s="25"/>
      <c r="G25" s="25"/>
      <c r="H25" s="25"/>
      <c r="I25" s="25"/>
      <c r="J25" s="27"/>
      <c r="K25" s="27"/>
      <c r="L25" s="26"/>
      <c r="M25" s="26"/>
      <c r="N25" s="28">
        <v>7600</v>
      </c>
      <c r="O25" s="153"/>
    </row>
    <row r="26" spans="1:20" s="2" customFormat="1" ht="19.8" customHeight="1">
      <c r="A26" s="21" t="s">
        <v>101</v>
      </c>
      <c r="B26" s="22"/>
      <c r="C26" s="34"/>
      <c r="D26" s="121">
        <f>SUM(D16:D25)</f>
        <v>48541.220000000008</v>
      </c>
      <c r="E26" s="36"/>
      <c r="F26" s="36"/>
      <c r="G26" s="36"/>
      <c r="H26" s="36"/>
      <c r="I26" s="36"/>
      <c r="J26" s="36"/>
      <c r="K26" s="36"/>
      <c r="L26" s="37"/>
      <c r="M26" s="339"/>
      <c r="N26" s="379">
        <f>SUM(N16:N25)</f>
        <v>1133630</v>
      </c>
      <c r="O26" s="153"/>
    </row>
    <row r="27" spans="1:20" s="2" customFormat="1" ht="19.8" customHeight="1">
      <c r="A27" s="21" t="s">
        <v>5</v>
      </c>
      <c r="B27" s="22"/>
      <c r="C27" s="34"/>
      <c r="D27" s="35">
        <f>D26/D10</f>
        <v>466.74250000000006</v>
      </c>
      <c r="E27" s="36"/>
      <c r="F27" s="36"/>
      <c r="G27" s="36"/>
      <c r="H27" s="36"/>
      <c r="I27" s="36"/>
      <c r="J27" s="36"/>
      <c r="K27" s="36"/>
      <c r="L27" s="37"/>
      <c r="M27" s="340"/>
      <c r="N27" s="380"/>
      <c r="O27" s="153"/>
    </row>
    <row r="28" spans="1:20" s="2" customFormat="1" ht="19.8" customHeight="1">
      <c r="A28" s="300" t="s">
        <v>49</v>
      </c>
      <c r="B28" s="360"/>
      <c r="C28" s="384" t="s">
        <v>141</v>
      </c>
      <c r="D28" s="20" t="s">
        <v>43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19.8" customHeight="1">
      <c r="A29" s="361"/>
      <c r="B29" s="362"/>
      <c r="C29" s="76" t="s">
        <v>58</v>
      </c>
      <c r="D29" s="20">
        <f>D27*100/1320</f>
        <v>35.35928030303031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19.8" customHeight="1">
      <c r="A30" s="244" t="s">
        <v>33</v>
      </c>
      <c r="B30" s="244"/>
      <c r="C30" s="56"/>
      <c r="D30" s="57"/>
      <c r="E30" s="58"/>
      <c r="F30" s="58"/>
      <c r="G30" s="58"/>
      <c r="H30" s="58"/>
      <c r="I30" s="58"/>
      <c r="J30" s="58"/>
      <c r="K30" s="58"/>
      <c r="L30" s="59"/>
      <c r="M30" s="59"/>
      <c r="N30" s="69"/>
      <c r="O30" s="153"/>
    </row>
    <row r="31" spans="1:20" s="2" customFormat="1" ht="19.8" customHeight="1">
      <c r="A31" s="9">
        <v>1</v>
      </c>
      <c r="B31" s="10" t="s">
        <v>2</v>
      </c>
      <c r="C31" s="23">
        <f t="shared" ref="C31:C37" si="1">L31/100*100</f>
        <v>120</v>
      </c>
      <c r="D31" s="24">
        <f>C31/100*60</f>
        <v>72</v>
      </c>
      <c r="E31" s="25">
        <f>C31/100*15</f>
        <v>18</v>
      </c>
      <c r="F31" s="25"/>
      <c r="G31" s="25"/>
      <c r="H31" s="25"/>
      <c r="I31" s="25"/>
      <c r="J31" s="27">
        <f>C31/100*387</f>
        <v>464.4</v>
      </c>
      <c r="K31" s="27">
        <f>C31/100*0.09</f>
        <v>0.108</v>
      </c>
      <c r="L31" s="137">
        <v>120</v>
      </c>
      <c r="M31" s="75">
        <v>20</v>
      </c>
      <c r="N31" s="135">
        <f>L31*M31</f>
        <v>2400</v>
      </c>
      <c r="O31" s="153"/>
    </row>
    <row r="32" spans="1:20" s="2" customFormat="1" ht="19.8" customHeight="1">
      <c r="A32" s="9">
        <v>2</v>
      </c>
      <c r="B32" s="146" t="s">
        <v>134</v>
      </c>
      <c r="C32" s="23">
        <f t="shared" si="1"/>
        <v>520</v>
      </c>
      <c r="D32" s="24">
        <f>C32/100*899</f>
        <v>4674.8</v>
      </c>
      <c r="E32" s="25"/>
      <c r="F32" s="25"/>
      <c r="G32" s="119">
        <f>C32/100*100</f>
        <v>520</v>
      </c>
      <c r="H32" s="25"/>
      <c r="I32" s="25"/>
      <c r="J32" s="25"/>
      <c r="K32" s="25"/>
      <c r="L32" s="137">
        <v>520</v>
      </c>
      <c r="M32" s="144">
        <v>69</v>
      </c>
      <c r="N32" s="135">
        <f t="shared" ref="N32:N40" si="2">L32*M32</f>
        <v>35880</v>
      </c>
      <c r="O32" s="179"/>
    </row>
    <row r="33" spans="1:23" s="2" customFormat="1" ht="19.8" customHeight="1">
      <c r="A33" s="9">
        <v>3</v>
      </c>
      <c r="B33" s="148" t="s">
        <v>136</v>
      </c>
      <c r="C33" s="23">
        <f>L33/100*100</f>
        <v>160</v>
      </c>
      <c r="D33" s="120">
        <f>C33/100*900</f>
        <v>1440</v>
      </c>
      <c r="E33" s="25"/>
      <c r="F33" s="25"/>
      <c r="G33" s="119"/>
      <c r="H33" s="119">
        <f>C33/100*100</f>
        <v>160</v>
      </c>
      <c r="I33" s="25"/>
      <c r="J33" s="25"/>
      <c r="K33" s="25"/>
      <c r="L33" s="137">
        <v>160</v>
      </c>
      <c r="M33" s="75">
        <v>65</v>
      </c>
      <c r="N33" s="135">
        <f t="shared" si="2"/>
        <v>10400</v>
      </c>
      <c r="O33" s="179"/>
    </row>
    <row r="34" spans="1:23" s="2" customFormat="1" ht="19.8" customHeight="1">
      <c r="A34" s="9">
        <v>4</v>
      </c>
      <c r="B34" s="5" t="s">
        <v>1</v>
      </c>
      <c r="C34" s="23">
        <f t="shared" si="1"/>
        <v>1560</v>
      </c>
      <c r="D34" s="24">
        <f>C34/100*325.3</f>
        <v>5074.68</v>
      </c>
      <c r="E34" s="25"/>
      <c r="F34" s="119">
        <f>C34/100*7.9</f>
        <v>123.24000000000001</v>
      </c>
      <c r="G34" s="25"/>
      <c r="H34" s="25">
        <f>C34/100*1</f>
        <v>15.6</v>
      </c>
      <c r="I34" s="119">
        <f>C34/100*68</f>
        <v>1060.8</v>
      </c>
      <c r="J34" s="27">
        <f>C34/100*30</f>
        <v>468</v>
      </c>
      <c r="K34" s="27">
        <f>C34/100*0.1</f>
        <v>1.56</v>
      </c>
      <c r="L34" s="137">
        <v>1560</v>
      </c>
      <c r="M34" s="75">
        <v>18</v>
      </c>
      <c r="N34" s="135">
        <f t="shared" si="2"/>
        <v>28080</v>
      </c>
      <c r="O34" s="153"/>
    </row>
    <row r="35" spans="1:23" s="2" customFormat="1" ht="19.8" customHeight="1">
      <c r="A35" s="9">
        <v>5</v>
      </c>
      <c r="B35" s="5" t="s">
        <v>70</v>
      </c>
      <c r="C35" s="23">
        <f t="shared" si="1"/>
        <v>1040</v>
      </c>
      <c r="D35" s="24">
        <f>C35/100*344</f>
        <v>3577.6</v>
      </c>
      <c r="E35" s="25"/>
      <c r="F35" s="25">
        <f>C35/100*8.6</f>
        <v>89.44</v>
      </c>
      <c r="G35" s="25"/>
      <c r="H35" s="25">
        <f>C35/100*1.5</f>
        <v>15.600000000000001</v>
      </c>
      <c r="I35" s="25">
        <f>C35/100*74.5</f>
        <v>774.80000000000007</v>
      </c>
      <c r="J35" s="25">
        <f>C35/100*32</f>
        <v>332.8</v>
      </c>
      <c r="K35" s="25">
        <f>C35/100*0.14</f>
        <v>1.4560000000000002</v>
      </c>
      <c r="L35" s="137">
        <v>1040</v>
      </c>
      <c r="M35" s="75">
        <v>30</v>
      </c>
      <c r="N35" s="135">
        <f t="shared" si="2"/>
        <v>31200</v>
      </c>
      <c r="O35" s="153"/>
      <c r="P35" s="18"/>
    </row>
    <row r="36" spans="1:23" s="2" customFormat="1" ht="19.8" customHeight="1">
      <c r="A36" s="9">
        <v>6</v>
      </c>
      <c r="B36" s="5" t="s">
        <v>65</v>
      </c>
      <c r="C36" s="23">
        <f t="shared" si="1"/>
        <v>200</v>
      </c>
      <c r="D36" s="24">
        <f>C36/100*334</f>
        <v>668</v>
      </c>
      <c r="E36" s="25"/>
      <c r="F36" s="25">
        <f>C36/100*20</f>
        <v>40</v>
      </c>
      <c r="G36" s="25"/>
      <c r="H36" s="25">
        <f>C36/100*2.4</f>
        <v>4.8</v>
      </c>
      <c r="I36" s="25">
        <f>C36/100*58</f>
        <v>116</v>
      </c>
      <c r="J36" s="27">
        <f>C36/100*89</f>
        <v>178</v>
      </c>
      <c r="K36" s="27">
        <f>C36/100*0.64</f>
        <v>1.28</v>
      </c>
      <c r="L36" s="137">
        <v>200</v>
      </c>
      <c r="M36" s="75">
        <v>190</v>
      </c>
      <c r="N36" s="135">
        <f>L36*M36</f>
        <v>38000</v>
      </c>
      <c r="O36" s="153"/>
    </row>
    <row r="37" spans="1:23" s="2" customFormat="1" ht="19.8" customHeight="1">
      <c r="A37" s="9">
        <v>7</v>
      </c>
      <c r="B37" s="5" t="s">
        <v>129</v>
      </c>
      <c r="C37" s="23">
        <f t="shared" si="1"/>
        <v>70</v>
      </c>
      <c r="D37" s="24">
        <f>C37/100*247</f>
        <v>172.89999999999998</v>
      </c>
      <c r="E37" s="29"/>
      <c r="F37" s="29">
        <f>C37/100*17.5</f>
        <v>12.25</v>
      </c>
      <c r="G37" s="29"/>
      <c r="H37" s="29">
        <f>C37/100*1.6</f>
        <v>1.1199999999999999</v>
      </c>
      <c r="I37" s="29">
        <f>C37/100*39.2</f>
        <v>27.44</v>
      </c>
      <c r="J37" s="71"/>
      <c r="K37" s="71"/>
      <c r="L37" s="383">
        <v>70</v>
      </c>
      <c r="M37" s="75">
        <v>50</v>
      </c>
      <c r="N37" s="135">
        <f t="shared" ref="N37:N39" si="3">L37*M37</f>
        <v>3500</v>
      </c>
      <c r="O37" s="153"/>
      <c r="Q37" s="3"/>
      <c r="R37" s="3"/>
      <c r="S37" s="4"/>
      <c r="T37" s="3"/>
    </row>
    <row r="38" spans="1:23" s="2" customFormat="1" ht="19.8" customHeight="1">
      <c r="A38" s="9">
        <v>8</v>
      </c>
      <c r="B38" s="10" t="s">
        <v>3</v>
      </c>
      <c r="C38" s="23">
        <f>L38/100*98</f>
        <v>1166.2</v>
      </c>
      <c r="D38" s="24">
        <f>C38/100*118</f>
        <v>1376.116</v>
      </c>
      <c r="E38" s="119">
        <f>C38/100*23</f>
        <v>268.226</v>
      </c>
      <c r="F38" s="25"/>
      <c r="G38" s="25">
        <f>C38/100*3.8</f>
        <v>44.315600000000003</v>
      </c>
      <c r="H38" s="25"/>
      <c r="I38" s="25"/>
      <c r="J38" s="25">
        <f>C38/100*12</f>
        <v>139.94400000000002</v>
      </c>
      <c r="K38" s="25">
        <f>C38/100*0.1</f>
        <v>1.1662000000000001</v>
      </c>
      <c r="L38" s="137">
        <v>1190</v>
      </c>
      <c r="M38" s="143">
        <v>270</v>
      </c>
      <c r="N38" s="135">
        <f t="shared" si="3"/>
        <v>321300</v>
      </c>
      <c r="O38" s="153"/>
    </row>
    <row r="39" spans="1:23" s="2" customFormat="1" ht="19.8" customHeight="1">
      <c r="A39" s="9">
        <v>9</v>
      </c>
      <c r="B39" s="5" t="s">
        <v>67</v>
      </c>
      <c r="C39" s="23">
        <f>L39/100*48</f>
        <v>1233.5999999999999</v>
      </c>
      <c r="D39" s="24">
        <f>C39/100*199</f>
        <v>2454.8639999999996</v>
      </c>
      <c r="E39" s="119">
        <f>C39/100*22</f>
        <v>271.39199999999994</v>
      </c>
      <c r="F39" s="119"/>
      <c r="G39" s="119">
        <f>C39/100*13.1</f>
        <v>161.60159999999996</v>
      </c>
      <c r="H39" s="25"/>
      <c r="I39" s="25"/>
      <c r="J39" s="27">
        <f>C39/100*12</f>
        <v>148.03199999999998</v>
      </c>
      <c r="K39" s="27">
        <f>C39/100*0.15</f>
        <v>1.8503999999999996</v>
      </c>
      <c r="L39" s="137">
        <v>2570</v>
      </c>
      <c r="M39" s="137">
        <v>84</v>
      </c>
      <c r="N39" s="135">
        <f t="shared" si="3"/>
        <v>215880</v>
      </c>
      <c r="O39" s="153"/>
      <c r="Q39" s="3"/>
      <c r="R39" s="3"/>
      <c r="S39" s="4"/>
    </row>
    <row r="40" spans="1:23" s="2" customFormat="1" ht="19.8" customHeight="1">
      <c r="A40" s="9">
        <v>10</v>
      </c>
      <c r="B40" s="152" t="s">
        <v>139</v>
      </c>
      <c r="C40" s="23">
        <f>L40/100*100</f>
        <v>1770</v>
      </c>
      <c r="D40" s="24">
        <f>C40/100*487</f>
        <v>8619.9</v>
      </c>
      <c r="E40" s="29"/>
      <c r="F40" s="168">
        <f>C40/100*19.5</f>
        <v>345.15</v>
      </c>
      <c r="G40" s="168"/>
      <c r="H40" s="168">
        <f>C40/100*23.2</f>
        <v>410.64</v>
      </c>
      <c r="I40" s="29">
        <f>C40/100*46</f>
        <v>814.19999999999993</v>
      </c>
      <c r="J40" s="119">
        <f>C40/100*680</f>
        <v>12036</v>
      </c>
      <c r="K40" s="25">
        <f>C40/100*0.55</f>
        <v>9.7350000000000012</v>
      </c>
      <c r="L40" s="30">
        <v>1770</v>
      </c>
      <c r="M40" s="143">
        <v>260</v>
      </c>
      <c r="N40" s="135">
        <f t="shared" si="2"/>
        <v>460200</v>
      </c>
      <c r="O40" s="153"/>
      <c r="P40" s="3"/>
    </row>
    <row r="41" spans="1:23" s="2" customFormat="1" ht="19.8" customHeight="1">
      <c r="A41" s="103">
        <v>11</v>
      </c>
      <c r="B41" s="112" t="s">
        <v>119</v>
      </c>
      <c r="C41" s="104"/>
      <c r="D41" s="105"/>
      <c r="E41" s="106"/>
      <c r="F41" s="106"/>
      <c r="G41" s="106"/>
      <c r="H41" s="106"/>
      <c r="I41" s="106"/>
      <c r="J41" s="114"/>
      <c r="K41" s="114"/>
      <c r="L41" s="107"/>
      <c r="M41" s="107"/>
      <c r="N41" s="108">
        <v>7040</v>
      </c>
      <c r="O41" s="153"/>
      <c r="P41" s="153"/>
    </row>
    <row r="42" spans="1:23" ht="21" customHeight="1">
      <c r="A42" s="217" t="s">
        <v>0</v>
      </c>
      <c r="B42" s="220" t="s">
        <v>18</v>
      </c>
      <c r="C42" s="312" t="s">
        <v>7</v>
      </c>
      <c r="D42" s="223" t="s">
        <v>8</v>
      </c>
      <c r="E42" s="226" t="s">
        <v>10</v>
      </c>
      <c r="F42" s="227"/>
      <c r="G42" s="226" t="s">
        <v>12</v>
      </c>
      <c r="H42" s="227"/>
      <c r="I42" s="230" t="s">
        <v>15</v>
      </c>
      <c r="J42" s="230" t="s">
        <v>39</v>
      </c>
      <c r="K42" s="230" t="s">
        <v>40</v>
      </c>
      <c r="L42" s="230" t="s">
        <v>16</v>
      </c>
      <c r="M42" s="230" t="s">
        <v>55</v>
      </c>
      <c r="N42" s="217" t="s">
        <v>17</v>
      </c>
      <c r="O42" s="177"/>
    </row>
    <row r="43" spans="1:23" ht="21" customHeight="1">
      <c r="A43" s="218"/>
      <c r="B43" s="221"/>
      <c r="C43" s="313"/>
      <c r="D43" s="224"/>
      <c r="E43" s="228"/>
      <c r="F43" s="229"/>
      <c r="G43" s="228"/>
      <c r="H43" s="229"/>
      <c r="I43" s="231"/>
      <c r="J43" s="231"/>
      <c r="K43" s="231"/>
      <c r="L43" s="231"/>
      <c r="M43" s="231"/>
      <c r="N43" s="218"/>
      <c r="O43" s="184"/>
    </row>
    <row r="44" spans="1:23" ht="21" customHeight="1">
      <c r="A44" s="218"/>
      <c r="B44" s="221"/>
      <c r="C44" s="313"/>
      <c r="D44" s="224"/>
      <c r="E44" s="230" t="s">
        <v>9</v>
      </c>
      <c r="F44" s="230" t="s">
        <v>11</v>
      </c>
      <c r="G44" s="230" t="s">
        <v>13</v>
      </c>
      <c r="H44" s="230" t="s">
        <v>14</v>
      </c>
      <c r="I44" s="231"/>
      <c r="J44" s="231"/>
      <c r="K44" s="231"/>
      <c r="L44" s="231"/>
      <c r="M44" s="231"/>
      <c r="N44" s="218"/>
      <c r="O44" s="184"/>
    </row>
    <row r="45" spans="1:23" ht="21" customHeight="1">
      <c r="A45" s="219"/>
      <c r="B45" s="222"/>
      <c r="C45" s="314"/>
      <c r="D45" s="225"/>
      <c r="E45" s="232"/>
      <c r="F45" s="232"/>
      <c r="G45" s="232"/>
      <c r="H45" s="232"/>
      <c r="I45" s="232"/>
      <c r="J45" s="232"/>
      <c r="K45" s="232"/>
      <c r="L45" s="232"/>
      <c r="M45" s="232"/>
      <c r="N45" s="219"/>
      <c r="O45" s="184"/>
    </row>
    <row r="46" spans="1:23" s="2" customFormat="1" ht="21" customHeight="1">
      <c r="A46" s="21" t="s">
        <v>102</v>
      </c>
      <c r="B46" s="22"/>
      <c r="C46" s="34"/>
      <c r="D46" s="121">
        <f>SUM(D31:D41)</f>
        <v>28130.86</v>
      </c>
      <c r="E46" s="43"/>
      <c r="F46" s="43"/>
      <c r="G46" s="43"/>
      <c r="H46" s="43"/>
      <c r="I46" s="43"/>
      <c r="J46" s="43"/>
      <c r="K46" s="43"/>
      <c r="L46" s="44"/>
      <c r="M46" s="315"/>
      <c r="N46" s="377">
        <f>SUM(N31:N41)</f>
        <v>1153880</v>
      </c>
      <c r="O46" s="153"/>
    </row>
    <row r="47" spans="1:23" ht="21" customHeight="1">
      <c r="A47" s="21" t="s">
        <v>6</v>
      </c>
      <c r="B47" s="22"/>
      <c r="C47" s="45"/>
      <c r="D47" s="46">
        <f>D46/D10</f>
        <v>270.48903846153848</v>
      </c>
      <c r="E47" s="46"/>
      <c r="F47" s="46"/>
      <c r="G47" s="46"/>
      <c r="H47" s="46"/>
      <c r="I47" s="46"/>
      <c r="J47" s="46"/>
      <c r="K47" s="46"/>
      <c r="L47" s="47"/>
      <c r="M47" s="316"/>
      <c r="N47" s="378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300" t="s">
        <v>50</v>
      </c>
      <c r="B48" s="234"/>
      <c r="C48" s="384" t="s">
        <v>141</v>
      </c>
      <c r="D48" s="20" t="s">
        <v>56</v>
      </c>
      <c r="E48" s="46"/>
      <c r="F48" s="46"/>
      <c r="G48" s="46"/>
      <c r="H48" s="46"/>
      <c r="I48" s="46"/>
      <c r="J48" s="48"/>
      <c r="K48" s="48"/>
      <c r="L48" s="47"/>
      <c r="M48" s="47"/>
      <c r="N48" s="185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35"/>
      <c r="B49" s="236"/>
      <c r="C49" s="76" t="s">
        <v>58</v>
      </c>
      <c r="D49" s="20">
        <f>D47*100/1320</f>
        <v>20.491593822843825</v>
      </c>
      <c r="E49" s="46"/>
      <c r="F49" s="46"/>
      <c r="G49" s="46"/>
      <c r="H49" s="46"/>
      <c r="I49" s="46"/>
      <c r="J49" s="48"/>
      <c r="K49" s="48"/>
      <c r="L49" s="47"/>
      <c r="M49" s="47"/>
      <c r="N49" s="185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92" t="s">
        <v>103</v>
      </c>
      <c r="B50" s="293"/>
      <c r="C50" s="296"/>
      <c r="D50" s="308">
        <f>D26+D46</f>
        <v>76672.080000000016</v>
      </c>
      <c r="E50" s="123">
        <f>SUM(E16:E41)</f>
        <v>1658.0757999999996</v>
      </c>
      <c r="F50" s="123">
        <f t="shared" ref="F50:H50" si="4">SUM(F16:F41)</f>
        <v>1467.5144</v>
      </c>
      <c r="G50" s="123">
        <f t="shared" si="4"/>
        <v>1673.9765999999997</v>
      </c>
      <c r="H50" s="50">
        <f t="shared" si="4"/>
        <v>710.98080000000004</v>
      </c>
      <c r="I50" s="363">
        <f>SUM(I16:I41)</f>
        <v>10342.2392</v>
      </c>
      <c r="J50" s="260">
        <f>SUM(J16:J41)</f>
        <v>21379.387999999999</v>
      </c>
      <c r="K50" s="290">
        <f>SUM(K16:K41)</f>
        <v>49.871020000000001</v>
      </c>
      <c r="L50" s="274"/>
      <c r="M50" s="274"/>
      <c r="N50" s="310">
        <f>N26+N46</f>
        <v>2287510</v>
      </c>
      <c r="U50" s="12"/>
      <c r="V50" s="12"/>
    </row>
    <row r="51" spans="1:23" ht="21" customHeight="1">
      <c r="A51" s="294"/>
      <c r="B51" s="295"/>
      <c r="C51" s="297"/>
      <c r="D51" s="309"/>
      <c r="E51" s="321">
        <f>E50+F50</f>
        <v>3125.5901999999996</v>
      </c>
      <c r="F51" s="322"/>
      <c r="G51" s="288">
        <f>G50+H50</f>
        <v>2384.9573999999998</v>
      </c>
      <c r="H51" s="289"/>
      <c r="I51" s="364"/>
      <c r="J51" s="262"/>
      <c r="K51" s="291"/>
      <c r="L51" s="274"/>
      <c r="M51" s="274"/>
      <c r="N51" s="310"/>
      <c r="U51" s="12"/>
      <c r="V51" s="12"/>
    </row>
    <row r="52" spans="1:23" ht="21" customHeight="1">
      <c r="A52" s="254" t="s">
        <v>74</v>
      </c>
      <c r="B52" s="255"/>
      <c r="C52" s="256"/>
      <c r="D52" s="138">
        <f>D50/D10</f>
        <v>737.23153846153866</v>
      </c>
      <c r="E52" s="385">
        <f>E50/D10</f>
        <v>15.943036538461534</v>
      </c>
      <c r="F52" s="386">
        <f>F50/D10</f>
        <v>14.110715384615386</v>
      </c>
      <c r="G52" s="385">
        <f>G50/D10</f>
        <v>16.095928846153843</v>
      </c>
      <c r="H52" s="386">
        <f>H50/D10</f>
        <v>6.8363538461538464</v>
      </c>
      <c r="I52" s="270">
        <f>I50/D10</f>
        <v>99.444607692307699</v>
      </c>
      <c r="J52" s="270">
        <f>J50/D10</f>
        <v>205.57103846153845</v>
      </c>
      <c r="K52" s="306">
        <f>K50/D10</f>
        <v>0.47952903846153849</v>
      </c>
      <c r="L52" s="274"/>
      <c r="M52" s="274"/>
      <c r="N52" s="310"/>
      <c r="P52" s="398"/>
      <c r="Q52" s="399"/>
      <c r="R52" s="399"/>
      <c r="S52" s="399"/>
      <c r="T52" s="399"/>
      <c r="U52" s="400"/>
      <c r="V52" s="400"/>
    </row>
    <row r="53" spans="1:23" ht="21" customHeight="1">
      <c r="A53" s="257"/>
      <c r="B53" s="258"/>
      <c r="C53" s="259"/>
      <c r="D53" s="127"/>
      <c r="E53" s="387">
        <f>E52+F52</f>
        <v>30.05375192307692</v>
      </c>
      <c r="F53" s="388"/>
      <c r="G53" s="387">
        <f>G52+H52</f>
        <v>22.932282692307687</v>
      </c>
      <c r="H53" s="388"/>
      <c r="I53" s="271"/>
      <c r="J53" s="271"/>
      <c r="K53" s="307"/>
      <c r="L53" s="274"/>
      <c r="M53" s="274"/>
      <c r="N53" s="310"/>
      <c r="P53" s="401"/>
      <c r="Q53" s="399"/>
      <c r="R53" s="399"/>
      <c r="S53" s="399"/>
      <c r="T53" s="399"/>
      <c r="U53" s="399"/>
      <c r="V53" s="399"/>
    </row>
    <row r="54" spans="1:23" ht="21" customHeight="1">
      <c r="A54" s="324" t="s">
        <v>77</v>
      </c>
      <c r="B54" s="325"/>
      <c r="C54" s="326"/>
      <c r="D54" s="187" t="s">
        <v>26</v>
      </c>
      <c r="E54" s="203" t="s">
        <v>19</v>
      </c>
      <c r="F54" s="203"/>
      <c r="G54" s="203" t="s">
        <v>20</v>
      </c>
      <c r="H54" s="203"/>
      <c r="I54" s="389" t="s">
        <v>21</v>
      </c>
      <c r="J54" s="389">
        <v>600</v>
      </c>
      <c r="K54" s="389">
        <v>0.7</v>
      </c>
      <c r="L54" s="274"/>
      <c r="M54" s="274"/>
      <c r="N54" s="310"/>
      <c r="O54" s="180"/>
      <c r="P54" s="398"/>
      <c r="Q54" s="398"/>
      <c r="R54" s="398"/>
      <c r="S54" s="398"/>
      <c r="T54" s="398"/>
      <c r="U54" s="398"/>
      <c r="V54" s="398"/>
    </row>
    <row r="55" spans="1:23" ht="21" customHeight="1">
      <c r="A55" s="251" t="s">
        <v>75</v>
      </c>
      <c r="B55" s="281"/>
      <c r="C55" s="252"/>
      <c r="D55" s="49"/>
      <c r="E55" s="282">
        <f>E53*4.1</f>
        <v>123.22038288461536</v>
      </c>
      <c r="F55" s="283"/>
      <c r="G55" s="282">
        <f>G53*9</f>
        <v>206.39054423076919</v>
      </c>
      <c r="H55" s="283"/>
      <c r="I55" s="122">
        <f>I52*4.1</f>
        <v>407.72289153846151</v>
      </c>
      <c r="J55" s="263"/>
      <c r="K55" s="263"/>
      <c r="L55" s="274"/>
      <c r="M55" s="274"/>
      <c r="N55" s="310"/>
      <c r="O55" s="180"/>
      <c r="P55" s="402"/>
      <c r="Q55" s="403"/>
      <c r="R55" s="403"/>
      <c r="S55" s="403"/>
      <c r="T55" s="398"/>
      <c r="U55" s="398"/>
      <c r="V55" s="398"/>
    </row>
    <row r="56" spans="1:23" ht="21" customHeight="1">
      <c r="A56" s="284" t="s">
        <v>78</v>
      </c>
      <c r="B56" s="285"/>
      <c r="C56" s="251" t="s">
        <v>57</v>
      </c>
      <c r="D56" s="252"/>
      <c r="E56" s="197">
        <f>E55*100/D52</f>
        <v>16.713932659711322</v>
      </c>
      <c r="F56" s="198"/>
      <c r="G56" s="197">
        <f>G55*100/D52</f>
        <v>27.995349284902652</v>
      </c>
      <c r="H56" s="198"/>
      <c r="I56" s="115">
        <f>I55*100/D52</f>
        <v>55.304591606227433</v>
      </c>
      <c r="J56" s="264"/>
      <c r="K56" s="264"/>
      <c r="L56" s="274"/>
      <c r="M56" s="274"/>
      <c r="N56" s="310"/>
      <c r="O56" s="180"/>
      <c r="P56" s="398"/>
      <c r="Q56" s="398"/>
      <c r="R56" s="398"/>
      <c r="S56" s="398"/>
      <c r="T56" s="398"/>
      <c r="U56" s="398"/>
      <c r="V56" s="398"/>
    </row>
    <row r="57" spans="1:23" ht="21" customHeight="1">
      <c r="A57" s="286"/>
      <c r="B57" s="287"/>
      <c r="C57" s="251" t="s">
        <v>76</v>
      </c>
      <c r="D57" s="252"/>
      <c r="E57" s="251" t="s">
        <v>79</v>
      </c>
      <c r="F57" s="252"/>
      <c r="G57" s="251" t="s">
        <v>80</v>
      </c>
      <c r="H57" s="252"/>
      <c r="I57" s="187" t="s">
        <v>81</v>
      </c>
      <c r="J57" s="265"/>
      <c r="K57" s="265"/>
      <c r="L57" s="274"/>
      <c r="M57" s="274"/>
      <c r="N57" s="310"/>
      <c r="O57" s="180"/>
      <c r="P57" s="132"/>
    </row>
    <row r="58" spans="1:23" ht="21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180"/>
    </row>
    <row r="59" spans="1:23" ht="21" customHeight="1">
      <c r="A59" s="192" t="s">
        <v>110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80"/>
    </row>
    <row r="60" spans="1:23" ht="21" customHeight="1">
      <c r="A60" s="117" t="s">
        <v>111</v>
      </c>
      <c r="B60" s="193" t="s">
        <v>112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80"/>
    </row>
    <row r="61" spans="1:23" ht="21" customHeight="1">
      <c r="A61" s="118"/>
      <c r="B61" s="194" t="s">
        <v>220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80"/>
    </row>
    <row r="62" spans="1:23" ht="21" customHeight="1">
      <c r="A62" s="118"/>
      <c r="B62" s="194" t="s">
        <v>221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80"/>
    </row>
    <row r="63" spans="1:23" ht="21" customHeight="1">
      <c r="A63" s="118"/>
      <c r="B63" s="194" t="s">
        <v>156</v>
      </c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80"/>
    </row>
    <row r="64" spans="1:23" ht="21" customHeight="1">
      <c r="A64" s="90"/>
      <c r="B64" s="195" t="s">
        <v>113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80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180"/>
    </row>
    <row r="66" spans="1:15" ht="21" customHeight="1">
      <c r="A66" s="196" t="s">
        <v>60</v>
      </c>
      <c r="B66" s="196"/>
      <c r="C66" s="196"/>
      <c r="D66" s="196"/>
      <c r="E66" s="390"/>
      <c r="F66" s="390"/>
      <c r="G66" s="390"/>
      <c r="H66" s="390"/>
      <c r="I66" s="390"/>
      <c r="J66" s="391" t="s">
        <v>31</v>
      </c>
      <c r="K66" s="391"/>
      <c r="L66" s="391"/>
      <c r="M66" s="391"/>
      <c r="N66" s="391"/>
      <c r="O66" s="180"/>
    </row>
    <row r="67" spans="1:15" ht="21" customHeight="1">
      <c r="A67" s="184"/>
      <c r="B67" s="184"/>
      <c r="C67" s="184"/>
      <c r="D67" s="390"/>
      <c r="E67" s="390"/>
      <c r="F67" s="390"/>
      <c r="G67" s="390"/>
      <c r="H67" s="392"/>
      <c r="I67" s="392"/>
      <c r="J67" s="392"/>
      <c r="K67" s="392"/>
      <c r="L67" s="392"/>
      <c r="M67" s="392"/>
      <c r="N67" s="392"/>
      <c r="O67" s="180"/>
    </row>
    <row r="68" spans="1:15" ht="21" customHeight="1">
      <c r="A68" s="184"/>
      <c r="B68" s="184"/>
      <c r="C68" s="184"/>
      <c r="D68" s="390"/>
      <c r="E68" s="390"/>
      <c r="F68" s="390"/>
      <c r="G68" s="390"/>
      <c r="H68" s="392"/>
      <c r="I68" s="392"/>
      <c r="J68" s="392"/>
      <c r="K68" s="392"/>
      <c r="L68" s="392"/>
      <c r="M68" s="392"/>
      <c r="N68" s="392"/>
      <c r="O68" s="180"/>
    </row>
    <row r="69" spans="1:15" ht="21" customHeight="1">
      <c r="A69" s="184"/>
      <c r="B69" s="184"/>
      <c r="C69" s="184"/>
      <c r="D69" s="390"/>
      <c r="E69" s="390"/>
      <c r="F69" s="390"/>
      <c r="G69" s="390"/>
      <c r="H69" s="392"/>
      <c r="I69" s="392"/>
      <c r="J69" s="393" t="s">
        <v>120</v>
      </c>
      <c r="K69" s="393"/>
      <c r="L69" s="393"/>
      <c r="M69" s="393"/>
      <c r="N69" s="393"/>
      <c r="O69" s="180"/>
    </row>
    <row r="70" spans="1:15" ht="21" customHeight="1">
      <c r="A70" s="188" t="s">
        <v>88</v>
      </c>
      <c r="B70" s="188"/>
      <c r="C70" s="188"/>
      <c r="D70" s="188"/>
      <c r="E70" s="390"/>
      <c r="F70" s="390"/>
      <c r="G70" s="390"/>
      <c r="H70" s="392"/>
      <c r="I70" s="392"/>
      <c r="O70" s="180"/>
    </row>
    <row r="71" spans="1:15" ht="21" customHeight="1">
      <c r="A71" s="184"/>
      <c r="B71" s="184"/>
      <c r="C71" s="184"/>
      <c r="D71" s="390"/>
      <c r="E71" s="390"/>
      <c r="F71" s="390"/>
      <c r="G71" s="390"/>
      <c r="H71" s="392"/>
      <c r="I71" s="392"/>
      <c r="J71" s="392"/>
      <c r="K71" s="392"/>
      <c r="L71" s="392"/>
      <c r="M71" s="392"/>
      <c r="N71" s="392"/>
      <c r="O71" s="180"/>
    </row>
    <row r="72" spans="1:15" ht="21" customHeight="1">
      <c r="A72" s="184"/>
      <c r="B72" s="184"/>
      <c r="C72" s="184"/>
      <c r="D72" s="390"/>
      <c r="E72" s="390"/>
      <c r="F72" s="390"/>
      <c r="G72" s="390"/>
      <c r="H72" s="392"/>
      <c r="I72" s="392"/>
      <c r="J72" s="393" t="s">
        <v>123</v>
      </c>
      <c r="K72" s="393"/>
      <c r="L72" s="393"/>
      <c r="M72" s="393"/>
      <c r="N72" s="393"/>
      <c r="O72" s="180"/>
    </row>
    <row r="73" spans="1:15" ht="21" customHeight="1">
      <c r="A73" s="184"/>
      <c r="B73" s="184"/>
      <c r="C73" s="184"/>
      <c r="D73" s="390"/>
      <c r="E73" s="390"/>
      <c r="F73" s="390"/>
      <c r="G73" s="390"/>
      <c r="H73" s="392"/>
      <c r="I73" s="392"/>
      <c r="J73" s="392"/>
      <c r="K73" s="392"/>
      <c r="L73" s="392"/>
      <c r="M73" s="392"/>
      <c r="N73" s="392"/>
      <c r="O73" s="180"/>
    </row>
    <row r="74" spans="1:15" ht="21" customHeight="1">
      <c r="A74" s="184"/>
      <c r="B74" s="184"/>
      <c r="C74" s="184"/>
      <c r="D74" s="390"/>
      <c r="E74" s="390"/>
      <c r="F74" s="390"/>
      <c r="G74" s="390"/>
      <c r="H74" s="392"/>
      <c r="I74" s="392"/>
      <c r="J74" s="392"/>
      <c r="K74" s="392"/>
      <c r="L74" s="392"/>
      <c r="M74" s="392"/>
      <c r="N74" s="392"/>
      <c r="O74" s="180"/>
    </row>
    <row r="75" spans="1:15" ht="21" customHeight="1">
      <c r="A75" s="184"/>
      <c r="B75" s="184"/>
      <c r="C75" s="184"/>
      <c r="D75" s="390"/>
      <c r="E75" s="390"/>
      <c r="F75" s="390"/>
      <c r="G75" s="390"/>
      <c r="H75" s="392"/>
      <c r="I75" s="392"/>
      <c r="J75" s="392"/>
      <c r="K75" s="392"/>
      <c r="L75" s="392"/>
      <c r="M75" s="392"/>
      <c r="N75" s="392"/>
      <c r="O75" s="180"/>
    </row>
    <row r="76" spans="1:15" ht="21" customHeight="1">
      <c r="A76" s="184"/>
      <c r="B76" s="184"/>
      <c r="C76" s="184"/>
      <c r="D76" s="390"/>
      <c r="E76" s="390"/>
      <c r="F76" s="390"/>
      <c r="G76" s="390"/>
      <c r="H76" s="392"/>
      <c r="I76" s="392"/>
      <c r="J76" s="392"/>
      <c r="K76" s="392"/>
      <c r="L76" s="392"/>
      <c r="M76" s="392"/>
      <c r="N76" s="392"/>
      <c r="O76" s="180"/>
    </row>
    <row r="77" spans="1:15" ht="21" customHeight="1">
      <c r="A77" s="184"/>
      <c r="B77" s="184"/>
      <c r="C77" s="184"/>
      <c r="D77" s="390"/>
      <c r="E77" s="390"/>
      <c r="F77" s="390"/>
      <c r="G77" s="390"/>
      <c r="H77" s="392"/>
      <c r="I77" s="392"/>
      <c r="J77" s="392"/>
      <c r="K77" s="392"/>
      <c r="L77" s="392"/>
      <c r="M77" s="392"/>
      <c r="N77" s="392"/>
      <c r="O77" s="180"/>
    </row>
    <row r="78" spans="1:15" ht="21" customHeight="1">
      <c r="A78" s="184"/>
      <c r="B78" s="184"/>
      <c r="C78" s="184"/>
      <c r="D78" s="390"/>
      <c r="E78" s="390"/>
      <c r="F78" s="390"/>
      <c r="G78" s="390"/>
      <c r="H78" s="392"/>
      <c r="I78" s="392"/>
      <c r="J78" s="392"/>
      <c r="K78" s="392"/>
      <c r="L78" s="392"/>
      <c r="M78" s="392"/>
      <c r="N78" s="392"/>
      <c r="O78" s="180"/>
    </row>
    <row r="79" spans="1:15" ht="21" customHeight="1">
      <c r="A79" s="184"/>
      <c r="B79" s="184"/>
      <c r="C79" s="184"/>
      <c r="D79" s="390"/>
      <c r="E79" s="390"/>
      <c r="F79" s="390"/>
      <c r="G79" s="390"/>
      <c r="H79" s="392"/>
      <c r="I79" s="392"/>
      <c r="J79" s="392"/>
      <c r="K79" s="392"/>
      <c r="L79" s="392"/>
      <c r="M79" s="392"/>
      <c r="N79" s="392"/>
      <c r="O79" s="180"/>
    </row>
    <row r="80" spans="1:15" ht="21" customHeight="1">
      <c r="A80" s="184"/>
      <c r="B80" s="184"/>
      <c r="C80" s="184"/>
      <c r="D80" s="390"/>
      <c r="E80" s="390"/>
      <c r="F80" s="390"/>
      <c r="G80" s="390"/>
      <c r="H80" s="392"/>
      <c r="I80" s="392"/>
      <c r="J80" s="392"/>
      <c r="K80" s="392"/>
      <c r="L80" s="392"/>
      <c r="M80" s="392"/>
      <c r="N80" s="392"/>
      <c r="O80" s="180"/>
    </row>
    <row r="81" spans="1:20" ht="21" customHeight="1">
      <c r="A81" s="184"/>
      <c r="B81" s="184"/>
      <c r="C81" s="184"/>
      <c r="D81" s="390"/>
      <c r="E81" s="390"/>
      <c r="F81" s="390"/>
      <c r="G81" s="390"/>
      <c r="H81" s="392"/>
      <c r="I81" s="392"/>
      <c r="J81" s="392"/>
      <c r="K81" s="392"/>
      <c r="L81" s="392"/>
      <c r="M81" s="392"/>
      <c r="N81" s="392"/>
      <c r="O81" s="180"/>
    </row>
    <row r="82" spans="1:20" ht="19.8" customHeight="1">
      <c r="A82" s="11" t="s">
        <v>59</v>
      </c>
      <c r="B82" s="8"/>
      <c r="C82" s="8"/>
      <c r="D82" s="8"/>
      <c r="E82" s="8"/>
      <c r="F82" s="299" t="s">
        <v>30</v>
      </c>
      <c r="G82" s="299"/>
      <c r="H82" s="299"/>
      <c r="I82" s="299"/>
      <c r="J82" s="299"/>
      <c r="K82" s="299"/>
      <c r="L82" s="299"/>
      <c r="M82" s="299"/>
      <c r="N82" s="299"/>
      <c r="O82" s="175"/>
      <c r="P82" s="175"/>
      <c r="T82" s="2"/>
    </row>
    <row r="83" spans="1:20" ht="10.199999999999999" customHeight="1">
      <c r="A83" s="11"/>
      <c r="B83" s="8"/>
      <c r="C83" s="8"/>
      <c r="D83" s="8"/>
      <c r="E83" s="8"/>
      <c r="F83" s="181"/>
      <c r="G83" s="181"/>
      <c r="H83" s="181"/>
      <c r="I83" s="181"/>
      <c r="J83" s="181"/>
      <c r="K83" s="181"/>
      <c r="L83" s="181"/>
      <c r="M83" s="181"/>
      <c r="N83" s="181"/>
      <c r="O83" s="175"/>
      <c r="P83" s="175"/>
      <c r="T83" s="2"/>
    </row>
    <row r="84" spans="1:20" ht="19.8" customHeight="1">
      <c r="A84" s="8" t="s">
        <v>219</v>
      </c>
      <c r="B84" s="8"/>
      <c r="C84" s="8"/>
      <c r="D84" s="8"/>
      <c r="E84" s="8"/>
      <c r="F84" s="181"/>
      <c r="G84" s="181"/>
      <c r="H84" s="181"/>
      <c r="I84" s="181"/>
      <c r="J84" s="181"/>
      <c r="K84" s="181"/>
      <c r="L84" s="181"/>
      <c r="M84" s="181"/>
      <c r="N84" s="181"/>
      <c r="O84" s="175"/>
      <c r="P84" s="175"/>
      <c r="T84" s="2"/>
    </row>
    <row r="85" spans="1:20" ht="9.6" customHeight="1">
      <c r="A85" s="8"/>
      <c r="B85" s="8"/>
      <c r="C85" s="8"/>
      <c r="D85" s="8"/>
      <c r="E85" s="8"/>
      <c r="F85" s="181"/>
      <c r="G85" s="181"/>
      <c r="H85" s="181"/>
      <c r="I85" s="181"/>
      <c r="J85" s="181"/>
      <c r="K85" s="181"/>
      <c r="L85" s="181"/>
      <c r="M85" s="181"/>
      <c r="N85" s="181"/>
      <c r="O85" s="175"/>
      <c r="P85" s="175"/>
      <c r="T85" s="2"/>
    </row>
    <row r="86" spans="1:20" s="2" customFormat="1" ht="18" customHeight="1">
      <c r="A86" s="203" t="s">
        <v>93</v>
      </c>
      <c r="B86" s="203"/>
      <c r="C86" s="203"/>
      <c r="D86" s="203"/>
      <c r="E86" s="203" t="s">
        <v>86</v>
      </c>
      <c r="F86" s="203"/>
      <c r="G86" s="203"/>
      <c r="H86" s="203"/>
      <c r="I86" s="203"/>
      <c r="J86" s="203"/>
      <c r="K86" s="203"/>
      <c r="L86" s="203"/>
      <c r="M86" s="203"/>
      <c r="N86" s="203"/>
      <c r="O86" s="176"/>
    </row>
    <row r="87" spans="1:20" s="2" customFormat="1" ht="18" customHeight="1">
      <c r="A87" s="203"/>
      <c r="B87" s="203"/>
      <c r="C87" s="203"/>
      <c r="D87" s="203"/>
      <c r="E87" s="203" t="s">
        <v>100</v>
      </c>
      <c r="F87" s="203"/>
      <c r="G87" s="203"/>
      <c r="H87" s="203"/>
      <c r="I87" s="203"/>
      <c r="J87" s="203" t="s">
        <v>97</v>
      </c>
      <c r="K87" s="203"/>
      <c r="L87" s="203"/>
      <c r="M87" s="203"/>
      <c r="N87" s="203"/>
      <c r="O87" s="176"/>
    </row>
    <row r="88" spans="1:20" s="2" customFormat="1" ht="18" customHeight="1">
      <c r="A88" s="204" t="s">
        <v>87</v>
      </c>
      <c r="B88" s="204"/>
      <c r="C88" s="204"/>
      <c r="D88" s="204"/>
      <c r="E88" s="207" t="s">
        <v>138</v>
      </c>
      <c r="F88" s="207"/>
      <c r="G88" s="207"/>
      <c r="H88" s="207"/>
      <c r="I88" s="207"/>
      <c r="J88" s="208" t="s">
        <v>190</v>
      </c>
      <c r="K88" s="209"/>
      <c r="L88" s="209"/>
      <c r="M88" s="209"/>
      <c r="N88" s="210"/>
      <c r="O88" s="176"/>
    </row>
    <row r="89" spans="1:20" s="2" customFormat="1" ht="18" customHeight="1">
      <c r="A89" s="353" t="s">
        <v>186</v>
      </c>
      <c r="B89" s="354"/>
      <c r="C89" s="354"/>
      <c r="D89" s="355"/>
      <c r="E89" s="207"/>
      <c r="F89" s="207"/>
      <c r="G89" s="207"/>
      <c r="H89" s="207"/>
      <c r="I89" s="207"/>
      <c r="J89" s="211"/>
      <c r="K89" s="212"/>
      <c r="L89" s="212"/>
      <c r="M89" s="212"/>
      <c r="N89" s="213"/>
      <c r="O89" s="176"/>
    </row>
    <row r="90" spans="1:20" s="2" customFormat="1" ht="18" customHeight="1">
      <c r="A90" s="365" t="s">
        <v>187</v>
      </c>
      <c r="B90" s="365"/>
      <c r="C90" s="365"/>
      <c r="D90" s="365"/>
      <c r="E90" s="207"/>
      <c r="F90" s="207"/>
      <c r="G90" s="207"/>
      <c r="H90" s="207"/>
      <c r="I90" s="207"/>
      <c r="J90" s="214"/>
      <c r="K90" s="215"/>
      <c r="L90" s="215"/>
      <c r="M90" s="215"/>
      <c r="N90" s="216"/>
      <c r="O90" s="176"/>
    </row>
    <row r="91" spans="1:20" ht="18" customHeight="1">
      <c r="A91" s="237" t="s">
        <v>118</v>
      </c>
      <c r="B91" s="238"/>
      <c r="C91" s="239"/>
      <c r="D91" s="128">
        <v>44</v>
      </c>
      <c r="E91" s="8"/>
      <c r="F91" s="181"/>
      <c r="G91" s="181"/>
      <c r="H91" s="181"/>
      <c r="I91" s="181"/>
      <c r="J91" s="181"/>
      <c r="K91" s="181"/>
      <c r="L91" s="181"/>
      <c r="M91" s="181"/>
      <c r="N91" s="181"/>
      <c r="O91" s="175"/>
      <c r="P91" s="175"/>
      <c r="T91" s="2"/>
    </row>
    <row r="92" spans="1:20" ht="19.8" customHeight="1">
      <c r="A92" s="217" t="s">
        <v>0</v>
      </c>
      <c r="B92" s="220" t="s">
        <v>18</v>
      </c>
      <c r="C92" s="374" t="s">
        <v>7</v>
      </c>
      <c r="D92" s="223" t="s">
        <v>8</v>
      </c>
      <c r="E92" s="370" t="s">
        <v>10</v>
      </c>
      <c r="F92" s="371"/>
      <c r="G92" s="370" t="s">
        <v>12</v>
      </c>
      <c r="H92" s="371"/>
      <c r="I92" s="230" t="s">
        <v>15</v>
      </c>
      <c r="J92" s="230" t="s">
        <v>39</v>
      </c>
      <c r="K92" s="230" t="s">
        <v>40</v>
      </c>
      <c r="L92" s="230" t="s">
        <v>16</v>
      </c>
      <c r="M92" s="230" t="s">
        <v>55</v>
      </c>
      <c r="N92" s="217" t="s">
        <v>17</v>
      </c>
      <c r="O92" s="177"/>
    </row>
    <row r="93" spans="1:20" ht="19.8" customHeight="1">
      <c r="A93" s="218"/>
      <c r="B93" s="221"/>
      <c r="C93" s="375"/>
      <c r="D93" s="224"/>
      <c r="E93" s="372"/>
      <c r="F93" s="373"/>
      <c r="G93" s="372"/>
      <c r="H93" s="373"/>
      <c r="I93" s="231"/>
      <c r="J93" s="231"/>
      <c r="K93" s="231"/>
      <c r="L93" s="231"/>
      <c r="M93" s="231"/>
      <c r="N93" s="218"/>
      <c r="O93" s="184"/>
    </row>
    <row r="94" spans="1:20" ht="19.8" customHeight="1">
      <c r="A94" s="218"/>
      <c r="B94" s="221"/>
      <c r="C94" s="375"/>
      <c r="D94" s="224"/>
      <c r="E94" s="230" t="s">
        <v>9</v>
      </c>
      <c r="F94" s="230" t="s">
        <v>11</v>
      </c>
      <c r="G94" s="230" t="s">
        <v>91</v>
      </c>
      <c r="H94" s="230" t="s">
        <v>14</v>
      </c>
      <c r="I94" s="231"/>
      <c r="J94" s="231"/>
      <c r="K94" s="231"/>
      <c r="L94" s="231"/>
      <c r="M94" s="231"/>
      <c r="N94" s="218"/>
      <c r="O94" s="184"/>
    </row>
    <row r="95" spans="1:20" ht="19.8" customHeight="1">
      <c r="A95" s="219"/>
      <c r="B95" s="222"/>
      <c r="C95" s="376"/>
      <c r="D95" s="225"/>
      <c r="E95" s="232"/>
      <c r="F95" s="232"/>
      <c r="G95" s="232"/>
      <c r="H95" s="232"/>
      <c r="I95" s="232"/>
      <c r="J95" s="232"/>
      <c r="K95" s="232"/>
      <c r="L95" s="232"/>
      <c r="M95" s="232"/>
      <c r="N95" s="219"/>
      <c r="O95" s="184"/>
    </row>
    <row r="96" spans="1:20" ht="19.8" customHeight="1">
      <c r="A96" s="246" t="s">
        <v>37</v>
      </c>
      <c r="B96" s="247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8"/>
      <c r="O96" s="184"/>
    </row>
    <row r="97" spans="1:23" s="2" customFormat="1" ht="19.2" customHeight="1">
      <c r="A97" s="9">
        <v>1</v>
      </c>
      <c r="B97" s="10" t="s">
        <v>2</v>
      </c>
      <c r="C97" s="23">
        <f>L97/100*100</f>
        <v>60</v>
      </c>
      <c r="D97" s="24">
        <f>C97/100*60</f>
        <v>36</v>
      </c>
      <c r="E97" s="25">
        <f>C97/100*15</f>
        <v>9</v>
      </c>
      <c r="F97" s="25"/>
      <c r="G97" s="25"/>
      <c r="H97" s="25"/>
      <c r="I97" s="25"/>
      <c r="J97" s="27">
        <f>C97/100*387</f>
        <v>232.2</v>
      </c>
      <c r="K97" s="27">
        <f>C97/100*0.09</f>
        <v>5.3999999999999999E-2</v>
      </c>
      <c r="L97" s="137">
        <v>60</v>
      </c>
      <c r="M97" s="75">
        <v>20</v>
      </c>
      <c r="N97" s="28">
        <f>L97*M97</f>
        <v>1200</v>
      </c>
      <c r="O97" s="153"/>
    </row>
    <row r="98" spans="1:23" s="2" customFormat="1" ht="19.2" customHeight="1">
      <c r="A98" s="9">
        <v>2</v>
      </c>
      <c r="B98" s="146" t="s">
        <v>134</v>
      </c>
      <c r="C98" s="23">
        <f>L98/100*100</f>
        <v>220.00000000000003</v>
      </c>
      <c r="D98" s="24">
        <f>C98/100*899</f>
        <v>1977.8000000000002</v>
      </c>
      <c r="E98" s="25"/>
      <c r="F98" s="25"/>
      <c r="G98" s="120">
        <f>C98/100*100</f>
        <v>220.00000000000003</v>
      </c>
      <c r="H98" s="119"/>
      <c r="I98" s="25"/>
      <c r="J98" s="27"/>
      <c r="K98" s="27"/>
      <c r="L98" s="137">
        <v>220</v>
      </c>
      <c r="M98" s="75">
        <v>69</v>
      </c>
      <c r="N98" s="28">
        <f t="shared" ref="N98:N103" si="5">L98*M98</f>
        <v>15180</v>
      </c>
      <c r="O98" s="153"/>
    </row>
    <row r="99" spans="1:23" s="2" customFormat="1" ht="19.2" customHeight="1">
      <c r="A99" s="9">
        <v>3</v>
      </c>
      <c r="B99" s="5" t="s">
        <v>1</v>
      </c>
      <c r="C99" s="23">
        <f>L99/100*100</f>
        <v>1892.0000000000002</v>
      </c>
      <c r="D99" s="24">
        <f>C99/100*342.2</f>
        <v>6474.424</v>
      </c>
      <c r="E99" s="25"/>
      <c r="F99" s="119">
        <f>C99/100*7.9</f>
        <v>149.46800000000002</v>
      </c>
      <c r="G99" s="25"/>
      <c r="H99" s="25">
        <f>C99/100*1</f>
        <v>18.920000000000002</v>
      </c>
      <c r="I99" s="119">
        <f>C99/100*75.9</f>
        <v>1436.0280000000002</v>
      </c>
      <c r="J99" s="27">
        <f>C99/100*30</f>
        <v>567.6</v>
      </c>
      <c r="K99" s="27">
        <f>C99/100*0.1</f>
        <v>1.8920000000000003</v>
      </c>
      <c r="L99" s="137">
        <v>1892</v>
      </c>
      <c r="M99" s="75">
        <v>18</v>
      </c>
      <c r="N99" s="28">
        <f t="shared" si="5"/>
        <v>34056</v>
      </c>
      <c r="O99" s="153"/>
    </row>
    <row r="100" spans="1:23" s="2" customFormat="1" ht="19.2" customHeight="1">
      <c r="A100" s="9">
        <v>4</v>
      </c>
      <c r="B100" s="5" t="s">
        <v>67</v>
      </c>
      <c r="C100" s="23">
        <f>L100/100*48</f>
        <v>844.80000000000007</v>
      </c>
      <c r="D100" s="24">
        <f>C100/100*199</f>
        <v>1681.152</v>
      </c>
      <c r="E100" s="119">
        <f>C100/100*20.3</f>
        <v>171.49440000000001</v>
      </c>
      <c r="F100" s="119"/>
      <c r="G100" s="119">
        <f>C100/100*13.1</f>
        <v>110.6688</v>
      </c>
      <c r="H100" s="25"/>
      <c r="I100" s="25"/>
      <c r="J100" s="27">
        <f>C100/100*12</f>
        <v>101.376</v>
      </c>
      <c r="K100" s="27">
        <f>C100/100*0.15</f>
        <v>1.2672000000000001</v>
      </c>
      <c r="L100" s="137">
        <v>1760</v>
      </c>
      <c r="M100" s="26">
        <v>84</v>
      </c>
      <c r="N100" s="28">
        <f t="shared" si="5"/>
        <v>147840</v>
      </c>
      <c r="O100" s="153"/>
      <c r="Q100" s="3"/>
      <c r="R100" s="3"/>
      <c r="S100" s="4"/>
    </row>
    <row r="101" spans="1:23" s="2" customFormat="1" ht="19.2" customHeight="1">
      <c r="A101" s="9">
        <v>5</v>
      </c>
      <c r="B101" s="79" t="s">
        <v>137</v>
      </c>
      <c r="C101" s="23">
        <f>L101/100*89</f>
        <v>1646.5</v>
      </c>
      <c r="D101" s="24">
        <f>C101/100*154</f>
        <v>2535.61</v>
      </c>
      <c r="E101" s="119">
        <f>C101/100*13.1</f>
        <v>215.69149999999999</v>
      </c>
      <c r="F101" s="119"/>
      <c r="G101" s="119">
        <f>C101/100*8.3</f>
        <v>136.65950000000001</v>
      </c>
      <c r="H101" s="25"/>
      <c r="I101" s="25">
        <f>C101/100*0.4</f>
        <v>6.5860000000000003</v>
      </c>
      <c r="J101" s="81">
        <f>C101/100*64</f>
        <v>1053.76</v>
      </c>
      <c r="K101" s="27">
        <f>C101/100*0.13</f>
        <v>2.14045</v>
      </c>
      <c r="L101" s="26">
        <v>1850</v>
      </c>
      <c r="M101" s="54">
        <v>77</v>
      </c>
      <c r="N101" s="151">
        <f t="shared" si="5"/>
        <v>142450</v>
      </c>
      <c r="O101" s="153"/>
    </row>
    <row r="102" spans="1:23" s="2" customFormat="1" ht="19.2" customHeight="1">
      <c r="A102" s="9">
        <v>6</v>
      </c>
      <c r="B102" s="5" t="s">
        <v>129</v>
      </c>
      <c r="C102" s="23">
        <f>L102/100*100</f>
        <v>30</v>
      </c>
      <c r="D102" s="24">
        <f>C102/100*247</f>
        <v>74.099999999999994</v>
      </c>
      <c r="E102" s="29"/>
      <c r="F102" s="29">
        <f>C102/100*17.5</f>
        <v>5.25</v>
      </c>
      <c r="G102" s="29"/>
      <c r="H102" s="29">
        <f>C102/100*1.6</f>
        <v>0.48</v>
      </c>
      <c r="I102" s="29">
        <f>C102/100*39.2</f>
        <v>11.76</v>
      </c>
      <c r="J102" s="71"/>
      <c r="K102" s="71"/>
      <c r="L102" s="383">
        <v>30</v>
      </c>
      <c r="M102" s="75">
        <v>50</v>
      </c>
      <c r="N102" s="28">
        <f t="shared" si="5"/>
        <v>1500</v>
      </c>
      <c r="O102" s="153"/>
      <c r="Q102" s="3"/>
      <c r="R102" s="3"/>
      <c r="S102" s="4"/>
      <c r="T102" s="3"/>
    </row>
    <row r="103" spans="1:23" s="2" customFormat="1" ht="20.399999999999999" customHeight="1">
      <c r="A103" s="9">
        <v>7</v>
      </c>
      <c r="B103" s="5" t="s">
        <v>189</v>
      </c>
      <c r="C103" s="23">
        <f>L103/100*82</f>
        <v>1008.6</v>
      </c>
      <c r="D103" s="24">
        <f>C103/100*114</f>
        <v>1149.8040000000001</v>
      </c>
      <c r="E103" s="25"/>
      <c r="F103" s="25">
        <f>C103/100*1.8</f>
        <v>18.154800000000002</v>
      </c>
      <c r="G103" s="25"/>
      <c r="H103" s="25">
        <f>C103/100*0.1</f>
        <v>1.0086000000000002</v>
      </c>
      <c r="I103" s="25">
        <f>C103/100*26.5</f>
        <v>267.279</v>
      </c>
      <c r="J103" s="27">
        <f>C103/100*64</f>
        <v>645.50400000000002</v>
      </c>
      <c r="K103" s="24">
        <f>C103/100*0.06</f>
        <v>0.60516000000000003</v>
      </c>
      <c r="L103" s="137">
        <v>1230</v>
      </c>
      <c r="M103" s="77">
        <v>30</v>
      </c>
      <c r="N103" s="28">
        <f t="shared" si="5"/>
        <v>36900</v>
      </c>
      <c r="O103" s="178"/>
      <c r="Q103" s="3"/>
      <c r="R103" s="3"/>
      <c r="S103" s="4"/>
    </row>
    <row r="104" spans="1:23" s="2" customFormat="1" ht="19.2" customHeight="1">
      <c r="A104" s="9">
        <v>8</v>
      </c>
      <c r="B104" s="6" t="s">
        <v>119</v>
      </c>
      <c r="C104" s="23"/>
      <c r="D104" s="24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3040</v>
      </c>
      <c r="O104" s="153"/>
    </row>
    <row r="105" spans="1:23" s="2" customFormat="1" ht="19.2" customHeight="1">
      <c r="A105" s="21" t="s">
        <v>114</v>
      </c>
      <c r="B105" s="22"/>
      <c r="C105" s="34"/>
      <c r="D105" s="121">
        <f>SUM(D97:D104)</f>
        <v>13928.890000000001</v>
      </c>
      <c r="E105" s="43"/>
      <c r="F105" s="43"/>
      <c r="G105" s="43"/>
      <c r="H105" s="43"/>
      <c r="I105" s="43"/>
      <c r="J105" s="43"/>
      <c r="K105" s="43"/>
      <c r="L105" s="44"/>
      <c r="M105" s="315"/>
      <c r="N105" s="201">
        <f>SUM(N97:N104)</f>
        <v>382166</v>
      </c>
      <c r="O105" s="153"/>
    </row>
    <row r="106" spans="1:23" ht="19.2" customHeight="1">
      <c r="A106" s="21" t="s">
        <v>35</v>
      </c>
      <c r="B106" s="22"/>
      <c r="C106" s="45"/>
      <c r="D106" s="46">
        <f>D105/D91</f>
        <v>316.56568181818187</v>
      </c>
      <c r="E106" s="46"/>
      <c r="F106" s="46"/>
      <c r="G106" s="46"/>
      <c r="H106" s="46"/>
      <c r="I106" s="46"/>
      <c r="J106" s="46"/>
      <c r="K106" s="46"/>
      <c r="L106" s="47"/>
      <c r="M106" s="316"/>
      <c r="N106" s="202"/>
      <c r="O106" s="4"/>
      <c r="P106" s="2"/>
      <c r="Q106" s="2"/>
      <c r="R106" s="2"/>
      <c r="S106" s="2"/>
      <c r="T106" s="2"/>
      <c r="U106" s="2"/>
      <c r="V106" s="2"/>
    </row>
    <row r="107" spans="1:23" ht="19.2" customHeight="1">
      <c r="A107" s="300" t="s">
        <v>51</v>
      </c>
      <c r="B107" s="234"/>
      <c r="C107" s="384" t="s">
        <v>141</v>
      </c>
      <c r="D107" s="20" t="s">
        <v>43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85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9.2" customHeight="1">
      <c r="A108" s="235"/>
      <c r="B108" s="236"/>
      <c r="C108" s="76" t="s">
        <v>58</v>
      </c>
      <c r="D108" s="20">
        <f>D106*100/930</f>
        <v>34.039320625610955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85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9.2" customHeight="1">
      <c r="A109" s="244" t="s">
        <v>36</v>
      </c>
      <c r="B109" s="244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9.2" customHeight="1">
      <c r="A110" s="9">
        <v>1</v>
      </c>
      <c r="B110" s="10" t="s">
        <v>2</v>
      </c>
      <c r="C110" s="23">
        <f t="shared" ref="C110:C115" si="6">L110/100*100</f>
        <v>60</v>
      </c>
      <c r="D110" s="24">
        <f>C110/100*60</f>
        <v>36</v>
      </c>
      <c r="E110" s="25">
        <f>C110/100*15</f>
        <v>9</v>
      </c>
      <c r="F110" s="25"/>
      <c r="G110" s="25"/>
      <c r="H110" s="25"/>
      <c r="I110" s="25"/>
      <c r="J110" s="27">
        <f>C110/100*387</f>
        <v>232.2</v>
      </c>
      <c r="K110" s="27">
        <f>C110/100*0.09</f>
        <v>5.3999999999999999E-2</v>
      </c>
      <c r="L110" s="137">
        <v>60</v>
      </c>
      <c r="M110" s="75">
        <v>20</v>
      </c>
      <c r="N110" s="28">
        <f>L110*M110</f>
        <v>1200</v>
      </c>
      <c r="O110" s="153"/>
    </row>
    <row r="111" spans="1:23" s="2" customFormat="1" ht="19.2" customHeight="1">
      <c r="A111" s="9">
        <v>2</v>
      </c>
      <c r="B111" s="146" t="s">
        <v>134</v>
      </c>
      <c r="C111" s="23">
        <f t="shared" si="6"/>
        <v>220.00000000000003</v>
      </c>
      <c r="D111" s="24">
        <f>C111/100*899</f>
        <v>1977.8000000000002</v>
      </c>
      <c r="E111" s="25"/>
      <c r="F111" s="25"/>
      <c r="G111" s="119">
        <f>C111/100*100</f>
        <v>220.00000000000003</v>
      </c>
      <c r="H111" s="25"/>
      <c r="I111" s="25"/>
      <c r="J111" s="25"/>
      <c r="K111" s="25"/>
      <c r="L111" s="137">
        <v>220</v>
      </c>
      <c r="M111" s="144">
        <v>69</v>
      </c>
      <c r="N111" s="28">
        <f t="shared" ref="N111:N114" si="7">L111*M111</f>
        <v>15180</v>
      </c>
      <c r="O111" s="179"/>
    </row>
    <row r="112" spans="1:23" s="2" customFormat="1" ht="19.2" customHeight="1">
      <c r="A112" s="9">
        <v>3</v>
      </c>
      <c r="B112" s="148" t="s">
        <v>136</v>
      </c>
      <c r="C112" s="23">
        <f t="shared" si="6"/>
        <v>120</v>
      </c>
      <c r="D112" s="120">
        <f>C112/100*900</f>
        <v>1080</v>
      </c>
      <c r="E112" s="25"/>
      <c r="F112" s="25"/>
      <c r="G112" s="119"/>
      <c r="H112" s="119">
        <f>C112/100*100</f>
        <v>120</v>
      </c>
      <c r="I112" s="25"/>
      <c r="J112" s="25"/>
      <c r="K112" s="25"/>
      <c r="L112" s="137">
        <v>120</v>
      </c>
      <c r="M112" s="75">
        <v>65</v>
      </c>
      <c r="N112" s="28">
        <f t="shared" si="7"/>
        <v>7800</v>
      </c>
      <c r="O112" s="179"/>
    </row>
    <row r="113" spans="1:23" s="2" customFormat="1" ht="19.2" customHeight="1">
      <c r="A113" s="9">
        <v>4</v>
      </c>
      <c r="B113" s="5" t="s">
        <v>1</v>
      </c>
      <c r="C113" s="23">
        <f t="shared" si="6"/>
        <v>1056</v>
      </c>
      <c r="D113" s="24">
        <f>C113/100*342.2</f>
        <v>3613.6320000000001</v>
      </c>
      <c r="E113" s="25"/>
      <c r="F113" s="25">
        <f>C113/100*7.9</f>
        <v>83.424000000000007</v>
      </c>
      <c r="G113" s="25"/>
      <c r="H113" s="25">
        <f>C113/100*1</f>
        <v>10.56</v>
      </c>
      <c r="I113" s="25">
        <f>C113/100*75.9</f>
        <v>801.50400000000013</v>
      </c>
      <c r="J113" s="27">
        <f>C113/100*30</f>
        <v>316.8</v>
      </c>
      <c r="K113" s="27">
        <f>C113/100*0.1</f>
        <v>1.056</v>
      </c>
      <c r="L113" s="137">
        <v>1056</v>
      </c>
      <c r="M113" s="75">
        <v>18</v>
      </c>
      <c r="N113" s="28">
        <f t="shared" si="7"/>
        <v>19008</v>
      </c>
      <c r="O113" s="153"/>
    </row>
    <row r="114" spans="1:23" s="2" customFormat="1" ht="19.2" customHeight="1">
      <c r="A114" s="9">
        <v>5</v>
      </c>
      <c r="B114" s="5" t="s">
        <v>70</v>
      </c>
      <c r="C114" s="23">
        <f t="shared" si="6"/>
        <v>700</v>
      </c>
      <c r="D114" s="24">
        <f>C114/100*344</f>
        <v>2408</v>
      </c>
      <c r="E114" s="25"/>
      <c r="F114" s="25">
        <f>C114/100*8.6</f>
        <v>60.199999999999996</v>
      </c>
      <c r="G114" s="25"/>
      <c r="H114" s="25">
        <f>C114/100*1.5</f>
        <v>10.5</v>
      </c>
      <c r="I114" s="25">
        <f>C114/100*74.5</f>
        <v>521.5</v>
      </c>
      <c r="J114" s="25">
        <f>C114/100*32</f>
        <v>224</v>
      </c>
      <c r="K114" s="27">
        <f>C114/100*0.14</f>
        <v>0.98000000000000009</v>
      </c>
      <c r="L114" s="137">
        <v>700</v>
      </c>
      <c r="M114" s="75">
        <v>30</v>
      </c>
      <c r="N114" s="28">
        <f t="shared" si="7"/>
        <v>21000</v>
      </c>
      <c r="O114" s="153"/>
      <c r="P114" s="18"/>
    </row>
    <row r="115" spans="1:23" s="2" customFormat="1" ht="19.2" customHeight="1">
      <c r="A115" s="9">
        <v>6</v>
      </c>
      <c r="B115" s="5" t="s">
        <v>65</v>
      </c>
      <c r="C115" s="23">
        <f t="shared" si="6"/>
        <v>90</v>
      </c>
      <c r="D115" s="24">
        <f>C115/100*334</f>
        <v>300.60000000000002</v>
      </c>
      <c r="E115" s="25"/>
      <c r="F115" s="25">
        <f>C115/100*20</f>
        <v>18</v>
      </c>
      <c r="G115" s="25"/>
      <c r="H115" s="25">
        <f>C115/100*2.4</f>
        <v>2.16</v>
      </c>
      <c r="I115" s="25">
        <f>C115/100*58</f>
        <v>52.2</v>
      </c>
      <c r="J115" s="27">
        <f>C115/100*89</f>
        <v>80.100000000000009</v>
      </c>
      <c r="K115" s="27">
        <f>C115/100*0.64</f>
        <v>0.57600000000000007</v>
      </c>
      <c r="L115" s="137">
        <v>90</v>
      </c>
      <c r="M115" s="75">
        <v>190</v>
      </c>
      <c r="N115" s="28">
        <f>L115*M115</f>
        <v>17100</v>
      </c>
      <c r="O115" s="153"/>
    </row>
    <row r="116" spans="1:23" s="2" customFormat="1" ht="20.399999999999999" customHeight="1">
      <c r="A116" s="9">
        <v>7</v>
      </c>
      <c r="B116" s="10" t="s">
        <v>3</v>
      </c>
      <c r="C116" s="23">
        <f>L116/100*98</f>
        <v>686</v>
      </c>
      <c r="D116" s="24">
        <f>C116/100*118</f>
        <v>809.48</v>
      </c>
      <c r="E116" s="119">
        <f>C116/100*21</f>
        <v>144.06</v>
      </c>
      <c r="F116" s="25"/>
      <c r="G116" s="25">
        <f>C116/100*3.8</f>
        <v>26.068000000000001</v>
      </c>
      <c r="H116" s="25"/>
      <c r="I116" s="25"/>
      <c r="J116" s="25">
        <f>C116/100*12</f>
        <v>82.320000000000007</v>
      </c>
      <c r="K116" s="25">
        <f>C116/100*0.1</f>
        <v>0.68600000000000005</v>
      </c>
      <c r="L116" s="137">
        <v>700</v>
      </c>
      <c r="M116" s="143">
        <v>270</v>
      </c>
      <c r="N116" s="135">
        <f t="shared" ref="N116:N117" si="8">L116*M116</f>
        <v>189000</v>
      </c>
      <c r="O116" s="153"/>
    </row>
    <row r="117" spans="1:23" s="2" customFormat="1" ht="18.600000000000001" customHeight="1">
      <c r="A117" s="9">
        <v>8</v>
      </c>
      <c r="B117" s="5" t="s">
        <v>67</v>
      </c>
      <c r="C117" s="23">
        <f>L117/100*48</f>
        <v>667.2</v>
      </c>
      <c r="D117" s="24">
        <f>C117/100*199</f>
        <v>1327.7280000000001</v>
      </c>
      <c r="E117" s="119">
        <f>C117/100*20.3</f>
        <v>135.44160000000002</v>
      </c>
      <c r="F117" s="25"/>
      <c r="G117" s="25">
        <f>C117/100*13.1</f>
        <v>87.403200000000012</v>
      </c>
      <c r="H117" s="25"/>
      <c r="I117" s="25"/>
      <c r="J117" s="27">
        <f>C117/100*12</f>
        <v>80.064000000000007</v>
      </c>
      <c r="K117" s="27">
        <f>C117/100*0.15</f>
        <v>1.0008000000000001</v>
      </c>
      <c r="L117" s="137">
        <v>1390</v>
      </c>
      <c r="M117" s="137">
        <v>84</v>
      </c>
      <c r="N117" s="28">
        <f t="shared" si="8"/>
        <v>116760</v>
      </c>
      <c r="O117" s="153"/>
      <c r="Q117" s="3"/>
      <c r="R117" s="3"/>
      <c r="S117" s="4"/>
    </row>
    <row r="118" spans="1:23" s="2" customFormat="1" ht="19.2" customHeight="1">
      <c r="A118" s="9">
        <v>9</v>
      </c>
      <c r="B118" s="5" t="s">
        <v>129</v>
      </c>
      <c r="C118" s="23">
        <f>L118/100*100</f>
        <v>30</v>
      </c>
      <c r="D118" s="24">
        <f>C118/100*247</f>
        <v>74.099999999999994</v>
      </c>
      <c r="E118" s="29"/>
      <c r="F118" s="29">
        <f>C118/100*17.5</f>
        <v>5.25</v>
      </c>
      <c r="G118" s="29"/>
      <c r="H118" s="29">
        <f>C118/100*1.6</f>
        <v>0.48</v>
      </c>
      <c r="I118" s="29">
        <f>C118/100*39.2</f>
        <v>11.76</v>
      </c>
      <c r="J118" s="71"/>
      <c r="K118" s="71"/>
      <c r="L118" s="383">
        <v>30</v>
      </c>
      <c r="M118" s="75">
        <v>50</v>
      </c>
      <c r="N118" s="28">
        <f t="shared" ref="N118" si="9">L118*M118</f>
        <v>1500</v>
      </c>
      <c r="O118" s="153"/>
      <c r="Q118" s="3"/>
      <c r="R118" s="3"/>
      <c r="S118" s="4"/>
      <c r="T118" s="3"/>
    </row>
    <row r="119" spans="1:23" s="2" customFormat="1" ht="19.2" customHeight="1">
      <c r="A119" s="9">
        <v>10</v>
      </c>
      <c r="B119" s="6" t="s">
        <v>119</v>
      </c>
      <c r="C119" s="23"/>
      <c r="D119" s="24"/>
      <c r="E119" s="25"/>
      <c r="F119" s="25"/>
      <c r="G119" s="25"/>
      <c r="H119" s="25"/>
      <c r="I119" s="25"/>
      <c r="J119" s="27"/>
      <c r="K119" s="27"/>
      <c r="L119" s="26"/>
      <c r="M119" s="26"/>
      <c r="N119" s="28">
        <v>3040</v>
      </c>
      <c r="O119" s="153"/>
    </row>
    <row r="120" spans="1:23" s="2" customFormat="1" ht="19.2" customHeight="1">
      <c r="A120" s="21" t="s">
        <v>115</v>
      </c>
      <c r="B120" s="22"/>
      <c r="C120" s="34"/>
      <c r="D120" s="121">
        <f>SUM(D110:D119)</f>
        <v>11627.340000000002</v>
      </c>
      <c r="E120" s="43"/>
      <c r="F120" s="43"/>
      <c r="G120" s="43"/>
      <c r="H120" s="43"/>
      <c r="I120" s="43"/>
      <c r="J120" s="43"/>
      <c r="K120" s="43"/>
      <c r="L120" s="44"/>
      <c r="M120" s="315"/>
      <c r="N120" s="201">
        <f>SUM(N110:N119)</f>
        <v>391588</v>
      </c>
      <c r="O120" s="153"/>
    </row>
    <row r="121" spans="1:23" ht="19.2" customHeight="1">
      <c r="A121" s="21" t="s">
        <v>34</v>
      </c>
      <c r="B121" s="22"/>
      <c r="C121" s="61"/>
      <c r="D121" s="48">
        <f>D120/D91</f>
        <v>264.25772727272732</v>
      </c>
      <c r="E121" s="48"/>
      <c r="F121" s="48"/>
      <c r="G121" s="48"/>
      <c r="H121" s="48"/>
      <c r="I121" s="48"/>
      <c r="J121" s="48"/>
      <c r="K121" s="48"/>
      <c r="L121" s="62"/>
      <c r="M121" s="316"/>
      <c r="N121" s="243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300" t="s">
        <v>52</v>
      </c>
      <c r="B122" s="234"/>
      <c r="C122" s="384" t="s">
        <v>141</v>
      </c>
      <c r="D122" s="20" t="s">
        <v>44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85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35"/>
      <c r="B123" s="236"/>
      <c r="C123" s="76" t="s">
        <v>58</v>
      </c>
      <c r="D123" s="20">
        <f>D121*100/930</f>
        <v>28.414809384164226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85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44" t="s">
        <v>33</v>
      </c>
      <c r="B124" s="244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09">
        <v>1</v>
      </c>
      <c r="B125" s="154" t="s">
        <v>139</v>
      </c>
      <c r="C125" s="34">
        <f>L125/100*100</f>
        <v>750</v>
      </c>
      <c r="D125" s="110">
        <f>C125/100*487</f>
        <v>3652.5</v>
      </c>
      <c r="E125" s="36"/>
      <c r="F125" s="129">
        <f>C125/100*19.5</f>
        <v>146.25</v>
      </c>
      <c r="G125" s="129"/>
      <c r="H125" s="129">
        <f>C125/100*23.2</f>
        <v>174</v>
      </c>
      <c r="I125" s="36">
        <f>C125/100*46</f>
        <v>345</v>
      </c>
      <c r="J125" s="129">
        <f>C125/100*680</f>
        <v>5100</v>
      </c>
      <c r="K125" s="36">
        <f>C125/100*0.55</f>
        <v>4.125</v>
      </c>
      <c r="L125" s="37">
        <v>750</v>
      </c>
      <c r="M125" s="155">
        <v>260</v>
      </c>
      <c r="N125" s="111">
        <f t="shared" ref="N125" si="10">L125*M125</f>
        <v>195000</v>
      </c>
      <c r="O125" s="153"/>
      <c r="P125" s="3"/>
    </row>
    <row r="126" spans="1:23" ht="20.399999999999999" customHeight="1">
      <c r="A126" s="217" t="s">
        <v>0</v>
      </c>
      <c r="B126" s="220" t="s">
        <v>18</v>
      </c>
      <c r="C126" s="374" t="s">
        <v>7</v>
      </c>
      <c r="D126" s="223" t="s">
        <v>8</v>
      </c>
      <c r="E126" s="370" t="s">
        <v>10</v>
      </c>
      <c r="F126" s="371"/>
      <c r="G126" s="370" t="s">
        <v>12</v>
      </c>
      <c r="H126" s="371"/>
      <c r="I126" s="230" t="s">
        <v>15</v>
      </c>
      <c r="J126" s="230" t="s">
        <v>39</v>
      </c>
      <c r="K126" s="230" t="s">
        <v>40</v>
      </c>
      <c r="L126" s="230" t="s">
        <v>16</v>
      </c>
      <c r="M126" s="230" t="s">
        <v>55</v>
      </c>
      <c r="N126" s="217" t="s">
        <v>17</v>
      </c>
      <c r="O126" s="177"/>
    </row>
    <row r="127" spans="1:23" ht="20.399999999999999" customHeight="1">
      <c r="A127" s="218"/>
      <c r="B127" s="221"/>
      <c r="C127" s="375"/>
      <c r="D127" s="224"/>
      <c r="E127" s="372"/>
      <c r="F127" s="373"/>
      <c r="G127" s="372"/>
      <c r="H127" s="373"/>
      <c r="I127" s="231"/>
      <c r="J127" s="231"/>
      <c r="K127" s="231"/>
      <c r="L127" s="231"/>
      <c r="M127" s="231"/>
      <c r="N127" s="218"/>
      <c r="O127" s="184"/>
    </row>
    <row r="128" spans="1:23" ht="20.399999999999999" customHeight="1">
      <c r="A128" s="218"/>
      <c r="B128" s="221"/>
      <c r="C128" s="375"/>
      <c r="D128" s="224"/>
      <c r="E128" s="230" t="s">
        <v>9</v>
      </c>
      <c r="F128" s="230" t="s">
        <v>11</v>
      </c>
      <c r="G128" s="230" t="s">
        <v>91</v>
      </c>
      <c r="H128" s="230" t="s">
        <v>14</v>
      </c>
      <c r="I128" s="231"/>
      <c r="J128" s="231"/>
      <c r="K128" s="231"/>
      <c r="L128" s="231"/>
      <c r="M128" s="231"/>
      <c r="N128" s="218"/>
      <c r="O128" s="184"/>
    </row>
    <row r="129" spans="1:23" ht="20.399999999999999" customHeight="1">
      <c r="A129" s="219"/>
      <c r="B129" s="222"/>
      <c r="C129" s="376"/>
      <c r="D129" s="225"/>
      <c r="E129" s="232"/>
      <c r="F129" s="232"/>
      <c r="G129" s="232"/>
      <c r="H129" s="232"/>
      <c r="I129" s="232"/>
      <c r="J129" s="232"/>
      <c r="K129" s="232"/>
      <c r="L129" s="232"/>
      <c r="M129" s="232"/>
      <c r="N129" s="219"/>
      <c r="O129" s="184"/>
    </row>
    <row r="130" spans="1:23" s="2" customFormat="1" ht="21" customHeight="1">
      <c r="A130" s="21" t="s">
        <v>106</v>
      </c>
      <c r="B130" s="22"/>
      <c r="C130" s="34"/>
      <c r="D130" s="35">
        <f>SUM(D124:D125)</f>
        <v>3652.5</v>
      </c>
      <c r="E130" s="43"/>
      <c r="F130" s="43"/>
      <c r="G130" s="43"/>
      <c r="H130" s="43"/>
      <c r="I130" s="43"/>
      <c r="J130" s="82"/>
      <c r="K130" s="43"/>
      <c r="L130" s="44"/>
      <c r="M130" s="315"/>
      <c r="N130" s="201">
        <f>SUM(N124:N125)</f>
        <v>195000</v>
      </c>
      <c r="O130" s="153"/>
    </row>
    <row r="131" spans="1:23" ht="21" customHeight="1">
      <c r="A131" s="21" t="s">
        <v>6</v>
      </c>
      <c r="B131" s="22"/>
      <c r="C131" s="45"/>
      <c r="D131" s="46">
        <f>D130/D91</f>
        <v>83.01136363636364</v>
      </c>
      <c r="E131" s="46"/>
      <c r="F131" s="46"/>
      <c r="G131" s="46"/>
      <c r="H131" s="46"/>
      <c r="I131" s="46"/>
      <c r="J131" s="83"/>
      <c r="K131" s="46"/>
      <c r="L131" s="47"/>
      <c r="M131" s="316"/>
      <c r="N131" s="202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300" t="s">
        <v>50</v>
      </c>
      <c r="B132" s="234"/>
      <c r="C132" s="384" t="s">
        <v>141</v>
      </c>
      <c r="D132" s="20" t="s">
        <v>48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85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35"/>
      <c r="B133" s="236"/>
      <c r="C133" s="76" t="s">
        <v>58</v>
      </c>
      <c r="D133" s="20">
        <f>D131*100/930</f>
        <v>8.9259530791788855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85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92" t="s">
        <v>103</v>
      </c>
      <c r="B134" s="293"/>
      <c r="C134" s="296"/>
      <c r="D134" s="308">
        <f>D105+D120+D130</f>
        <v>29208.730000000003</v>
      </c>
      <c r="E134" s="50">
        <f t="shared" ref="E134:K134" si="11">SUM(E97:E125)</f>
        <v>684.6875</v>
      </c>
      <c r="F134" s="50">
        <f t="shared" si="11"/>
        <v>485.99680000000001</v>
      </c>
      <c r="G134" s="50">
        <f t="shared" si="11"/>
        <v>800.79949999999997</v>
      </c>
      <c r="H134" s="50">
        <f t="shared" si="11"/>
        <v>338.10860000000002</v>
      </c>
      <c r="I134" s="260">
        <f t="shared" si="11"/>
        <v>3453.6170000000002</v>
      </c>
      <c r="J134" s="290">
        <f t="shared" si="11"/>
        <v>8715.9239999999991</v>
      </c>
      <c r="K134" s="290">
        <f t="shared" si="11"/>
        <v>14.43661</v>
      </c>
      <c r="L134" s="97"/>
      <c r="M134" s="97"/>
      <c r="N134" s="381">
        <f>N105+N120+N130</f>
        <v>968754</v>
      </c>
      <c r="U134" s="12"/>
      <c r="V134" s="12"/>
    </row>
    <row r="135" spans="1:23" ht="21" customHeight="1">
      <c r="A135" s="294"/>
      <c r="B135" s="295"/>
      <c r="C135" s="297"/>
      <c r="D135" s="309"/>
      <c r="E135" s="321">
        <f>E134+F134</f>
        <v>1170.6842999999999</v>
      </c>
      <c r="F135" s="322"/>
      <c r="G135" s="321">
        <f>G134+H134</f>
        <v>1138.9081000000001</v>
      </c>
      <c r="H135" s="322"/>
      <c r="I135" s="262"/>
      <c r="J135" s="291"/>
      <c r="K135" s="291"/>
      <c r="L135" s="99"/>
      <c r="M135" s="99"/>
      <c r="N135" s="382"/>
      <c r="U135" s="12"/>
      <c r="V135" s="12"/>
    </row>
    <row r="136" spans="1:23" ht="21" customHeight="1">
      <c r="A136" s="275" t="s">
        <v>74</v>
      </c>
      <c r="B136" s="276"/>
      <c r="C136" s="277"/>
      <c r="D136" s="133">
        <f>D134/D91</f>
        <v>663.83477272727282</v>
      </c>
      <c r="E136" s="385">
        <f>E134/D91</f>
        <v>15.561079545454545</v>
      </c>
      <c r="F136" s="386">
        <f>F134/D91</f>
        <v>11.045381818181818</v>
      </c>
      <c r="G136" s="385">
        <f>G134/D91</f>
        <v>18.199988636363635</v>
      </c>
      <c r="H136" s="386">
        <f>H134/D91</f>
        <v>7.6842863636363639</v>
      </c>
      <c r="I136" s="270">
        <f>I134/D91</f>
        <v>78.491295454545465</v>
      </c>
      <c r="J136" s="323">
        <f>J134/D91</f>
        <v>198.0891818181818</v>
      </c>
      <c r="K136" s="323">
        <f>K134/D91</f>
        <v>0.32810477272727273</v>
      </c>
      <c r="L136" s="97"/>
      <c r="M136" s="97"/>
      <c r="N136" s="100"/>
      <c r="P136" s="398"/>
      <c r="Q136" s="399"/>
      <c r="R136" s="399"/>
      <c r="S136" s="399"/>
      <c r="T136" s="399"/>
      <c r="U136" s="400"/>
      <c r="V136" s="400"/>
    </row>
    <row r="137" spans="1:23" ht="21" customHeight="1">
      <c r="A137" s="278"/>
      <c r="B137" s="279"/>
      <c r="C137" s="280"/>
      <c r="D137" s="127"/>
      <c r="E137" s="394">
        <f>E136+F136</f>
        <v>26.606461363636363</v>
      </c>
      <c r="F137" s="395"/>
      <c r="G137" s="394">
        <f>G136+H136</f>
        <v>25.884274999999999</v>
      </c>
      <c r="H137" s="395"/>
      <c r="I137" s="271"/>
      <c r="J137" s="323"/>
      <c r="K137" s="323"/>
      <c r="L137" s="98"/>
      <c r="M137" s="98"/>
      <c r="N137" s="101"/>
      <c r="P137" s="401"/>
      <c r="Q137" s="399"/>
      <c r="R137" s="399"/>
      <c r="S137" s="404"/>
      <c r="T137" s="404"/>
      <c r="U137" s="399"/>
      <c r="V137" s="399"/>
    </row>
    <row r="138" spans="1:23" ht="21" customHeight="1">
      <c r="A138" s="324" t="s">
        <v>77</v>
      </c>
      <c r="B138" s="325"/>
      <c r="C138" s="326"/>
      <c r="D138" s="187" t="s">
        <v>27</v>
      </c>
      <c r="E138" s="191" t="s">
        <v>22</v>
      </c>
      <c r="F138" s="191"/>
      <c r="G138" s="191" t="s">
        <v>23</v>
      </c>
      <c r="H138" s="191"/>
      <c r="I138" s="396" t="s">
        <v>24</v>
      </c>
      <c r="J138" s="182">
        <v>500</v>
      </c>
      <c r="K138" s="182">
        <v>0.5</v>
      </c>
      <c r="L138" s="98"/>
      <c r="M138" s="98"/>
      <c r="N138" s="101"/>
      <c r="O138" s="180"/>
      <c r="P138" s="398"/>
      <c r="Q138" s="398"/>
      <c r="R138" s="398"/>
      <c r="S138" s="398"/>
      <c r="T138" s="398"/>
      <c r="U138" s="398"/>
      <c r="V138" s="398"/>
    </row>
    <row r="139" spans="1:23" ht="21" customHeight="1">
      <c r="A139" s="251" t="s">
        <v>75</v>
      </c>
      <c r="B139" s="281"/>
      <c r="C139" s="252"/>
      <c r="D139" s="49"/>
      <c r="E139" s="282">
        <f>E137*4.1</f>
        <v>109.08649159090908</v>
      </c>
      <c r="F139" s="283"/>
      <c r="G139" s="282">
        <f>G137*9</f>
        <v>232.95847499999999</v>
      </c>
      <c r="H139" s="283"/>
      <c r="I139" s="85">
        <f>I136*4.1</f>
        <v>321.81431136363636</v>
      </c>
      <c r="J139" s="263"/>
      <c r="K139" s="263"/>
      <c r="L139" s="98"/>
      <c r="M139" s="98"/>
      <c r="N139" s="101"/>
      <c r="O139" s="180"/>
      <c r="P139" s="402"/>
      <c r="Q139" s="403"/>
      <c r="R139" s="403"/>
      <c r="S139" s="403"/>
      <c r="T139" s="398"/>
      <c r="U139" s="398"/>
      <c r="V139" s="398"/>
    </row>
    <row r="140" spans="1:23" ht="21" customHeight="1">
      <c r="A140" s="284" t="s">
        <v>84</v>
      </c>
      <c r="B140" s="285"/>
      <c r="C140" s="251" t="s">
        <v>57</v>
      </c>
      <c r="D140" s="252"/>
      <c r="E140" s="197">
        <f>E139*100/D136</f>
        <v>16.432777563420249</v>
      </c>
      <c r="F140" s="198"/>
      <c r="G140" s="197">
        <f>G139*100/D136</f>
        <v>35.092840051587309</v>
      </c>
      <c r="H140" s="198"/>
      <c r="I140" s="115">
        <f>I139*100/D136</f>
        <v>48.478073849838722</v>
      </c>
      <c r="J140" s="264"/>
      <c r="K140" s="264"/>
      <c r="L140" s="98"/>
      <c r="M140" s="98"/>
      <c r="N140" s="101"/>
      <c r="O140" s="180"/>
      <c r="P140" s="398"/>
      <c r="Q140" s="398"/>
      <c r="R140" s="398"/>
      <c r="S140" s="398"/>
      <c r="T140" s="398"/>
      <c r="U140" s="398"/>
      <c r="V140" s="398"/>
    </row>
    <row r="141" spans="1:23" ht="21" customHeight="1">
      <c r="A141" s="286"/>
      <c r="B141" s="287"/>
      <c r="C141" s="251" t="s">
        <v>76</v>
      </c>
      <c r="D141" s="252"/>
      <c r="E141" s="251" t="s">
        <v>79</v>
      </c>
      <c r="F141" s="252"/>
      <c r="G141" s="251" t="s">
        <v>82</v>
      </c>
      <c r="H141" s="252"/>
      <c r="I141" s="187" t="s">
        <v>83</v>
      </c>
      <c r="J141" s="265"/>
      <c r="K141" s="265"/>
      <c r="L141" s="99"/>
      <c r="M141" s="99"/>
      <c r="N141" s="102"/>
      <c r="O141" s="180"/>
      <c r="P141" s="132"/>
    </row>
    <row r="142" spans="1:23" ht="2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180"/>
    </row>
    <row r="143" spans="1:23" ht="21" customHeight="1">
      <c r="A143" s="192" t="s">
        <v>110</v>
      </c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80"/>
    </row>
    <row r="144" spans="1:23" ht="21" customHeight="1">
      <c r="A144" s="117" t="s">
        <v>111</v>
      </c>
      <c r="B144" s="193" t="s">
        <v>112</v>
      </c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80"/>
    </row>
    <row r="145" spans="1:15" ht="21" customHeight="1">
      <c r="A145" s="118"/>
      <c r="B145" s="194" t="s">
        <v>223</v>
      </c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80"/>
    </row>
    <row r="146" spans="1:15" ht="21" customHeight="1">
      <c r="A146" s="118"/>
      <c r="B146" s="194" t="s">
        <v>222</v>
      </c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80"/>
    </row>
    <row r="147" spans="1:15" ht="21" customHeight="1">
      <c r="A147" s="118"/>
      <c r="B147" s="194" t="s">
        <v>176</v>
      </c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80"/>
    </row>
    <row r="148" spans="1:15" ht="21" customHeight="1">
      <c r="A148" s="90"/>
      <c r="B148" s="195" t="s">
        <v>125</v>
      </c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80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180"/>
    </row>
    <row r="150" spans="1:15" ht="21" customHeight="1">
      <c r="A150" s="196" t="s">
        <v>60</v>
      </c>
      <c r="B150" s="196"/>
      <c r="C150" s="196"/>
      <c r="D150" s="196"/>
      <c r="E150" s="390"/>
      <c r="F150" s="390"/>
      <c r="G150" s="390"/>
      <c r="H150" s="390"/>
      <c r="I150" s="390"/>
      <c r="J150" s="391" t="s">
        <v>31</v>
      </c>
      <c r="K150" s="391"/>
      <c r="L150" s="391"/>
      <c r="M150" s="391"/>
      <c r="N150" s="391"/>
      <c r="O150" s="180"/>
    </row>
    <row r="151" spans="1:15" ht="21" customHeight="1">
      <c r="A151" s="184"/>
      <c r="B151" s="184"/>
      <c r="C151" s="184"/>
      <c r="D151" s="390"/>
      <c r="E151" s="390"/>
      <c r="F151" s="390"/>
      <c r="G151" s="390"/>
      <c r="H151" s="392"/>
      <c r="I151" s="392"/>
      <c r="J151" s="392"/>
      <c r="K151" s="392"/>
      <c r="L151" s="392"/>
      <c r="M151" s="392"/>
      <c r="N151" s="392"/>
      <c r="O151" s="180"/>
    </row>
    <row r="152" spans="1:15" ht="21" customHeight="1">
      <c r="A152" s="184"/>
      <c r="B152" s="184"/>
      <c r="C152" s="184"/>
      <c r="D152" s="390"/>
      <c r="E152" s="390"/>
      <c r="F152" s="390"/>
      <c r="G152" s="390"/>
      <c r="H152" s="392"/>
      <c r="I152" s="392"/>
      <c r="J152" s="392"/>
      <c r="K152" s="392"/>
      <c r="L152" s="392"/>
      <c r="M152" s="392"/>
      <c r="N152" s="392"/>
      <c r="O152" s="180"/>
    </row>
    <row r="153" spans="1:15" ht="21" customHeight="1">
      <c r="A153" s="184"/>
      <c r="B153" s="184"/>
      <c r="C153" s="184"/>
      <c r="D153" s="390"/>
      <c r="E153" s="390"/>
      <c r="F153" s="390"/>
      <c r="G153" s="390"/>
      <c r="H153" s="392"/>
      <c r="I153" s="392"/>
      <c r="J153" s="393" t="s">
        <v>120</v>
      </c>
      <c r="K153" s="393"/>
      <c r="L153" s="393"/>
      <c r="M153" s="393"/>
      <c r="N153" s="393"/>
      <c r="O153" s="180"/>
    </row>
    <row r="154" spans="1:15" ht="21" customHeight="1">
      <c r="A154" s="188" t="s">
        <v>88</v>
      </c>
      <c r="B154" s="188"/>
      <c r="C154" s="188"/>
      <c r="D154" s="188"/>
      <c r="E154" s="390"/>
      <c r="F154" s="390"/>
      <c r="G154" s="390"/>
      <c r="H154" s="392"/>
      <c r="I154" s="392"/>
      <c r="O154" s="180"/>
    </row>
    <row r="156" spans="1:15" ht="21" customHeight="1">
      <c r="J156" s="393" t="s">
        <v>123</v>
      </c>
      <c r="K156" s="393"/>
      <c r="L156" s="393"/>
      <c r="M156" s="393"/>
      <c r="N156" s="393"/>
    </row>
  </sheetData>
  <mergeCells count="201"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  <mergeCell ref="A109:B109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7:B108"/>
    <mergeCell ref="E6:I9"/>
    <mergeCell ref="J6:N9"/>
    <mergeCell ref="A7:D7"/>
    <mergeCell ref="F1:N1"/>
    <mergeCell ref="D50:D51"/>
    <mergeCell ref="M46:M47"/>
    <mergeCell ref="M26:M27"/>
    <mergeCell ref="A15:N15"/>
    <mergeCell ref="A42:A45"/>
    <mergeCell ref="B42:B45"/>
    <mergeCell ref="C42:C45"/>
    <mergeCell ref="N46:N47"/>
    <mergeCell ref="A48:B49"/>
    <mergeCell ref="N26:N27"/>
    <mergeCell ref="D42:D45"/>
    <mergeCell ref="E42:F43"/>
    <mergeCell ref="G42:H43"/>
    <mergeCell ref="K42:K45"/>
    <mergeCell ref="A11:A14"/>
    <mergeCell ref="B11:B14"/>
    <mergeCell ref="C11:C14"/>
    <mergeCell ref="D11:D14"/>
    <mergeCell ref="E11:F12"/>
    <mergeCell ref="J50:J51"/>
    <mergeCell ref="G11:H12"/>
    <mergeCell ref="I11:I14"/>
    <mergeCell ref="L11:L14"/>
    <mergeCell ref="N11:N14"/>
    <mergeCell ref="E13:E14"/>
    <mergeCell ref="F13:F14"/>
    <mergeCell ref="G13:G14"/>
    <mergeCell ref="H13:H14"/>
    <mergeCell ref="M11:M14"/>
    <mergeCell ref="A5:D5"/>
    <mergeCell ref="E5:N5"/>
    <mergeCell ref="G44:G45"/>
    <mergeCell ref="A10:C10"/>
    <mergeCell ref="J11:J14"/>
    <mergeCell ref="K11:K14"/>
    <mergeCell ref="A6:D6"/>
    <mergeCell ref="A86:D87"/>
    <mergeCell ref="E87:I87"/>
    <mergeCell ref="J87:N87"/>
    <mergeCell ref="J66:N66"/>
    <mergeCell ref="A50:B51"/>
    <mergeCell ref="A8:D8"/>
    <mergeCell ref="A9:D9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A28:B29"/>
    <mergeCell ref="A30:B30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Q52:R52"/>
    <mergeCell ref="S52:T52"/>
    <mergeCell ref="Q53:R53"/>
    <mergeCell ref="S53:T53"/>
    <mergeCell ref="E94:E95"/>
    <mergeCell ref="A92:A95"/>
    <mergeCell ref="B92:B95"/>
    <mergeCell ref="C92:C95"/>
    <mergeCell ref="D92:D95"/>
    <mergeCell ref="J69:N69"/>
    <mergeCell ref="E88:I90"/>
    <mergeCell ref="J88:N90"/>
    <mergeCell ref="A89:D89"/>
    <mergeCell ref="A90:D90"/>
    <mergeCell ref="A70:D70"/>
    <mergeCell ref="J72:N72"/>
    <mergeCell ref="A88:D88"/>
    <mergeCell ref="L92:L95"/>
    <mergeCell ref="B60:N60"/>
    <mergeCell ref="B61:N61"/>
    <mergeCell ref="B62:N62"/>
    <mergeCell ref="B63:N63"/>
    <mergeCell ref="B64:N64"/>
    <mergeCell ref="A91:C91"/>
    <mergeCell ref="M105:M106"/>
    <mergeCell ref="N105:N106"/>
    <mergeCell ref="G55:H55"/>
    <mergeCell ref="F94:F95"/>
    <mergeCell ref="G94:G95"/>
    <mergeCell ref="J92:J95"/>
    <mergeCell ref="K92:K95"/>
    <mergeCell ref="M92:M95"/>
    <mergeCell ref="G92:H93"/>
    <mergeCell ref="I92:I95"/>
    <mergeCell ref="H94:H95"/>
    <mergeCell ref="N92:N95"/>
    <mergeCell ref="E92:F93"/>
    <mergeCell ref="E86:N86"/>
    <mergeCell ref="A96:N96"/>
    <mergeCell ref="C57:D57"/>
    <mergeCell ref="E57:F57"/>
    <mergeCell ref="G57:H57"/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2026-05-23T02:45:06Z</cp:lastPrinted>
  <dcterms:created xsi:type="dcterms:W3CDTF">2015-10-28T22:11:29Z</dcterms:created>
  <dcterms:modified xsi:type="dcterms:W3CDTF">2026-05-23T03:04:54Z</dcterms:modified>
</cp:coreProperties>
</file>