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24519"/>
</workbook>
</file>

<file path=xl/calcChain.xml><?xml version="1.0" encoding="utf-8"?>
<calcChain xmlns="http://schemas.openxmlformats.org/spreadsheetml/2006/main">
  <c r="I34" i="19"/>
  <c r="I18"/>
  <c r="E21"/>
  <c r="E38"/>
  <c r="N125"/>
  <c r="N130" s="1"/>
  <c r="F125"/>
  <c r="C125"/>
  <c r="D125" s="1"/>
  <c r="D130" s="1"/>
  <c r="D131" s="1"/>
  <c r="D133" s="1"/>
  <c r="N118"/>
  <c r="I118"/>
  <c r="H118"/>
  <c r="C118"/>
  <c r="D118" s="1"/>
  <c r="N117"/>
  <c r="C117"/>
  <c r="H117" s="1"/>
  <c r="N116"/>
  <c r="E116"/>
  <c r="D116"/>
  <c r="C116"/>
  <c r="J116" s="1"/>
  <c r="N115"/>
  <c r="C115"/>
  <c r="D115" s="1"/>
  <c r="N114"/>
  <c r="C114"/>
  <c r="D114" s="1"/>
  <c r="N113"/>
  <c r="C113"/>
  <c r="D113" s="1"/>
  <c r="N112"/>
  <c r="C112"/>
  <c r="G112" s="1"/>
  <c r="N111"/>
  <c r="J111"/>
  <c r="C111"/>
  <c r="E111" s="1"/>
  <c r="N104"/>
  <c r="K104"/>
  <c r="C104"/>
  <c r="D104" s="1"/>
  <c r="N103"/>
  <c r="K103"/>
  <c r="J103"/>
  <c r="F103"/>
  <c r="D103"/>
  <c r="C103"/>
  <c r="I103" s="1"/>
  <c r="N102"/>
  <c r="H102"/>
  <c r="C102"/>
  <c r="I102" s="1"/>
  <c r="N101"/>
  <c r="H101"/>
  <c r="C101"/>
  <c r="I101" s="1"/>
  <c r="N100"/>
  <c r="J100"/>
  <c r="E100"/>
  <c r="D100"/>
  <c r="C100"/>
  <c r="K100" s="1"/>
  <c r="N99"/>
  <c r="K99"/>
  <c r="I99"/>
  <c r="D99"/>
  <c r="C99"/>
  <c r="J99" s="1"/>
  <c r="N98"/>
  <c r="K98"/>
  <c r="I98"/>
  <c r="C98"/>
  <c r="J98" s="1"/>
  <c r="N97"/>
  <c r="C97"/>
  <c r="D97" s="1"/>
  <c r="N96"/>
  <c r="C96"/>
  <c r="D96" s="1"/>
  <c r="N95"/>
  <c r="E95"/>
  <c r="C95"/>
  <c r="D95" s="1"/>
  <c r="N41"/>
  <c r="H41"/>
  <c r="C41"/>
  <c r="I41" s="1"/>
  <c r="N40"/>
  <c r="I40"/>
  <c r="D40"/>
  <c r="C40"/>
  <c r="F40" s="1"/>
  <c r="N39"/>
  <c r="C39"/>
  <c r="D39" s="1"/>
  <c r="N38"/>
  <c r="K38"/>
  <c r="J38"/>
  <c r="D38"/>
  <c r="C38"/>
  <c r="G38" s="1"/>
  <c r="N37"/>
  <c r="D37"/>
  <c r="C37"/>
  <c r="F37" s="1"/>
  <c r="N36"/>
  <c r="D36"/>
  <c r="C36"/>
  <c r="G36" s="1"/>
  <c r="N35"/>
  <c r="K35"/>
  <c r="C35"/>
  <c r="I35" s="1"/>
  <c r="N34"/>
  <c r="K34"/>
  <c r="H34"/>
  <c r="F34"/>
  <c r="D34"/>
  <c r="C34"/>
  <c r="N33"/>
  <c r="D33"/>
  <c r="C33"/>
  <c r="E33" s="1"/>
  <c r="N26"/>
  <c r="J26"/>
  <c r="H26"/>
  <c r="C26"/>
  <c r="I26" s="1"/>
  <c r="N25"/>
  <c r="I25"/>
  <c r="F25"/>
  <c r="D25"/>
  <c r="C25"/>
  <c r="K25" s="1"/>
  <c r="N24"/>
  <c r="C24"/>
  <c r="D24" s="1"/>
  <c r="N23"/>
  <c r="C23"/>
  <c r="D23" s="1"/>
  <c r="N22"/>
  <c r="F22"/>
  <c r="C22"/>
  <c r="D22" s="1"/>
  <c r="N21"/>
  <c r="C21"/>
  <c r="N20"/>
  <c r="C20"/>
  <c r="D20" s="1"/>
  <c r="N19"/>
  <c r="C19"/>
  <c r="D19" s="1"/>
  <c r="N18"/>
  <c r="C18"/>
  <c r="D18" s="1"/>
  <c r="N17"/>
  <c r="H17"/>
  <c r="D17"/>
  <c r="C17"/>
  <c r="N16"/>
  <c r="C16"/>
  <c r="D16" s="1"/>
  <c r="F117" l="1"/>
  <c r="D117"/>
  <c r="K117"/>
  <c r="J117"/>
  <c r="I117"/>
  <c r="G116"/>
  <c r="F118"/>
  <c r="N120"/>
  <c r="D112"/>
  <c r="D111"/>
  <c r="K111"/>
  <c r="J101"/>
  <c r="G100"/>
  <c r="G99"/>
  <c r="E99"/>
  <c r="N106"/>
  <c r="G96"/>
  <c r="H98"/>
  <c r="F98"/>
  <c r="D98"/>
  <c r="F24"/>
  <c r="K37"/>
  <c r="J37"/>
  <c r="I37"/>
  <c r="H37"/>
  <c r="K41"/>
  <c r="F41"/>
  <c r="D41"/>
  <c r="K33"/>
  <c r="H35"/>
  <c r="F35"/>
  <c r="D47"/>
  <c r="D48" s="1"/>
  <c r="D50" s="1"/>
  <c r="D35"/>
  <c r="N47"/>
  <c r="J25"/>
  <c r="F23"/>
  <c r="J21"/>
  <c r="D21"/>
  <c r="E16"/>
  <c r="N28"/>
  <c r="D106"/>
  <c r="K18"/>
  <c r="J18"/>
  <c r="J19"/>
  <c r="K20"/>
  <c r="F26"/>
  <c r="K39"/>
  <c r="F101"/>
  <c r="F102"/>
  <c r="J104"/>
  <c r="I19"/>
  <c r="J20"/>
  <c r="K21"/>
  <c r="K22"/>
  <c r="K23"/>
  <c r="D26"/>
  <c r="D28" s="1"/>
  <c r="J39"/>
  <c r="D101"/>
  <c r="D102"/>
  <c r="I104"/>
  <c r="K113"/>
  <c r="K114"/>
  <c r="K125"/>
  <c r="H18"/>
  <c r="G19"/>
  <c r="G20"/>
  <c r="K19"/>
  <c r="J22"/>
  <c r="J23"/>
  <c r="G39"/>
  <c r="H104"/>
  <c r="J113"/>
  <c r="J114"/>
  <c r="K115"/>
  <c r="J125"/>
  <c r="K16"/>
  <c r="F18"/>
  <c r="E19"/>
  <c r="E51" s="1"/>
  <c r="E20"/>
  <c r="G21"/>
  <c r="I22"/>
  <c r="I23"/>
  <c r="I24"/>
  <c r="J33"/>
  <c r="J34"/>
  <c r="J35"/>
  <c r="E39"/>
  <c r="H40"/>
  <c r="J41"/>
  <c r="K95"/>
  <c r="H97"/>
  <c r="F104"/>
  <c r="I113"/>
  <c r="I114"/>
  <c r="J115"/>
  <c r="K116"/>
  <c r="I125"/>
  <c r="I134" s="1"/>
  <c r="I136" s="1"/>
  <c r="J16"/>
  <c r="H22"/>
  <c r="H23"/>
  <c r="H24"/>
  <c r="K26"/>
  <c r="J95"/>
  <c r="K101"/>
  <c r="H113"/>
  <c r="H114"/>
  <c r="G115"/>
  <c r="H125"/>
  <c r="F113"/>
  <c r="F114"/>
  <c r="E115"/>
  <c r="N134" l="1"/>
  <c r="D120"/>
  <c r="D121" s="1"/>
  <c r="D123" s="1"/>
  <c r="J134"/>
  <c r="J136" s="1"/>
  <c r="E134"/>
  <c r="F134"/>
  <c r="F136" s="1"/>
  <c r="G134"/>
  <c r="G136" s="1"/>
  <c r="H51"/>
  <c r="H53" s="1"/>
  <c r="N51"/>
  <c r="F51"/>
  <c r="F53" s="1"/>
  <c r="E136"/>
  <c r="E53"/>
  <c r="D51"/>
  <c r="D53" s="1"/>
  <c r="D29"/>
  <c r="D31" s="1"/>
  <c r="G51"/>
  <c r="J51"/>
  <c r="J53" s="1"/>
  <c r="K134"/>
  <c r="K136" s="1"/>
  <c r="I51"/>
  <c r="I53" s="1"/>
  <c r="K51"/>
  <c r="K53" s="1"/>
  <c r="D107"/>
  <c r="D109" s="1"/>
  <c r="H134"/>
  <c r="H136" s="1"/>
  <c r="I139"/>
  <c r="D134" l="1"/>
  <c r="D136" s="1"/>
  <c r="I140" s="1"/>
  <c r="E135"/>
  <c r="E52"/>
  <c r="E137"/>
  <c r="I56"/>
  <c r="I57" s="1"/>
  <c r="E54"/>
  <c r="G53"/>
  <c r="G52"/>
  <c r="G137"/>
  <c r="G135"/>
  <c r="E139" l="1"/>
  <c r="G139"/>
  <c r="G140" s="1"/>
  <c r="E56"/>
  <c r="G54"/>
  <c r="E140" l="1"/>
  <c r="G56"/>
  <c r="G57" s="1"/>
  <c r="E57"/>
  <c r="I20" i="16" l="1"/>
  <c r="J20"/>
  <c r="N24" i="18"/>
  <c r="C24"/>
  <c r="H24" s="1"/>
  <c r="N114" i="16"/>
  <c r="C114"/>
  <c r="F114" s="1"/>
  <c r="N114" i="15"/>
  <c r="C114"/>
  <c r="E114" s="1"/>
  <c r="N95"/>
  <c r="C95"/>
  <c r="F95" s="1"/>
  <c r="N17"/>
  <c r="C17"/>
  <c r="D17" s="1"/>
  <c r="N114" i="20"/>
  <c r="C114"/>
  <c r="G114" s="1"/>
  <c r="N116"/>
  <c r="C116"/>
  <c r="D116" s="1"/>
  <c r="N102"/>
  <c r="C102"/>
  <c r="F102" s="1"/>
  <c r="N99"/>
  <c r="C99"/>
  <c r="D99" s="1"/>
  <c r="N22"/>
  <c r="C22"/>
  <c r="F22" s="1"/>
  <c r="N21"/>
  <c r="C21"/>
  <c r="H21" s="1"/>
  <c r="N18"/>
  <c r="C18"/>
  <c r="D18" s="1"/>
  <c r="D24" i="18" l="1"/>
  <c r="F24"/>
  <c r="K24"/>
  <c r="J24"/>
  <c r="I24"/>
  <c r="D114" i="16"/>
  <c r="K114"/>
  <c r="I114"/>
  <c r="J114"/>
  <c r="H114"/>
  <c r="K114" i="15"/>
  <c r="J114"/>
  <c r="D114"/>
  <c r="I114"/>
  <c r="K17"/>
  <c r="D95"/>
  <c r="J17"/>
  <c r="I17"/>
  <c r="I95"/>
  <c r="J95"/>
  <c r="H95"/>
  <c r="K95"/>
  <c r="H17"/>
  <c r="F17"/>
  <c r="K116" i="20"/>
  <c r="E114"/>
  <c r="D114"/>
  <c r="K114"/>
  <c r="J114"/>
  <c r="I114"/>
  <c r="J116"/>
  <c r="I116"/>
  <c r="H116"/>
  <c r="F116"/>
  <c r="D102"/>
  <c r="K102"/>
  <c r="J102"/>
  <c r="I102"/>
  <c r="K99"/>
  <c r="J99"/>
  <c r="E99"/>
  <c r="G99"/>
  <c r="J21"/>
  <c r="D22"/>
  <c r="K22"/>
  <c r="J22"/>
  <c r="I22"/>
  <c r="F21"/>
  <c r="I21"/>
  <c r="D21"/>
  <c r="K21"/>
  <c r="G18"/>
  <c r="K18"/>
  <c r="J18"/>
  <c r="E18"/>
  <c r="N103" i="15" l="1"/>
  <c r="C103"/>
  <c r="D103" s="1"/>
  <c r="N26"/>
  <c r="C26"/>
  <c r="D26" s="1"/>
  <c r="N117" i="18"/>
  <c r="C117"/>
  <c r="D117" s="1"/>
  <c r="N102"/>
  <c r="C102"/>
  <c r="D102" s="1"/>
  <c r="N37"/>
  <c r="C37"/>
  <c r="H37" s="1"/>
  <c r="N25"/>
  <c r="C25"/>
  <c r="D25" s="1"/>
  <c r="N106" i="17"/>
  <c r="C106"/>
  <c r="H106" s="1"/>
  <c r="N25"/>
  <c r="C25"/>
  <c r="H25" s="1"/>
  <c r="N106" i="16"/>
  <c r="C106"/>
  <c r="D106" s="1"/>
  <c r="N38"/>
  <c r="C38"/>
  <c r="F38" s="1"/>
  <c r="N26"/>
  <c r="C26"/>
  <c r="D26" s="1"/>
  <c r="N115" i="15"/>
  <c r="C115"/>
  <c r="H115" s="1"/>
  <c r="N103" i="20"/>
  <c r="C103"/>
  <c r="D103" s="1"/>
  <c r="C23"/>
  <c r="J23" s="1"/>
  <c r="N101" i="17"/>
  <c r="I101"/>
  <c r="D101"/>
  <c r="C101"/>
  <c r="J101" s="1"/>
  <c r="N20"/>
  <c r="C20"/>
  <c r="D20" s="1"/>
  <c r="K117" i="18" l="1"/>
  <c r="J117"/>
  <c r="F117"/>
  <c r="F106" i="17"/>
  <c r="K106"/>
  <c r="J106"/>
  <c r="D25"/>
  <c r="K20"/>
  <c r="D106"/>
  <c r="J20"/>
  <c r="K25"/>
  <c r="I20"/>
  <c r="K101"/>
  <c r="I25"/>
  <c r="F25"/>
  <c r="J38" i="16"/>
  <c r="D38"/>
  <c r="F115" i="15"/>
  <c r="J115"/>
  <c r="I115"/>
  <c r="D115"/>
  <c r="K115"/>
  <c r="D23" i="20"/>
  <c r="I23"/>
  <c r="H23"/>
  <c r="F23"/>
  <c r="K23"/>
  <c r="K103" i="15"/>
  <c r="J103"/>
  <c r="I103"/>
  <c r="H103"/>
  <c r="F103"/>
  <c r="K26"/>
  <c r="J26"/>
  <c r="I26"/>
  <c r="H26"/>
  <c r="F26"/>
  <c r="I117" i="18"/>
  <c r="H117"/>
  <c r="K102"/>
  <c r="J102"/>
  <c r="I102"/>
  <c r="F102"/>
  <c r="J37"/>
  <c r="I37"/>
  <c r="F37"/>
  <c r="D37"/>
  <c r="K37"/>
  <c r="K25"/>
  <c r="J25"/>
  <c r="I25"/>
  <c r="F25"/>
  <c r="I106" i="17"/>
  <c r="J25"/>
  <c r="J106" i="16"/>
  <c r="K106"/>
  <c r="I106"/>
  <c r="F106"/>
  <c r="K38"/>
  <c r="I38"/>
  <c r="K26"/>
  <c r="J26"/>
  <c r="I26"/>
  <c r="F26"/>
  <c r="K103" i="20"/>
  <c r="J103"/>
  <c r="I103"/>
  <c r="H103"/>
  <c r="F103"/>
  <c r="N115" i="18" l="1"/>
  <c r="C115"/>
  <c r="E115" s="1"/>
  <c r="N124"/>
  <c r="N129" s="1"/>
  <c r="C124"/>
  <c r="I124" s="1"/>
  <c r="N116"/>
  <c r="C116"/>
  <c r="H116" s="1"/>
  <c r="N114"/>
  <c r="C114"/>
  <c r="G114" s="1"/>
  <c r="N113"/>
  <c r="C113"/>
  <c r="G113" s="1"/>
  <c r="N112"/>
  <c r="C112"/>
  <c r="H112" s="1"/>
  <c r="N111"/>
  <c r="C111"/>
  <c r="G111" s="1"/>
  <c r="N110"/>
  <c r="C110"/>
  <c r="K110" s="1"/>
  <c r="N103"/>
  <c r="C103"/>
  <c r="F103" s="1"/>
  <c r="N101"/>
  <c r="C101"/>
  <c r="J101" s="1"/>
  <c r="N100"/>
  <c r="C100"/>
  <c r="J100" s="1"/>
  <c r="N99"/>
  <c r="C99"/>
  <c r="I99" s="1"/>
  <c r="N98"/>
  <c r="C98"/>
  <c r="F98" s="1"/>
  <c r="N97"/>
  <c r="C97"/>
  <c r="I97" s="1"/>
  <c r="N96"/>
  <c r="C96"/>
  <c r="H96" s="1"/>
  <c r="N95"/>
  <c r="C95"/>
  <c r="G95" s="1"/>
  <c r="N94"/>
  <c r="C94"/>
  <c r="E94" s="1"/>
  <c r="N129" i="17"/>
  <c r="C129"/>
  <c r="H129" s="1"/>
  <c r="N107"/>
  <c r="C107"/>
  <c r="D107" s="1"/>
  <c r="N104"/>
  <c r="C104"/>
  <c r="J104" s="1"/>
  <c r="N103"/>
  <c r="C103"/>
  <c r="D103" s="1"/>
  <c r="N102"/>
  <c r="C102"/>
  <c r="K102" s="1"/>
  <c r="N40"/>
  <c r="C40"/>
  <c r="F40" s="1"/>
  <c r="N26"/>
  <c r="C26"/>
  <c r="F26" s="1"/>
  <c r="C21"/>
  <c r="J21" s="1"/>
  <c r="N23"/>
  <c r="C23"/>
  <c r="D23" s="1"/>
  <c r="N102" i="16"/>
  <c r="C102"/>
  <c r="G102" s="1"/>
  <c r="N104"/>
  <c r="C104"/>
  <c r="E104" s="1"/>
  <c r="N37"/>
  <c r="C37"/>
  <c r="D37" s="1"/>
  <c r="C24"/>
  <c r="D24" s="1"/>
  <c r="N22"/>
  <c r="C22"/>
  <c r="J22" s="1"/>
  <c r="N24" i="15"/>
  <c r="C24"/>
  <c r="E24" s="1"/>
  <c r="N123" i="20"/>
  <c r="C123"/>
  <c r="F123" s="1"/>
  <c r="N38"/>
  <c r="C38"/>
  <c r="D38" s="1"/>
  <c r="E24" i="16" l="1"/>
  <c r="G24"/>
  <c r="J115" i="18"/>
  <c r="I112"/>
  <c r="K104" i="16"/>
  <c r="K102"/>
  <c r="K24"/>
  <c r="I24"/>
  <c r="I123" i="20"/>
  <c r="I38"/>
  <c r="E104" i="17"/>
  <c r="D104"/>
  <c r="G21"/>
  <c r="D115" i="18"/>
  <c r="K115"/>
  <c r="G115"/>
  <c r="E101"/>
  <c r="D99"/>
  <c r="D96"/>
  <c r="K98"/>
  <c r="D98"/>
  <c r="I98" s="1"/>
  <c r="D97"/>
  <c r="K124"/>
  <c r="J94"/>
  <c r="F124"/>
  <c r="D124"/>
  <c r="D129" s="1"/>
  <c r="D130" s="1"/>
  <c r="D132" s="1"/>
  <c r="J110"/>
  <c r="E110"/>
  <c r="D100"/>
  <c r="D110"/>
  <c r="H124"/>
  <c r="K101"/>
  <c r="J124"/>
  <c r="D103"/>
  <c r="D95"/>
  <c r="K97"/>
  <c r="K99"/>
  <c r="G101"/>
  <c r="N119"/>
  <c r="N105"/>
  <c r="D101"/>
  <c r="I103"/>
  <c r="D111"/>
  <c r="K94"/>
  <c r="H103"/>
  <c r="J112"/>
  <c r="J113"/>
  <c r="J114"/>
  <c r="J97"/>
  <c r="K100"/>
  <c r="I116"/>
  <c r="D94"/>
  <c r="H97"/>
  <c r="H98"/>
  <c r="H99"/>
  <c r="G100"/>
  <c r="F112"/>
  <c r="E113"/>
  <c r="E114"/>
  <c r="F116"/>
  <c r="J98"/>
  <c r="I114"/>
  <c r="F97"/>
  <c r="F99"/>
  <c r="E100"/>
  <c r="D112"/>
  <c r="D113"/>
  <c r="D114"/>
  <c r="D116"/>
  <c r="K112"/>
  <c r="K113"/>
  <c r="K114"/>
  <c r="J99"/>
  <c r="I113"/>
  <c r="E21" i="17"/>
  <c r="E102"/>
  <c r="J102"/>
  <c r="J23"/>
  <c r="D102"/>
  <c r="K103"/>
  <c r="K129"/>
  <c r="J103"/>
  <c r="J129"/>
  <c r="G103"/>
  <c r="F129"/>
  <c r="E103"/>
  <c r="G104"/>
  <c r="D129"/>
  <c r="I129"/>
  <c r="K104"/>
  <c r="K107"/>
  <c r="J107"/>
  <c r="I107"/>
  <c r="H107"/>
  <c r="F107"/>
  <c r="G102"/>
  <c r="D26"/>
  <c r="E23"/>
  <c r="D40"/>
  <c r="I26"/>
  <c r="K26"/>
  <c r="J26"/>
  <c r="K40"/>
  <c r="I40"/>
  <c r="H40"/>
  <c r="J40"/>
  <c r="D21"/>
  <c r="G23"/>
  <c r="K21"/>
  <c r="H26"/>
  <c r="K23"/>
  <c r="E102" i="16"/>
  <c r="D102"/>
  <c r="J102"/>
  <c r="I102"/>
  <c r="D104"/>
  <c r="G104"/>
  <c r="J104"/>
  <c r="K22"/>
  <c r="D22"/>
  <c r="G22"/>
  <c r="E22"/>
  <c r="K37"/>
  <c r="J37"/>
  <c r="G37"/>
  <c r="E37"/>
  <c r="D24" i="15"/>
  <c r="K24"/>
  <c r="J24"/>
  <c r="I24"/>
  <c r="D123" i="20"/>
  <c r="J123"/>
  <c r="H123"/>
  <c r="K123"/>
  <c r="J38"/>
  <c r="K38"/>
  <c r="H38"/>
  <c r="F38"/>
  <c r="H133" i="18" l="1"/>
  <c r="H135" s="1"/>
  <c r="G133"/>
  <c r="N133"/>
  <c r="D105"/>
  <c r="D106" s="1"/>
  <c r="D108" s="1"/>
  <c r="I133"/>
  <c r="I135" s="1"/>
  <c r="E133"/>
  <c r="E135" s="1"/>
  <c r="D119"/>
  <c r="D120" s="1"/>
  <c r="D122" s="1"/>
  <c r="J133"/>
  <c r="J135" s="1"/>
  <c r="K133"/>
  <c r="K135" s="1"/>
  <c r="F133"/>
  <c r="F135" s="1"/>
  <c r="N19" i="20"/>
  <c r="C19"/>
  <c r="E19" s="1"/>
  <c r="G134" i="18" l="1"/>
  <c r="G135"/>
  <c r="G136" s="1"/>
  <c r="I138"/>
  <c r="D133"/>
  <c r="D135" s="1"/>
  <c r="E136"/>
  <c r="E134"/>
  <c r="K19" i="20"/>
  <c r="J19"/>
  <c r="D19"/>
  <c r="G19"/>
  <c r="I139" i="18" l="1"/>
  <c r="G138"/>
  <c r="G139" s="1"/>
  <c r="E138"/>
  <c r="N128" i="20"/>
  <c r="D128"/>
  <c r="D129" s="1"/>
  <c r="D131" s="1"/>
  <c r="N115"/>
  <c r="C115"/>
  <c r="J115" s="1"/>
  <c r="N113"/>
  <c r="C113"/>
  <c r="D113" s="1"/>
  <c r="N112"/>
  <c r="C112"/>
  <c r="I112" s="1"/>
  <c r="N111"/>
  <c r="C111"/>
  <c r="G111" s="1"/>
  <c r="N110"/>
  <c r="C110"/>
  <c r="J110" s="1"/>
  <c r="N101"/>
  <c r="C101"/>
  <c r="I101" s="1"/>
  <c r="N100"/>
  <c r="C100"/>
  <c r="E100" s="1"/>
  <c r="N98"/>
  <c r="C98"/>
  <c r="I98" s="1"/>
  <c r="N97"/>
  <c r="C97"/>
  <c r="D97" s="1"/>
  <c r="N96"/>
  <c r="C96"/>
  <c r="D96" s="1"/>
  <c r="N95"/>
  <c r="C95"/>
  <c r="D95" s="1"/>
  <c r="N37"/>
  <c r="C37"/>
  <c r="D37" s="1"/>
  <c r="N36"/>
  <c r="C36"/>
  <c r="E36" s="1"/>
  <c r="N35"/>
  <c r="C35"/>
  <c r="H35" s="1"/>
  <c r="N34"/>
  <c r="C34"/>
  <c r="I34" s="1"/>
  <c r="N33"/>
  <c r="C33"/>
  <c r="H33" s="1"/>
  <c r="N32"/>
  <c r="C32"/>
  <c r="D32" s="1"/>
  <c r="N31"/>
  <c r="C31"/>
  <c r="D31" s="1"/>
  <c r="N24"/>
  <c r="C24"/>
  <c r="F24" s="1"/>
  <c r="N23"/>
  <c r="N20"/>
  <c r="C20"/>
  <c r="E20" s="1"/>
  <c r="N17"/>
  <c r="C17"/>
  <c r="I17" s="1"/>
  <c r="N16"/>
  <c r="C16"/>
  <c r="D16" s="1"/>
  <c r="N15"/>
  <c r="C15"/>
  <c r="D15" s="1"/>
  <c r="N14"/>
  <c r="C14"/>
  <c r="J14" s="1"/>
  <c r="E110" l="1"/>
  <c r="D36"/>
  <c r="E139" i="18"/>
  <c r="D17" i="20"/>
  <c r="H98"/>
  <c r="J34"/>
  <c r="J33"/>
  <c r="I33"/>
  <c r="D14"/>
  <c r="H17"/>
  <c r="K36"/>
  <c r="H112"/>
  <c r="G115"/>
  <c r="J36"/>
  <c r="I35"/>
  <c r="F35"/>
  <c r="E115"/>
  <c r="G20"/>
  <c r="D115"/>
  <c r="D20"/>
  <c r="J17"/>
  <c r="D35"/>
  <c r="K31"/>
  <c r="D100"/>
  <c r="F33"/>
  <c r="D110"/>
  <c r="J20"/>
  <c r="D33"/>
  <c r="H34"/>
  <c r="K95"/>
  <c r="H101"/>
  <c r="J95"/>
  <c r="D98"/>
  <c r="D112"/>
  <c r="F34"/>
  <c r="F101"/>
  <c r="E14"/>
  <c r="F17"/>
  <c r="D34"/>
  <c r="E95"/>
  <c r="D101"/>
  <c r="D24"/>
  <c r="D111"/>
  <c r="H97"/>
  <c r="N118"/>
  <c r="N105"/>
  <c r="G36"/>
  <c r="K37"/>
  <c r="J37"/>
  <c r="I37"/>
  <c r="H37"/>
  <c r="N26"/>
  <c r="G15"/>
  <c r="N44"/>
  <c r="K98"/>
  <c r="G31"/>
  <c r="I113"/>
  <c r="I24"/>
  <c r="E31"/>
  <c r="F37"/>
  <c r="J100"/>
  <c r="H113"/>
  <c r="K112"/>
  <c r="J98"/>
  <c r="J112"/>
  <c r="K14"/>
  <c r="H16"/>
  <c r="K17"/>
  <c r="H24"/>
  <c r="G32"/>
  <c r="K33"/>
  <c r="K34"/>
  <c r="G96"/>
  <c r="F98"/>
  <c r="G100"/>
  <c r="K110"/>
  <c r="F112"/>
  <c r="F113"/>
  <c r="K115"/>
  <c r="D44" l="1"/>
  <c r="D45" s="1"/>
  <c r="D47" s="1"/>
  <c r="E132"/>
  <c r="E134" s="1"/>
  <c r="D105"/>
  <c r="D106" s="1"/>
  <c r="D108" s="1"/>
  <c r="E48"/>
  <c r="E50" s="1"/>
  <c r="I132"/>
  <c r="I134" s="1"/>
  <c r="D26"/>
  <c r="D27" s="1"/>
  <c r="D29" s="1"/>
  <c r="H48"/>
  <c r="H50" s="1"/>
  <c r="N48"/>
  <c r="J132"/>
  <c r="J134" s="1"/>
  <c r="D118"/>
  <c r="D119" s="1"/>
  <c r="D121" s="1"/>
  <c r="N132"/>
  <c r="K132"/>
  <c r="K134" s="1"/>
  <c r="G132"/>
  <c r="G134" s="1"/>
  <c r="J48"/>
  <c r="J50" s="1"/>
  <c r="I48"/>
  <c r="I50" s="1"/>
  <c r="K48"/>
  <c r="K50" s="1"/>
  <c r="F48"/>
  <c r="F50" s="1"/>
  <c r="H132"/>
  <c r="H134" s="1"/>
  <c r="G48"/>
  <c r="F132"/>
  <c r="F134" s="1"/>
  <c r="I137" l="1"/>
  <c r="D48"/>
  <c r="D50" s="1"/>
  <c r="D132"/>
  <c r="D134" s="1"/>
  <c r="G133"/>
  <c r="I53"/>
  <c r="E49"/>
  <c r="E51"/>
  <c r="E135"/>
  <c r="G135"/>
  <c r="G49"/>
  <c r="G50"/>
  <c r="E133"/>
  <c r="I138" l="1"/>
  <c r="I54"/>
  <c r="E53"/>
  <c r="G51"/>
  <c r="E137"/>
  <c r="G137"/>
  <c r="G138" s="1"/>
  <c r="E54" l="1"/>
  <c r="G53"/>
  <c r="G54" s="1"/>
  <c r="E138"/>
  <c r="N38" i="18" l="1"/>
  <c r="C38"/>
  <c r="J38" s="1"/>
  <c r="N123" i="15"/>
  <c r="C123"/>
  <c r="K123" s="1"/>
  <c r="N40"/>
  <c r="C40"/>
  <c r="D38" i="18" l="1"/>
  <c r="F38"/>
  <c r="I38"/>
  <c r="H38"/>
  <c r="K38"/>
  <c r="D123" i="15"/>
  <c r="I123"/>
  <c r="J123"/>
  <c r="D40"/>
  <c r="I40"/>
  <c r="F40"/>
  <c r="H40"/>
  <c r="H123"/>
  <c r="J40"/>
  <c r="K40"/>
  <c r="F123"/>
  <c r="N20" i="18" l="1"/>
  <c r="C20"/>
  <c r="K20" s="1"/>
  <c r="J20" l="1"/>
  <c r="D20"/>
  <c r="I20" s="1"/>
  <c r="H20"/>
  <c r="F20"/>
  <c r="N101" i="16" l="1"/>
  <c r="C101"/>
  <c r="H101" s="1"/>
  <c r="N19"/>
  <c r="C19"/>
  <c r="H19" s="1"/>
  <c r="F101" l="1"/>
  <c r="D101"/>
  <c r="I101" s="1"/>
  <c r="K101"/>
  <c r="J101"/>
  <c r="F19"/>
  <c r="K19"/>
  <c r="D19"/>
  <c r="I19" s="1"/>
  <c r="J19"/>
  <c r="N19" i="18" l="1"/>
  <c r="C19"/>
  <c r="J19" s="1"/>
  <c r="I19" l="1"/>
  <c r="H19"/>
  <c r="F19"/>
  <c r="D19"/>
  <c r="K19"/>
  <c r="C122" i="17" l="1"/>
  <c r="N17" i="18" l="1"/>
  <c r="C17"/>
  <c r="H17" s="1"/>
  <c r="N116" i="17"/>
  <c r="C116"/>
  <c r="H116" s="1"/>
  <c r="N18"/>
  <c r="C18"/>
  <c r="D18" s="1"/>
  <c r="D17" i="18" l="1"/>
  <c r="D116" i="17"/>
  <c r="H18"/>
  <c r="N99" i="16" l="1"/>
  <c r="C99"/>
  <c r="D99" s="1"/>
  <c r="N127"/>
  <c r="C127"/>
  <c r="D127" s="1"/>
  <c r="N36"/>
  <c r="C36"/>
  <c r="D36" s="1"/>
  <c r="N40"/>
  <c r="C40"/>
  <c r="D40" s="1"/>
  <c r="K127" l="1"/>
  <c r="J127"/>
  <c r="I127"/>
  <c r="H127"/>
  <c r="H99"/>
  <c r="F127"/>
  <c r="H36"/>
  <c r="K40"/>
  <c r="I40"/>
  <c r="H40"/>
  <c r="F40"/>
  <c r="J40"/>
  <c r="N24" l="1"/>
  <c r="J24" l="1"/>
  <c r="N97" i="15" l="1"/>
  <c r="C97"/>
  <c r="D97" s="1"/>
  <c r="N19"/>
  <c r="C19"/>
  <c r="D19" s="1"/>
  <c r="H97" l="1"/>
  <c r="H19"/>
  <c r="N115" i="16" l="1"/>
  <c r="C115"/>
  <c r="G115" s="1"/>
  <c r="N35"/>
  <c r="C35"/>
  <c r="G35" s="1"/>
  <c r="N18"/>
  <c r="C18"/>
  <c r="G18" s="1"/>
  <c r="N111" i="15"/>
  <c r="C111"/>
  <c r="G111" s="1"/>
  <c r="N96"/>
  <c r="C96"/>
  <c r="D96" s="1"/>
  <c r="N34"/>
  <c r="C34"/>
  <c r="D34" s="1"/>
  <c r="N34" i="18"/>
  <c r="C34"/>
  <c r="D34" s="1"/>
  <c r="D111" i="15" l="1"/>
  <c r="D35" i="16"/>
  <c r="D18"/>
  <c r="D115"/>
  <c r="G96" i="15"/>
  <c r="G34"/>
  <c r="I34" i="18"/>
  <c r="H34"/>
  <c r="F34"/>
  <c r="N36" l="1"/>
  <c r="C36"/>
  <c r="D36" s="1"/>
  <c r="N23"/>
  <c r="C23"/>
  <c r="D23" s="1"/>
  <c r="N33"/>
  <c r="C33"/>
  <c r="G33" s="1"/>
  <c r="H36" l="1"/>
  <c r="I36"/>
  <c r="F36"/>
  <c r="F23"/>
  <c r="I23"/>
  <c r="H23"/>
  <c r="D33"/>
  <c r="N120" i="17" l="1"/>
  <c r="C120"/>
  <c r="D120" s="1"/>
  <c r="N122"/>
  <c r="D122"/>
  <c r="N115"/>
  <c r="C115"/>
  <c r="D115" s="1"/>
  <c r="N105"/>
  <c r="C105"/>
  <c r="D105" s="1"/>
  <c r="N99"/>
  <c r="C99"/>
  <c r="D99" s="1"/>
  <c r="G115" l="1"/>
  <c r="K120"/>
  <c r="I120"/>
  <c r="J120"/>
  <c r="H120"/>
  <c r="F120"/>
  <c r="I122"/>
  <c r="H122"/>
  <c r="F122"/>
  <c r="I105"/>
  <c r="H105"/>
  <c r="F105"/>
  <c r="G99"/>
  <c r="N39" l="1"/>
  <c r="N38"/>
  <c r="C38"/>
  <c r="H38" s="1"/>
  <c r="N37"/>
  <c r="C37"/>
  <c r="D37" s="1"/>
  <c r="N34"/>
  <c r="C34"/>
  <c r="G34" s="1"/>
  <c r="N36"/>
  <c r="J36"/>
  <c r="F36"/>
  <c r="C36"/>
  <c r="I36" s="1"/>
  <c r="N35"/>
  <c r="C35"/>
  <c r="N21"/>
  <c r="N24"/>
  <c r="C24"/>
  <c r="D24" s="1"/>
  <c r="N119" i="16"/>
  <c r="C119"/>
  <c r="D119" s="1"/>
  <c r="N105"/>
  <c r="C105"/>
  <c r="D105" s="1"/>
  <c r="N39"/>
  <c r="C39"/>
  <c r="D39" s="1"/>
  <c r="N27"/>
  <c r="C27"/>
  <c r="F27" s="1"/>
  <c r="D36" i="17" l="1"/>
  <c r="H35"/>
  <c r="I35"/>
  <c r="H36"/>
  <c r="I105" i="16"/>
  <c r="I27"/>
  <c r="H105"/>
  <c r="F35" i="17"/>
  <c r="D35"/>
  <c r="H119" i="16"/>
  <c r="F105"/>
  <c r="J35" i="17"/>
  <c r="H27" i="16"/>
  <c r="I39"/>
  <c r="D34" i="17"/>
  <c r="K38"/>
  <c r="J38"/>
  <c r="F38"/>
  <c r="D38"/>
  <c r="I38"/>
  <c r="I37"/>
  <c r="H37"/>
  <c r="F37"/>
  <c r="K35"/>
  <c r="K36"/>
  <c r="I24"/>
  <c r="H24"/>
  <c r="F24"/>
  <c r="I119" i="16"/>
  <c r="F119"/>
  <c r="H39"/>
  <c r="F39"/>
  <c r="D27"/>
  <c r="N113" i="15" l="1"/>
  <c r="C113"/>
  <c r="D113" s="1"/>
  <c r="N101"/>
  <c r="C101"/>
  <c r="D101" s="1"/>
  <c r="N38"/>
  <c r="C38"/>
  <c r="E38" s="1"/>
  <c r="N37"/>
  <c r="C37"/>
  <c r="D37" s="1"/>
  <c r="N36"/>
  <c r="C36"/>
  <c r="I36" s="1"/>
  <c r="N35"/>
  <c r="C35"/>
  <c r="H35" s="1"/>
  <c r="N23"/>
  <c r="C23"/>
  <c r="D23" s="1"/>
  <c r="J36" l="1"/>
  <c r="D35"/>
  <c r="H36"/>
  <c r="D36"/>
  <c r="J35"/>
  <c r="I35"/>
  <c r="F35"/>
  <c r="F36"/>
  <c r="D38"/>
  <c r="I113"/>
  <c r="H113"/>
  <c r="F113"/>
  <c r="I101"/>
  <c r="H101"/>
  <c r="F101"/>
  <c r="K38"/>
  <c r="J38"/>
  <c r="I38"/>
  <c r="I37"/>
  <c r="H37"/>
  <c r="F37"/>
  <c r="K35"/>
  <c r="K36"/>
  <c r="I23"/>
  <c r="H23"/>
  <c r="F23"/>
  <c r="N132" i="16" l="1"/>
  <c r="N120"/>
  <c r="C120"/>
  <c r="D120" s="1"/>
  <c r="N118"/>
  <c r="C118"/>
  <c r="N117"/>
  <c r="C117"/>
  <c r="K117" s="1"/>
  <c r="N116"/>
  <c r="C116"/>
  <c r="I116" s="1"/>
  <c r="N113"/>
  <c r="C113"/>
  <c r="D113" s="1"/>
  <c r="N103"/>
  <c r="C103"/>
  <c r="N100"/>
  <c r="C100"/>
  <c r="I100" s="1"/>
  <c r="N98"/>
  <c r="C98"/>
  <c r="D98" s="1"/>
  <c r="N97"/>
  <c r="C97"/>
  <c r="D97" s="1"/>
  <c r="N34"/>
  <c r="C34"/>
  <c r="D34" s="1"/>
  <c r="N25"/>
  <c r="C25"/>
  <c r="N23"/>
  <c r="C23"/>
  <c r="E23" s="1"/>
  <c r="N21"/>
  <c r="C21"/>
  <c r="D21" s="1"/>
  <c r="N20"/>
  <c r="C20"/>
  <c r="N17"/>
  <c r="C17"/>
  <c r="D17" s="1"/>
  <c r="N16"/>
  <c r="C16"/>
  <c r="K16" s="1"/>
  <c r="D20" l="1"/>
  <c r="F100"/>
  <c r="K116"/>
  <c r="F25"/>
  <c r="J25"/>
  <c r="K25"/>
  <c r="E103"/>
  <c r="D118"/>
  <c r="J16"/>
  <c r="D16"/>
  <c r="E97"/>
  <c r="D46"/>
  <c r="D47" s="1"/>
  <c r="D49" s="1"/>
  <c r="D132"/>
  <c r="D133" s="1"/>
  <c r="D135" s="1"/>
  <c r="I17"/>
  <c r="K97"/>
  <c r="D100"/>
  <c r="E16"/>
  <c r="J120"/>
  <c r="K120"/>
  <c r="J116"/>
  <c r="J113"/>
  <c r="G118"/>
  <c r="K113"/>
  <c r="H116"/>
  <c r="E113"/>
  <c r="F116"/>
  <c r="E118"/>
  <c r="J97"/>
  <c r="J117"/>
  <c r="D25"/>
  <c r="K34"/>
  <c r="I117"/>
  <c r="K17"/>
  <c r="G117"/>
  <c r="J17"/>
  <c r="E117"/>
  <c r="J118"/>
  <c r="N122"/>
  <c r="D103"/>
  <c r="N108"/>
  <c r="K118"/>
  <c r="N46"/>
  <c r="D23"/>
  <c r="N29"/>
  <c r="K98"/>
  <c r="K21"/>
  <c r="J98"/>
  <c r="H17"/>
  <c r="J21"/>
  <c r="J23"/>
  <c r="J34"/>
  <c r="I98"/>
  <c r="J100"/>
  <c r="K103"/>
  <c r="D116"/>
  <c r="D117"/>
  <c r="I120"/>
  <c r="K20"/>
  <c r="K100"/>
  <c r="F17"/>
  <c r="H20"/>
  <c r="G21"/>
  <c r="I23"/>
  <c r="E34"/>
  <c r="H98"/>
  <c r="J103"/>
  <c r="E120"/>
  <c r="F20"/>
  <c r="E21"/>
  <c r="G23"/>
  <c r="I25"/>
  <c r="F98"/>
  <c r="H100"/>
  <c r="G103"/>
  <c r="K23"/>
  <c r="D122" l="1"/>
  <c r="D123" s="1"/>
  <c r="D125" s="1"/>
  <c r="G136"/>
  <c r="G138" s="1"/>
  <c r="D108"/>
  <c r="D109" s="1"/>
  <c r="D111" s="1"/>
  <c r="H50"/>
  <c r="H52" s="1"/>
  <c r="D29"/>
  <c r="D30" s="1"/>
  <c r="D32" s="1"/>
  <c r="H136"/>
  <c r="H138" s="1"/>
  <c r="E50"/>
  <c r="E52" s="1"/>
  <c r="N136"/>
  <c r="I50"/>
  <c r="I52" s="1"/>
  <c r="K50"/>
  <c r="K52" s="1"/>
  <c r="J136"/>
  <c r="J138" s="1"/>
  <c r="K136"/>
  <c r="K138" s="1"/>
  <c r="E136"/>
  <c r="E138" s="1"/>
  <c r="F136"/>
  <c r="F138" s="1"/>
  <c r="F50"/>
  <c r="F52" s="1"/>
  <c r="N50"/>
  <c r="J50"/>
  <c r="J52" s="1"/>
  <c r="G50"/>
  <c r="I136"/>
  <c r="I138" s="1"/>
  <c r="D136" l="1"/>
  <c r="D138" s="1"/>
  <c r="D50"/>
  <c r="D52" s="1"/>
  <c r="G137"/>
  <c r="I55"/>
  <c r="E137"/>
  <c r="E51"/>
  <c r="I141"/>
  <c r="E139"/>
  <c r="G52"/>
  <c r="G51"/>
  <c r="G139"/>
  <c r="E53"/>
  <c r="I142" l="1"/>
  <c r="I56"/>
  <c r="E55"/>
  <c r="E141"/>
  <c r="E142" s="1"/>
  <c r="G53"/>
  <c r="G141"/>
  <c r="G142" s="1"/>
  <c r="E56" l="1"/>
  <c r="G55"/>
  <c r="G56" s="1"/>
  <c r="N128" i="15" l="1"/>
  <c r="N116"/>
  <c r="C116"/>
  <c r="D116" s="1"/>
  <c r="N112"/>
  <c r="C112"/>
  <c r="D112" s="1"/>
  <c r="N110"/>
  <c r="C110"/>
  <c r="J110" s="1"/>
  <c r="N102"/>
  <c r="C102"/>
  <c r="G102" s="1"/>
  <c r="N100"/>
  <c r="C100"/>
  <c r="D100" s="1"/>
  <c r="N99"/>
  <c r="C99"/>
  <c r="D99" s="1"/>
  <c r="N98"/>
  <c r="C98"/>
  <c r="N94"/>
  <c r="C94"/>
  <c r="J94" s="1"/>
  <c r="N39"/>
  <c r="C39"/>
  <c r="J39" s="1"/>
  <c r="N33"/>
  <c r="C33"/>
  <c r="J33" s="1"/>
  <c r="N25"/>
  <c r="C25"/>
  <c r="E25" s="1"/>
  <c r="N22"/>
  <c r="C22"/>
  <c r="I22" s="1"/>
  <c r="N21"/>
  <c r="C21"/>
  <c r="K21" s="1"/>
  <c r="N20"/>
  <c r="C20"/>
  <c r="I20" s="1"/>
  <c r="N18"/>
  <c r="C18"/>
  <c r="N16"/>
  <c r="C16"/>
  <c r="K16" s="1"/>
  <c r="D98" l="1"/>
  <c r="I98"/>
  <c r="J112"/>
  <c r="I112"/>
  <c r="D94"/>
  <c r="J20"/>
  <c r="D20"/>
  <c r="D16"/>
  <c r="E16"/>
  <c r="D21"/>
  <c r="K110"/>
  <c r="K94"/>
  <c r="E94"/>
  <c r="E100"/>
  <c r="F20"/>
  <c r="E110"/>
  <c r="D110"/>
  <c r="F112"/>
  <c r="D25"/>
  <c r="J16"/>
  <c r="K20"/>
  <c r="I25"/>
  <c r="F98"/>
  <c r="K112"/>
  <c r="D128"/>
  <c r="D129" s="1"/>
  <c r="D131" s="1"/>
  <c r="D18"/>
  <c r="G18"/>
  <c r="J21"/>
  <c r="E21"/>
  <c r="K98"/>
  <c r="J22"/>
  <c r="D22"/>
  <c r="N118"/>
  <c r="J116"/>
  <c r="N28"/>
  <c r="N105"/>
  <c r="K99"/>
  <c r="E99"/>
  <c r="N46"/>
  <c r="K39"/>
  <c r="G39"/>
  <c r="E39"/>
  <c r="D39"/>
  <c r="K22"/>
  <c r="G22"/>
  <c r="E22"/>
  <c r="K33"/>
  <c r="K25"/>
  <c r="E33"/>
  <c r="E102"/>
  <c r="H20"/>
  <c r="G21"/>
  <c r="J25"/>
  <c r="D33"/>
  <c r="D102"/>
  <c r="H112"/>
  <c r="K116"/>
  <c r="I99"/>
  <c r="J100"/>
  <c r="K102"/>
  <c r="E116"/>
  <c r="G25"/>
  <c r="J98"/>
  <c r="J99"/>
  <c r="K100"/>
  <c r="G116"/>
  <c r="H98"/>
  <c r="G99"/>
  <c r="G100"/>
  <c r="J102"/>
  <c r="I102"/>
  <c r="F50" l="1"/>
  <c r="F52" s="1"/>
  <c r="I50"/>
  <c r="I52" s="1"/>
  <c r="F132"/>
  <c r="F134" s="1"/>
  <c r="D28"/>
  <c r="D29" s="1"/>
  <c r="D31" s="1"/>
  <c r="D118"/>
  <c r="D119" s="1"/>
  <c r="D121" s="1"/>
  <c r="H50"/>
  <c r="H52" s="1"/>
  <c r="N132"/>
  <c r="D46"/>
  <c r="D47" s="1"/>
  <c r="D49" s="1"/>
  <c r="G50"/>
  <c r="G52" s="1"/>
  <c r="N50"/>
  <c r="D105"/>
  <c r="D106" s="1"/>
  <c r="D108" s="1"/>
  <c r="H132"/>
  <c r="H134" s="1"/>
  <c r="E132"/>
  <c r="G132"/>
  <c r="G134" s="1"/>
  <c r="K132"/>
  <c r="K134" s="1"/>
  <c r="J132"/>
  <c r="J134" s="1"/>
  <c r="K50"/>
  <c r="K52" s="1"/>
  <c r="J50"/>
  <c r="J52" s="1"/>
  <c r="E50"/>
  <c r="I132"/>
  <c r="I134" s="1"/>
  <c r="E51" l="1"/>
  <c r="I55"/>
  <c r="E133"/>
  <c r="G51"/>
  <c r="D50"/>
  <c r="D52" s="1"/>
  <c r="D132"/>
  <c r="D134" s="1"/>
  <c r="G133"/>
  <c r="E134"/>
  <c r="E135" s="1"/>
  <c r="E52"/>
  <c r="E53" s="1"/>
  <c r="I137"/>
  <c r="G53"/>
  <c r="G135"/>
  <c r="I56" l="1"/>
  <c r="I138"/>
  <c r="G55"/>
  <c r="G56" s="1"/>
  <c r="E55"/>
  <c r="E137"/>
  <c r="G137"/>
  <c r="G138" s="1"/>
  <c r="E56" l="1"/>
  <c r="E138"/>
  <c r="N134" i="17" l="1"/>
  <c r="N121"/>
  <c r="C121"/>
  <c r="E121" s="1"/>
  <c r="N119"/>
  <c r="C119"/>
  <c r="J119" s="1"/>
  <c r="N118"/>
  <c r="C118"/>
  <c r="D118" s="1"/>
  <c r="N117"/>
  <c r="C117"/>
  <c r="I117" s="1"/>
  <c r="N114"/>
  <c r="C114"/>
  <c r="E114" s="1"/>
  <c r="N100"/>
  <c r="C100"/>
  <c r="I100" s="1"/>
  <c r="N98"/>
  <c r="C98"/>
  <c r="E98" s="1"/>
  <c r="C39"/>
  <c r="G39" s="1"/>
  <c r="N33"/>
  <c r="C33"/>
  <c r="E33" s="1"/>
  <c r="N22"/>
  <c r="C22"/>
  <c r="N19"/>
  <c r="C19"/>
  <c r="I19" s="1"/>
  <c r="N17"/>
  <c r="C17"/>
  <c r="N16"/>
  <c r="C16"/>
  <c r="K16" s="1"/>
  <c r="K100" l="1"/>
  <c r="D117"/>
  <c r="J19"/>
  <c r="G22"/>
  <c r="E22"/>
  <c r="E119"/>
  <c r="D17"/>
  <c r="G17"/>
  <c r="D39"/>
  <c r="D119"/>
  <c r="I119"/>
  <c r="G119"/>
  <c r="D16"/>
  <c r="K117"/>
  <c r="J100"/>
  <c r="E39"/>
  <c r="N46"/>
  <c r="K119"/>
  <c r="N124"/>
  <c r="H100"/>
  <c r="N109"/>
  <c r="F100"/>
  <c r="N28"/>
  <c r="J16"/>
  <c r="K19"/>
  <c r="H19"/>
  <c r="F19"/>
  <c r="D19"/>
  <c r="E16"/>
  <c r="D22"/>
  <c r="D33"/>
  <c r="D98"/>
  <c r="D114"/>
  <c r="D121"/>
  <c r="D134"/>
  <c r="D135" s="1"/>
  <c r="D137" s="1"/>
  <c r="J117"/>
  <c r="K118"/>
  <c r="D100"/>
  <c r="J118"/>
  <c r="K22"/>
  <c r="H117"/>
  <c r="G118"/>
  <c r="J22"/>
  <c r="K33"/>
  <c r="K98"/>
  <c r="K114"/>
  <c r="F117"/>
  <c r="E118"/>
  <c r="J33"/>
  <c r="J98"/>
  <c r="J114"/>
  <c r="G121"/>
  <c r="G50" l="1"/>
  <c r="G52" s="1"/>
  <c r="N50"/>
  <c r="H50"/>
  <c r="H52" s="1"/>
  <c r="D109"/>
  <c r="D110" s="1"/>
  <c r="D112" s="1"/>
  <c r="G138"/>
  <c r="G140" s="1"/>
  <c r="D124"/>
  <c r="D125" s="1"/>
  <c r="D127" s="1"/>
  <c r="E138"/>
  <c r="E140" s="1"/>
  <c r="N138"/>
  <c r="H138"/>
  <c r="H140" s="1"/>
  <c r="F138"/>
  <c r="F140" s="1"/>
  <c r="D46"/>
  <c r="D47" s="1"/>
  <c r="D49" s="1"/>
  <c r="J50"/>
  <c r="J52" s="1"/>
  <c r="D28"/>
  <c r="F50"/>
  <c r="F52" s="1"/>
  <c r="I50"/>
  <c r="I52" s="1"/>
  <c r="I55" s="1"/>
  <c r="K50"/>
  <c r="K52" s="1"/>
  <c r="J138"/>
  <c r="J140" s="1"/>
  <c r="I138"/>
  <c r="I140" s="1"/>
  <c r="I143" s="1"/>
  <c r="E50"/>
  <c r="K138"/>
  <c r="K140" s="1"/>
  <c r="N35" i="18"/>
  <c r="C35"/>
  <c r="G35" s="1"/>
  <c r="E35" l="1"/>
  <c r="D35"/>
  <c r="J35"/>
  <c r="G51" i="17"/>
  <c r="D138"/>
  <c r="D140" s="1"/>
  <c r="G139"/>
  <c r="E139"/>
  <c r="D50"/>
  <c r="D52" s="1"/>
  <c r="I56" s="1"/>
  <c r="D29"/>
  <c r="D31" s="1"/>
  <c r="G141"/>
  <c r="E141"/>
  <c r="E143" s="1"/>
  <c r="E51"/>
  <c r="E52"/>
  <c r="G53"/>
  <c r="K35" i="18"/>
  <c r="I35"/>
  <c r="E144" i="17" l="1"/>
  <c r="I144"/>
  <c r="G143"/>
  <c r="G144" s="1"/>
  <c r="G55"/>
  <c r="G56" s="1"/>
  <c r="E53"/>
  <c r="E55" l="1"/>
  <c r="E56" s="1"/>
  <c r="N21" i="18" l="1"/>
  <c r="C21"/>
  <c r="E21" s="1"/>
  <c r="D21" l="1"/>
  <c r="K21"/>
  <c r="G21"/>
  <c r="J21"/>
  <c r="N22" l="1"/>
  <c r="C22"/>
  <c r="E22" s="1"/>
  <c r="D22" l="1"/>
  <c r="K22"/>
  <c r="G22"/>
  <c r="J22"/>
  <c r="N32" l="1"/>
  <c r="N18"/>
  <c r="N16"/>
  <c r="N44" l="1"/>
  <c r="N27"/>
  <c r="C32"/>
  <c r="K32" s="1"/>
  <c r="N48" l="1"/>
  <c r="D32"/>
  <c r="J32"/>
  <c r="E32"/>
  <c r="C18" l="1"/>
  <c r="C16"/>
  <c r="I18" l="1"/>
  <c r="D18"/>
  <c r="H18"/>
  <c r="K18"/>
  <c r="J18"/>
  <c r="D16"/>
  <c r="J16"/>
  <c r="K16"/>
  <c r="E16"/>
  <c r="F18"/>
  <c r="G48" l="1"/>
  <c r="G50" s="1"/>
  <c r="J48"/>
  <c r="J50" s="1"/>
  <c r="K48"/>
  <c r="K50" s="1"/>
  <c r="D27"/>
  <c r="D28" s="1"/>
  <c r="D44"/>
  <c r="H48"/>
  <c r="H50" s="1"/>
  <c r="I48"/>
  <c r="I50" s="1"/>
  <c r="I53" s="1"/>
  <c r="F48"/>
  <c r="F50" s="1"/>
  <c r="E48"/>
  <c r="E50" s="1"/>
  <c r="D45" l="1"/>
  <c r="D47" s="1"/>
  <c r="G51"/>
  <c r="D30"/>
  <c r="D48"/>
  <c r="D50" s="1"/>
  <c r="I54" s="1"/>
  <c r="G49"/>
  <c r="E49"/>
  <c r="E51" l="1"/>
  <c r="E53" s="1"/>
  <c r="E54" s="1"/>
  <c r="G53"/>
  <c r="G54" s="1"/>
  <c r="W52" l="1"/>
</calcChain>
</file>

<file path=xl/sharedStrings.xml><?xml version="1.0" encoding="utf-8"?>
<sst xmlns="http://schemas.openxmlformats.org/spreadsheetml/2006/main" count="1316" uniqueCount="205">
  <si>
    <t>Số
TT</t>
  </si>
  <si>
    <t>Gạo tẻ</t>
  </si>
  <si>
    <t>Mắm</t>
  </si>
  <si>
    <t>Thịt gà</t>
  </si>
  <si>
    <t>Thịt bò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</si>
  <si>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</si>
  <si>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</si>
  <si>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</si>
  <si>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</si>
  <si>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</si>
  <si>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</si>
  <si>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</si>
  <si>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</si>
  <si>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</si>
  <si>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</si>
  <si>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</si>
  <si>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</si>
  <si>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</si>
  <si>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</si>
  <si>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</si>
  <si>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</si>
  <si>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</si>
  <si>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</si>
  <si>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</si>
  <si>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</si>
  <si>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</si>
  <si>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</si>
  <si>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</si>
  <si>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</si>
  <si>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</si>
  <si>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</si>
  <si>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</si>
  <si>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</si>
  <si>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</si>
  <si>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</si>
  <si>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</si>
  <si>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</si>
  <si>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</si>
  <si>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</si>
  <si>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</si>
  <si>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</si>
  <si>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</si>
  <si>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</si>
  <si>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</si>
  <si>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</si>
  <si>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</si>
  <si>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</si>
  <si>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</si>
  <si>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</si>
  <si>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</si>
  <si>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</si>
  <si>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</si>
  <si>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</si>
  <si>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</si>
  <si>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</si>
  <si>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</si>
  <si>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</si>
  <si>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</si>
  <si>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</si>
  <si>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</si>
  <si>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</si>
  <si>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</si>
  <si>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</si>
  <si>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</si>
  <si>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</si>
  <si>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</si>
  <si>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</si>
  <si>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</si>
  <si>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</si>
  <si>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</si>
  <si>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</si>
  <si>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</si>
  <si>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</si>
  <si>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</si>
  <si>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</si>
  <si>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</si>
  <si>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</si>
  <si>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</si>
  <si>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</si>
  <si>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</si>
  <si>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</si>
  <si>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</si>
  <si>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</si>
  <si>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Bí đao xào trứng gà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</si>
  <si>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</si>
  <si>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</si>
  <si>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</si>
  <si>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</si>
  <si>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</si>
  <si>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</si>
  <si>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</si>
  <si>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</si>
  <si>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</si>
  <si>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</si>
  <si>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</si>
  <si>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</si>
  <si>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</si>
  <si>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</si>
  <si>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</si>
  <si>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</si>
  <si>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</si>
  <si>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</si>
  <si>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</si>
  <si>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</si>
  <si>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</si>
  <si>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</si>
  <si>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</si>
  <si>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</si>
  <si>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</si>
  <si>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</si>
  <si>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</si>
  <si>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</si>
  <si>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</si>
  <si>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</si>
  <si>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</si>
  <si>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</si>
  <si>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</si>
  <si>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</si>
  <si>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Dầu Simply</t>
  </si>
  <si>
    <t>Chuối tây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</si>
  <si>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</si>
  <si>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</si>
  <si>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</si>
  <si>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</si>
  <si>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</si>
  <si>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</si>
  <si>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Dứa</t>
  </si>
  <si>
    <t>Thịt gà, thịt lợn om mộc nhĩ, nước tương</t>
  </si>
  <si>
    <t>Cua</t>
  </si>
  <si>
    <t>Ruốc cá quả</t>
  </si>
  <si>
    <t>Dứa xào thịt lợn</t>
  </si>
  <si>
    <t>Cá quả</t>
  </si>
  <si>
    <t>Bí đỏ xào thịt gà</t>
  </si>
  <si>
    <t>Cháo thịt bò, thịt gà - bí đỏ</t>
  </si>
  <si>
    <t>Bí đỏ xào thịt bò</t>
  </si>
  <si>
    <t>Bầu</t>
  </si>
  <si>
    <t>Mướp</t>
  </si>
  <si>
    <t>Canh rau mồng tơi nấu cua</t>
  </si>
  <si>
    <t>Mồng tơi</t>
  </si>
  <si>
    <t>Bún</t>
  </si>
  <si>
    <t>Rau ngót</t>
  </si>
  <si>
    <t>Bánh đa cua, rau muống</t>
  </si>
  <si>
    <t>Canh cua rau muống</t>
  </si>
  <si>
    <t>Rau muống</t>
  </si>
  <si>
    <t>Canh bầu nấu thịt bò</t>
  </si>
  <si>
    <t>Thịt lợn rim</t>
  </si>
  <si>
    <t>Canh rau ngót, mướp nấu tép</t>
  </si>
  <si>
    <t>Cháo thịt gà hạt sen</t>
  </si>
  <si>
    <t>Tỷ lệ L động vật đạt 70.4%; so với khẩu phần khuyến nghị đảm bảo đạt</t>
  </si>
  <si>
    <t>Trứng gà chiên</t>
  </si>
  <si>
    <t>Canh bí đỏ nấu thịt gà</t>
  </si>
  <si>
    <t>Trứng chim cút, thịt lợn om nước tương</t>
  </si>
  <si>
    <t>Bí đao xào thịt lợn nạc</t>
  </si>
  <si>
    <t>Thịt vịt rim bí đao</t>
  </si>
  <si>
    <t>Canh bí đỏ nấu thịt vịt</t>
  </si>
  <si>
    <t>Bún thịt lợn</t>
  </si>
  <si>
    <t>Tỷ lệ P động vật đạt 61%; so với khẩu phần khuyến nghị cao hơn 1%</t>
  </si>
  <si>
    <t>Tỷ lệ L động vật đạt 70.5%; so với khẩu phần khuyến nghị cao hơn 0,5%</t>
  </si>
  <si>
    <t>Canh mướp nấu thịt gà</t>
  </si>
  <si>
    <t>Tỷ lệ L động vật đạt 69.8%; so với khẩu phần khuyến nghị đảm bảo đạt</t>
  </si>
  <si>
    <t>Canh bí đao nấu thịt gà</t>
  </si>
  <si>
    <t>Canh bí đao thịt gà</t>
  </si>
  <si>
    <t xml:space="preserve">Trứng gà, thịt lợn chiên </t>
  </si>
  <si>
    <t>T hứ hai, ngày 11 tháng 5 năm 2026</t>
  </si>
  <si>
    <t>Kcal đạt 722.16. So với khẩu phần khuyến nghị đảm bảo đạt</t>
  </si>
  <si>
    <t>Tỷ lệ P động vật đạt 54.8%; so với khẩu phần khuyến nghị tương đối đạt</t>
  </si>
  <si>
    <t>Tỷ lệ L động vật đạt 70.3%; so với khẩu phần khuyến nghị đảm bảo đạt</t>
  </si>
  <si>
    <t>Thứ hai, ngày 11 tháng 5 năm 2026</t>
  </si>
  <si>
    <t>Kcal đạt 631.9 So với khẩu phần khuyến nghị đảm bảo đạt</t>
  </si>
  <si>
    <t>Tỷ lệ P động vật đạt 64.3%; so với khẩu phần khuyến nghị cao hơn 4,3%</t>
  </si>
  <si>
    <t>Tỷ lệ L động vật đạt 70,4%; so với khẩu phần khuyến nghị đảm bảo đạt</t>
  </si>
  <si>
    <t>Thứ ba, ngày 12 tháng 5 năm 2026</t>
  </si>
  <si>
    <t>Kcal đạt 713.67 So với khẩu phần khuyến nghị đảm bảo đạt</t>
  </si>
  <si>
    <t>Tỷ lệ P động vật đạt 54%; so với khẩu phần khuyến tương đối đạt</t>
  </si>
  <si>
    <t>Tỷ lệ L động vật đạt 70.8%; so với khẩu phần khuyến nghị cao hơn 0,8%</t>
  </si>
  <si>
    <t>Kcal đạt 641.47 So với khẩu phần khuyến nghị đảm bảo đạt</t>
  </si>
  <si>
    <t>Tỷ lệ P động vật đạt 59.4%; so với khẩu phần khuyến nghị đảm bảo đạt</t>
  </si>
  <si>
    <t>Kcal đạt 704.45. So với khẩu phần khuyến nghị đảm bảo đạt trong khoảng nhu cầu khuyến nghị</t>
  </si>
  <si>
    <t>Thứ tư, ngày 13 tháng 5 năm 2026</t>
  </si>
  <si>
    <t>Trứng chim rim nước tương</t>
  </si>
  <si>
    <t>Canh bí đao nấu thịt lợn</t>
  </si>
  <si>
    <t>Kcal đạt 625.06 So với khẩu phần khuyến nghị đảm bảo đạt</t>
  </si>
  <si>
    <t>Tỷ lệ P động vật đạt 66%; So với khẩu phần khuyến nghị cao hơn 6%</t>
  </si>
  <si>
    <t>Tỷ lệ L động vật đạt 70%; so với khẩu phần khuyến nghị đảm bảo đạt</t>
  </si>
  <si>
    <t>Thứ năm, ngày 14 tháng 5 năm 2026</t>
  </si>
  <si>
    <t>Kcal đạt 721.06 So với khẩu phần khuyến nghị đảm bảo đạt</t>
  </si>
  <si>
    <t>Tỷ lệ P động vật đạt 52.3%; so với khẩu phần khuyến tương nghị đảm bảo đạt</t>
  </si>
  <si>
    <t>Kcal đạt 639.63. So với khẩu phần khuyến nghị đảm bảo đạt</t>
  </si>
  <si>
    <t>Tỷ lệ P động vật đạt 59.8%; so với khẩu phần khuyến nghị đảm bảo đạt</t>
  </si>
  <si>
    <t>Thứ sáu, ngày 15 tháng 5 năm 2026</t>
  </si>
  <si>
    <t>Kcal đạt 695.01. So với khẩu phần khuyến nghị đảm bảo đạt</t>
  </si>
  <si>
    <t>Tỷ lệ P động vật đạt 52.4%; so với khẩu phần khuyến nghị tương đối đạt</t>
  </si>
  <si>
    <t>Tỷ lệ L động vật đạt 69.2%; so với khẩu phần khuyến nghị đảm bảo đạt</t>
  </si>
  <si>
    <t>Kcal đạt 640.82 So với khẩu phần khuyến nghị đảm bảo đạt</t>
  </si>
  <si>
    <t>Tỷ lệ P động vật đạt 60.6%; so với khẩu phần khuyến nghị cao hơn 0.6%</t>
  </si>
  <si>
    <t>Tỷ lệ L động vật đạt 70.7%; so với khẩu phần khuyến nghị cao hơn 0,7%</t>
  </si>
  <si>
    <t>Trứng vịt, thịt lợn chiên sốt cà chua</t>
  </si>
  <si>
    <t>Canh rau ngót, mướp nấu thịt lợn</t>
  </si>
  <si>
    <t>Cà chua</t>
  </si>
  <si>
    <t>Thứ bẩy, ngày 16 tháng 5 năm 2026</t>
  </si>
  <si>
    <t>Kcal đạt 717.27 So với khẩu phần khuyến nghị đảm bảo đạt</t>
  </si>
  <si>
    <t>Tỷ lệ L động vật đạt 69.5%; so với khẩu phần khuyến nghị đảm bảo đạt</t>
  </si>
  <si>
    <t>Tỷ lệ P động vật đạt 50%; so với khẩu phần khuyến nghị tương đối đạt</t>
  </si>
  <si>
    <t>Kcal đạt 641.68 So với khẩu phần khuyến nghị đảm bảo đạt</t>
  </si>
  <si>
    <t>Tỷ lệ P động vật đạt 59.5%; so với khẩu phần khuyến nghị đảm bảo đạt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</si>
</sst>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6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4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8" fillId="0" borderId="4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8" fillId="0" borderId="4" xfId="0" applyFont="1" applyFill="1" applyBorder="1" applyAlignment="1">
      <alignment horizontal="center"/>
    </xf>
    <xf numFmtId="3" fontId="8" fillId="0" borderId="4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3" fontId="11" fillId="0" borderId="4" xfId="0" applyNumberFormat="1" applyFont="1" applyFill="1" applyBorder="1"/>
    <xf numFmtId="2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11" fillId="0" borderId="5" xfId="0" applyNumberFormat="1" applyFont="1" applyFill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1" fillId="0" borderId="4" xfId="0" applyNumberFormat="1" applyFont="1" applyFill="1" applyBorder="1"/>
    <xf numFmtId="164" fontId="11" fillId="0" borderId="5" xfId="0" applyNumberFormat="1" applyFont="1" applyFill="1" applyBorder="1"/>
    <xf numFmtId="164" fontId="11" fillId="0" borderId="4" xfId="0" applyNumberFormat="1" applyFont="1" applyFill="1" applyBorder="1"/>
    <xf numFmtId="0" fontId="13" fillId="0" borderId="15" xfId="0" applyFont="1" applyFill="1" applyBorder="1" applyAlignment="1"/>
    <xf numFmtId="0" fontId="13" fillId="0" borderId="6" xfId="0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3" xfId="0" applyFont="1" applyBorder="1"/>
    <xf numFmtId="0" fontId="8" fillId="0" borderId="11" xfId="0" applyFont="1" applyFill="1" applyBorder="1" applyAlignment="1">
      <alignment horizontal="center"/>
    </xf>
    <xf numFmtId="3" fontId="8" fillId="0" borderId="11" xfId="1" applyNumberFormat="1" applyFont="1" applyFill="1" applyBorder="1" applyAlignment="1">
      <alignment horizontal="left"/>
    </xf>
    <xf numFmtId="3" fontId="11" fillId="0" borderId="11" xfId="0" applyNumberFormat="1" applyFont="1" applyFill="1" applyBorder="1"/>
    <xf numFmtId="2" fontId="11" fillId="0" borderId="11" xfId="0" applyNumberFormat="1" applyFont="1" applyFill="1" applyBorder="1"/>
    <xf numFmtId="4" fontId="11" fillId="0" borderId="11" xfId="0" applyNumberFormat="1" applyFont="1" applyFill="1" applyBorder="1"/>
    <xf numFmtId="1" fontId="11" fillId="0" borderId="11" xfId="0" applyNumberFormat="1" applyFont="1" applyFill="1" applyBorder="1"/>
    <xf numFmtId="167" fontId="11" fillId="0" borderId="11" xfId="0" applyNumberFormat="1" applyFont="1" applyFill="1" applyBorder="1"/>
    <xf numFmtId="3" fontId="11" fillId="0" borderId="11" xfId="0" applyNumberFormat="1" applyFont="1" applyFill="1" applyBorder="1" applyAlignment="1"/>
    <xf numFmtId="3" fontId="11" fillId="0" borderId="12" xfId="0" applyNumberFormat="1" applyFont="1" applyFill="1" applyBorder="1"/>
    <xf numFmtId="2" fontId="11" fillId="0" borderId="12" xfId="0" applyNumberFormat="1" applyFont="1" applyFill="1" applyBorder="1"/>
    <xf numFmtId="4" fontId="11" fillId="0" borderId="12" xfId="0" applyNumberFormat="1" applyFont="1" applyFill="1" applyBorder="1"/>
    <xf numFmtId="1" fontId="11" fillId="0" borderId="12" xfId="0" applyNumberFormat="1" applyFont="1" applyFill="1" applyBorder="1"/>
    <xf numFmtId="3" fontId="11" fillId="0" borderId="6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/>
    <xf numFmtId="0" fontId="11" fillId="0" borderId="13" xfId="0" applyFont="1" applyBorder="1"/>
    <xf numFmtId="1" fontId="6" fillId="0" borderId="13" xfId="0" applyNumberFormat="1" applyFont="1" applyBorder="1"/>
    <xf numFmtId="0" fontId="11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/>
    <xf numFmtId="164" fontId="11" fillId="0" borderId="11" xfId="0" applyNumberFormat="1" applyFont="1" applyFill="1" applyBorder="1"/>
    <xf numFmtId="3" fontId="6" fillId="0" borderId="6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164" fontId="14" fillId="0" borderId="5" xfId="0" applyNumberFormat="1" applyFont="1" applyFill="1" applyBorder="1"/>
    <xf numFmtId="164" fontId="14" fillId="0" borderId="4" xfId="0" applyNumberFormat="1" applyFont="1" applyFill="1" applyBorder="1"/>
    <xf numFmtId="2" fontId="14" fillId="0" borderId="4" xfId="0" applyNumberFormat="1" applyFont="1" applyFill="1" applyBorder="1"/>
    <xf numFmtId="3" fontId="14" fillId="0" borderId="4" xfId="1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3" fontId="8" fillId="0" borderId="20" xfId="1" applyNumberFormat="1" applyFont="1" applyFill="1" applyBorder="1" applyAlignment="1">
      <alignment horizontal="left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2" fontId="3" fillId="0" borderId="0" xfId="0" applyNumberFormat="1" applyFont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14" fillId="0" borderId="4" xfId="0" applyNumberFormat="1" applyFont="1" applyFill="1" applyBorder="1"/>
    <xf numFmtId="3" fontId="14" fillId="0" borderId="11" xfId="0" applyNumberFormat="1" applyFont="1" applyFill="1" applyBorder="1" applyAlignment="1"/>
    <xf numFmtId="3" fontId="14" fillId="0" borderId="4" xfId="0" applyNumberFormat="1" applyFont="1" applyFill="1" applyBorder="1" applyAlignment="1"/>
    <xf numFmtId="2" fontId="12" fillId="0" borderId="2" xfId="0" applyNumberFormat="1" applyFont="1" applyFill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7" fontId="14" fillId="0" borderId="4" xfId="0" applyNumberFormat="1" applyFont="1" applyFill="1" applyBorder="1"/>
    <xf numFmtId="0" fontId="6" fillId="0" borderId="13" xfId="0" applyFont="1" applyFill="1" applyBorder="1" applyAlignment="1">
      <alignment vertical="center"/>
    </xf>
    <xf numFmtId="4" fontId="11" fillId="2" borderId="4" xfId="0" applyNumberFormat="1" applyFont="1" applyFill="1" applyBorder="1"/>
    <xf numFmtId="4" fontId="11" fillId="2" borderId="20" xfId="0" applyNumberFormat="1" applyFont="1" applyFill="1" applyBorder="1"/>
    <xf numFmtId="164" fontId="12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11" fillId="2" borderId="11" xfId="0" applyNumberFormat="1" applyFont="1" applyFill="1" applyBorder="1"/>
    <xf numFmtId="167" fontId="11" fillId="2" borderId="4" xfId="0" applyNumberFormat="1" applyFont="1" applyFill="1" applyBorder="1"/>
    <xf numFmtId="1" fontId="11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1" fillId="2" borderId="4" xfId="0" applyNumberFormat="1" applyFont="1" applyFill="1" applyBorder="1" applyAlignment="1"/>
    <xf numFmtId="3" fontId="11" fillId="2" borderId="11" xfId="0" applyNumberFormat="1" applyFont="1" applyFill="1" applyBorder="1" applyAlignment="1"/>
    <xf numFmtId="3" fontId="11" fillId="0" borderId="4" xfId="1" applyNumberFormat="1" applyFont="1" applyFill="1" applyBorder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/>
    <xf numFmtId="0" fontId="8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4" fontId="14" fillId="0" borderId="2" xfId="0" applyNumberFormat="1" applyFont="1" applyFill="1" applyBorder="1"/>
    <xf numFmtId="3" fontId="11" fillId="0" borderId="2" xfId="0" applyNumberFormat="1" applyFont="1" applyFill="1" applyBorder="1" applyAlignment="1"/>
    <xf numFmtId="4" fontId="14" fillId="0" borderId="5" xfId="0" applyNumberFormat="1" applyFont="1" applyFill="1" applyBorder="1"/>
    <xf numFmtId="0" fontId="8" fillId="0" borderId="2" xfId="0" applyFont="1" applyFill="1" applyBorder="1"/>
    <xf numFmtId="164" fontId="14" fillId="0" borderId="2" xfId="0" applyNumberFormat="1" applyFont="1" applyFill="1" applyBorder="1"/>
    <xf numFmtId="164" fontId="11" fillId="0" borderId="2" xfId="0" applyNumberFormat="1" applyFont="1" applyFill="1" applyBorder="1"/>
    <xf numFmtId="167" fontId="11" fillId="0" borderId="2" xfId="0" applyNumberFormat="1" applyFont="1" applyFill="1" applyBorder="1"/>
    <xf numFmtId="3" fontId="8" fillId="2" borderId="4" xfId="1" applyNumberFormat="1" applyFont="1" applyFill="1" applyBorder="1" applyAlignment="1">
      <alignment horizontal="left"/>
    </xf>
    <xf numFmtId="0" fontId="3" fillId="0" borderId="4" xfId="0" applyFont="1" applyFill="1" applyBorder="1"/>
    <xf numFmtId="3" fontId="3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3" fontId="11" fillId="2" borderId="4" xfId="0" applyNumberFormat="1" applyFont="1" applyFill="1" applyBorder="1"/>
    <xf numFmtId="2" fontId="11" fillId="2" borderId="4" xfId="0" applyNumberFormat="1" applyFont="1" applyFill="1" applyBorder="1"/>
    <xf numFmtId="164" fontId="11" fillId="2" borderId="4" xfId="0" applyNumberFormat="1" applyFont="1" applyFill="1" applyBorder="1"/>
    <xf numFmtId="1" fontId="11" fillId="2" borderId="11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horizontal="left" vertical="center" wrapText="1"/>
    </xf>
    <xf numFmtId="3" fontId="10" fillId="0" borderId="2" xfId="2" applyNumberFormat="1" applyFont="1" applyFill="1" applyBorder="1" applyAlignment="1">
      <alignment horizontal="left" vertical="center" wrapText="1"/>
    </xf>
    <xf numFmtId="167" fontId="14" fillId="0" borderId="2" xfId="0" applyNumberFormat="1" applyFont="1" applyFill="1" applyBorder="1"/>
    <xf numFmtId="0" fontId="8" fillId="2" borderId="4" xfId="0" applyFont="1" applyFill="1" applyBorder="1"/>
    <xf numFmtId="3" fontId="14" fillId="2" borderId="4" xfId="0" applyNumberFormat="1" applyFont="1" applyFill="1" applyBorder="1" applyAlignment="1"/>
    <xf numFmtId="3" fontId="14" fillId="2" borderId="11" xfId="0" applyNumberFormat="1" applyFont="1" applyFill="1" applyBorder="1" applyAlignment="1"/>
    <xf numFmtId="0" fontId="8" fillId="2" borderId="5" xfId="0" applyFont="1" applyFill="1" applyBorder="1"/>
    <xf numFmtId="4" fontId="14" fillId="0" borderId="11" xfId="0" applyNumberFormat="1" applyFont="1" applyFill="1" applyBorder="1"/>
    <xf numFmtId="2" fontId="13" fillId="0" borderId="2" xfId="0" applyNumberFormat="1" applyFont="1" applyFill="1" applyBorder="1"/>
    <xf numFmtId="3" fontId="14" fillId="0" borderId="2" xfId="0" applyNumberFormat="1" applyFont="1" applyFill="1" applyBorder="1" applyAlignment="1"/>
    <xf numFmtId="4" fontId="14" fillId="2" borderId="4" xfId="0" applyNumberFormat="1" applyFont="1" applyFill="1" applyBorder="1"/>
    <xf numFmtId="2" fontId="6" fillId="0" borderId="2" xfId="0" applyNumberFormat="1" applyFont="1" applyFill="1" applyBorder="1" applyAlignment="1">
      <alignment vertical="center"/>
    </xf>
    <xf numFmtId="164" fontId="14" fillId="0" borderId="11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1" fontId="3" fillId="0" borderId="0" xfId="0" applyNumberFormat="1" applyFont="1" applyFill="1" applyBorder="1"/>
    <xf numFmtId="4" fontId="3" fillId="2" borderId="0" xfId="0" applyNumberFormat="1" applyFont="1" applyFill="1" applyBorder="1"/>
    <xf numFmtId="167" fontId="3" fillId="0" borderId="0" xfId="0" applyNumberFormat="1" applyFont="1" applyFill="1"/>
    <xf numFmtId="0" fontId="3" fillId="0" borderId="0" xfId="0" applyFont="1" applyBorder="1" applyAlignment="1">
      <alignment horizontal="left" vertical="top"/>
    </xf>
    <xf numFmtId="0" fontId="4" fillId="0" borderId="15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164" fontId="13" fillId="0" borderId="13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1" fontId="11" fillId="0" borderId="5" xfId="0" applyNumberFormat="1" applyFont="1" applyFill="1" applyBorder="1"/>
    <xf numFmtId="1" fontId="11" fillId="2" borderId="5" xfId="0" applyNumberFormat="1" applyFont="1" applyFill="1" applyBorder="1"/>
    <xf numFmtId="3" fontId="10" fillId="0" borderId="2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166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/>
    <xf numFmtId="1" fontId="14" fillId="0" borderId="4" xfId="0" applyNumberFormat="1" applyFont="1" applyFill="1" applyBorder="1"/>
    <xf numFmtId="167" fontId="3" fillId="0" borderId="0" xfId="0" applyNumberFormat="1" applyFont="1" applyFill="1" applyBorder="1"/>
    <xf numFmtId="164" fontId="12" fillId="0" borderId="2" xfId="0" applyNumberFormat="1" applyFont="1" applyFill="1" applyBorder="1" applyAlignment="1"/>
    <xf numFmtId="164" fontId="12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5" fontId="6" fillId="0" borderId="15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left" vertical="top"/>
    </xf>
    <xf numFmtId="4" fontId="3" fillId="2" borderId="0" xfId="0" applyNumberFormat="1" applyFont="1" applyFill="1"/>
    <xf numFmtId="2" fontId="11" fillId="2" borderId="20" xfId="0" applyNumberFormat="1" applyFont="1" applyFill="1" applyBorder="1"/>
    <xf numFmtId="164" fontId="12" fillId="2" borderId="2" xfId="0" applyNumberFormat="1" applyFont="1" applyFill="1" applyBorder="1" applyAlignment="1"/>
    <xf numFmtId="0" fontId="5" fillId="2" borderId="0" xfId="0" applyFont="1" applyFill="1" applyAlignment="1">
      <alignment vertical="center"/>
    </xf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4"/>
  <sheetViews>
    <sheetView tabSelected="1" workbookViewId="0">
      <selection activeCell="O1" sqref="O1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7" style="1" customWidth="1"/>
    <col min="15" max="15" width="11.88671875" style="1" customWidth="1"/>
    <col min="16" max="16" width="9.109375" style="1"/>
    <col min="17" max="22" width="7" style="1" customWidth="1"/>
    <col min="23" max="16384" width="9.109375" style="1"/>
  </cols>
  <sheetData>
    <row r="1" spans="1:20" ht="20.399999999999999" customHeight="1">
      <c r="A1" s="10" t="s">
        <v>57</v>
      </c>
      <c r="B1" s="7"/>
      <c r="C1" s="7"/>
      <c r="D1" s="7"/>
      <c r="E1" s="7"/>
      <c r="F1" s="183" t="s">
        <v>28</v>
      </c>
      <c r="G1" s="183"/>
      <c r="H1" s="183"/>
      <c r="I1" s="183"/>
      <c r="J1" s="183"/>
      <c r="K1" s="183"/>
      <c r="L1" s="183"/>
      <c r="M1" s="183"/>
      <c r="N1" s="183"/>
      <c r="O1" s="159"/>
      <c r="P1" s="159"/>
      <c r="T1" s="2"/>
    </row>
    <row r="2" spans="1:20" ht="20.399999999999999" customHeight="1">
      <c r="A2" s="7" t="s">
        <v>163</v>
      </c>
      <c r="B2" s="7"/>
      <c r="C2" s="7"/>
      <c r="D2" s="7"/>
      <c r="E2" s="7"/>
      <c r="F2" s="155"/>
      <c r="G2" s="155"/>
      <c r="H2" s="155"/>
      <c r="I2" s="155"/>
      <c r="J2" s="155"/>
      <c r="K2" s="155"/>
      <c r="L2" s="155"/>
      <c r="M2" s="155"/>
      <c r="N2" s="155"/>
      <c r="O2" s="159"/>
      <c r="P2" s="159"/>
      <c r="T2" s="2"/>
    </row>
    <row r="3" spans="1:20" s="2" customFormat="1" ht="19.8" customHeight="1">
      <c r="A3" s="184" t="s">
        <v>89</v>
      </c>
      <c r="B3" s="184"/>
      <c r="C3" s="184"/>
      <c r="D3" s="184"/>
      <c r="E3" s="184" t="s">
        <v>87</v>
      </c>
      <c r="F3" s="184"/>
      <c r="G3" s="184"/>
      <c r="H3" s="184"/>
      <c r="I3" s="184"/>
      <c r="J3" s="184"/>
      <c r="K3" s="184"/>
      <c r="L3" s="184"/>
      <c r="M3" s="184"/>
      <c r="N3" s="184"/>
      <c r="O3" s="160"/>
    </row>
    <row r="4" spans="1:20" s="2" customFormat="1" ht="19.8" customHeight="1">
      <c r="A4" s="185" t="s">
        <v>81</v>
      </c>
      <c r="B4" s="185"/>
      <c r="C4" s="185"/>
      <c r="D4" s="185"/>
      <c r="E4" s="186" t="s">
        <v>124</v>
      </c>
      <c r="F4" s="186"/>
      <c r="G4" s="186"/>
      <c r="H4" s="186"/>
      <c r="I4" s="186"/>
      <c r="J4" s="187" t="s">
        <v>147</v>
      </c>
      <c r="K4" s="188"/>
      <c r="L4" s="188"/>
      <c r="M4" s="188"/>
      <c r="N4" s="189"/>
      <c r="O4" s="160"/>
    </row>
    <row r="5" spans="1:20" s="2" customFormat="1" ht="19.8" customHeight="1">
      <c r="A5" s="196" t="s">
        <v>145</v>
      </c>
      <c r="B5" s="196"/>
      <c r="C5" s="196"/>
      <c r="D5" s="196"/>
      <c r="E5" s="186"/>
      <c r="F5" s="186"/>
      <c r="G5" s="186"/>
      <c r="H5" s="186"/>
      <c r="I5" s="186"/>
      <c r="J5" s="190"/>
      <c r="K5" s="191"/>
      <c r="L5" s="191"/>
      <c r="M5" s="191"/>
      <c r="N5" s="192"/>
      <c r="O5" s="160"/>
    </row>
    <row r="6" spans="1:20" s="2" customFormat="1" ht="19.8" customHeight="1">
      <c r="A6" s="200" t="s">
        <v>132</v>
      </c>
      <c r="B6" s="201"/>
      <c r="C6" s="201"/>
      <c r="D6" s="202"/>
      <c r="E6" s="186"/>
      <c r="F6" s="186"/>
      <c r="G6" s="186"/>
      <c r="H6" s="186"/>
      <c r="I6" s="186"/>
      <c r="J6" s="190"/>
      <c r="K6" s="191"/>
      <c r="L6" s="191"/>
      <c r="M6" s="191"/>
      <c r="N6" s="192"/>
      <c r="O6" s="160"/>
    </row>
    <row r="7" spans="1:20" s="2" customFormat="1" ht="19.8" customHeight="1">
      <c r="A7" s="197" t="s">
        <v>146</v>
      </c>
      <c r="B7" s="197"/>
      <c r="C7" s="197"/>
      <c r="D7" s="197"/>
      <c r="E7" s="186"/>
      <c r="F7" s="186"/>
      <c r="G7" s="186"/>
      <c r="H7" s="186"/>
      <c r="I7" s="186"/>
      <c r="J7" s="193"/>
      <c r="K7" s="194"/>
      <c r="L7" s="194"/>
      <c r="M7" s="194"/>
      <c r="N7" s="195"/>
      <c r="O7" s="160"/>
    </row>
    <row r="8" spans="1:20" s="2" customFormat="1" ht="19.8" customHeight="1">
      <c r="A8" s="167" t="s">
        <v>106</v>
      </c>
      <c r="B8" s="168"/>
      <c r="C8" s="169"/>
      <c r="D8" s="99">
        <v>226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160"/>
    </row>
    <row r="9" spans="1:20" ht="19.8" customHeight="1">
      <c r="A9" s="170" t="s">
        <v>0</v>
      </c>
      <c r="B9" s="173" t="s">
        <v>18</v>
      </c>
      <c r="C9" s="176" t="s">
        <v>7</v>
      </c>
      <c r="D9" s="176" t="s">
        <v>8</v>
      </c>
      <c r="E9" s="179" t="s">
        <v>10</v>
      </c>
      <c r="F9" s="180"/>
      <c r="G9" s="179" t="s">
        <v>12</v>
      </c>
      <c r="H9" s="180"/>
      <c r="I9" s="198" t="s">
        <v>15</v>
      </c>
      <c r="J9" s="198" t="s">
        <v>30</v>
      </c>
      <c r="K9" s="198" t="s">
        <v>31</v>
      </c>
      <c r="L9" s="198" t="s">
        <v>16</v>
      </c>
      <c r="M9" s="198" t="s">
        <v>32</v>
      </c>
      <c r="N9" s="170" t="s">
        <v>17</v>
      </c>
      <c r="O9" s="161"/>
    </row>
    <row r="10" spans="1:20" ht="19.8" customHeight="1">
      <c r="A10" s="171"/>
      <c r="B10" s="174"/>
      <c r="C10" s="177"/>
      <c r="D10" s="177"/>
      <c r="E10" s="181"/>
      <c r="F10" s="182"/>
      <c r="G10" s="181"/>
      <c r="H10" s="182"/>
      <c r="I10" s="206"/>
      <c r="J10" s="206"/>
      <c r="K10" s="206"/>
      <c r="L10" s="206"/>
      <c r="M10" s="206"/>
      <c r="N10" s="171"/>
      <c r="O10" s="152"/>
    </row>
    <row r="11" spans="1:20" ht="19.8" customHeight="1">
      <c r="A11" s="171"/>
      <c r="B11" s="174"/>
      <c r="C11" s="177"/>
      <c r="D11" s="177"/>
      <c r="E11" s="198" t="s">
        <v>9</v>
      </c>
      <c r="F11" s="198" t="s">
        <v>11</v>
      </c>
      <c r="G11" s="198" t="s">
        <v>13</v>
      </c>
      <c r="H11" s="198" t="s">
        <v>14</v>
      </c>
      <c r="I11" s="206"/>
      <c r="J11" s="206"/>
      <c r="K11" s="206"/>
      <c r="L11" s="206"/>
      <c r="M11" s="206"/>
      <c r="N11" s="171"/>
      <c r="O11" s="152"/>
    </row>
    <row r="12" spans="1:20" ht="19.8" customHeight="1">
      <c r="A12" s="172"/>
      <c r="B12" s="175"/>
      <c r="C12" s="178"/>
      <c r="D12" s="178"/>
      <c r="E12" s="199"/>
      <c r="F12" s="199"/>
      <c r="G12" s="199"/>
      <c r="H12" s="199"/>
      <c r="I12" s="199"/>
      <c r="J12" s="199"/>
      <c r="K12" s="199"/>
      <c r="L12" s="199"/>
      <c r="M12" s="199"/>
      <c r="N12" s="172"/>
      <c r="O12" s="152"/>
    </row>
    <row r="13" spans="1:20" ht="21.6" customHeight="1">
      <c r="A13" s="203" t="s">
        <v>33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5"/>
      <c r="O13" s="152"/>
    </row>
    <row r="14" spans="1:20" s="2" customFormat="1" ht="21.6" customHeight="1">
      <c r="A14" s="37">
        <v>1</v>
      </c>
      <c r="B14" s="38" t="s">
        <v>2</v>
      </c>
      <c r="C14" s="39">
        <f>L14/100*100</f>
        <v>290</v>
      </c>
      <c r="D14" s="40">
        <f>C14/100*60</f>
        <v>174</v>
      </c>
      <c r="E14" s="41">
        <f>C14/100*15</f>
        <v>43.5</v>
      </c>
      <c r="F14" s="41"/>
      <c r="G14" s="41"/>
      <c r="H14" s="41"/>
      <c r="I14" s="41"/>
      <c r="J14" s="146">
        <f>C14/100*387</f>
        <v>1122.3</v>
      </c>
      <c r="K14" s="41">
        <f>C14/100*0.09</f>
        <v>0.26100000000000001</v>
      </c>
      <c r="L14" s="137">
        <v>290</v>
      </c>
      <c r="M14" s="43">
        <v>20</v>
      </c>
      <c r="N14" s="114">
        <f>L14*M14</f>
        <v>5800</v>
      </c>
      <c r="O14" s="162"/>
    </row>
    <row r="15" spans="1:20" s="2" customFormat="1" ht="21.6" customHeight="1">
      <c r="A15" s="8">
        <v>2</v>
      </c>
      <c r="B15" s="9" t="s">
        <v>114</v>
      </c>
      <c r="C15" s="12">
        <f>L15/100*100</f>
        <v>910</v>
      </c>
      <c r="D15" s="65">
        <f>C15/100*899</f>
        <v>8180.9</v>
      </c>
      <c r="E15" s="14"/>
      <c r="F15" s="14"/>
      <c r="G15" s="91">
        <f>C15/100*99.6</f>
        <v>906.3599999999999</v>
      </c>
      <c r="H15" s="14"/>
      <c r="I15" s="14"/>
      <c r="J15" s="14"/>
      <c r="K15" s="14"/>
      <c r="L15" s="15">
        <v>910</v>
      </c>
      <c r="M15" s="65">
        <v>69</v>
      </c>
      <c r="N15" s="143">
        <f t="shared" ref="N15:N24" si="0">L15*M15</f>
        <v>62790</v>
      </c>
      <c r="O15" s="163"/>
    </row>
    <row r="16" spans="1:20" s="2" customFormat="1" ht="21.6" customHeight="1">
      <c r="A16" s="8">
        <v>3</v>
      </c>
      <c r="B16" s="9" t="s">
        <v>118</v>
      </c>
      <c r="C16" s="12">
        <f>L16/100*100</f>
        <v>290</v>
      </c>
      <c r="D16" s="65">
        <f>C16/100*900</f>
        <v>2610</v>
      </c>
      <c r="E16" s="14"/>
      <c r="F16" s="14"/>
      <c r="G16" s="91"/>
      <c r="H16" s="14">
        <f>C16/100*100</f>
        <v>290</v>
      </c>
      <c r="I16" s="14"/>
      <c r="J16" s="14"/>
      <c r="K16" s="14"/>
      <c r="L16" s="15">
        <v>290</v>
      </c>
      <c r="M16" s="65">
        <v>65</v>
      </c>
      <c r="N16" s="143">
        <f t="shared" si="0"/>
        <v>18850</v>
      </c>
      <c r="O16" s="163"/>
    </row>
    <row r="17" spans="1:20" s="2" customFormat="1" ht="21.6" customHeight="1">
      <c r="A17" s="8">
        <v>4</v>
      </c>
      <c r="B17" s="5" t="s">
        <v>1</v>
      </c>
      <c r="C17" s="12">
        <f>L17/100*100</f>
        <v>21470</v>
      </c>
      <c r="D17" s="65">
        <f>C17/100*344</f>
        <v>73856.800000000003</v>
      </c>
      <c r="E17" s="14"/>
      <c r="F17" s="91">
        <f>C17/100*7.9</f>
        <v>1696.1299999999999</v>
      </c>
      <c r="G17" s="14"/>
      <c r="H17" s="14">
        <f>C17/100*1</f>
        <v>214.7</v>
      </c>
      <c r="I17" s="91">
        <f>C17/100*69.1</f>
        <v>14835.769999999999</v>
      </c>
      <c r="J17" s="91">
        <f>C17/100*30</f>
        <v>6441</v>
      </c>
      <c r="K17" s="14">
        <f>C17/100*0.1</f>
        <v>21.47</v>
      </c>
      <c r="L17" s="15">
        <v>21470</v>
      </c>
      <c r="M17" s="20">
        <v>18</v>
      </c>
      <c r="N17" s="144">
        <f t="shared" si="0"/>
        <v>386460</v>
      </c>
      <c r="O17" s="162"/>
    </row>
    <row r="18" spans="1:20" s="2" customFormat="1" ht="21.6" customHeight="1">
      <c r="A18" s="8">
        <v>5</v>
      </c>
      <c r="B18" s="9" t="s">
        <v>64</v>
      </c>
      <c r="C18" s="12">
        <f>L18/100*98</f>
        <v>9672.6</v>
      </c>
      <c r="D18" s="65">
        <f>C18/100*139</f>
        <v>13444.914000000001</v>
      </c>
      <c r="E18" s="91">
        <f>C18/100*19</f>
        <v>1837.7939999999999</v>
      </c>
      <c r="F18" s="14"/>
      <c r="G18" s="14">
        <f>C18/100*7</f>
        <v>677.08199999999999</v>
      </c>
      <c r="H18" s="14"/>
      <c r="I18" s="14"/>
      <c r="J18" s="22">
        <f>C18/100*7</f>
        <v>677.08199999999999</v>
      </c>
      <c r="K18" s="22">
        <f>C18/100*0.9</f>
        <v>87.053399999999996</v>
      </c>
      <c r="L18" s="15">
        <v>9870</v>
      </c>
      <c r="M18" s="15">
        <v>133</v>
      </c>
      <c r="N18" s="93">
        <f t="shared" si="0"/>
        <v>1312710</v>
      </c>
      <c r="O18" s="162"/>
    </row>
    <row r="19" spans="1:20" s="2" customFormat="1" ht="21.6" customHeight="1">
      <c r="A19" s="8">
        <v>6</v>
      </c>
      <c r="B19" s="5" t="s">
        <v>3</v>
      </c>
      <c r="C19" s="12">
        <f>L19/100*48</f>
        <v>3268.7999999999997</v>
      </c>
      <c r="D19" s="13">
        <f>C19/100*199</f>
        <v>6504.9119999999994</v>
      </c>
      <c r="E19" s="14">
        <f>C19/100*28</f>
        <v>915.2639999999999</v>
      </c>
      <c r="F19" s="14"/>
      <c r="G19" s="14">
        <f>C19/100*13.1</f>
        <v>428.2127999999999</v>
      </c>
      <c r="H19" s="14"/>
      <c r="I19" s="14"/>
      <c r="J19" s="22">
        <f>C19/100*12</f>
        <v>392.25599999999997</v>
      </c>
      <c r="K19" s="22">
        <f>C19/100*0.15</f>
        <v>4.9031999999999991</v>
      </c>
      <c r="L19" s="111">
        <v>6810</v>
      </c>
      <c r="M19" s="15">
        <v>84</v>
      </c>
      <c r="N19" s="143">
        <f t="shared" si="0"/>
        <v>572040</v>
      </c>
      <c r="O19" s="162"/>
      <c r="Q19" s="3"/>
      <c r="R19" s="3"/>
      <c r="S19" s="4"/>
    </row>
    <row r="20" spans="1:20" s="2" customFormat="1" ht="21.6" customHeight="1">
      <c r="A20" s="8">
        <v>7</v>
      </c>
      <c r="B20" s="9" t="s">
        <v>120</v>
      </c>
      <c r="C20" s="12">
        <f>L20/100*92</f>
        <v>2088.4</v>
      </c>
      <c r="D20" s="13">
        <f>C20/100*58</f>
        <v>1211.2719999999999</v>
      </c>
      <c r="E20" s="14">
        <f>C20/100*11.7</f>
        <v>244.34279999999998</v>
      </c>
      <c r="F20" s="14"/>
      <c r="G20" s="14">
        <f>C20/100*1.2</f>
        <v>25.0608</v>
      </c>
      <c r="H20" s="14"/>
      <c r="I20" s="14"/>
      <c r="J20" s="64">
        <f>C20/100*910</f>
        <v>19004.439999999999</v>
      </c>
      <c r="K20" s="22"/>
      <c r="L20" s="111">
        <v>2270</v>
      </c>
      <c r="M20" s="102">
        <v>165</v>
      </c>
      <c r="N20" s="143">
        <f t="shared" si="0"/>
        <v>374550</v>
      </c>
      <c r="O20" s="162"/>
    </row>
    <row r="21" spans="1:20" s="2" customFormat="1" ht="21.6" customHeight="1">
      <c r="A21" s="8">
        <v>8</v>
      </c>
      <c r="B21" s="5" t="s">
        <v>78</v>
      </c>
      <c r="C21" s="12">
        <f>L21/100*82</f>
        <v>3722.7999999999997</v>
      </c>
      <c r="D21" s="13">
        <f>C21/100*27</f>
        <v>1005.1559999999998</v>
      </c>
      <c r="E21" s="17"/>
      <c r="F21" s="17">
        <f>C21/100*0.3</f>
        <v>11.168399999999998</v>
      </c>
      <c r="G21" s="17"/>
      <c r="H21" s="17">
        <f>C21/100*0.1</f>
        <v>3.7227999999999994</v>
      </c>
      <c r="I21" s="17">
        <f>C21/100*6.1</f>
        <v>227.09079999999994</v>
      </c>
      <c r="J21" s="63">
        <f>C21/100*24</f>
        <v>893.47199999999987</v>
      </c>
      <c r="K21" s="21">
        <f>C21/100*0.03</f>
        <v>1.1168399999999998</v>
      </c>
      <c r="L21" s="321">
        <v>4540</v>
      </c>
      <c r="M21" s="15">
        <v>22</v>
      </c>
      <c r="N21" s="113">
        <f t="shared" si="0"/>
        <v>99880</v>
      </c>
      <c r="O21" s="162"/>
      <c r="Q21" s="3"/>
      <c r="R21" s="3"/>
      <c r="S21" s="4"/>
    </row>
    <row r="22" spans="1:20" s="2" customFormat="1" ht="21.6" customHeight="1">
      <c r="A22" s="8">
        <v>9</v>
      </c>
      <c r="B22" s="5" t="s">
        <v>140</v>
      </c>
      <c r="C22" s="12">
        <f>L22/100*77</f>
        <v>3495.7999999999997</v>
      </c>
      <c r="D22" s="13">
        <f>C22/100*35</f>
        <v>1223.53</v>
      </c>
      <c r="E22" s="17"/>
      <c r="F22" s="17">
        <f>C22/100*5.3</f>
        <v>185.27739999999997</v>
      </c>
      <c r="G22" s="17"/>
      <c r="H22" s="17"/>
      <c r="I22" s="17">
        <f>C22/100*3.4</f>
        <v>118.85719999999999</v>
      </c>
      <c r="J22" s="123">
        <f>C22/100*169</f>
        <v>5907.902</v>
      </c>
      <c r="K22" s="17">
        <f>C22/100*0.07</f>
        <v>2.44706</v>
      </c>
      <c r="L22" s="321">
        <v>4540</v>
      </c>
      <c r="M22" s="15">
        <v>35</v>
      </c>
      <c r="N22" s="93">
        <f t="shared" si="0"/>
        <v>158900</v>
      </c>
      <c r="O22" s="162"/>
      <c r="Q22" s="3"/>
      <c r="R22" s="3"/>
      <c r="S22" s="4"/>
    </row>
    <row r="23" spans="1:20" s="2" customFormat="1" ht="21.6" customHeight="1">
      <c r="A23" s="8">
        <v>10</v>
      </c>
      <c r="B23" s="5" t="s">
        <v>136</v>
      </c>
      <c r="C23" s="12">
        <f>L23/100*81</f>
        <v>1838.7</v>
      </c>
      <c r="D23" s="13">
        <f>C23/100*17</f>
        <v>312.57900000000001</v>
      </c>
      <c r="E23" s="14"/>
      <c r="F23" s="14">
        <f>C23/100*0.9</f>
        <v>16.548300000000001</v>
      </c>
      <c r="G23" s="14"/>
      <c r="H23" s="14">
        <f>C23/100*0.2</f>
        <v>3.6774000000000004</v>
      </c>
      <c r="I23" s="14">
        <f>C23/100*2.8</f>
        <v>51.483599999999996</v>
      </c>
      <c r="J23" s="64">
        <f>C23/100*28</f>
        <v>514.83600000000001</v>
      </c>
      <c r="K23" s="22">
        <f>C23/100*0.04</f>
        <v>0.73548000000000002</v>
      </c>
      <c r="L23" s="111">
        <v>2270</v>
      </c>
      <c r="M23" s="15">
        <v>25</v>
      </c>
      <c r="N23" s="113">
        <f t="shared" si="0"/>
        <v>56750</v>
      </c>
      <c r="O23" s="162"/>
    </row>
    <row r="24" spans="1:20" s="2" customFormat="1" ht="21.6" customHeight="1">
      <c r="A24" s="8">
        <v>11</v>
      </c>
      <c r="B24" s="5" t="s">
        <v>110</v>
      </c>
      <c r="C24" s="12">
        <f>L24/100*100</f>
        <v>229.99999999999997</v>
      </c>
      <c r="D24" s="13">
        <f>C24/100*247</f>
        <v>568.09999999999991</v>
      </c>
      <c r="E24" s="17"/>
      <c r="F24" s="17">
        <f>C24/100*17.5</f>
        <v>40.25</v>
      </c>
      <c r="G24" s="17"/>
      <c r="H24" s="17">
        <f>C24/100*1.6</f>
        <v>3.6799999999999997</v>
      </c>
      <c r="I24" s="17">
        <f>C24/100*39.2</f>
        <v>90.16</v>
      </c>
      <c r="J24" s="21"/>
      <c r="K24" s="21"/>
      <c r="L24" s="321">
        <v>230</v>
      </c>
      <c r="M24" s="20">
        <v>50</v>
      </c>
      <c r="N24" s="113">
        <f t="shared" si="0"/>
        <v>11500</v>
      </c>
      <c r="O24" s="162"/>
      <c r="Q24" s="3"/>
      <c r="R24" s="3"/>
      <c r="S24" s="4"/>
      <c r="T24" s="3"/>
    </row>
    <row r="25" spans="1:20" s="2" customFormat="1" ht="21.6" customHeight="1">
      <c r="A25" s="8">
        <v>12</v>
      </c>
      <c r="B25" s="9" t="s">
        <v>105</v>
      </c>
      <c r="C25" s="12"/>
      <c r="D25" s="13"/>
      <c r="E25" s="14"/>
      <c r="F25" s="14"/>
      <c r="G25" s="14"/>
      <c r="H25" s="14"/>
      <c r="I25" s="14"/>
      <c r="J25" s="14"/>
      <c r="K25" s="14"/>
      <c r="L25" s="15"/>
      <c r="M25" s="15"/>
      <c r="N25" s="16">
        <v>17480</v>
      </c>
      <c r="O25" s="162"/>
    </row>
    <row r="26" spans="1:20" s="2" customFormat="1" ht="21.6" customHeight="1">
      <c r="A26" s="23" t="s">
        <v>91</v>
      </c>
      <c r="B26" s="24"/>
      <c r="C26" s="25"/>
      <c r="D26" s="147">
        <f>SUM(D14:D25)</f>
        <v>109092.163</v>
      </c>
      <c r="E26" s="27"/>
      <c r="F26" s="27"/>
      <c r="G26" s="27"/>
      <c r="H26" s="27"/>
      <c r="I26" s="27"/>
      <c r="J26" s="27"/>
      <c r="K26" s="27"/>
      <c r="L26" s="28"/>
      <c r="M26" s="28"/>
      <c r="N26" s="207">
        <f>SUM(N14:N25)</f>
        <v>3077710</v>
      </c>
      <c r="O26" s="162"/>
    </row>
    <row r="27" spans="1:20" s="2" customFormat="1" ht="21.6" customHeight="1">
      <c r="A27" s="23" t="s">
        <v>5</v>
      </c>
      <c r="B27" s="24"/>
      <c r="C27" s="25"/>
      <c r="D27" s="26">
        <f>D26/D8</f>
        <v>482.70868584070797</v>
      </c>
      <c r="E27" s="27"/>
      <c r="F27" s="27"/>
      <c r="G27" s="27"/>
      <c r="H27" s="27"/>
      <c r="I27" s="27"/>
      <c r="J27" s="27"/>
      <c r="K27" s="27"/>
      <c r="L27" s="28"/>
      <c r="M27" s="28"/>
      <c r="N27" s="208"/>
      <c r="O27" s="162"/>
    </row>
    <row r="28" spans="1:20" s="2" customFormat="1" ht="21.6" customHeight="1">
      <c r="A28" s="209" t="s">
        <v>35</v>
      </c>
      <c r="B28" s="210"/>
      <c r="C28" s="322" t="s">
        <v>125</v>
      </c>
      <c r="D28" s="29" t="s">
        <v>36</v>
      </c>
      <c r="E28" s="27"/>
      <c r="F28" s="27"/>
      <c r="G28" s="27"/>
      <c r="H28" s="27"/>
      <c r="I28" s="27"/>
      <c r="J28" s="27"/>
      <c r="K28" s="27"/>
      <c r="L28" s="28"/>
      <c r="M28" s="28"/>
      <c r="N28" s="30"/>
      <c r="O28" s="162"/>
    </row>
    <row r="29" spans="1:20" s="2" customFormat="1" ht="21.6" customHeight="1">
      <c r="A29" s="211"/>
      <c r="B29" s="212"/>
      <c r="C29" s="62" t="s">
        <v>56</v>
      </c>
      <c r="D29" s="29">
        <f>D27*100/1320</f>
        <v>36.568839836417268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62"/>
    </row>
    <row r="30" spans="1:20" s="2" customFormat="1" ht="21.6" customHeight="1">
      <c r="A30" s="213" t="s">
        <v>37</v>
      </c>
      <c r="B30" s="213"/>
      <c r="C30" s="45"/>
      <c r="D30" s="46"/>
      <c r="E30" s="47"/>
      <c r="F30" s="47"/>
      <c r="G30" s="47"/>
      <c r="H30" s="47"/>
      <c r="I30" s="47"/>
      <c r="J30" s="47"/>
      <c r="K30" s="47"/>
      <c r="L30" s="48"/>
      <c r="M30" s="48"/>
      <c r="N30" s="49"/>
      <c r="O30" s="162"/>
    </row>
    <row r="31" spans="1:20" s="2" customFormat="1" ht="21.6" customHeight="1">
      <c r="A31" s="37">
        <v>1</v>
      </c>
      <c r="B31" s="38" t="s">
        <v>2</v>
      </c>
      <c r="C31" s="39">
        <f>L31/100*100</f>
        <v>270</v>
      </c>
      <c r="D31" s="40">
        <f>C31/100*60</f>
        <v>162</v>
      </c>
      <c r="E31" s="41">
        <f>C31/100*15</f>
        <v>40.5</v>
      </c>
      <c r="F31" s="41"/>
      <c r="G31" s="41">
        <f>C32/100*6.5</f>
        <v>66.3</v>
      </c>
      <c r="H31" s="41"/>
      <c r="I31" s="41"/>
      <c r="J31" s="41"/>
      <c r="K31" s="41">
        <f>C31/100*0.09</f>
        <v>0.24299999999999999</v>
      </c>
      <c r="L31" s="137">
        <v>270</v>
      </c>
      <c r="M31" s="43">
        <v>20</v>
      </c>
      <c r="N31" s="44">
        <f>L31*M31</f>
        <v>5400</v>
      </c>
      <c r="O31" s="162"/>
    </row>
    <row r="32" spans="1:20" s="2" customFormat="1" ht="21.6" customHeight="1">
      <c r="A32" s="8">
        <v>2</v>
      </c>
      <c r="B32" s="9" t="s">
        <v>114</v>
      </c>
      <c r="C32" s="12">
        <f>L32/100*100</f>
        <v>1019.9999999999999</v>
      </c>
      <c r="D32" s="13">
        <f>C32/100*899</f>
        <v>9169.7999999999993</v>
      </c>
      <c r="E32" s="14"/>
      <c r="F32" s="14"/>
      <c r="G32" s="91">
        <f>C32/100*100</f>
        <v>1019.9999999999999</v>
      </c>
      <c r="H32" s="14"/>
      <c r="I32" s="14"/>
      <c r="J32" s="22"/>
      <c r="K32" s="22"/>
      <c r="L32" s="15">
        <v>1020</v>
      </c>
      <c r="M32" s="20">
        <v>69</v>
      </c>
      <c r="N32" s="16">
        <f t="shared" ref="N32:N36" si="1">L32*M32</f>
        <v>70380</v>
      </c>
      <c r="O32" s="162"/>
    </row>
    <row r="33" spans="1:23" s="2" customFormat="1" ht="21.6" customHeight="1">
      <c r="A33" s="8">
        <v>3</v>
      </c>
      <c r="B33" s="5" t="s">
        <v>63</v>
      </c>
      <c r="C33" s="12">
        <f>L33/100*100</f>
        <v>2260</v>
      </c>
      <c r="D33" s="13">
        <f>C33/100*344</f>
        <v>7774.4000000000005</v>
      </c>
      <c r="E33" s="14"/>
      <c r="F33" s="14">
        <f>C33/100*8.6</f>
        <v>194.36</v>
      </c>
      <c r="G33" s="14"/>
      <c r="H33" s="14">
        <f>C33/100*1.5</f>
        <v>33.900000000000006</v>
      </c>
      <c r="I33" s="14">
        <f>C33/100*74.5</f>
        <v>1683.7</v>
      </c>
      <c r="J33" s="14">
        <f>C33/100*32</f>
        <v>723.2</v>
      </c>
      <c r="K33" s="14">
        <f>C33/100*0.14</f>
        <v>3.1640000000000006</v>
      </c>
      <c r="L33" s="111">
        <v>2260</v>
      </c>
      <c r="M33" s="20">
        <v>30</v>
      </c>
      <c r="N33" s="16">
        <f t="shared" si="1"/>
        <v>67800</v>
      </c>
      <c r="O33" s="162"/>
      <c r="P33" s="165"/>
    </row>
    <row r="34" spans="1:23" s="2" customFormat="1" ht="21.6" customHeight="1">
      <c r="A34" s="8">
        <v>4</v>
      </c>
      <c r="B34" s="5" t="s">
        <v>1</v>
      </c>
      <c r="C34" s="12">
        <f>L34/100*100</f>
        <v>3390</v>
      </c>
      <c r="D34" s="65">
        <f>C34/100*344</f>
        <v>11661.6</v>
      </c>
      <c r="E34" s="14"/>
      <c r="F34" s="14">
        <f>C34/100*7.9</f>
        <v>267.81</v>
      </c>
      <c r="G34" s="14"/>
      <c r="H34" s="14">
        <f>C34/100*1</f>
        <v>33.9</v>
      </c>
      <c r="I34" s="91">
        <f>C34/100*69.1</f>
        <v>2342.4899999999998</v>
      </c>
      <c r="J34" s="64">
        <f>C34/100*30</f>
        <v>1017</v>
      </c>
      <c r="K34" s="22">
        <f>C34/100*0.1</f>
        <v>3.39</v>
      </c>
      <c r="L34" s="111">
        <v>3390</v>
      </c>
      <c r="M34" s="20">
        <v>18</v>
      </c>
      <c r="N34" s="16">
        <f t="shared" si="1"/>
        <v>61020</v>
      </c>
      <c r="O34" s="162"/>
    </row>
    <row r="35" spans="1:23" s="2" customFormat="1" ht="21.6" customHeight="1">
      <c r="A35" s="8">
        <v>5</v>
      </c>
      <c r="B35" s="5" t="s">
        <v>110</v>
      </c>
      <c r="C35" s="12">
        <f>L35/100*100</f>
        <v>130</v>
      </c>
      <c r="D35" s="13">
        <f>C35/100*247</f>
        <v>321.10000000000002</v>
      </c>
      <c r="E35" s="17"/>
      <c r="F35" s="17">
        <f>C35/100*17.5</f>
        <v>22.75</v>
      </c>
      <c r="G35" s="17"/>
      <c r="H35" s="17">
        <f>C35/100*1.6</f>
        <v>2.08</v>
      </c>
      <c r="I35" s="17">
        <f>C35/100*39.2</f>
        <v>50.960000000000008</v>
      </c>
      <c r="J35" s="21"/>
      <c r="K35" s="21"/>
      <c r="L35" s="321">
        <v>130</v>
      </c>
      <c r="M35" s="20">
        <v>50</v>
      </c>
      <c r="N35" s="16">
        <f t="shared" si="1"/>
        <v>6500</v>
      </c>
      <c r="O35" s="162"/>
      <c r="Q35" s="3"/>
      <c r="R35" s="3"/>
      <c r="S35" s="4"/>
      <c r="T35" s="3"/>
    </row>
    <row r="36" spans="1:23" s="2" customFormat="1" ht="21.6" customHeight="1">
      <c r="A36" s="8">
        <v>6</v>
      </c>
      <c r="B36" s="5" t="s">
        <v>3</v>
      </c>
      <c r="C36" s="12">
        <f>L36/100*48</f>
        <v>3244.7999999999997</v>
      </c>
      <c r="D36" s="13">
        <f>C36/100*199</f>
        <v>6457.152</v>
      </c>
      <c r="E36" s="14">
        <f>C36/100*28</f>
        <v>908.54399999999998</v>
      </c>
      <c r="F36" s="14"/>
      <c r="G36" s="14">
        <f>C36/100*13.1</f>
        <v>425.06880000000001</v>
      </c>
      <c r="H36" s="14"/>
      <c r="I36" s="14"/>
      <c r="J36" s="22">
        <f>C36/100*12</f>
        <v>389.37599999999998</v>
      </c>
      <c r="K36" s="22">
        <f>C36/100*0.15</f>
        <v>4.8671999999999995</v>
      </c>
      <c r="L36" s="111">
        <v>6760</v>
      </c>
      <c r="M36" s="15">
        <v>84</v>
      </c>
      <c r="N36" s="93">
        <f t="shared" si="1"/>
        <v>567840</v>
      </c>
      <c r="O36" s="162"/>
      <c r="Q36" s="3"/>
      <c r="R36" s="3"/>
      <c r="S36" s="4"/>
    </row>
    <row r="37" spans="1:23" s="2" customFormat="1" ht="21.6" customHeight="1">
      <c r="A37" s="8">
        <v>8</v>
      </c>
      <c r="B37" s="5" t="s">
        <v>59</v>
      </c>
      <c r="C37" s="12">
        <f>L37/100*100</f>
        <v>470</v>
      </c>
      <c r="D37" s="13">
        <f>C37/100*334</f>
        <v>1569.8</v>
      </c>
      <c r="E37" s="14"/>
      <c r="F37" s="14">
        <f>C37/100*20</f>
        <v>94</v>
      </c>
      <c r="G37" s="14"/>
      <c r="H37" s="14">
        <f>C37/100*2.4</f>
        <v>11.28</v>
      </c>
      <c r="I37" s="14">
        <f>C37/100*58</f>
        <v>272.60000000000002</v>
      </c>
      <c r="J37" s="22">
        <f>C37/100*89</f>
        <v>418.3</v>
      </c>
      <c r="K37" s="22">
        <f>C37/100*0.64</f>
        <v>3.008</v>
      </c>
      <c r="L37" s="111">
        <v>470</v>
      </c>
      <c r="M37" s="102">
        <v>190</v>
      </c>
      <c r="N37" s="16">
        <f>L37*M37</f>
        <v>89300</v>
      </c>
      <c r="O37" s="162"/>
    </row>
    <row r="38" spans="1:23" s="2" customFormat="1" ht="21.6" customHeight="1">
      <c r="A38" s="8">
        <v>9</v>
      </c>
      <c r="B38" s="139" t="s">
        <v>123</v>
      </c>
      <c r="C38" s="12">
        <f>L38/100*100</f>
        <v>3890</v>
      </c>
      <c r="D38" s="65">
        <f>C38/100*437</f>
        <v>16999.3</v>
      </c>
      <c r="E38" s="17"/>
      <c r="F38" s="17">
        <f>C38/100*19.5</f>
        <v>758.55</v>
      </c>
      <c r="G38" s="17"/>
      <c r="H38" s="17">
        <f>C38/100*23.2</f>
        <v>902.4799999999999</v>
      </c>
      <c r="I38" s="17">
        <f>C38/100*46</f>
        <v>1789.3999999999999</v>
      </c>
      <c r="J38" s="91">
        <f>C38/100*680</f>
        <v>26452</v>
      </c>
      <c r="K38" s="14">
        <f>C38/100*0.55</f>
        <v>21.395</v>
      </c>
      <c r="L38" s="321">
        <v>3890</v>
      </c>
      <c r="M38" s="102">
        <v>260</v>
      </c>
      <c r="N38" s="93">
        <f t="shared" ref="N38" si="2">L38*M38</f>
        <v>1011400</v>
      </c>
      <c r="O38" s="162"/>
      <c r="P38" s="3"/>
    </row>
    <row r="39" spans="1:23" s="2" customFormat="1" ht="21.6" customHeight="1">
      <c r="A39" s="77">
        <v>10</v>
      </c>
      <c r="B39" s="78" t="s">
        <v>105</v>
      </c>
      <c r="C39" s="79"/>
      <c r="D39" s="351"/>
      <c r="E39" s="105"/>
      <c r="F39" s="81"/>
      <c r="G39" s="81"/>
      <c r="H39" s="81"/>
      <c r="I39" s="81"/>
      <c r="J39" s="81"/>
      <c r="K39" s="81"/>
      <c r="L39" s="82"/>
      <c r="M39" s="82"/>
      <c r="N39" s="83">
        <v>14680</v>
      </c>
      <c r="O39" s="162"/>
    </row>
    <row r="40" spans="1:23" ht="20.399999999999999" customHeight="1">
      <c r="A40" s="170" t="s">
        <v>0</v>
      </c>
      <c r="B40" s="173" t="s">
        <v>18</v>
      </c>
      <c r="C40" s="176" t="s">
        <v>7</v>
      </c>
      <c r="D40" s="176" t="s">
        <v>8</v>
      </c>
      <c r="E40" s="179" t="s">
        <v>10</v>
      </c>
      <c r="F40" s="180"/>
      <c r="G40" s="179" t="s">
        <v>12</v>
      </c>
      <c r="H40" s="180"/>
      <c r="I40" s="198" t="s">
        <v>15</v>
      </c>
      <c r="J40" s="198" t="s">
        <v>30</v>
      </c>
      <c r="K40" s="198" t="s">
        <v>31</v>
      </c>
      <c r="L40" s="198" t="s">
        <v>16</v>
      </c>
      <c r="M40" s="198" t="s">
        <v>32</v>
      </c>
      <c r="N40" s="170" t="s">
        <v>17</v>
      </c>
      <c r="O40" s="161"/>
    </row>
    <row r="41" spans="1:23" ht="20.399999999999999" customHeight="1">
      <c r="A41" s="171"/>
      <c r="B41" s="174"/>
      <c r="C41" s="177"/>
      <c r="D41" s="177"/>
      <c r="E41" s="181"/>
      <c r="F41" s="182"/>
      <c r="G41" s="181"/>
      <c r="H41" s="182"/>
      <c r="I41" s="206"/>
      <c r="J41" s="206"/>
      <c r="K41" s="206"/>
      <c r="L41" s="206"/>
      <c r="M41" s="206"/>
      <c r="N41" s="171"/>
      <c r="O41" s="152"/>
    </row>
    <row r="42" spans="1:23" ht="20.399999999999999" customHeight="1">
      <c r="A42" s="171"/>
      <c r="B42" s="174"/>
      <c r="C42" s="177"/>
      <c r="D42" s="177"/>
      <c r="E42" s="198" t="s">
        <v>9</v>
      </c>
      <c r="F42" s="198" t="s">
        <v>11</v>
      </c>
      <c r="G42" s="198" t="s">
        <v>13</v>
      </c>
      <c r="H42" s="198" t="s">
        <v>14</v>
      </c>
      <c r="I42" s="206"/>
      <c r="J42" s="206"/>
      <c r="K42" s="206"/>
      <c r="L42" s="206"/>
      <c r="M42" s="206"/>
      <c r="N42" s="171"/>
      <c r="O42" s="152"/>
    </row>
    <row r="43" spans="1:23" ht="20.399999999999999" customHeight="1">
      <c r="A43" s="172"/>
      <c r="B43" s="175"/>
      <c r="C43" s="178"/>
      <c r="D43" s="178"/>
      <c r="E43" s="199"/>
      <c r="F43" s="199"/>
      <c r="G43" s="199"/>
      <c r="H43" s="199"/>
      <c r="I43" s="199"/>
      <c r="J43" s="199"/>
      <c r="K43" s="199"/>
      <c r="L43" s="199"/>
      <c r="M43" s="199"/>
      <c r="N43" s="172"/>
      <c r="O43" s="152"/>
    </row>
    <row r="44" spans="1:23" s="2" customFormat="1" ht="20.399999999999999" customHeight="1">
      <c r="A44" s="214" t="s">
        <v>92</v>
      </c>
      <c r="B44" s="214"/>
      <c r="C44" s="25"/>
      <c r="D44" s="94">
        <f>SUM(D31:D39)</f>
        <v>54115.152000000002</v>
      </c>
      <c r="E44" s="31"/>
      <c r="F44" s="31"/>
      <c r="G44" s="31"/>
      <c r="H44" s="31"/>
      <c r="I44" s="31"/>
      <c r="J44" s="31"/>
      <c r="K44" s="31"/>
      <c r="L44" s="32"/>
      <c r="M44" s="32"/>
      <c r="N44" s="207">
        <f>SUM(N31:N39)</f>
        <v>1894320</v>
      </c>
      <c r="O44" s="162"/>
    </row>
    <row r="45" spans="1:23" ht="20.399999999999999" customHeight="1">
      <c r="A45" s="214" t="s">
        <v>6</v>
      </c>
      <c r="B45" s="214"/>
      <c r="C45" s="33"/>
      <c r="D45" s="34">
        <f>D44/D8</f>
        <v>239.44757522123894</v>
      </c>
      <c r="E45" s="34"/>
      <c r="F45" s="34"/>
      <c r="G45" s="34"/>
      <c r="H45" s="34"/>
      <c r="I45" s="34"/>
      <c r="J45" s="34"/>
      <c r="K45" s="34"/>
      <c r="L45" s="35"/>
      <c r="M45" s="35"/>
      <c r="N45" s="208"/>
      <c r="O45" s="4"/>
      <c r="P45" s="2"/>
      <c r="Q45" s="2"/>
      <c r="R45" s="2"/>
      <c r="S45" s="2"/>
      <c r="T45" s="2"/>
      <c r="U45" s="2"/>
      <c r="V45" s="2"/>
      <c r="W45" s="2"/>
    </row>
    <row r="46" spans="1:23" ht="20.399999999999999" customHeight="1">
      <c r="A46" s="209" t="s">
        <v>38</v>
      </c>
      <c r="B46" s="210"/>
      <c r="C46" s="322" t="s">
        <v>125</v>
      </c>
      <c r="D46" s="29" t="s">
        <v>39</v>
      </c>
      <c r="E46" s="34"/>
      <c r="F46" s="34"/>
      <c r="G46" s="34"/>
      <c r="H46" s="34"/>
      <c r="I46" s="34"/>
      <c r="J46" s="36"/>
      <c r="K46" s="36"/>
      <c r="L46" s="35"/>
      <c r="M46" s="35"/>
      <c r="N46" s="158"/>
      <c r="O46" s="4"/>
      <c r="P46" s="2"/>
      <c r="Q46" s="2"/>
      <c r="R46" s="2"/>
      <c r="S46" s="2"/>
      <c r="T46" s="2"/>
      <c r="U46" s="2"/>
      <c r="V46" s="2"/>
      <c r="W46" s="2"/>
    </row>
    <row r="47" spans="1:23" ht="20.399999999999999" customHeight="1">
      <c r="A47" s="211"/>
      <c r="B47" s="212"/>
      <c r="C47" s="62" t="s">
        <v>56</v>
      </c>
      <c r="D47" s="29">
        <f>D45*100/1320</f>
        <v>18.139967819790829</v>
      </c>
      <c r="E47" s="34"/>
      <c r="F47" s="34"/>
      <c r="G47" s="34"/>
      <c r="H47" s="34"/>
      <c r="I47" s="34"/>
      <c r="J47" s="36"/>
      <c r="K47" s="36"/>
      <c r="L47" s="35"/>
      <c r="M47" s="35"/>
      <c r="N47" s="158"/>
      <c r="O47" s="4"/>
      <c r="P47" s="2"/>
      <c r="Q47" s="2"/>
      <c r="R47" s="2"/>
      <c r="S47" s="2"/>
      <c r="T47" s="2"/>
      <c r="U47" s="2"/>
      <c r="V47" s="2"/>
      <c r="W47" s="2"/>
    </row>
    <row r="48" spans="1:23" ht="20.399999999999999" customHeight="1">
      <c r="A48" s="215" t="s">
        <v>93</v>
      </c>
      <c r="B48" s="216"/>
      <c r="C48" s="219"/>
      <c r="D48" s="221">
        <f>D26+D44</f>
        <v>163207.315</v>
      </c>
      <c r="E48" s="95">
        <f t="shared" ref="E48:K48" si="3">SUM(E14:E39)</f>
        <v>3989.9447999999998</v>
      </c>
      <c r="F48" s="95">
        <f t="shared" si="3"/>
        <v>3286.8440999999993</v>
      </c>
      <c r="G48" s="95">
        <f t="shared" si="3"/>
        <v>3548.0843999999997</v>
      </c>
      <c r="H48" s="95">
        <f t="shared" si="3"/>
        <v>1499.4201999999998</v>
      </c>
      <c r="I48" s="223">
        <f t="shared" si="3"/>
        <v>21462.511599999998</v>
      </c>
      <c r="J48" s="225">
        <f t="shared" si="3"/>
        <v>63953.163999999997</v>
      </c>
      <c r="K48" s="227">
        <f t="shared" si="3"/>
        <v>154.05418</v>
      </c>
      <c r="L48" s="229"/>
      <c r="M48" s="229"/>
      <c r="N48" s="230">
        <f>N26+N44</f>
        <v>4972030</v>
      </c>
      <c r="P48" s="2"/>
      <c r="Q48" s="2"/>
      <c r="R48" s="2"/>
      <c r="S48" s="2"/>
      <c r="T48" s="2"/>
      <c r="U48" s="2"/>
      <c r="V48" s="2"/>
    </row>
    <row r="49" spans="1:22" ht="20.399999999999999" customHeight="1">
      <c r="A49" s="217"/>
      <c r="B49" s="218"/>
      <c r="C49" s="220"/>
      <c r="D49" s="222"/>
      <c r="E49" s="231">
        <f>E48+F48</f>
        <v>7276.7888999999996</v>
      </c>
      <c r="F49" s="232"/>
      <c r="G49" s="231">
        <f>G48+H48</f>
        <v>5047.5045999999993</v>
      </c>
      <c r="H49" s="232"/>
      <c r="I49" s="224"/>
      <c r="J49" s="226"/>
      <c r="K49" s="228"/>
      <c r="L49" s="229"/>
      <c r="M49" s="229"/>
      <c r="N49" s="230"/>
      <c r="U49" s="11"/>
      <c r="V49" s="11"/>
    </row>
    <row r="50" spans="1:22" ht="20.399999999999999" customHeight="1">
      <c r="A50" s="233" t="s">
        <v>73</v>
      </c>
      <c r="B50" s="234"/>
      <c r="C50" s="235"/>
      <c r="D50" s="101">
        <f>D48/D8</f>
        <v>722.15626106194691</v>
      </c>
      <c r="E50" s="108">
        <f>E48/D8</f>
        <v>17.654623008849555</v>
      </c>
      <c r="F50" s="107">
        <f>F48/D8</f>
        <v>14.543557964601767</v>
      </c>
      <c r="G50" s="108">
        <f>G48/D8</f>
        <v>15.699488495575221</v>
      </c>
      <c r="H50" s="107">
        <f>H48/D8</f>
        <v>6.6346026548672556</v>
      </c>
      <c r="I50" s="239">
        <f>I48/D8</f>
        <v>94.966865486725652</v>
      </c>
      <c r="J50" s="239">
        <f>J48/D8</f>
        <v>282.97860176991151</v>
      </c>
      <c r="K50" s="241">
        <f>K48/D8</f>
        <v>0.68165566371681419</v>
      </c>
      <c r="L50" s="229"/>
      <c r="M50" s="229"/>
      <c r="N50" s="230"/>
      <c r="U50" s="11"/>
      <c r="V50" s="11"/>
    </row>
    <row r="51" spans="1:22" ht="20.399999999999999" customHeight="1">
      <c r="A51" s="236"/>
      <c r="B51" s="237"/>
      <c r="C51" s="238"/>
      <c r="D51" s="98"/>
      <c r="E51" s="302">
        <f>E50+F50</f>
        <v>32.198180973451322</v>
      </c>
      <c r="F51" s="301"/>
      <c r="G51" s="302">
        <f>G50+H50</f>
        <v>22.334091150442475</v>
      </c>
      <c r="H51" s="301"/>
      <c r="I51" s="240"/>
      <c r="J51" s="240"/>
      <c r="K51" s="242"/>
      <c r="L51" s="229"/>
      <c r="M51" s="229"/>
      <c r="N51" s="230"/>
      <c r="P51" s="333"/>
      <c r="Q51" s="334"/>
      <c r="R51" s="334"/>
      <c r="S51" s="334"/>
      <c r="T51" s="334"/>
      <c r="U51" s="335"/>
      <c r="V51" s="335"/>
    </row>
    <row r="52" spans="1:22" ht="20.399999999999999" customHeight="1">
      <c r="A52" s="323" t="s">
        <v>74</v>
      </c>
      <c r="B52" s="324"/>
      <c r="C52" s="325"/>
      <c r="D52" s="326" t="s">
        <v>25</v>
      </c>
      <c r="E52" s="184" t="s">
        <v>19</v>
      </c>
      <c r="F52" s="184"/>
      <c r="G52" s="184" t="s">
        <v>20</v>
      </c>
      <c r="H52" s="184"/>
      <c r="I52" s="156" t="s">
        <v>21</v>
      </c>
      <c r="J52" s="348">
        <v>600</v>
      </c>
      <c r="K52" s="348">
        <v>0.74</v>
      </c>
      <c r="L52" s="229"/>
      <c r="M52" s="229"/>
      <c r="N52" s="230"/>
      <c r="O52" s="166"/>
      <c r="P52" s="336"/>
      <c r="Q52" s="334"/>
      <c r="R52" s="334"/>
      <c r="S52" s="334"/>
      <c r="T52" s="334"/>
      <c r="U52" s="334"/>
      <c r="V52" s="334"/>
    </row>
    <row r="53" spans="1:22" ht="20.399999999999999" customHeight="1">
      <c r="A53" s="246" t="s">
        <v>67</v>
      </c>
      <c r="B53" s="247"/>
      <c r="C53" s="248"/>
      <c r="D53" s="19"/>
      <c r="E53" s="249">
        <f>E51*4.1</f>
        <v>132.01254199115041</v>
      </c>
      <c r="F53" s="250"/>
      <c r="G53" s="249">
        <f>G51*9</f>
        <v>201.00682035398228</v>
      </c>
      <c r="H53" s="250"/>
      <c r="I53" s="68">
        <f>I50*4.1</f>
        <v>389.36414849557514</v>
      </c>
      <c r="J53" s="251"/>
      <c r="K53" s="251"/>
      <c r="L53" s="229"/>
      <c r="M53" s="229"/>
      <c r="N53" s="230"/>
      <c r="O53" s="166"/>
      <c r="P53" s="338"/>
      <c r="Q53" s="339"/>
      <c r="R53" s="339"/>
      <c r="S53" s="339"/>
      <c r="T53" s="333"/>
      <c r="U53" s="333"/>
      <c r="V53" s="333"/>
    </row>
    <row r="54" spans="1:22" ht="20.399999999999999" customHeight="1">
      <c r="A54" s="254" t="s">
        <v>68</v>
      </c>
      <c r="B54" s="255"/>
      <c r="C54" s="246" t="s">
        <v>56</v>
      </c>
      <c r="D54" s="248"/>
      <c r="E54" s="258">
        <f>E53*100/D50</f>
        <v>18.28032921808682</v>
      </c>
      <c r="F54" s="259"/>
      <c r="G54" s="258">
        <f>G53*100/D50</f>
        <v>27.834255713354512</v>
      </c>
      <c r="H54" s="259"/>
      <c r="I54" s="85">
        <f>I53*100/D50</f>
        <v>53.916883296560563</v>
      </c>
      <c r="J54" s="252"/>
      <c r="K54" s="252"/>
      <c r="L54" s="229"/>
      <c r="M54" s="229"/>
      <c r="N54" s="230"/>
      <c r="O54" s="166"/>
      <c r="P54" s="333"/>
      <c r="Q54" s="340"/>
      <c r="R54" s="333"/>
      <c r="S54" s="333"/>
      <c r="T54" s="333"/>
      <c r="U54" s="333"/>
      <c r="V54" s="333"/>
    </row>
    <row r="55" spans="1:22" ht="20.399999999999999" customHeight="1">
      <c r="A55" s="256"/>
      <c r="B55" s="257"/>
      <c r="C55" s="246" t="s">
        <v>69</v>
      </c>
      <c r="D55" s="248"/>
      <c r="E55" s="246" t="s">
        <v>70</v>
      </c>
      <c r="F55" s="248"/>
      <c r="G55" s="246" t="s">
        <v>71</v>
      </c>
      <c r="H55" s="248"/>
      <c r="I55" s="326" t="s">
        <v>72</v>
      </c>
      <c r="J55" s="253"/>
      <c r="K55" s="253"/>
      <c r="L55" s="229"/>
      <c r="M55" s="229"/>
      <c r="N55" s="230"/>
      <c r="O55" s="166"/>
      <c r="P55" s="84"/>
    </row>
    <row r="56" spans="1:22" ht="20.399999999999999" customHeight="1">
      <c r="A56" s="70"/>
      <c r="B56" s="71"/>
      <c r="C56" s="70"/>
      <c r="D56" s="70"/>
      <c r="E56" s="70"/>
      <c r="F56" s="70"/>
      <c r="G56" s="70"/>
      <c r="H56" s="70"/>
      <c r="I56" s="70"/>
      <c r="J56" s="70"/>
      <c r="K56" s="70"/>
      <c r="L56" s="72"/>
      <c r="M56" s="72"/>
      <c r="N56" s="73"/>
      <c r="O56" s="166"/>
      <c r="Q56" s="84"/>
    </row>
    <row r="57" spans="1:22" ht="20.399999999999999" customHeight="1">
      <c r="A57" s="243" t="s">
        <v>94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166"/>
    </row>
    <row r="58" spans="1:22" ht="20.399999999999999" customHeight="1">
      <c r="A58" s="87" t="s">
        <v>95</v>
      </c>
      <c r="B58" s="244" t="s">
        <v>96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166"/>
    </row>
    <row r="59" spans="1:22" ht="20.399999999999999" customHeight="1">
      <c r="A59" s="88"/>
      <c r="B59" s="245" t="s">
        <v>164</v>
      </c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166"/>
    </row>
    <row r="60" spans="1:22" ht="20.399999999999999" customHeight="1">
      <c r="A60" s="88"/>
      <c r="B60" s="245" t="s">
        <v>165</v>
      </c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166"/>
    </row>
    <row r="61" spans="1:22" ht="20.399999999999999" customHeight="1">
      <c r="A61" s="88"/>
      <c r="B61" s="245" t="s">
        <v>166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66"/>
    </row>
    <row r="62" spans="1:22" ht="20.399999999999999" customHeight="1">
      <c r="A62" s="70"/>
      <c r="B62" s="260" t="s">
        <v>103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166"/>
    </row>
    <row r="63" spans="1:22" ht="20.399999999999999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89"/>
      <c r="M63" s="89"/>
      <c r="N63" s="90"/>
      <c r="O63" s="166"/>
    </row>
    <row r="64" spans="1:22" ht="20.399999999999999" customHeight="1">
      <c r="A64" s="261" t="s">
        <v>58</v>
      </c>
      <c r="B64" s="261"/>
      <c r="C64" s="261"/>
      <c r="D64" s="261"/>
      <c r="E64" s="328"/>
      <c r="F64" s="328"/>
      <c r="G64" s="328"/>
      <c r="H64" s="328"/>
      <c r="I64" s="328"/>
      <c r="J64" s="329" t="s">
        <v>34</v>
      </c>
      <c r="K64" s="329"/>
      <c r="L64" s="329"/>
      <c r="M64" s="329"/>
      <c r="N64" s="329"/>
      <c r="O64" s="166"/>
    </row>
    <row r="65" spans="1:20" ht="20.399999999999999" customHeight="1">
      <c r="A65" s="152"/>
      <c r="B65" s="152"/>
      <c r="C65" s="152"/>
      <c r="D65" s="328"/>
      <c r="E65" s="328"/>
      <c r="F65" s="328"/>
      <c r="G65" s="328"/>
      <c r="H65" s="330"/>
      <c r="I65" s="330"/>
      <c r="J65" s="330"/>
      <c r="K65" s="330"/>
      <c r="L65" s="330"/>
      <c r="M65" s="330"/>
      <c r="N65" s="330"/>
      <c r="O65" s="166"/>
    </row>
    <row r="66" spans="1:20" ht="20.399999999999999" customHeight="1">
      <c r="A66" s="152"/>
      <c r="B66" s="152"/>
      <c r="C66" s="152"/>
      <c r="D66" s="328"/>
      <c r="E66" s="328"/>
      <c r="F66" s="328"/>
      <c r="G66" s="328"/>
      <c r="H66" s="330"/>
      <c r="I66" s="330"/>
      <c r="J66" s="330"/>
      <c r="K66" s="330"/>
      <c r="L66" s="330"/>
      <c r="M66" s="330"/>
      <c r="N66" s="330"/>
      <c r="O66" s="166"/>
    </row>
    <row r="67" spans="1:20" ht="20.399999999999999" customHeight="1">
      <c r="A67" s="152"/>
      <c r="B67" s="152"/>
      <c r="C67" s="152"/>
      <c r="D67" s="328"/>
      <c r="E67" s="328"/>
      <c r="F67" s="328"/>
      <c r="G67" s="328"/>
      <c r="H67" s="330"/>
      <c r="I67" s="330"/>
      <c r="J67" s="331" t="s">
        <v>97</v>
      </c>
      <c r="K67" s="331"/>
      <c r="L67" s="331"/>
      <c r="M67" s="331"/>
      <c r="N67" s="331"/>
      <c r="O67" s="166"/>
    </row>
    <row r="68" spans="1:20" ht="20.399999999999999" customHeight="1">
      <c r="A68" s="262" t="s">
        <v>82</v>
      </c>
      <c r="B68" s="262"/>
      <c r="C68" s="262"/>
      <c r="D68" s="262"/>
      <c r="E68" s="328"/>
      <c r="F68" s="328"/>
      <c r="G68" s="328"/>
      <c r="H68" s="330"/>
      <c r="I68" s="330"/>
      <c r="O68" s="166"/>
    </row>
    <row r="69" spans="1:20" ht="20.399999999999999" customHeight="1">
      <c r="A69" s="152"/>
      <c r="B69" s="152"/>
      <c r="C69" s="152"/>
      <c r="D69" s="328"/>
      <c r="E69" s="328"/>
      <c r="F69" s="328"/>
      <c r="G69" s="328"/>
      <c r="H69" s="330"/>
      <c r="I69" s="330"/>
      <c r="J69" s="330"/>
      <c r="K69" s="330"/>
      <c r="L69" s="330"/>
      <c r="M69" s="330"/>
      <c r="N69" s="330"/>
      <c r="O69" s="166"/>
    </row>
    <row r="70" spans="1:20" ht="20.399999999999999" customHeight="1">
      <c r="A70" s="152"/>
      <c r="B70" s="152"/>
      <c r="C70" s="152"/>
      <c r="D70" s="328"/>
      <c r="E70" s="328"/>
      <c r="F70" s="328"/>
      <c r="G70" s="328"/>
      <c r="H70" s="330"/>
      <c r="I70" s="330"/>
      <c r="J70" s="331" t="s">
        <v>108</v>
      </c>
      <c r="K70" s="331"/>
      <c r="L70" s="331"/>
      <c r="M70" s="331"/>
      <c r="N70" s="331"/>
      <c r="O70" s="166"/>
    </row>
    <row r="71" spans="1:20" ht="20.399999999999999" customHeight="1">
      <c r="A71" s="152"/>
      <c r="B71" s="152"/>
      <c r="C71" s="152"/>
      <c r="D71" s="328"/>
      <c r="E71" s="328"/>
      <c r="F71" s="328"/>
      <c r="G71" s="328"/>
      <c r="H71" s="330"/>
      <c r="I71" s="330"/>
      <c r="J71" s="330"/>
      <c r="K71" s="330"/>
      <c r="L71" s="330"/>
      <c r="M71" s="330"/>
      <c r="N71" s="330"/>
      <c r="O71" s="166"/>
    </row>
    <row r="72" spans="1:20" ht="20.399999999999999" customHeight="1">
      <c r="A72" s="152"/>
      <c r="B72" s="152"/>
      <c r="C72" s="152"/>
      <c r="D72" s="328"/>
      <c r="E72" s="328"/>
      <c r="F72" s="328"/>
      <c r="G72" s="328"/>
      <c r="H72" s="330"/>
      <c r="I72" s="330"/>
      <c r="J72" s="330"/>
      <c r="K72" s="330"/>
      <c r="L72" s="330"/>
      <c r="M72" s="330"/>
      <c r="N72" s="330"/>
      <c r="O72" s="166"/>
    </row>
    <row r="73" spans="1:20" ht="20.399999999999999" customHeight="1">
      <c r="A73" s="152"/>
      <c r="B73" s="152"/>
      <c r="C73" s="152"/>
      <c r="D73" s="328"/>
      <c r="E73" s="328"/>
      <c r="F73" s="328"/>
      <c r="G73" s="328"/>
      <c r="H73" s="330"/>
      <c r="I73" s="330"/>
      <c r="J73" s="330"/>
      <c r="K73" s="330"/>
      <c r="L73" s="330"/>
      <c r="M73" s="330"/>
      <c r="N73" s="330"/>
      <c r="O73" s="166"/>
    </row>
    <row r="74" spans="1:20" ht="20.399999999999999" customHeight="1">
      <c r="A74" s="152"/>
      <c r="B74" s="152"/>
      <c r="C74" s="152"/>
      <c r="D74" s="328"/>
      <c r="E74" s="328"/>
      <c r="F74" s="328"/>
      <c r="G74" s="328"/>
      <c r="H74" s="330"/>
      <c r="I74" s="330"/>
      <c r="J74" s="330"/>
      <c r="K74" s="330"/>
      <c r="L74" s="330"/>
      <c r="M74" s="330"/>
      <c r="N74" s="330"/>
      <c r="O74" s="166"/>
    </row>
    <row r="75" spans="1:20" ht="20.399999999999999" customHeight="1">
      <c r="A75" s="152"/>
      <c r="B75" s="152"/>
      <c r="C75" s="152"/>
      <c r="D75" s="328"/>
      <c r="E75" s="328"/>
      <c r="F75" s="328"/>
      <c r="G75" s="328"/>
      <c r="H75" s="330"/>
      <c r="I75" s="330"/>
      <c r="J75" s="330"/>
      <c r="K75" s="330"/>
      <c r="L75" s="330"/>
      <c r="M75" s="330"/>
      <c r="N75" s="330"/>
      <c r="O75" s="166"/>
    </row>
    <row r="76" spans="1:20" ht="20.399999999999999" customHeight="1">
      <c r="A76" s="152"/>
      <c r="B76" s="152"/>
      <c r="C76" s="152"/>
      <c r="D76" s="328"/>
      <c r="E76" s="328"/>
      <c r="F76" s="328"/>
      <c r="G76" s="328"/>
      <c r="H76" s="330"/>
      <c r="I76" s="330"/>
      <c r="J76" s="330"/>
      <c r="K76" s="330"/>
      <c r="L76" s="330"/>
      <c r="M76" s="330"/>
      <c r="N76" s="330"/>
      <c r="O76" s="166"/>
    </row>
    <row r="77" spans="1:20" ht="20.399999999999999" customHeight="1">
      <c r="A77" s="152"/>
      <c r="B77" s="152"/>
      <c r="C77" s="152"/>
      <c r="D77" s="328"/>
      <c r="E77" s="328"/>
      <c r="F77" s="328"/>
      <c r="G77" s="328"/>
      <c r="H77" s="330"/>
      <c r="I77" s="330"/>
      <c r="J77" s="330"/>
      <c r="K77" s="330"/>
      <c r="L77" s="330"/>
      <c r="M77" s="330"/>
      <c r="N77" s="330"/>
      <c r="O77" s="166"/>
    </row>
    <row r="78" spans="1:20" ht="20.399999999999999" customHeight="1">
      <c r="A78" s="152"/>
      <c r="B78" s="152"/>
      <c r="C78" s="152"/>
      <c r="D78" s="328"/>
      <c r="E78" s="328"/>
      <c r="F78" s="328"/>
      <c r="G78" s="328"/>
      <c r="H78" s="330"/>
      <c r="I78" s="330"/>
      <c r="J78" s="330"/>
      <c r="K78" s="330"/>
      <c r="L78" s="330"/>
      <c r="M78" s="330"/>
      <c r="N78" s="330"/>
      <c r="O78" s="166"/>
    </row>
    <row r="79" spans="1:20" ht="20.399999999999999" customHeight="1">
      <c r="A79" s="152"/>
      <c r="B79" s="152"/>
      <c r="C79" s="152"/>
      <c r="D79" s="328"/>
      <c r="E79" s="328"/>
      <c r="F79" s="328"/>
      <c r="G79" s="328"/>
      <c r="H79" s="330"/>
      <c r="I79" s="330"/>
      <c r="J79" s="330"/>
      <c r="K79" s="330"/>
      <c r="L79" s="330"/>
      <c r="M79" s="330"/>
      <c r="N79" s="330"/>
      <c r="O79" s="166"/>
    </row>
    <row r="80" spans="1:20" ht="20.399999999999999" customHeight="1">
      <c r="A80" s="10" t="s">
        <v>57</v>
      </c>
      <c r="B80" s="7"/>
      <c r="C80" s="7"/>
      <c r="D80" s="7"/>
      <c r="E80" s="7"/>
      <c r="F80" s="183" t="s">
        <v>29</v>
      </c>
      <c r="G80" s="183"/>
      <c r="H80" s="183"/>
      <c r="I80" s="183"/>
      <c r="J80" s="183"/>
      <c r="K80" s="183"/>
      <c r="L80" s="183"/>
      <c r="M80" s="183"/>
      <c r="N80" s="183"/>
      <c r="O80" s="159"/>
      <c r="P80" s="159"/>
      <c r="T80" s="2"/>
    </row>
    <row r="81" spans="1:20" ht="10.199999999999999" customHeight="1">
      <c r="A81" s="10"/>
      <c r="B81" s="7"/>
      <c r="C81" s="7"/>
      <c r="D81" s="7"/>
      <c r="E81" s="7"/>
      <c r="F81" s="155"/>
      <c r="G81" s="155"/>
      <c r="H81" s="155"/>
      <c r="I81" s="155"/>
      <c r="J81" s="155"/>
      <c r="K81" s="155"/>
      <c r="L81" s="155"/>
      <c r="M81" s="155"/>
      <c r="N81" s="155"/>
      <c r="O81" s="159"/>
      <c r="P81" s="159"/>
      <c r="T81" s="2"/>
    </row>
    <row r="82" spans="1:20" ht="20.399999999999999" customHeight="1">
      <c r="A82" s="7" t="s">
        <v>167</v>
      </c>
      <c r="B82" s="7"/>
      <c r="C82" s="7"/>
      <c r="D82" s="7"/>
      <c r="E82" s="7"/>
      <c r="F82" s="155"/>
      <c r="G82" s="155"/>
      <c r="H82" s="155"/>
      <c r="I82" s="155"/>
      <c r="J82" s="155"/>
      <c r="K82" s="155"/>
      <c r="L82" s="155"/>
      <c r="M82" s="155"/>
      <c r="N82" s="155"/>
      <c r="O82" s="159"/>
      <c r="P82" s="159"/>
      <c r="T82" s="2"/>
    </row>
    <row r="83" spans="1:20" ht="9.6" customHeight="1">
      <c r="A83" s="7"/>
      <c r="B83" s="7"/>
      <c r="C83" s="7"/>
      <c r="D83" s="7"/>
      <c r="E83" s="7"/>
      <c r="F83" s="155"/>
      <c r="G83" s="155"/>
      <c r="H83" s="155"/>
      <c r="I83" s="155"/>
      <c r="J83" s="155"/>
      <c r="K83" s="155"/>
      <c r="L83" s="155"/>
      <c r="M83" s="155"/>
      <c r="N83" s="155"/>
      <c r="O83" s="159"/>
      <c r="P83" s="159"/>
      <c r="T83" s="2"/>
    </row>
    <row r="84" spans="1:20" s="2" customFormat="1" ht="18" customHeight="1">
      <c r="A84" s="184" t="s">
        <v>89</v>
      </c>
      <c r="B84" s="184"/>
      <c r="C84" s="184"/>
      <c r="D84" s="184"/>
      <c r="E84" s="184" t="s">
        <v>80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60"/>
    </row>
    <row r="85" spans="1:20" s="2" customFormat="1" ht="18" customHeight="1">
      <c r="A85" s="184"/>
      <c r="B85" s="184"/>
      <c r="C85" s="184"/>
      <c r="D85" s="184"/>
      <c r="E85" s="184" t="s">
        <v>88</v>
      </c>
      <c r="F85" s="184"/>
      <c r="G85" s="184"/>
      <c r="H85" s="184"/>
      <c r="I85" s="184"/>
      <c r="J85" s="184" t="s">
        <v>90</v>
      </c>
      <c r="K85" s="184"/>
      <c r="L85" s="184"/>
      <c r="M85" s="184"/>
      <c r="N85" s="184"/>
      <c r="O85" s="160"/>
    </row>
    <row r="86" spans="1:20" s="2" customFormat="1" ht="18" customHeight="1">
      <c r="A86" s="185" t="s">
        <v>81</v>
      </c>
      <c r="B86" s="185"/>
      <c r="C86" s="185"/>
      <c r="D86" s="185"/>
      <c r="E86" s="186" t="s">
        <v>124</v>
      </c>
      <c r="F86" s="186"/>
      <c r="G86" s="186"/>
      <c r="H86" s="186"/>
      <c r="I86" s="186"/>
      <c r="J86" s="263" t="s">
        <v>81</v>
      </c>
      <c r="K86" s="264"/>
      <c r="L86" s="264"/>
      <c r="M86" s="264"/>
      <c r="N86" s="265"/>
      <c r="O86" s="160"/>
    </row>
    <row r="87" spans="1:20" s="2" customFormat="1" ht="18" customHeight="1">
      <c r="A87" s="196" t="s">
        <v>145</v>
      </c>
      <c r="B87" s="196"/>
      <c r="C87" s="196"/>
      <c r="D87" s="196"/>
      <c r="E87" s="186"/>
      <c r="F87" s="186"/>
      <c r="G87" s="186"/>
      <c r="H87" s="186"/>
      <c r="I87" s="186"/>
      <c r="J87" s="200" t="s">
        <v>149</v>
      </c>
      <c r="K87" s="201"/>
      <c r="L87" s="201"/>
      <c r="M87" s="201"/>
      <c r="N87" s="202"/>
      <c r="O87" s="160"/>
    </row>
    <row r="88" spans="1:20" s="2" customFormat="1" ht="18" customHeight="1">
      <c r="A88" s="197" t="s">
        <v>146</v>
      </c>
      <c r="B88" s="197"/>
      <c r="C88" s="197"/>
      <c r="D88" s="197"/>
      <c r="E88" s="186"/>
      <c r="F88" s="186"/>
      <c r="G88" s="186"/>
      <c r="H88" s="186"/>
      <c r="I88" s="186"/>
      <c r="J88" s="266" t="s">
        <v>150</v>
      </c>
      <c r="K88" s="267"/>
      <c r="L88" s="267"/>
      <c r="M88" s="267"/>
      <c r="N88" s="268"/>
      <c r="O88" s="160"/>
    </row>
    <row r="89" spans="1:20" ht="18" customHeight="1">
      <c r="A89" s="167" t="s">
        <v>106</v>
      </c>
      <c r="B89" s="168"/>
      <c r="C89" s="169"/>
      <c r="D89" s="99">
        <v>61</v>
      </c>
      <c r="E89" s="7"/>
      <c r="F89" s="155"/>
      <c r="G89" s="155"/>
      <c r="H89" s="155"/>
      <c r="I89" s="155"/>
      <c r="J89" s="155"/>
      <c r="K89" s="155"/>
      <c r="L89" s="155"/>
      <c r="M89" s="155"/>
      <c r="N89" s="155"/>
      <c r="O89" s="159"/>
      <c r="P89" s="159"/>
      <c r="T89" s="2"/>
    </row>
    <row r="90" spans="1:20" ht="18" customHeight="1">
      <c r="A90" s="170" t="s">
        <v>0</v>
      </c>
      <c r="B90" s="173" t="s">
        <v>18</v>
      </c>
      <c r="C90" s="176" t="s">
        <v>7</v>
      </c>
      <c r="D90" s="176" t="s">
        <v>8</v>
      </c>
      <c r="E90" s="179" t="s">
        <v>10</v>
      </c>
      <c r="F90" s="180"/>
      <c r="G90" s="179" t="s">
        <v>12</v>
      </c>
      <c r="H90" s="180"/>
      <c r="I90" s="198" t="s">
        <v>15</v>
      </c>
      <c r="J90" s="198" t="s">
        <v>30</v>
      </c>
      <c r="K90" s="198" t="s">
        <v>31</v>
      </c>
      <c r="L90" s="198" t="s">
        <v>16</v>
      </c>
      <c r="M90" s="198" t="s">
        <v>32</v>
      </c>
      <c r="N90" s="170" t="s">
        <v>17</v>
      </c>
      <c r="O90" s="161"/>
    </row>
    <row r="91" spans="1:20" ht="18" customHeight="1">
      <c r="A91" s="171"/>
      <c r="B91" s="174"/>
      <c r="C91" s="177"/>
      <c r="D91" s="177"/>
      <c r="E91" s="181"/>
      <c r="F91" s="182"/>
      <c r="G91" s="181"/>
      <c r="H91" s="182"/>
      <c r="I91" s="206"/>
      <c r="J91" s="206"/>
      <c r="K91" s="206"/>
      <c r="L91" s="206"/>
      <c r="M91" s="206"/>
      <c r="N91" s="171"/>
      <c r="O91" s="152"/>
    </row>
    <row r="92" spans="1:20" ht="18" customHeight="1">
      <c r="A92" s="171"/>
      <c r="B92" s="174"/>
      <c r="C92" s="177"/>
      <c r="D92" s="177"/>
      <c r="E92" s="198" t="s">
        <v>9</v>
      </c>
      <c r="F92" s="198" t="s">
        <v>11</v>
      </c>
      <c r="G92" s="198" t="s">
        <v>13</v>
      </c>
      <c r="H92" s="198" t="s">
        <v>14</v>
      </c>
      <c r="I92" s="206"/>
      <c r="J92" s="206"/>
      <c r="K92" s="206"/>
      <c r="L92" s="206"/>
      <c r="M92" s="206"/>
      <c r="N92" s="171"/>
      <c r="O92" s="152"/>
    </row>
    <row r="93" spans="1:20" ht="18" customHeight="1">
      <c r="A93" s="172"/>
      <c r="B93" s="175"/>
      <c r="C93" s="178"/>
      <c r="D93" s="178"/>
      <c r="E93" s="199"/>
      <c r="F93" s="199"/>
      <c r="G93" s="199"/>
      <c r="H93" s="199"/>
      <c r="I93" s="199"/>
      <c r="J93" s="199"/>
      <c r="K93" s="199"/>
      <c r="L93" s="199"/>
      <c r="M93" s="199"/>
      <c r="N93" s="172"/>
      <c r="O93" s="152"/>
    </row>
    <row r="94" spans="1:20" ht="19.2" customHeight="1">
      <c r="A94" s="203" t="s">
        <v>40</v>
      </c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5"/>
      <c r="O94" s="152"/>
    </row>
    <row r="95" spans="1:20" s="2" customFormat="1" ht="19.2" customHeight="1">
      <c r="A95" s="8">
        <v>1</v>
      </c>
      <c r="B95" s="9" t="s">
        <v>2</v>
      </c>
      <c r="C95" s="12">
        <f>L95/100*100</f>
        <v>80</v>
      </c>
      <c r="D95" s="13">
        <f>C95/100*60</f>
        <v>48</v>
      </c>
      <c r="E95" s="14">
        <f>C95/100*15</f>
        <v>12</v>
      </c>
      <c r="F95" s="14"/>
      <c r="G95" s="14"/>
      <c r="H95" s="14"/>
      <c r="I95" s="14"/>
      <c r="J95" s="14">
        <f>C95/100*387</f>
        <v>309.60000000000002</v>
      </c>
      <c r="K95" s="14">
        <f>C95/100*0.09</f>
        <v>7.1999999999999995E-2</v>
      </c>
      <c r="L95" s="111">
        <v>80</v>
      </c>
      <c r="M95" s="20">
        <v>20</v>
      </c>
      <c r="N95" s="16">
        <f>L95*M95</f>
        <v>1600</v>
      </c>
      <c r="O95" s="162"/>
    </row>
    <row r="96" spans="1:20" s="2" customFormat="1" ht="19.2" customHeight="1">
      <c r="A96" s="8">
        <v>2</v>
      </c>
      <c r="B96" s="9" t="s">
        <v>114</v>
      </c>
      <c r="C96" s="12">
        <f>L96/100*100</f>
        <v>190</v>
      </c>
      <c r="D96" s="65">
        <f>C96/100*899</f>
        <v>1708.1</v>
      </c>
      <c r="E96" s="14"/>
      <c r="F96" s="14"/>
      <c r="G96" s="91">
        <f>C96/100*99.6</f>
        <v>189.23999999999998</v>
      </c>
      <c r="H96" s="14"/>
      <c r="I96" s="14"/>
      <c r="J96" s="14"/>
      <c r="K96" s="14"/>
      <c r="L96" s="111">
        <v>190</v>
      </c>
      <c r="M96" s="65">
        <v>69</v>
      </c>
      <c r="N96" s="93">
        <f t="shared" ref="N96:N103" si="4">L96*M96</f>
        <v>13110</v>
      </c>
      <c r="O96" s="163"/>
    </row>
    <row r="97" spans="1:23" s="2" customFormat="1" ht="19.2" customHeight="1">
      <c r="A97" s="8">
        <v>3</v>
      </c>
      <c r="B97" s="9" t="s">
        <v>118</v>
      </c>
      <c r="C97" s="12">
        <f>L97/100*100</f>
        <v>110.00000000000001</v>
      </c>
      <c r="D97" s="65">
        <f>C97/100*900</f>
        <v>990.00000000000011</v>
      </c>
      <c r="E97" s="14"/>
      <c r="F97" s="14"/>
      <c r="G97" s="91"/>
      <c r="H97" s="14">
        <f>C97/100*100</f>
        <v>110.00000000000001</v>
      </c>
      <c r="I97" s="14"/>
      <c r="J97" s="14"/>
      <c r="K97" s="14"/>
      <c r="L97" s="111">
        <v>110</v>
      </c>
      <c r="M97" s="65">
        <v>65</v>
      </c>
      <c r="N97" s="93">
        <f t="shared" si="4"/>
        <v>7150</v>
      </c>
      <c r="O97" s="163"/>
    </row>
    <row r="98" spans="1:23" s="2" customFormat="1" ht="19.2" customHeight="1">
      <c r="A98" s="8">
        <v>4</v>
      </c>
      <c r="B98" s="5" t="s">
        <v>1</v>
      </c>
      <c r="C98" s="12">
        <f>L98/100*100</f>
        <v>2628</v>
      </c>
      <c r="D98" s="13">
        <f>C98/100*344</f>
        <v>9040.32</v>
      </c>
      <c r="E98" s="14"/>
      <c r="F98" s="14">
        <f>C98/100*7.9</f>
        <v>207.61200000000002</v>
      </c>
      <c r="G98" s="14"/>
      <c r="H98" s="14">
        <f>C98/100*1</f>
        <v>26.28</v>
      </c>
      <c r="I98" s="14">
        <f>C98/100*74</f>
        <v>1944.72</v>
      </c>
      <c r="J98" s="14">
        <f>C98/100*30</f>
        <v>788.40000000000009</v>
      </c>
      <c r="K98" s="14">
        <f>C98/100*0.1</f>
        <v>2.6280000000000001</v>
      </c>
      <c r="L98" s="111">
        <v>2628</v>
      </c>
      <c r="M98" s="20">
        <v>18</v>
      </c>
      <c r="N98" s="16">
        <f t="shared" si="4"/>
        <v>47304</v>
      </c>
      <c r="O98" s="162"/>
    </row>
    <row r="99" spans="1:23" s="2" customFormat="1" ht="19.2" customHeight="1">
      <c r="A99" s="8">
        <v>5</v>
      </c>
      <c r="B99" s="9" t="s">
        <v>64</v>
      </c>
      <c r="C99" s="12">
        <f>L99/100*98</f>
        <v>3116.4</v>
      </c>
      <c r="D99" s="13">
        <f>C99/100*139</f>
        <v>4331.7960000000003</v>
      </c>
      <c r="E99" s="14">
        <f>C99/100*19</f>
        <v>592.11599999999999</v>
      </c>
      <c r="F99" s="14"/>
      <c r="G99" s="14">
        <f>C99/100*7</f>
        <v>218.14800000000002</v>
      </c>
      <c r="H99" s="14"/>
      <c r="I99" s="14"/>
      <c r="J99" s="22">
        <f>C99/100*7</f>
        <v>218.14800000000002</v>
      </c>
      <c r="K99" s="22">
        <f>C99/100*0.9</f>
        <v>28.047600000000003</v>
      </c>
      <c r="L99" s="111">
        <v>3180</v>
      </c>
      <c r="M99" s="15">
        <v>133</v>
      </c>
      <c r="N99" s="93">
        <f t="shared" si="4"/>
        <v>422940</v>
      </c>
      <c r="O99" s="162"/>
    </row>
    <row r="100" spans="1:23" s="2" customFormat="1" ht="19.2" customHeight="1">
      <c r="A100" s="8">
        <v>6</v>
      </c>
      <c r="B100" s="9" t="s">
        <v>120</v>
      </c>
      <c r="C100" s="12">
        <f>L100/100*92</f>
        <v>542.80000000000007</v>
      </c>
      <c r="D100" s="13">
        <f>C100/100*58</f>
        <v>314.82400000000007</v>
      </c>
      <c r="E100" s="14">
        <f>C100/100*11.7</f>
        <v>63.507600000000004</v>
      </c>
      <c r="F100" s="14"/>
      <c r="G100" s="14">
        <f>C100/100*1.2</f>
        <v>6.5136000000000012</v>
      </c>
      <c r="H100" s="14"/>
      <c r="I100" s="14"/>
      <c r="J100" s="64">
        <f>C100/100*910</f>
        <v>4939.4800000000005</v>
      </c>
      <c r="K100" s="22"/>
      <c r="L100" s="111">
        <v>590</v>
      </c>
      <c r="M100" s="102">
        <v>165</v>
      </c>
      <c r="N100" s="16">
        <f t="shared" si="4"/>
        <v>97350</v>
      </c>
      <c r="O100" s="162"/>
    </row>
    <row r="101" spans="1:23" s="2" customFormat="1" ht="19.2" customHeight="1">
      <c r="A101" s="8">
        <v>7</v>
      </c>
      <c r="B101" s="5" t="s">
        <v>110</v>
      </c>
      <c r="C101" s="12">
        <f>L101/100*100</f>
        <v>50</v>
      </c>
      <c r="D101" s="13">
        <f>C101/100*247</f>
        <v>123.5</v>
      </c>
      <c r="E101" s="17"/>
      <c r="F101" s="17">
        <f>C101/100*17.5</f>
        <v>8.75</v>
      </c>
      <c r="G101" s="17"/>
      <c r="H101" s="17">
        <f>C101/100*1.6</f>
        <v>0.8</v>
      </c>
      <c r="I101" s="17">
        <f>C101/100*39.2</f>
        <v>19.600000000000001</v>
      </c>
      <c r="J101" s="21"/>
      <c r="K101" s="21"/>
      <c r="L101" s="321">
        <v>50</v>
      </c>
      <c r="M101" s="20">
        <v>50</v>
      </c>
      <c r="N101" s="16">
        <f t="shared" si="4"/>
        <v>2500</v>
      </c>
      <c r="O101" s="162"/>
      <c r="Q101" s="3"/>
      <c r="R101" s="3"/>
      <c r="S101" s="4"/>
      <c r="T101" s="3"/>
    </row>
    <row r="102" spans="1:23" s="2" customFormat="1" ht="19.2" customHeight="1">
      <c r="A102" s="8">
        <v>8</v>
      </c>
      <c r="B102" s="5" t="s">
        <v>140</v>
      </c>
      <c r="C102" s="12">
        <f>L102/100*77</f>
        <v>723.80000000000007</v>
      </c>
      <c r="D102" s="13">
        <f>C102/100*35</f>
        <v>253.33</v>
      </c>
      <c r="E102" s="17"/>
      <c r="F102" s="17">
        <f>C102/100*5.3</f>
        <v>38.361400000000003</v>
      </c>
      <c r="G102" s="17"/>
      <c r="H102" s="17"/>
      <c r="I102" s="17">
        <f>C102/100*3.4</f>
        <v>24.609200000000001</v>
      </c>
      <c r="J102" s="123">
        <f>C102/100*169</f>
        <v>1223.222</v>
      </c>
      <c r="K102" s="17">
        <f>C102/100*0.07</f>
        <v>0.50666000000000011</v>
      </c>
      <c r="L102" s="321">
        <v>940</v>
      </c>
      <c r="M102" s="15">
        <v>35</v>
      </c>
      <c r="N102" s="16">
        <f t="shared" si="4"/>
        <v>32900</v>
      </c>
      <c r="O102" s="162"/>
      <c r="Q102" s="3"/>
      <c r="R102" s="3"/>
      <c r="S102" s="4"/>
    </row>
    <row r="103" spans="1:23" s="2" customFormat="1" ht="19.2" customHeight="1">
      <c r="A103" s="8">
        <v>9</v>
      </c>
      <c r="B103" s="5" t="s">
        <v>136</v>
      </c>
      <c r="C103" s="12">
        <f>L103/100*81</f>
        <v>380.7</v>
      </c>
      <c r="D103" s="13">
        <f>C103/100*17</f>
        <v>64.718999999999994</v>
      </c>
      <c r="E103" s="14"/>
      <c r="F103" s="14">
        <f>C103/100*0.9</f>
        <v>3.4262999999999999</v>
      </c>
      <c r="G103" s="14"/>
      <c r="H103" s="14">
        <f>C103/100*0.2</f>
        <v>0.76140000000000008</v>
      </c>
      <c r="I103" s="14">
        <f>C103/100*2.8</f>
        <v>10.659599999999999</v>
      </c>
      <c r="J103" s="64">
        <f>C103/100*28</f>
        <v>106.596</v>
      </c>
      <c r="K103" s="22">
        <f>C103/100*0.04</f>
        <v>0.15228</v>
      </c>
      <c r="L103" s="111">
        <v>470</v>
      </c>
      <c r="M103" s="15">
        <v>25</v>
      </c>
      <c r="N103" s="113">
        <f t="shared" si="4"/>
        <v>11750</v>
      </c>
      <c r="O103" s="162"/>
    </row>
    <row r="104" spans="1:23" s="2" customFormat="1" ht="19.2" customHeight="1">
      <c r="A104" s="8">
        <v>10</v>
      </c>
      <c r="B104" s="9" t="s">
        <v>105</v>
      </c>
      <c r="C104" s="12"/>
      <c r="D104" s="135"/>
      <c r="E104" s="14"/>
      <c r="F104" s="14"/>
      <c r="G104" s="14"/>
      <c r="H104" s="14"/>
      <c r="I104" s="14"/>
      <c r="J104" s="14"/>
      <c r="K104" s="14"/>
      <c r="L104" s="15"/>
      <c r="M104" s="15"/>
      <c r="N104" s="16">
        <v>4200</v>
      </c>
      <c r="O104" s="162"/>
    </row>
    <row r="105" spans="1:23" s="2" customFormat="1" ht="19.2" customHeight="1">
      <c r="A105" s="23" t="s">
        <v>98</v>
      </c>
      <c r="B105" s="24"/>
      <c r="C105" s="25"/>
      <c r="D105" s="94">
        <f>SUM(D95:D104)</f>
        <v>16874.589000000004</v>
      </c>
      <c r="E105" s="31"/>
      <c r="F105" s="31"/>
      <c r="G105" s="31"/>
      <c r="H105" s="31"/>
      <c r="I105" s="31"/>
      <c r="J105" s="31"/>
      <c r="K105" s="31"/>
      <c r="L105" s="32"/>
      <c r="M105" s="32"/>
      <c r="N105" s="269">
        <f>SUM(N95:N104)</f>
        <v>640804</v>
      </c>
      <c r="O105" s="162"/>
    </row>
    <row r="106" spans="1:23" ht="19.2" customHeight="1">
      <c r="A106" s="23" t="s">
        <v>41</v>
      </c>
      <c r="B106" s="24"/>
      <c r="C106" s="33"/>
      <c r="D106" s="34">
        <f>D105/D89</f>
        <v>276.63260655737713</v>
      </c>
      <c r="E106" s="34"/>
      <c r="F106" s="34"/>
      <c r="G106" s="34"/>
      <c r="H106" s="34"/>
      <c r="I106" s="34"/>
      <c r="J106" s="34"/>
      <c r="K106" s="34"/>
      <c r="L106" s="35"/>
      <c r="M106" s="35"/>
      <c r="N106" s="270"/>
      <c r="O106" s="350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09" t="s">
        <v>42</v>
      </c>
      <c r="B107" s="210"/>
      <c r="C107" s="322" t="s">
        <v>125</v>
      </c>
      <c r="D107" s="29" t="s">
        <v>36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58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9.2" customHeight="1">
      <c r="A108" s="211"/>
      <c r="B108" s="212"/>
      <c r="C108" s="62" t="s">
        <v>56</v>
      </c>
      <c r="D108" s="29">
        <f>D106*100/930</f>
        <v>29.74544156530937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8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9.2" customHeight="1">
      <c r="A109" s="213" t="s">
        <v>43</v>
      </c>
      <c r="B109" s="213"/>
      <c r="C109" s="45"/>
      <c r="D109" s="46"/>
      <c r="E109" s="47"/>
      <c r="F109" s="47"/>
      <c r="G109" s="47"/>
      <c r="H109" s="47"/>
      <c r="I109" s="47"/>
      <c r="J109" s="47"/>
      <c r="K109" s="47"/>
      <c r="L109" s="48"/>
      <c r="M109" s="48"/>
      <c r="N109" s="51"/>
      <c r="O109" s="162"/>
    </row>
    <row r="110" spans="1:23" s="2" customFormat="1" ht="19.2" customHeight="1">
      <c r="A110" s="8">
        <v>1</v>
      </c>
      <c r="B110" s="9" t="s">
        <v>2</v>
      </c>
      <c r="C110" s="12">
        <f>L110/100*100</f>
        <v>80</v>
      </c>
      <c r="D110" s="13">
        <f>C110/100*60</f>
        <v>48</v>
      </c>
      <c r="E110" s="14">
        <f>C110/100*15</f>
        <v>12</v>
      </c>
      <c r="F110" s="14"/>
      <c r="G110" s="14"/>
      <c r="H110" s="14"/>
      <c r="I110" s="14"/>
      <c r="J110" s="14">
        <f>C110/100*387</f>
        <v>309.60000000000002</v>
      </c>
      <c r="K110" s="14">
        <f>C110/100*0.09</f>
        <v>7.1999999999999995E-2</v>
      </c>
      <c r="L110" s="111">
        <v>80</v>
      </c>
      <c r="M110" s="20">
        <v>20</v>
      </c>
      <c r="N110" s="16">
        <f>L110*M110</f>
        <v>1600</v>
      </c>
      <c r="O110" s="162"/>
    </row>
    <row r="111" spans="1:23" s="2" customFormat="1" ht="19.2" customHeight="1">
      <c r="A111" s="8">
        <v>2</v>
      </c>
      <c r="B111" s="9" t="s">
        <v>114</v>
      </c>
      <c r="C111" s="12">
        <f>L111/100*100</f>
        <v>160</v>
      </c>
      <c r="D111" s="65">
        <f>C111/100*899</f>
        <v>1438.4</v>
      </c>
      <c r="E111" s="14"/>
      <c r="F111" s="14"/>
      <c r="G111" s="91">
        <f>C111/100*99.6</f>
        <v>159.36000000000001</v>
      </c>
      <c r="H111" s="14"/>
      <c r="I111" s="14"/>
      <c r="J111" s="14"/>
      <c r="K111" s="14"/>
      <c r="L111" s="111">
        <v>160</v>
      </c>
      <c r="M111" s="65">
        <v>69</v>
      </c>
      <c r="N111" s="93">
        <f t="shared" ref="N111:N116" si="5">L111*M111</f>
        <v>11040</v>
      </c>
      <c r="O111" s="163"/>
    </row>
    <row r="112" spans="1:23" s="2" customFormat="1" ht="19.2" customHeight="1">
      <c r="A112" s="8">
        <v>3</v>
      </c>
      <c r="B112" s="5" t="s">
        <v>1</v>
      </c>
      <c r="C112" s="12">
        <f>L112/100*100</f>
        <v>2562</v>
      </c>
      <c r="D112" s="13">
        <f>C112/100*344</f>
        <v>8813.2800000000007</v>
      </c>
      <c r="E112" s="14"/>
      <c r="F112" s="14">
        <f>C112/100*7.9</f>
        <v>202.39800000000002</v>
      </c>
      <c r="G112" s="14"/>
      <c r="H112" s="14">
        <f>C112/100*1</f>
        <v>25.62</v>
      </c>
      <c r="I112" s="14">
        <f>C112/100*74</f>
        <v>1895.88</v>
      </c>
      <c r="J112" s="14">
        <f>C112/100*30</f>
        <v>768.6</v>
      </c>
      <c r="K112" s="14">
        <f>C112/100*0.1</f>
        <v>2.5620000000000003</v>
      </c>
      <c r="L112" s="111">
        <v>2562</v>
      </c>
      <c r="M112" s="20">
        <v>18</v>
      </c>
      <c r="N112" s="16">
        <f t="shared" si="5"/>
        <v>46116</v>
      </c>
      <c r="O112" s="162"/>
    </row>
    <row r="113" spans="1:23" s="2" customFormat="1" ht="19.2" customHeight="1">
      <c r="A113" s="8">
        <v>4</v>
      </c>
      <c r="B113" s="5" t="s">
        <v>110</v>
      </c>
      <c r="C113" s="12">
        <f>L113/100*100</f>
        <v>50</v>
      </c>
      <c r="D113" s="13">
        <f>C113/100*247</f>
        <v>123.5</v>
      </c>
      <c r="E113" s="17"/>
      <c r="F113" s="17">
        <f>C113/100*17.5</f>
        <v>8.75</v>
      </c>
      <c r="G113" s="17"/>
      <c r="H113" s="17">
        <f>C113/100*1.6</f>
        <v>0.8</v>
      </c>
      <c r="I113" s="17">
        <f>C113/100*39.2</f>
        <v>19.600000000000001</v>
      </c>
      <c r="J113" s="21"/>
      <c r="K113" s="21"/>
      <c r="L113" s="321">
        <v>50</v>
      </c>
      <c r="M113" s="20">
        <v>50</v>
      </c>
      <c r="N113" s="16">
        <f t="shared" si="5"/>
        <v>2500</v>
      </c>
      <c r="O113" s="162"/>
      <c r="Q113" s="3"/>
      <c r="R113" s="3"/>
      <c r="S113" s="4"/>
      <c r="T113" s="3"/>
    </row>
    <row r="114" spans="1:23" s="2" customFormat="1" ht="19.2" customHeight="1">
      <c r="A114" s="8">
        <v>6</v>
      </c>
      <c r="B114" s="5" t="s">
        <v>61</v>
      </c>
      <c r="C114" s="12">
        <f>L114/100*86</f>
        <v>2287.6</v>
      </c>
      <c r="D114" s="13">
        <f>C114/100*166</f>
        <v>3797.4159999999997</v>
      </c>
      <c r="E114" s="14">
        <f>C114/100*14.8</f>
        <v>338.56479999999999</v>
      </c>
      <c r="F114" s="14"/>
      <c r="G114" s="14">
        <f>C114/100*11.6</f>
        <v>265.36159999999995</v>
      </c>
      <c r="H114" s="14"/>
      <c r="I114" s="14">
        <f>C114/100*0.5</f>
        <v>11.437999999999999</v>
      </c>
      <c r="J114" s="64">
        <f>C114/100*55</f>
        <v>1258.1799999999998</v>
      </c>
      <c r="K114" s="22">
        <f>C114/100*0.16</f>
        <v>3.6601599999999999</v>
      </c>
      <c r="L114" s="111">
        <v>2660</v>
      </c>
      <c r="M114" s="20">
        <v>57</v>
      </c>
      <c r="N114" s="143">
        <f t="shared" si="5"/>
        <v>151620</v>
      </c>
      <c r="O114" s="162"/>
      <c r="Q114" s="3"/>
      <c r="R114" s="3"/>
      <c r="S114" s="4"/>
    </row>
    <row r="115" spans="1:23" s="2" customFormat="1" ht="19.2" customHeight="1">
      <c r="A115" s="8">
        <v>7</v>
      </c>
      <c r="B115" s="5" t="s">
        <v>3</v>
      </c>
      <c r="C115" s="12">
        <f>L115/100*48</f>
        <v>988.80000000000007</v>
      </c>
      <c r="D115" s="13">
        <f>C115/100*199</f>
        <v>1967.712</v>
      </c>
      <c r="E115" s="14">
        <f>C115/100*20.3</f>
        <v>200.72640000000001</v>
      </c>
      <c r="F115" s="14"/>
      <c r="G115" s="14">
        <f>C115/100*13.1</f>
        <v>129.53280000000001</v>
      </c>
      <c r="H115" s="14"/>
      <c r="I115" s="14"/>
      <c r="J115" s="22">
        <f>C115/100*12</f>
        <v>118.65600000000001</v>
      </c>
      <c r="K115" s="22">
        <f>C115/100*0.15</f>
        <v>1.4831999999999999</v>
      </c>
      <c r="L115" s="111">
        <v>2060</v>
      </c>
      <c r="M115" s="15">
        <v>84</v>
      </c>
      <c r="N115" s="93">
        <f t="shared" si="5"/>
        <v>173040</v>
      </c>
      <c r="O115" s="162"/>
      <c r="Q115" s="3"/>
      <c r="R115" s="3"/>
      <c r="S115" s="4"/>
    </row>
    <row r="116" spans="1:23" s="2" customFormat="1" ht="19.2" customHeight="1">
      <c r="A116" s="8">
        <v>8</v>
      </c>
      <c r="B116" s="5" t="s">
        <v>78</v>
      </c>
      <c r="C116" s="12">
        <f>L116/100*82</f>
        <v>1549.8</v>
      </c>
      <c r="D116" s="13">
        <f>C116/100*27</f>
        <v>418.44599999999997</v>
      </c>
      <c r="E116" s="17"/>
      <c r="F116" s="17">
        <f>C116/100*0.3</f>
        <v>4.6494</v>
      </c>
      <c r="G116" s="17"/>
      <c r="H116" s="17">
        <f>C116/100*0.1</f>
        <v>1.5498000000000001</v>
      </c>
      <c r="I116" s="17">
        <f>C116/100*6.1</f>
        <v>94.53779999999999</v>
      </c>
      <c r="J116" s="63">
        <f>C116/100*24</f>
        <v>371.952</v>
      </c>
      <c r="K116" s="21">
        <f>C116/100*0.03</f>
        <v>0.46493999999999996</v>
      </c>
      <c r="L116" s="321">
        <v>1890</v>
      </c>
      <c r="M116" s="15">
        <v>22</v>
      </c>
      <c r="N116" s="113">
        <f t="shared" si="5"/>
        <v>41580</v>
      </c>
      <c r="O116" s="162"/>
      <c r="Q116" s="3"/>
      <c r="R116" s="3"/>
      <c r="S116" s="4"/>
    </row>
    <row r="117" spans="1:23" s="2" customFormat="1" ht="19.2" customHeight="1">
      <c r="A117" s="8">
        <v>10</v>
      </c>
      <c r="B117" s="9" t="s">
        <v>105</v>
      </c>
      <c r="C117" s="12"/>
      <c r="D117" s="13"/>
      <c r="E117" s="104"/>
      <c r="F117" s="104"/>
      <c r="G117" s="104"/>
      <c r="H117" s="14"/>
      <c r="I117" s="14"/>
      <c r="J117" s="14"/>
      <c r="K117" s="14"/>
      <c r="L117" s="15"/>
      <c r="M117" s="15"/>
      <c r="N117" s="16">
        <v>4200</v>
      </c>
      <c r="O117" s="162"/>
    </row>
    <row r="118" spans="1:23" s="2" customFormat="1" ht="19.2" customHeight="1">
      <c r="A118" s="23" t="s">
        <v>99</v>
      </c>
      <c r="B118" s="24"/>
      <c r="C118" s="25"/>
      <c r="D118" s="94">
        <f>SUM(D110:D117)</f>
        <v>16606.754000000001</v>
      </c>
      <c r="E118" s="31"/>
      <c r="F118" s="31"/>
      <c r="G118" s="31"/>
      <c r="H118" s="31"/>
      <c r="I118" s="31"/>
      <c r="J118" s="31"/>
      <c r="K118" s="31"/>
      <c r="L118" s="32"/>
      <c r="M118" s="32"/>
      <c r="N118" s="269">
        <f>SUM(N110:N117)</f>
        <v>431696</v>
      </c>
      <c r="O118" s="162"/>
    </row>
    <row r="119" spans="1:23" ht="19.2" customHeight="1">
      <c r="A119" s="23" t="s">
        <v>44</v>
      </c>
      <c r="B119" s="24"/>
      <c r="C119" s="52"/>
      <c r="D119" s="36">
        <f>D118/D89</f>
        <v>272.24186885245905</v>
      </c>
      <c r="E119" s="36"/>
      <c r="F119" s="36"/>
      <c r="G119" s="36"/>
      <c r="H119" s="36"/>
      <c r="I119" s="36"/>
      <c r="J119" s="36"/>
      <c r="K119" s="36"/>
      <c r="L119" s="53"/>
      <c r="M119" s="35"/>
      <c r="N119" s="270"/>
      <c r="O119" s="4"/>
      <c r="P119" s="2"/>
      <c r="Q119" s="2"/>
      <c r="R119" s="2"/>
      <c r="S119" s="2"/>
      <c r="T119" s="2"/>
      <c r="U119" s="2"/>
      <c r="V119" s="2"/>
      <c r="W119" s="2"/>
    </row>
    <row r="120" spans="1:23" ht="19.2" customHeight="1">
      <c r="A120" s="209" t="s">
        <v>45</v>
      </c>
      <c r="B120" s="210"/>
      <c r="C120" s="322" t="s">
        <v>125</v>
      </c>
      <c r="D120" s="29" t="s">
        <v>46</v>
      </c>
      <c r="E120" s="34"/>
      <c r="F120" s="34"/>
      <c r="G120" s="34"/>
      <c r="H120" s="34"/>
      <c r="I120" s="34"/>
      <c r="J120" s="36"/>
      <c r="K120" s="36"/>
      <c r="L120" s="35"/>
      <c r="M120" s="35"/>
      <c r="N120" s="158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9.2" customHeight="1">
      <c r="A121" s="211"/>
      <c r="B121" s="212"/>
      <c r="C121" s="62" t="s">
        <v>56</v>
      </c>
      <c r="D121" s="50">
        <f>D119*100/930</f>
        <v>29.273319231447211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8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9.2" customHeight="1">
      <c r="A122" s="213" t="s">
        <v>37</v>
      </c>
      <c r="B122" s="213"/>
      <c r="C122" s="54"/>
      <c r="D122" s="55"/>
      <c r="E122" s="55"/>
      <c r="F122" s="55"/>
      <c r="G122" s="55"/>
      <c r="H122" s="55"/>
      <c r="I122" s="55"/>
      <c r="J122" s="55"/>
      <c r="K122" s="55"/>
      <c r="L122" s="56"/>
      <c r="M122" s="56"/>
      <c r="N122" s="5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s="2" customFormat="1" ht="19.2" customHeight="1">
      <c r="A123" s="119">
        <v>1</v>
      </c>
      <c r="B123" s="140" t="s">
        <v>123</v>
      </c>
      <c r="C123" s="25">
        <f>L123/100*100</f>
        <v>1040</v>
      </c>
      <c r="D123" s="120">
        <f>C123/100*487</f>
        <v>5064.8</v>
      </c>
      <c r="E123" s="27"/>
      <c r="F123" s="27">
        <f>C123/100*19.5</f>
        <v>202.8</v>
      </c>
      <c r="G123" s="27"/>
      <c r="H123" s="27">
        <f>C123/100*23.2</f>
        <v>241.28</v>
      </c>
      <c r="I123" s="27">
        <f>C123/100*46</f>
        <v>478.40000000000003</v>
      </c>
      <c r="J123" s="121">
        <f>C123/100*680</f>
        <v>7072</v>
      </c>
      <c r="K123" s="27">
        <f>C123/100*0.55</f>
        <v>5.7200000000000006</v>
      </c>
      <c r="L123" s="28">
        <v>1040</v>
      </c>
      <c r="M123" s="141">
        <v>260</v>
      </c>
      <c r="N123" s="148">
        <f t="shared" ref="N123" si="6">L123*M123</f>
        <v>270400</v>
      </c>
      <c r="O123" s="162"/>
      <c r="P123" s="3"/>
    </row>
    <row r="124" spans="1:23" ht="20.399999999999999" customHeight="1">
      <c r="A124" s="170" t="s">
        <v>0</v>
      </c>
      <c r="B124" s="173" t="s">
        <v>18</v>
      </c>
      <c r="C124" s="176" t="s">
        <v>7</v>
      </c>
      <c r="D124" s="176" t="s">
        <v>8</v>
      </c>
      <c r="E124" s="179" t="s">
        <v>10</v>
      </c>
      <c r="F124" s="180"/>
      <c r="G124" s="179" t="s">
        <v>12</v>
      </c>
      <c r="H124" s="180"/>
      <c r="I124" s="198" t="s">
        <v>15</v>
      </c>
      <c r="J124" s="198" t="s">
        <v>30</v>
      </c>
      <c r="K124" s="198" t="s">
        <v>31</v>
      </c>
      <c r="L124" s="198" t="s">
        <v>16</v>
      </c>
      <c r="M124" s="198" t="s">
        <v>32</v>
      </c>
      <c r="N124" s="170" t="s">
        <v>17</v>
      </c>
      <c r="O124" s="161"/>
    </row>
    <row r="125" spans="1:23" ht="20.399999999999999" customHeight="1">
      <c r="A125" s="171"/>
      <c r="B125" s="174"/>
      <c r="C125" s="177"/>
      <c r="D125" s="177"/>
      <c r="E125" s="181"/>
      <c r="F125" s="182"/>
      <c r="G125" s="181"/>
      <c r="H125" s="182"/>
      <c r="I125" s="206"/>
      <c r="J125" s="206"/>
      <c r="K125" s="206"/>
      <c r="L125" s="206"/>
      <c r="M125" s="206"/>
      <c r="N125" s="171"/>
      <c r="O125" s="152"/>
    </row>
    <row r="126" spans="1:23" ht="20.399999999999999" customHeight="1">
      <c r="A126" s="171"/>
      <c r="B126" s="174"/>
      <c r="C126" s="177"/>
      <c r="D126" s="177"/>
      <c r="E126" s="198" t="s">
        <v>9</v>
      </c>
      <c r="F126" s="198" t="s">
        <v>11</v>
      </c>
      <c r="G126" s="198" t="s">
        <v>13</v>
      </c>
      <c r="H126" s="198" t="s">
        <v>14</v>
      </c>
      <c r="I126" s="206"/>
      <c r="J126" s="206"/>
      <c r="K126" s="206"/>
      <c r="L126" s="206"/>
      <c r="M126" s="206"/>
      <c r="N126" s="171"/>
      <c r="O126" s="152"/>
    </row>
    <row r="127" spans="1:23" ht="20.399999999999999" customHeight="1">
      <c r="A127" s="172"/>
      <c r="B127" s="175"/>
      <c r="C127" s="178"/>
      <c r="D127" s="178"/>
      <c r="E127" s="199"/>
      <c r="F127" s="199"/>
      <c r="G127" s="199"/>
      <c r="H127" s="199"/>
      <c r="I127" s="199"/>
      <c r="J127" s="199"/>
      <c r="K127" s="199"/>
      <c r="L127" s="199"/>
      <c r="M127" s="199"/>
      <c r="N127" s="172"/>
      <c r="O127" s="152"/>
    </row>
    <row r="128" spans="1:23" s="2" customFormat="1" ht="20.399999999999999" customHeight="1">
      <c r="A128" s="214" t="s">
        <v>92</v>
      </c>
      <c r="B128" s="214"/>
      <c r="C128" s="25"/>
      <c r="D128" s="26">
        <f>SUM(D122:D123)</f>
        <v>5064.8</v>
      </c>
      <c r="E128" s="31"/>
      <c r="F128" s="31"/>
      <c r="G128" s="31"/>
      <c r="H128" s="31"/>
      <c r="I128" s="31"/>
      <c r="J128" s="31"/>
      <c r="K128" s="31"/>
      <c r="L128" s="32"/>
      <c r="M128" s="58"/>
      <c r="N128" s="269">
        <f>SUM(N122:N123)</f>
        <v>270400</v>
      </c>
      <c r="O128" s="162"/>
    </row>
    <row r="129" spans="1:23" ht="20.399999999999999" customHeight="1">
      <c r="A129" s="214" t="s">
        <v>6</v>
      </c>
      <c r="B129" s="214"/>
      <c r="C129" s="33"/>
      <c r="D129" s="34">
        <f>D128/D89</f>
        <v>83.029508196721309</v>
      </c>
      <c r="E129" s="34"/>
      <c r="F129" s="34"/>
      <c r="G129" s="34"/>
      <c r="H129" s="34"/>
      <c r="I129" s="34"/>
      <c r="J129" s="34"/>
      <c r="K129" s="34"/>
      <c r="L129" s="35"/>
      <c r="M129" s="18"/>
      <c r="N129" s="270"/>
      <c r="O129" s="4"/>
      <c r="P129" s="2"/>
      <c r="Q129" s="2"/>
      <c r="R129" s="2"/>
      <c r="S129" s="2"/>
      <c r="T129" s="2"/>
      <c r="U129" s="2"/>
      <c r="V129" s="2"/>
      <c r="W129" s="2"/>
    </row>
    <row r="130" spans="1:23" ht="20.399999999999999" customHeight="1">
      <c r="A130" s="209" t="s">
        <v>38</v>
      </c>
      <c r="B130" s="210"/>
      <c r="C130" s="322" t="s">
        <v>125</v>
      </c>
      <c r="D130" s="29" t="s">
        <v>47</v>
      </c>
      <c r="E130" s="34"/>
      <c r="F130" s="34"/>
      <c r="G130" s="34"/>
      <c r="H130" s="34"/>
      <c r="I130" s="34"/>
      <c r="J130" s="36"/>
      <c r="K130" s="36"/>
      <c r="L130" s="35"/>
      <c r="M130" s="35"/>
      <c r="N130" s="158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0.399999999999999" customHeight="1">
      <c r="A131" s="211"/>
      <c r="B131" s="212"/>
      <c r="C131" s="62" t="s">
        <v>56</v>
      </c>
      <c r="D131" s="29">
        <f>D129*100/930</f>
        <v>8.927904107174335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8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0.399999999999999" customHeight="1">
      <c r="A132" s="215" t="s">
        <v>93</v>
      </c>
      <c r="B132" s="216"/>
      <c r="C132" s="219"/>
      <c r="D132" s="280">
        <f>D105+D118+D128</f>
        <v>38546.143000000011</v>
      </c>
      <c r="E132" s="95">
        <f>SUM(E95:E130)</f>
        <v>1218.9148</v>
      </c>
      <c r="F132" s="6">
        <f t="shared" ref="F132:H132" si="7">SUM(F95:F130)</f>
        <v>676.74710000000005</v>
      </c>
      <c r="G132" s="6">
        <f t="shared" si="7"/>
        <v>968.15599999999995</v>
      </c>
      <c r="H132" s="6">
        <f t="shared" si="7"/>
        <v>407.09120000000007</v>
      </c>
      <c r="I132" s="227">
        <f>SUM(I95:I130)</f>
        <v>4499.4445999999998</v>
      </c>
      <c r="J132" s="225">
        <f>SUM(J95:J123)</f>
        <v>17484.434000000001</v>
      </c>
      <c r="K132" s="227">
        <f>SUM(K95:K123)</f>
        <v>45.368839999999992</v>
      </c>
      <c r="L132" s="229"/>
      <c r="M132" s="229"/>
      <c r="N132" s="230">
        <f>N105+N118+N128</f>
        <v>1342900</v>
      </c>
      <c r="U132" s="11"/>
      <c r="V132" s="11"/>
    </row>
    <row r="133" spans="1:23" ht="20.399999999999999" customHeight="1">
      <c r="A133" s="217"/>
      <c r="B133" s="218"/>
      <c r="C133" s="220"/>
      <c r="D133" s="281"/>
      <c r="E133" s="231">
        <f>E132+F132</f>
        <v>1895.6619000000001</v>
      </c>
      <c r="F133" s="232"/>
      <c r="G133" s="231">
        <f>G132+H132</f>
        <v>1375.2472</v>
      </c>
      <c r="H133" s="232"/>
      <c r="I133" s="228"/>
      <c r="J133" s="226"/>
      <c r="K133" s="228"/>
      <c r="L133" s="229"/>
      <c r="M133" s="229"/>
      <c r="N133" s="230"/>
      <c r="U133" s="11"/>
      <c r="V133" s="11"/>
    </row>
    <row r="134" spans="1:23" ht="20.399999999999999" customHeight="1">
      <c r="A134" s="271" t="s">
        <v>73</v>
      </c>
      <c r="B134" s="272"/>
      <c r="C134" s="273"/>
      <c r="D134" s="131">
        <f>D132/D89</f>
        <v>631.90398360655752</v>
      </c>
      <c r="E134" s="108">
        <f>E132/D89</f>
        <v>19.982209836065575</v>
      </c>
      <c r="F134" s="107">
        <f>F132/D89</f>
        <v>11.094214754098362</v>
      </c>
      <c r="G134" s="108">
        <f>G132/D89</f>
        <v>15.871409836065572</v>
      </c>
      <c r="H134" s="107">
        <f>H132/D89</f>
        <v>6.6736262295081978</v>
      </c>
      <c r="I134" s="241">
        <f>I132/D89</f>
        <v>73.761386885245898</v>
      </c>
      <c r="J134" s="277">
        <f>J132/D89</f>
        <v>286.63006557377054</v>
      </c>
      <c r="K134" s="279">
        <f>K132/D89</f>
        <v>0.74375147540983588</v>
      </c>
      <c r="L134" s="229"/>
      <c r="M134" s="229"/>
      <c r="N134" s="230"/>
      <c r="P134" s="333"/>
      <c r="Q134" s="334"/>
      <c r="R134" s="334"/>
      <c r="S134" s="334"/>
      <c r="T134" s="334"/>
      <c r="U134" s="335"/>
      <c r="V134" s="335"/>
    </row>
    <row r="135" spans="1:23" ht="20.399999999999999" customHeight="1">
      <c r="A135" s="274"/>
      <c r="B135" s="275"/>
      <c r="C135" s="276"/>
      <c r="D135" s="98"/>
      <c r="E135" s="302">
        <f>E134+F134</f>
        <v>31.076424590163938</v>
      </c>
      <c r="F135" s="301"/>
      <c r="G135" s="302">
        <f>G134+H134</f>
        <v>22.545036065573768</v>
      </c>
      <c r="H135" s="301"/>
      <c r="I135" s="242"/>
      <c r="J135" s="278"/>
      <c r="K135" s="242"/>
      <c r="L135" s="229"/>
      <c r="M135" s="229"/>
      <c r="N135" s="230"/>
      <c r="P135" s="336"/>
      <c r="Q135" s="334"/>
      <c r="R135" s="334"/>
      <c r="S135" s="337"/>
      <c r="T135" s="337"/>
      <c r="U135" s="334"/>
      <c r="V135" s="334"/>
    </row>
    <row r="136" spans="1:23" ht="20.399999999999999" customHeight="1">
      <c r="A136" s="323" t="s">
        <v>74</v>
      </c>
      <c r="B136" s="324"/>
      <c r="C136" s="325"/>
      <c r="D136" s="326" t="s">
        <v>26</v>
      </c>
      <c r="E136" s="332" t="s">
        <v>22</v>
      </c>
      <c r="F136" s="332"/>
      <c r="G136" s="332" t="s">
        <v>23</v>
      </c>
      <c r="H136" s="332"/>
      <c r="I136" s="326" t="s">
        <v>24</v>
      </c>
      <c r="J136" s="153">
        <v>500</v>
      </c>
      <c r="K136" s="153">
        <v>0.59</v>
      </c>
      <c r="L136" s="229"/>
      <c r="M136" s="229"/>
      <c r="N136" s="230"/>
      <c r="O136" s="166"/>
      <c r="P136" s="333"/>
      <c r="Q136" s="333"/>
      <c r="R136" s="333"/>
      <c r="S136" s="333"/>
      <c r="T136" s="333"/>
      <c r="U136" s="333"/>
      <c r="V136" s="333"/>
    </row>
    <row r="137" spans="1:23" ht="20.399999999999999" customHeight="1">
      <c r="A137" s="246" t="s">
        <v>67</v>
      </c>
      <c r="B137" s="247"/>
      <c r="C137" s="248"/>
      <c r="D137" s="19"/>
      <c r="E137" s="249">
        <f>E135*4.1</f>
        <v>127.41334081967214</v>
      </c>
      <c r="F137" s="250"/>
      <c r="G137" s="249">
        <f>G135*9</f>
        <v>202.9053245901639</v>
      </c>
      <c r="H137" s="250"/>
      <c r="I137" s="68">
        <f>I134*4.1</f>
        <v>302.42168622950817</v>
      </c>
      <c r="J137" s="251"/>
      <c r="K137" s="251"/>
      <c r="L137" s="229"/>
      <c r="M137" s="229"/>
      <c r="N137" s="230"/>
      <c r="O137" s="166"/>
      <c r="P137" s="338"/>
      <c r="Q137" s="339"/>
      <c r="R137" s="339"/>
      <c r="S137" s="339"/>
      <c r="T137" s="333"/>
      <c r="U137" s="333"/>
      <c r="V137" s="333"/>
    </row>
    <row r="138" spans="1:23" ht="20.399999999999999" customHeight="1">
      <c r="A138" s="254" t="s">
        <v>75</v>
      </c>
      <c r="B138" s="255"/>
      <c r="C138" s="246" t="s">
        <v>56</v>
      </c>
      <c r="D138" s="248"/>
      <c r="E138" s="282">
        <f>E137*100/D134</f>
        <v>20.16340205555715</v>
      </c>
      <c r="F138" s="283"/>
      <c r="G138" s="282">
        <f>G137*100/D134</f>
        <v>32.110151202417313</v>
      </c>
      <c r="H138" s="283"/>
      <c r="I138" s="86">
        <f>I137*100/D134</f>
        <v>47.858803564341038</v>
      </c>
      <c r="J138" s="252"/>
      <c r="K138" s="252"/>
      <c r="L138" s="229"/>
      <c r="M138" s="229"/>
      <c r="N138" s="230"/>
      <c r="O138" s="166"/>
      <c r="P138" s="333"/>
      <c r="Q138" s="340"/>
      <c r="R138" s="333"/>
      <c r="S138" s="333"/>
      <c r="T138" s="333"/>
      <c r="U138" s="333"/>
      <c r="V138" s="333"/>
    </row>
    <row r="139" spans="1:23" ht="20.399999999999999" customHeight="1">
      <c r="A139" s="256"/>
      <c r="B139" s="257"/>
      <c r="C139" s="246" t="s">
        <v>69</v>
      </c>
      <c r="D139" s="248"/>
      <c r="E139" s="246" t="s">
        <v>70</v>
      </c>
      <c r="F139" s="248"/>
      <c r="G139" s="246" t="s">
        <v>76</v>
      </c>
      <c r="H139" s="248"/>
      <c r="I139" s="326" t="s">
        <v>77</v>
      </c>
      <c r="J139" s="253"/>
      <c r="K139" s="253"/>
      <c r="L139" s="229"/>
      <c r="M139" s="229"/>
      <c r="N139" s="230"/>
      <c r="O139" s="166"/>
      <c r="P139" s="84"/>
    </row>
    <row r="140" spans="1:23" ht="20.399999999999999" customHeight="1">
      <c r="A140" s="70"/>
      <c r="B140" s="71"/>
      <c r="C140" s="70"/>
      <c r="D140" s="70"/>
      <c r="E140" s="70"/>
      <c r="F140" s="70"/>
      <c r="G140" s="70"/>
      <c r="H140" s="70"/>
      <c r="I140" s="70"/>
      <c r="J140" s="70"/>
      <c r="K140" s="70"/>
      <c r="L140" s="72"/>
      <c r="M140" s="72"/>
      <c r="N140" s="73"/>
      <c r="O140" s="166"/>
      <c r="P140" s="84"/>
    </row>
    <row r="141" spans="1:23" ht="20.399999999999999" customHeight="1">
      <c r="A141" s="243" t="s">
        <v>94</v>
      </c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166"/>
    </row>
    <row r="142" spans="1:23" ht="20.399999999999999" customHeight="1">
      <c r="A142" s="87" t="s">
        <v>95</v>
      </c>
      <c r="B142" s="244" t="s">
        <v>96</v>
      </c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166"/>
    </row>
    <row r="143" spans="1:23" ht="20.399999999999999" customHeight="1">
      <c r="A143" s="88"/>
      <c r="B143" s="245" t="s">
        <v>168</v>
      </c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166"/>
    </row>
    <row r="144" spans="1:23" ht="20.399999999999999" customHeight="1">
      <c r="A144" s="88"/>
      <c r="B144" s="245" t="s">
        <v>169</v>
      </c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166"/>
    </row>
    <row r="145" spans="1:15" ht="20.399999999999999" customHeight="1">
      <c r="A145" s="88"/>
      <c r="B145" s="245" t="s">
        <v>170</v>
      </c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66"/>
    </row>
    <row r="146" spans="1:15" ht="20.399999999999999" customHeight="1">
      <c r="A146" s="70"/>
      <c r="B146" s="260" t="s">
        <v>101</v>
      </c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166"/>
    </row>
    <row r="147" spans="1:15" ht="20.399999999999999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89"/>
      <c r="M147" s="89"/>
      <c r="N147" s="90"/>
      <c r="O147" s="166"/>
    </row>
    <row r="148" spans="1:15" ht="20.399999999999999" customHeight="1">
      <c r="A148" s="261" t="s">
        <v>58</v>
      </c>
      <c r="B148" s="261"/>
      <c r="C148" s="261"/>
      <c r="D148" s="261"/>
      <c r="E148" s="328"/>
      <c r="F148" s="328"/>
      <c r="G148" s="328"/>
      <c r="H148" s="328"/>
      <c r="I148" s="328"/>
      <c r="J148" s="329" t="s">
        <v>34</v>
      </c>
      <c r="K148" s="329"/>
      <c r="L148" s="329"/>
      <c r="M148" s="329"/>
      <c r="N148" s="329"/>
      <c r="O148" s="166"/>
    </row>
    <row r="149" spans="1:15" ht="20.399999999999999" customHeight="1">
      <c r="A149" s="152"/>
      <c r="B149" s="152"/>
      <c r="C149" s="152"/>
      <c r="D149" s="328"/>
      <c r="E149" s="328"/>
      <c r="F149" s="328"/>
      <c r="G149" s="328"/>
      <c r="H149" s="330"/>
      <c r="I149" s="330"/>
      <c r="J149" s="330"/>
      <c r="K149" s="330"/>
      <c r="L149" s="330"/>
      <c r="M149" s="330"/>
      <c r="N149" s="330"/>
      <c r="O149" s="166"/>
    </row>
    <row r="150" spans="1:15" ht="20.399999999999999" customHeight="1">
      <c r="A150" s="152"/>
      <c r="B150" s="152"/>
      <c r="C150" s="152"/>
      <c r="D150" s="328"/>
      <c r="E150" s="328"/>
      <c r="F150" s="328"/>
      <c r="G150" s="328"/>
      <c r="H150" s="330"/>
      <c r="I150" s="330"/>
      <c r="J150" s="330"/>
      <c r="K150" s="330"/>
      <c r="L150" s="330"/>
      <c r="M150" s="330"/>
      <c r="N150" s="330"/>
      <c r="O150" s="166"/>
    </row>
    <row r="151" spans="1:15" ht="20.399999999999999" customHeight="1">
      <c r="A151" s="152"/>
      <c r="B151" s="152"/>
      <c r="C151" s="152"/>
      <c r="D151" s="328"/>
      <c r="E151" s="328"/>
      <c r="F151" s="328"/>
      <c r="G151" s="328"/>
      <c r="H151" s="330"/>
      <c r="I151" s="330"/>
      <c r="J151" s="331" t="s">
        <v>97</v>
      </c>
      <c r="K151" s="331"/>
      <c r="L151" s="331"/>
      <c r="M151" s="331"/>
      <c r="N151" s="331"/>
      <c r="O151" s="166"/>
    </row>
    <row r="152" spans="1:15" ht="20.399999999999999" customHeight="1">
      <c r="A152" s="262" t="s">
        <v>82</v>
      </c>
      <c r="B152" s="262"/>
      <c r="C152" s="262"/>
      <c r="D152" s="262"/>
      <c r="E152" s="328"/>
      <c r="F152" s="328"/>
      <c r="G152" s="328"/>
      <c r="H152" s="330"/>
      <c r="I152" s="330"/>
      <c r="O152" s="166"/>
    </row>
    <row r="153" spans="1:15" ht="20.399999999999999" customHeight="1">
      <c r="J153" s="330"/>
      <c r="K153" s="330"/>
      <c r="L153" s="330"/>
      <c r="M153" s="330"/>
      <c r="N153" s="330"/>
    </row>
    <row r="154" spans="1:15" ht="20.399999999999999" customHeight="1">
      <c r="J154" s="331" t="s">
        <v>108</v>
      </c>
      <c r="K154" s="331"/>
      <c r="L154" s="331"/>
      <c r="M154" s="331"/>
      <c r="N154" s="331"/>
    </row>
  </sheetData>
  <mergeCells count="204">
    <mergeCell ref="A148:D148"/>
    <mergeCell ref="J148:N148"/>
    <mergeCell ref="J151:N151"/>
    <mergeCell ref="A152:D152"/>
    <mergeCell ref="J154:N154"/>
    <mergeCell ref="A141:N141"/>
    <mergeCell ref="B142:N142"/>
    <mergeCell ref="B143:N143"/>
    <mergeCell ref="B144:N144"/>
    <mergeCell ref="B145:N145"/>
    <mergeCell ref="B146:N146"/>
    <mergeCell ref="A138:B139"/>
    <mergeCell ref="C138:D138"/>
    <mergeCell ref="E138:F138"/>
    <mergeCell ref="G138:H138"/>
    <mergeCell ref="C139:D139"/>
    <mergeCell ref="E139:F139"/>
    <mergeCell ref="G139:H139"/>
    <mergeCell ref="E136:F136"/>
    <mergeCell ref="G136:H136"/>
    <mergeCell ref="A137:C137"/>
    <mergeCell ref="E137:F137"/>
    <mergeCell ref="G137:H137"/>
    <mergeCell ref="Q134:R134"/>
    <mergeCell ref="S134:T134"/>
    <mergeCell ref="U134:V134"/>
    <mergeCell ref="E135:F135"/>
    <mergeCell ref="G135:H135"/>
    <mergeCell ref="Q135:R135"/>
    <mergeCell ref="S135:T135"/>
    <mergeCell ref="U135:V135"/>
    <mergeCell ref="L132:L139"/>
    <mergeCell ref="M132:M139"/>
    <mergeCell ref="N132:N139"/>
    <mergeCell ref="E133:F133"/>
    <mergeCell ref="G133:H133"/>
    <mergeCell ref="K137:K139"/>
    <mergeCell ref="J137:J139"/>
    <mergeCell ref="A134:C135"/>
    <mergeCell ref="I134:I135"/>
    <mergeCell ref="J134:J135"/>
    <mergeCell ref="K134:K135"/>
    <mergeCell ref="A136:C136"/>
    <mergeCell ref="A128:B128"/>
    <mergeCell ref="N128:N129"/>
    <mergeCell ref="A129:B129"/>
    <mergeCell ref="A130:B131"/>
    <mergeCell ref="A132:B133"/>
    <mergeCell ref="C132:C133"/>
    <mergeCell ref="D132:D133"/>
    <mergeCell ref="I132:I133"/>
    <mergeCell ref="J132:J133"/>
    <mergeCell ref="K132:K133"/>
    <mergeCell ref="I124:I127"/>
    <mergeCell ref="J124:J127"/>
    <mergeCell ref="K124:K127"/>
    <mergeCell ref="L124:L127"/>
    <mergeCell ref="M124:M127"/>
    <mergeCell ref="N124:N127"/>
    <mergeCell ref="A124:A127"/>
    <mergeCell ref="B124:B127"/>
    <mergeCell ref="C124:C127"/>
    <mergeCell ref="D124:D127"/>
    <mergeCell ref="E124:F125"/>
    <mergeCell ref="G124:H125"/>
    <mergeCell ref="E126:E127"/>
    <mergeCell ref="F126:F127"/>
    <mergeCell ref="G126:G127"/>
    <mergeCell ref="H126:H127"/>
    <mergeCell ref="N105:N106"/>
    <mergeCell ref="A107:B108"/>
    <mergeCell ref="A109:B109"/>
    <mergeCell ref="N118:N119"/>
    <mergeCell ref="A120:B121"/>
    <mergeCell ref="A122:B122"/>
    <mergeCell ref="N90:N93"/>
    <mergeCell ref="E92:E93"/>
    <mergeCell ref="F92:F93"/>
    <mergeCell ref="G92:G93"/>
    <mergeCell ref="H92:H93"/>
    <mergeCell ref="A94:N94"/>
    <mergeCell ref="G90:H91"/>
    <mergeCell ref="I90:I93"/>
    <mergeCell ref="J90:J93"/>
    <mergeCell ref="K90:K93"/>
    <mergeCell ref="L90:L93"/>
    <mergeCell ref="M90:M93"/>
    <mergeCell ref="A89:C89"/>
    <mergeCell ref="A90:A93"/>
    <mergeCell ref="B90:B93"/>
    <mergeCell ref="C90:C93"/>
    <mergeCell ref="D90:D93"/>
    <mergeCell ref="E90:F91"/>
    <mergeCell ref="A86:D86"/>
    <mergeCell ref="E86:I88"/>
    <mergeCell ref="J86:N86"/>
    <mergeCell ref="A87:D87"/>
    <mergeCell ref="J87:N87"/>
    <mergeCell ref="A88:D88"/>
    <mergeCell ref="J88:N88"/>
    <mergeCell ref="J70:N70"/>
    <mergeCell ref="F80:N80"/>
    <mergeCell ref="A84:D85"/>
    <mergeCell ref="E84:N84"/>
    <mergeCell ref="E85:I85"/>
    <mergeCell ref="J85:N85"/>
    <mergeCell ref="B61:N61"/>
    <mergeCell ref="B62:N62"/>
    <mergeCell ref="A64:D64"/>
    <mergeCell ref="J64:N64"/>
    <mergeCell ref="J67:N67"/>
    <mergeCell ref="A68:D68"/>
    <mergeCell ref="A57:N57"/>
    <mergeCell ref="B58:N58"/>
    <mergeCell ref="B59:N59"/>
    <mergeCell ref="B60:N60"/>
    <mergeCell ref="A53:C53"/>
    <mergeCell ref="E53:F53"/>
    <mergeCell ref="G53:H53"/>
    <mergeCell ref="J53:J55"/>
    <mergeCell ref="K53:K55"/>
    <mergeCell ref="A54:B55"/>
    <mergeCell ref="C54:D54"/>
    <mergeCell ref="E54:F54"/>
    <mergeCell ref="G54:H54"/>
    <mergeCell ref="C55:D55"/>
    <mergeCell ref="S51:T51"/>
    <mergeCell ref="U51:V51"/>
    <mergeCell ref="A52:C52"/>
    <mergeCell ref="E52:F52"/>
    <mergeCell ref="G52:H52"/>
    <mergeCell ref="Q52:R52"/>
    <mergeCell ref="S52:T52"/>
    <mergeCell ref="U52:V52"/>
    <mergeCell ref="L48:L55"/>
    <mergeCell ref="M48:M55"/>
    <mergeCell ref="N48:N55"/>
    <mergeCell ref="E49:F49"/>
    <mergeCell ref="G49:H49"/>
    <mergeCell ref="A50:C51"/>
    <mergeCell ref="I50:I51"/>
    <mergeCell ref="J50:J51"/>
    <mergeCell ref="K50:K51"/>
    <mergeCell ref="E51:F51"/>
    <mergeCell ref="E55:F55"/>
    <mergeCell ref="G55:H55"/>
    <mergeCell ref="A46:B47"/>
    <mergeCell ref="A48:B49"/>
    <mergeCell ref="C48:C49"/>
    <mergeCell ref="D48:D49"/>
    <mergeCell ref="I48:I49"/>
    <mergeCell ref="J48:J49"/>
    <mergeCell ref="K48:K49"/>
    <mergeCell ref="G51:H51"/>
    <mergeCell ref="Q51:R51"/>
    <mergeCell ref="K40:K43"/>
    <mergeCell ref="L40:L43"/>
    <mergeCell ref="M40:M43"/>
    <mergeCell ref="N40:N43"/>
    <mergeCell ref="E42:E43"/>
    <mergeCell ref="F42:F43"/>
    <mergeCell ref="G42:G43"/>
    <mergeCell ref="H42:H43"/>
    <mergeCell ref="A44:B44"/>
    <mergeCell ref="N44:N45"/>
    <mergeCell ref="A45:B45"/>
    <mergeCell ref="A30:B30"/>
    <mergeCell ref="A40:A43"/>
    <mergeCell ref="B40:B43"/>
    <mergeCell ref="C40:C43"/>
    <mergeCell ref="D40:D43"/>
    <mergeCell ref="E40:F41"/>
    <mergeCell ref="G40:H41"/>
    <mergeCell ref="I40:I43"/>
    <mergeCell ref="J40:J43"/>
    <mergeCell ref="A13:N13"/>
    <mergeCell ref="G9:H10"/>
    <mergeCell ref="I9:I12"/>
    <mergeCell ref="J9:J12"/>
    <mergeCell ref="K9:K12"/>
    <mergeCell ref="L9:L12"/>
    <mergeCell ref="M9:M12"/>
    <mergeCell ref="N26:N27"/>
    <mergeCell ref="A28:B29"/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4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218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2.8" customHeight="1">
      <c r="A1" s="10" t="s">
        <v>57</v>
      </c>
      <c r="B1" s="7"/>
      <c r="C1" s="7"/>
      <c r="D1" s="7"/>
      <c r="E1" s="7"/>
      <c r="F1" s="183" t="s">
        <v>28</v>
      </c>
      <c r="G1" s="183"/>
      <c r="H1" s="183"/>
      <c r="I1" s="183"/>
      <c r="J1" s="183"/>
      <c r="K1" s="183"/>
      <c r="L1" s="183"/>
      <c r="M1" s="183"/>
      <c r="N1" s="183"/>
      <c r="O1" s="159"/>
      <c r="P1" s="159"/>
      <c r="T1" s="2"/>
    </row>
    <row r="2" spans="1:20" ht="10.8" customHeight="1">
      <c r="A2" s="10"/>
      <c r="B2" s="7"/>
      <c r="C2" s="7"/>
      <c r="D2" s="7"/>
      <c r="E2" s="7"/>
      <c r="F2" s="155"/>
      <c r="G2" s="155"/>
      <c r="H2" s="155"/>
      <c r="I2" s="155"/>
      <c r="J2" s="155"/>
      <c r="K2" s="155"/>
      <c r="L2" s="155"/>
      <c r="M2" s="155"/>
      <c r="N2" s="155"/>
      <c r="O2" s="159"/>
      <c r="P2" s="159"/>
      <c r="T2" s="2"/>
    </row>
    <row r="3" spans="1:20" ht="22.8" customHeight="1">
      <c r="A3" s="7" t="s">
        <v>171</v>
      </c>
      <c r="B3" s="7"/>
      <c r="C3" s="7"/>
      <c r="D3" s="7"/>
      <c r="E3" s="7"/>
      <c r="F3" s="155"/>
      <c r="G3" s="155"/>
      <c r="H3" s="155"/>
      <c r="I3" s="155"/>
      <c r="J3" s="155"/>
      <c r="K3" s="155"/>
      <c r="L3" s="155"/>
      <c r="M3" s="155"/>
      <c r="N3" s="155"/>
      <c r="O3" s="159"/>
      <c r="P3" s="159"/>
      <c r="T3" s="2"/>
    </row>
    <row r="4" spans="1:20" ht="11.4" customHeight="1">
      <c r="A4" s="7"/>
      <c r="B4" s="7"/>
      <c r="C4" s="7"/>
      <c r="D4" s="7"/>
      <c r="E4" s="7"/>
      <c r="F4" s="155"/>
      <c r="G4" s="155"/>
      <c r="H4" s="155"/>
      <c r="I4" s="155"/>
      <c r="J4" s="155"/>
      <c r="K4" s="155"/>
      <c r="L4" s="155"/>
      <c r="M4" s="155"/>
      <c r="N4" s="155"/>
      <c r="O4" s="159"/>
      <c r="P4" s="159"/>
      <c r="T4" s="2"/>
    </row>
    <row r="5" spans="1:20" s="2" customFormat="1" ht="21" customHeight="1">
      <c r="A5" s="184" t="s">
        <v>89</v>
      </c>
      <c r="B5" s="184"/>
      <c r="C5" s="184"/>
      <c r="D5" s="184"/>
      <c r="E5" s="184" t="s">
        <v>87</v>
      </c>
      <c r="F5" s="184"/>
      <c r="G5" s="184"/>
      <c r="H5" s="184"/>
      <c r="I5" s="184"/>
      <c r="J5" s="184"/>
      <c r="K5" s="184"/>
      <c r="L5" s="184"/>
      <c r="M5" s="184"/>
      <c r="N5" s="184"/>
      <c r="O5" s="160"/>
    </row>
    <row r="6" spans="1:20" s="2" customFormat="1" ht="21" customHeight="1">
      <c r="A6" s="185" t="s">
        <v>81</v>
      </c>
      <c r="B6" s="185"/>
      <c r="C6" s="185"/>
      <c r="D6" s="185"/>
      <c r="E6" s="186" t="s">
        <v>124</v>
      </c>
      <c r="F6" s="186"/>
      <c r="G6" s="186"/>
      <c r="H6" s="186"/>
      <c r="I6" s="186"/>
      <c r="J6" s="187" t="s">
        <v>111</v>
      </c>
      <c r="K6" s="188"/>
      <c r="L6" s="188"/>
      <c r="M6" s="188"/>
      <c r="N6" s="189"/>
      <c r="O6" s="160"/>
    </row>
    <row r="7" spans="1:20" s="2" customFormat="1" ht="21" customHeight="1">
      <c r="A7" s="289" t="s">
        <v>151</v>
      </c>
      <c r="B7" s="289"/>
      <c r="C7" s="289"/>
      <c r="D7" s="289"/>
      <c r="E7" s="186"/>
      <c r="F7" s="186"/>
      <c r="G7" s="186"/>
      <c r="H7" s="186"/>
      <c r="I7" s="186"/>
      <c r="J7" s="190"/>
      <c r="K7" s="191"/>
      <c r="L7" s="191"/>
      <c r="M7" s="191"/>
      <c r="N7" s="192"/>
      <c r="O7" s="160"/>
    </row>
    <row r="8" spans="1:20" s="2" customFormat="1" ht="21" customHeight="1">
      <c r="A8" s="292" t="s">
        <v>152</v>
      </c>
      <c r="B8" s="293"/>
      <c r="C8" s="293"/>
      <c r="D8" s="294"/>
      <c r="E8" s="186"/>
      <c r="F8" s="186"/>
      <c r="G8" s="186"/>
      <c r="H8" s="186"/>
      <c r="I8" s="186"/>
      <c r="J8" s="190"/>
      <c r="K8" s="191"/>
      <c r="L8" s="191"/>
      <c r="M8" s="191"/>
      <c r="N8" s="192"/>
      <c r="O8" s="160"/>
    </row>
    <row r="9" spans="1:20" s="2" customFormat="1" ht="21" customHeight="1">
      <c r="A9" s="197" t="s">
        <v>144</v>
      </c>
      <c r="B9" s="197"/>
      <c r="C9" s="197"/>
      <c r="D9" s="197"/>
      <c r="E9" s="186"/>
      <c r="F9" s="186"/>
      <c r="G9" s="186"/>
      <c r="H9" s="186"/>
      <c r="I9" s="186"/>
      <c r="J9" s="193"/>
      <c r="K9" s="194"/>
      <c r="L9" s="194"/>
      <c r="M9" s="194"/>
      <c r="N9" s="195"/>
      <c r="O9" s="160"/>
    </row>
    <row r="10" spans="1:20" s="2" customFormat="1" ht="21" customHeight="1">
      <c r="A10" s="290" t="s">
        <v>104</v>
      </c>
      <c r="B10" s="290"/>
      <c r="C10" s="288">
        <v>224</v>
      </c>
      <c r="D10" s="288"/>
      <c r="E10" s="69"/>
      <c r="F10" s="69"/>
      <c r="G10" s="69"/>
      <c r="H10" s="69"/>
      <c r="I10" s="69"/>
      <c r="J10" s="69"/>
      <c r="K10" s="69"/>
      <c r="L10" s="69"/>
      <c r="M10" s="69"/>
      <c r="N10" s="154"/>
      <c r="O10" s="160"/>
    </row>
    <row r="11" spans="1:20" ht="21" customHeight="1">
      <c r="A11" s="170" t="s">
        <v>0</v>
      </c>
      <c r="B11" s="173" t="s">
        <v>18</v>
      </c>
      <c r="C11" s="176" t="s">
        <v>7</v>
      </c>
      <c r="D11" s="176" t="s">
        <v>8</v>
      </c>
      <c r="E11" s="179" t="s">
        <v>10</v>
      </c>
      <c r="F11" s="180"/>
      <c r="G11" s="179" t="s">
        <v>12</v>
      </c>
      <c r="H11" s="180"/>
      <c r="I11" s="198" t="s">
        <v>15</v>
      </c>
      <c r="J11" s="198" t="s">
        <v>30</v>
      </c>
      <c r="K11" s="198" t="s">
        <v>31</v>
      </c>
      <c r="L11" s="198" t="s">
        <v>16</v>
      </c>
      <c r="M11" s="198" t="s">
        <v>32</v>
      </c>
      <c r="N11" s="170" t="s">
        <v>17</v>
      </c>
      <c r="O11" s="161"/>
    </row>
    <row r="12" spans="1:20" ht="21" customHeight="1">
      <c r="A12" s="171"/>
      <c r="B12" s="174"/>
      <c r="C12" s="177"/>
      <c r="D12" s="177"/>
      <c r="E12" s="181"/>
      <c r="F12" s="182"/>
      <c r="G12" s="181"/>
      <c r="H12" s="182"/>
      <c r="I12" s="206"/>
      <c r="J12" s="206"/>
      <c r="K12" s="206"/>
      <c r="L12" s="206"/>
      <c r="M12" s="206"/>
      <c r="N12" s="171"/>
      <c r="O12" s="152"/>
    </row>
    <row r="13" spans="1:20" ht="21" customHeight="1">
      <c r="A13" s="171"/>
      <c r="B13" s="174"/>
      <c r="C13" s="177"/>
      <c r="D13" s="177"/>
      <c r="E13" s="198" t="s">
        <v>9</v>
      </c>
      <c r="F13" s="198" t="s">
        <v>11</v>
      </c>
      <c r="G13" s="198" t="s">
        <v>13</v>
      </c>
      <c r="H13" s="198" t="s">
        <v>14</v>
      </c>
      <c r="I13" s="206"/>
      <c r="J13" s="206"/>
      <c r="K13" s="206"/>
      <c r="L13" s="206"/>
      <c r="M13" s="206"/>
      <c r="N13" s="171"/>
      <c r="O13" s="152"/>
    </row>
    <row r="14" spans="1:20" ht="21" customHeight="1">
      <c r="A14" s="172"/>
      <c r="B14" s="175"/>
      <c r="C14" s="178"/>
      <c r="D14" s="178"/>
      <c r="E14" s="199"/>
      <c r="F14" s="199"/>
      <c r="G14" s="199"/>
      <c r="H14" s="199"/>
      <c r="I14" s="199"/>
      <c r="J14" s="199"/>
      <c r="K14" s="199"/>
      <c r="L14" s="199"/>
      <c r="M14" s="199"/>
      <c r="N14" s="172"/>
      <c r="O14" s="152"/>
    </row>
    <row r="15" spans="1:20" ht="20.399999999999999" customHeight="1">
      <c r="A15" s="203" t="s">
        <v>33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5"/>
      <c r="O15" s="152"/>
    </row>
    <row r="16" spans="1:20" s="2" customFormat="1" ht="20.399999999999999" customHeight="1">
      <c r="A16" s="8">
        <v>1</v>
      </c>
      <c r="B16" s="9" t="s">
        <v>2</v>
      </c>
      <c r="C16" s="12">
        <f>L16/100*100</f>
        <v>290</v>
      </c>
      <c r="D16" s="13">
        <f>C16/100*60</f>
        <v>174</v>
      </c>
      <c r="E16" s="14">
        <f>C16/100*15</f>
        <v>43.5</v>
      </c>
      <c r="F16" s="14"/>
      <c r="G16" s="14"/>
      <c r="H16" s="14"/>
      <c r="I16" s="14"/>
      <c r="J16" s="64">
        <f>C16/100*387</f>
        <v>1122.3</v>
      </c>
      <c r="K16" s="22">
        <f>C16/100*0.09</f>
        <v>0.26100000000000001</v>
      </c>
      <c r="L16" s="111">
        <v>290</v>
      </c>
      <c r="M16" s="20">
        <v>20</v>
      </c>
      <c r="N16" s="16">
        <f>L16*M16</f>
        <v>5800</v>
      </c>
      <c r="O16" s="162"/>
    </row>
    <row r="17" spans="1:20" s="2" customFormat="1" ht="20.399999999999999" customHeight="1">
      <c r="A17" s="8">
        <v>2</v>
      </c>
      <c r="B17" s="9" t="s">
        <v>112</v>
      </c>
      <c r="C17" s="12">
        <f>L17/100*100</f>
        <v>1570</v>
      </c>
      <c r="D17" s="13">
        <f>C17/100*53</f>
        <v>832.09999999999991</v>
      </c>
      <c r="E17" s="14"/>
      <c r="F17" s="14">
        <f>C17/100*6.3</f>
        <v>98.91</v>
      </c>
      <c r="G17" s="14"/>
      <c r="H17" s="14">
        <f>C17/100*0.04</f>
        <v>0.628</v>
      </c>
      <c r="I17" s="14">
        <f>C17/100*6.8</f>
        <v>106.75999999999999</v>
      </c>
      <c r="J17" s="64">
        <f>C17/100*19</f>
        <v>298.3</v>
      </c>
      <c r="K17" s="22">
        <f>C17/100*0.03</f>
        <v>0.47099999999999997</v>
      </c>
      <c r="L17" s="111">
        <v>1570</v>
      </c>
      <c r="M17" s="20">
        <v>45</v>
      </c>
      <c r="N17" s="16">
        <f t="shared" ref="N17" si="0">L17*M17</f>
        <v>70650</v>
      </c>
      <c r="O17" s="342"/>
    </row>
    <row r="18" spans="1:20" s="2" customFormat="1" ht="20.399999999999999" customHeight="1">
      <c r="A18" s="8">
        <v>3</v>
      </c>
      <c r="B18" s="9" t="s">
        <v>114</v>
      </c>
      <c r="C18" s="12">
        <f>L18/100*100</f>
        <v>430</v>
      </c>
      <c r="D18" s="13">
        <f>C18/100*899</f>
        <v>3865.7</v>
      </c>
      <c r="E18" s="14"/>
      <c r="F18" s="14"/>
      <c r="G18" s="14">
        <f>C18/100*100</f>
        <v>430</v>
      </c>
      <c r="H18" s="14"/>
      <c r="I18" s="14"/>
      <c r="J18" s="14"/>
      <c r="K18" s="14"/>
      <c r="L18" s="111">
        <v>430</v>
      </c>
      <c r="M18" s="65">
        <v>69</v>
      </c>
      <c r="N18" s="16">
        <f t="shared" ref="N18:N26" si="1">L18*M18</f>
        <v>29670</v>
      </c>
      <c r="O18" s="163"/>
    </row>
    <row r="19" spans="1:20" s="2" customFormat="1" ht="20.399999999999999" customHeight="1">
      <c r="A19" s="8">
        <v>4</v>
      </c>
      <c r="B19" s="9" t="s">
        <v>118</v>
      </c>
      <c r="C19" s="12">
        <f>L19/100*100</f>
        <v>270</v>
      </c>
      <c r="D19" s="65">
        <f>C19/100*900</f>
        <v>2430</v>
      </c>
      <c r="E19" s="14"/>
      <c r="F19" s="14"/>
      <c r="G19" s="91"/>
      <c r="H19" s="14">
        <f>C19/100*100</f>
        <v>270</v>
      </c>
      <c r="I19" s="14"/>
      <c r="J19" s="14"/>
      <c r="K19" s="14"/>
      <c r="L19" s="111">
        <v>270</v>
      </c>
      <c r="M19" s="65">
        <v>65</v>
      </c>
      <c r="N19" s="93">
        <f t="shared" si="1"/>
        <v>17550</v>
      </c>
      <c r="O19" s="163"/>
    </row>
    <row r="20" spans="1:20" s="2" customFormat="1" ht="20.399999999999999" customHeight="1">
      <c r="A20" s="8">
        <v>5</v>
      </c>
      <c r="B20" s="5" t="s">
        <v>1</v>
      </c>
      <c r="C20" s="12">
        <f>L20/100*100</f>
        <v>21280</v>
      </c>
      <c r="D20" s="65">
        <f>C20/100*337</f>
        <v>71713.600000000006</v>
      </c>
      <c r="E20" s="14"/>
      <c r="F20" s="91">
        <f>C20/100*7.9</f>
        <v>1681.1200000000001</v>
      </c>
      <c r="G20" s="14"/>
      <c r="H20" s="14">
        <f>C20/100*1</f>
        <v>212.8</v>
      </c>
      <c r="I20" s="91">
        <f>C20/100*71.9</f>
        <v>15300.320000000002</v>
      </c>
      <c r="J20" s="64">
        <f>C20/100*30</f>
        <v>6384</v>
      </c>
      <c r="K20" s="22">
        <f>C20/100*0.1</f>
        <v>21.28</v>
      </c>
      <c r="L20" s="111">
        <v>21280</v>
      </c>
      <c r="M20" s="20">
        <v>18</v>
      </c>
      <c r="N20" s="93">
        <f t="shared" si="1"/>
        <v>383040</v>
      </c>
      <c r="O20" s="162"/>
    </row>
    <row r="21" spans="1:20" s="2" customFormat="1" ht="20.399999999999999" customHeight="1">
      <c r="A21" s="8">
        <v>6</v>
      </c>
      <c r="B21" s="9" t="s">
        <v>64</v>
      </c>
      <c r="C21" s="12">
        <f>L21/100*98</f>
        <v>5644.8</v>
      </c>
      <c r="D21" s="13">
        <f>C21/100*139</f>
        <v>7846.2719999999999</v>
      </c>
      <c r="E21" s="91">
        <f>C21/100*19</f>
        <v>1072.5119999999999</v>
      </c>
      <c r="F21" s="14"/>
      <c r="G21" s="14">
        <f>C21/100*7</f>
        <v>395.13600000000002</v>
      </c>
      <c r="H21" s="14"/>
      <c r="I21" s="14"/>
      <c r="J21" s="64">
        <f>C21/100*7</f>
        <v>395.13600000000002</v>
      </c>
      <c r="K21" s="22">
        <f>C21/100*0.9</f>
        <v>50.803200000000004</v>
      </c>
      <c r="L21" s="111">
        <v>5760</v>
      </c>
      <c r="M21" s="15">
        <v>133</v>
      </c>
      <c r="N21" s="93">
        <f t="shared" si="1"/>
        <v>766080</v>
      </c>
      <c r="O21" s="162"/>
    </row>
    <row r="22" spans="1:20" s="2" customFormat="1" ht="20.399999999999999" customHeight="1">
      <c r="A22" s="8">
        <v>7</v>
      </c>
      <c r="B22" s="5" t="s">
        <v>4</v>
      </c>
      <c r="C22" s="12">
        <f>L22/100*98</f>
        <v>2401</v>
      </c>
      <c r="D22" s="13">
        <f>C22/100*118</f>
        <v>2833.1800000000003</v>
      </c>
      <c r="E22" s="14">
        <f>C22/100*21</f>
        <v>504.21000000000004</v>
      </c>
      <c r="F22" s="14"/>
      <c r="G22" s="14">
        <f>C22/100*3.8</f>
        <v>91.238</v>
      </c>
      <c r="H22" s="14"/>
      <c r="I22" s="14">
        <f>C22/100*2.5</f>
        <v>60.025000000000006</v>
      </c>
      <c r="J22" s="63">
        <f>C22/100*12</f>
        <v>288.12</v>
      </c>
      <c r="K22" s="21">
        <f>C22/100*0.1</f>
        <v>2.4010000000000002</v>
      </c>
      <c r="L22" s="321">
        <v>2450</v>
      </c>
      <c r="M22" s="43">
        <v>270</v>
      </c>
      <c r="N22" s="93">
        <f t="shared" si="1"/>
        <v>661500</v>
      </c>
      <c r="O22" s="342"/>
      <c r="Q22" s="3"/>
      <c r="R22" s="3"/>
    </row>
    <row r="23" spans="1:20" s="2" customFormat="1" ht="20.399999999999999" customHeight="1">
      <c r="A23" s="8">
        <v>8</v>
      </c>
      <c r="B23" s="5" t="s">
        <v>110</v>
      </c>
      <c r="C23" s="12">
        <f>L23/100*100</f>
        <v>240</v>
      </c>
      <c r="D23" s="13">
        <f>C23/100*247</f>
        <v>592.79999999999995</v>
      </c>
      <c r="E23" s="17"/>
      <c r="F23" s="17">
        <f>C23/100*17.5</f>
        <v>42</v>
      </c>
      <c r="G23" s="17"/>
      <c r="H23" s="17">
        <f>C23/100*1.6</f>
        <v>3.84</v>
      </c>
      <c r="I23" s="17">
        <f>C23/100*39.2</f>
        <v>94.08</v>
      </c>
      <c r="J23" s="21"/>
      <c r="K23" s="21"/>
      <c r="L23" s="321">
        <v>240</v>
      </c>
      <c r="M23" s="20">
        <v>50</v>
      </c>
      <c r="N23" s="16">
        <f t="shared" si="1"/>
        <v>12000</v>
      </c>
      <c r="O23" s="162"/>
      <c r="Q23" s="3"/>
      <c r="R23" s="3"/>
      <c r="S23" s="4"/>
      <c r="T23" s="3"/>
    </row>
    <row r="24" spans="1:20" s="2" customFormat="1" ht="20.399999999999999" customHeight="1">
      <c r="A24" s="8">
        <v>9</v>
      </c>
      <c r="B24" s="5" t="s">
        <v>66</v>
      </c>
      <c r="C24" s="12">
        <f>L24/100*75</f>
        <v>3390</v>
      </c>
      <c r="D24" s="13">
        <f>C24/100*12</f>
        <v>406.79999999999995</v>
      </c>
      <c r="E24" s="14">
        <f>C24/100*0.6</f>
        <v>20.34</v>
      </c>
      <c r="F24" s="14"/>
      <c r="G24" s="14"/>
      <c r="H24" s="14"/>
      <c r="I24" s="14">
        <f>C24/100*2.4</f>
        <v>81.36</v>
      </c>
      <c r="J24" s="64">
        <f>C24/100*26</f>
        <v>881.4</v>
      </c>
      <c r="K24" s="22">
        <f>C24/100*0.02</f>
        <v>0.67799999999999994</v>
      </c>
      <c r="L24" s="111">
        <v>4520</v>
      </c>
      <c r="M24" s="15">
        <v>20</v>
      </c>
      <c r="N24" s="16">
        <f t="shared" si="1"/>
        <v>90400</v>
      </c>
      <c r="O24" s="162"/>
    </row>
    <row r="25" spans="1:20" s="2" customFormat="1" ht="20.399999999999999" customHeight="1">
      <c r="A25" s="8">
        <v>10</v>
      </c>
      <c r="B25" s="67" t="s">
        <v>60</v>
      </c>
      <c r="C25" s="12">
        <f>L25/100*89</f>
        <v>7066.6</v>
      </c>
      <c r="D25" s="65">
        <f>C25/100*154</f>
        <v>10882.564</v>
      </c>
      <c r="E25" s="14">
        <f>C25/100*13.1</f>
        <v>925.7245999999999</v>
      </c>
      <c r="F25" s="14"/>
      <c r="G25" s="14">
        <f>C25/100*11.1</f>
        <v>784.3925999999999</v>
      </c>
      <c r="H25" s="14"/>
      <c r="I25" s="14">
        <f>C25/100*0.4</f>
        <v>28.266400000000001</v>
      </c>
      <c r="J25" s="64">
        <f>C25/100*64</f>
        <v>4522.6239999999998</v>
      </c>
      <c r="K25" s="22">
        <f>C25/100*0.13</f>
        <v>9.1865799999999993</v>
      </c>
      <c r="L25" s="111">
        <v>7940</v>
      </c>
      <c r="M25" s="42">
        <v>77</v>
      </c>
      <c r="N25" s="92">
        <f t="shared" si="1"/>
        <v>611380</v>
      </c>
      <c r="O25" s="162"/>
    </row>
    <row r="26" spans="1:20" s="118" customFormat="1" ht="19.8" customHeight="1">
      <c r="A26" s="8">
        <v>11</v>
      </c>
      <c r="B26" s="142" t="s">
        <v>135</v>
      </c>
      <c r="C26" s="134">
        <f>L26/100*65</f>
        <v>5161</v>
      </c>
      <c r="D26" s="135">
        <f>C26/100*14</f>
        <v>722.54</v>
      </c>
      <c r="E26" s="104"/>
      <c r="F26" s="104">
        <f>C26/100*0.6</f>
        <v>30.965999999999998</v>
      </c>
      <c r="G26" s="104"/>
      <c r="H26" s="104">
        <f>C26/100*0.02</f>
        <v>1.0322</v>
      </c>
      <c r="I26" s="104">
        <f>C26/100*2.9</f>
        <v>149.66899999999998</v>
      </c>
      <c r="J26" s="149">
        <f>C26/100*21</f>
        <v>1083.81</v>
      </c>
      <c r="K26" s="104">
        <f>C26/100*0.03</f>
        <v>1.5483</v>
      </c>
      <c r="L26" s="111">
        <v>7940</v>
      </c>
      <c r="M26" s="110">
        <v>23</v>
      </c>
      <c r="N26" s="143">
        <f t="shared" si="1"/>
        <v>182620</v>
      </c>
      <c r="O26" s="164"/>
    </row>
    <row r="27" spans="1:20" s="2" customFormat="1" ht="20.399999999999999" customHeight="1">
      <c r="A27" s="8">
        <v>12</v>
      </c>
      <c r="B27" s="9" t="s">
        <v>105</v>
      </c>
      <c r="C27" s="12"/>
      <c r="D27" s="135"/>
      <c r="E27" s="14"/>
      <c r="F27" s="14"/>
      <c r="G27" s="14"/>
      <c r="H27" s="14"/>
      <c r="I27" s="14"/>
      <c r="J27" s="22"/>
      <c r="K27" s="22"/>
      <c r="L27" s="15"/>
      <c r="M27" s="15"/>
      <c r="N27" s="16">
        <v>17280</v>
      </c>
      <c r="O27" s="162"/>
    </row>
    <row r="28" spans="1:20" s="2" customFormat="1" ht="20.399999999999999" customHeight="1">
      <c r="A28" s="23" t="s">
        <v>91</v>
      </c>
      <c r="B28" s="24"/>
      <c r="C28" s="25"/>
      <c r="D28" s="147">
        <f>SUM(D16:D27)</f>
        <v>102299.55600000001</v>
      </c>
      <c r="E28" s="27"/>
      <c r="F28" s="27"/>
      <c r="G28" s="27"/>
      <c r="H28" s="27"/>
      <c r="I28" s="27"/>
      <c r="J28" s="27"/>
      <c r="K28" s="27"/>
      <c r="L28" s="28"/>
      <c r="M28" s="28"/>
      <c r="N28" s="207">
        <f>SUM(N16:N27)</f>
        <v>2847970</v>
      </c>
      <c r="O28" s="162"/>
    </row>
    <row r="29" spans="1:20" s="2" customFormat="1" ht="20.399999999999999" customHeight="1">
      <c r="A29" s="23" t="s">
        <v>5</v>
      </c>
      <c r="B29" s="24"/>
      <c r="C29" s="25"/>
      <c r="D29" s="26">
        <f>D28/C10</f>
        <v>456.6944464285715</v>
      </c>
      <c r="E29" s="27"/>
      <c r="F29" s="27"/>
      <c r="G29" s="27"/>
      <c r="H29" s="27"/>
      <c r="I29" s="27"/>
      <c r="J29" s="27"/>
      <c r="K29" s="27"/>
      <c r="L29" s="28"/>
      <c r="M29" s="28"/>
      <c r="N29" s="208"/>
      <c r="O29" s="162"/>
    </row>
    <row r="30" spans="1:20" s="2" customFormat="1" ht="20.399999999999999" customHeight="1">
      <c r="A30" s="209" t="s">
        <v>35</v>
      </c>
      <c r="B30" s="210"/>
      <c r="C30" s="322" t="s">
        <v>125</v>
      </c>
      <c r="D30" s="29" t="s">
        <v>36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62"/>
    </row>
    <row r="31" spans="1:20" s="2" customFormat="1" ht="20.399999999999999" customHeight="1">
      <c r="A31" s="211"/>
      <c r="B31" s="212"/>
      <c r="C31" s="62" t="s">
        <v>56</v>
      </c>
      <c r="D31" s="29">
        <f>D29*100/1320</f>
        <v>34.598064123376624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62"/>
    </row>
    <row r="32" spans="1:20" s="2" customFormat="1" ht="20.399999999999999" customHeight="1">
      <c r="A32" s="213" t="s">
        <v>37</v>
      </c>
      <c r="B32" s="213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162"/>
    </row>
    <row r="33" spans="1:23" s="2" customFormat="1" ht="20.399999999999999" customHeight="1">
      <c r="A33" s="8">
        <v>1</v>
      </c>
      <c r="B33" s="9" t="s">
        <v>2</v>
      </c>
      <c r="C33" s="12">
        <f>L33/100*100</f>
        <v>260</v>
      </c>
      <c r="D33" s="13">
        <f>C33/100*60</f>
        <v>156</v>
      </c>
      <c r="E33" s="14">
        <f>C33/100*15</f>
        <v>39</v>
      </c>
      <c r="F33" s="14"/>
      <c r="G33" s="14"/>
      <c r="H33" s="14"/>
      <c r="I33" s="14"/>
      <c r="J33" s="64">
        <f>C33/100*387</f>
        <v>1006.2</v>
      </c>
      <c r="K33" s="22">
        <f>C33/100*0.09</f>
        <v>0.23399999999999999</v>
      </c>
      <c r="L33" s="111">
        <v>260</v>
      </c>
      <c r="M33" s="20">
        <v>20</v>
      </c>
      <c r="N33" s="16">
        <f>L33*M33</f>
        <v>5200</v>
      </c>
      <c r="O33" s="162"/>
    </row>
    <row r="34" spans="1:23" s="2" customFormat="1" ht="20.399999999999999" customHeight="1">
      <c r="A34" s="8">
        <v>2</v>
      </c>
      <c r="B34" s="9" t="s">
        <v>114</v>
      </c>
      <c r="C34" s="12">
        <f>L34/100*100</f>
        <v>560</v>
      </c>
      <c r="D34" s="13">
        <f>C34/100*899</f>
        <v>5034.3999999999996</v>
      </c>
      <c r="E34" s="14"/>
      <c r="F34" s="14"/>
      <c r="G34" s="14">
        <f>C34/100*100</f>
        <v>560</v>
      </c>
      <c r="H34" s="14"/>
      <c r="I34" s="14"/>
      <c r="J34" s="14"/>
      <c r="K34" s="14"/>
      <c r="L34" s="111">
        <v>560</v>
      </c>
      <c r="M34" s="65">
        <v>69</v>
      </c>
      <c r="N34" s="16">
        <f t="shared" ref="N34" si="2">L34*M34</f>
        <v>38640</v>
      </c>
      <c r="O34" s="163"/>
    </row>
    <row r="35" spans="1:23" s="2" customFormat="1" ht="20.399999999999999" customHeight="1">
      <c r="A35" s="8">
        <v>3</v>
      </c>
      <c r="B35" s="5" t="s">
        <v>63</v>
      </c>
      <c r="C35" s="12">
        <f>L35/100*100</f>
        <v>2240</v>
      </c>
      <c r="D35" s="13">
        <f>C35/100*344</f>
        <v>7705.5999999999995</v>
      </c>
      <c r="E35" s="14"/>
      <c r="F35" s="14">
        <f>C35/100*8.6</f>
        <v>192.64</v>
      </c>
      <c r="G35" s="14"/>
      <c r="H35" s="14">
        <f>C35/100*1.5</f>
        <v>33.599999999999994</v>
      </c>
      <c r="I35" s="14">
        <f>C35/100*74.5</f>
        <v>1668.8</v>
      </c>
      <c r="J35" s="14">
        <f>C35/100*32</f>
        <v>716.8</v>
      </c>
      <c r="K35" s="14">
        <f>C35/100*0.14</f>
        <v>3.1360000000000001</v>
      </c>
      <c r="L35" s="111">
        <v>2240</v>
      </c>
      <c r="M35" s="20">
        <v>30</v>
      </c>
      <c r="N35" s="16">
        <f t="shared" ref="N35:N40" si="3">L35*M35</f>
        <v>67200</v>
      </c>
      <c r="O35" s="162"/>
      <c r="P35" s="165"/>
    </row>
    <row r="36" spans="1:23" s="2" customFormat="1" ht="20.399999999999999" customHeight="1">
      <c r="A36" s="8">
        <v>4</v>
      </c>
      <c r="B36" s="5" t="s">
        <v>1</v>
      </c>
      <c r="C36" s="12">
        <f>L36/100*100</f>
        <v>3360</v>
      </c>
      <c r="D36" s="65">
        <f>C36/100*337</f>
        <v>11323.2</v>
      </c>
      <c r="E36" s="14"/>
      <c r="F36" s="14">
        <f>C36/100*7.9</f>
        <v>265.44</v>
      </c>
      <c r="G36" s="14"/>
      <c r="H36" s="14">
        <f>C36/100*1</f>
        <v>33.6</v>
      </c>
      <c r="I36" s="91">
        <f>C36/100*71.9</f>
        <v>2415.84</v>
      </c>
      <c r="J36" s="64">
        <f>C36/100*30</f>
        <v>1008</v>
      </c>
      <c r="K36" s="22">
        <f>C36/100*0.1</f>
        <v>3.3600000000000003</v>
      </c>
      <c r="L36" s="111">
        <v>3360</v>
      </c>
      <c r="M36" s="20">
        <v>18</v>
      </c>
      <c r="N36" s="16">
        <f t="shared" si="3"/>
        <v>60480</v>
      </c>
      <c r="O36" s="162"/>
    </row>
    <row r="37" spans="1:23" s="2" customFormat="1" ht="20.399999999999999" customHeight="1">
      <c r="A37" s="8">
        <v>5</v>
      </c>
      <c r="B37" s="5" t="s">
        <v>110</v>
      </c>
      <c r="C37" s="12">
        <f>L37/100*100</f>
        <v>130</v>
      </c>
      <c r="D37" s="13">
        <f>C37/100*247</f>
        <v>321.10000000000002</v>
      </c>
      <c r="E37" s="17"/>
      <c r="F37" s="17">
        <f>C37/100*17.5</f>
        <v>22.75</v>
      </c>
      <c r="G37" s="17"/>
      <c r="H37" s="17">
        <f>C37/100*1.6</f>
        <v>2.08</v>
      </c>
      <c r="I37" s="17">
        <f>C37/100*39.2</f>
        <v>50.960000000000008</v>
      </c>
      <c r="J37" s="21"/>
      <c r="K37" s="21"/>
      <c r="L37" s="321">
        <v>130</v>
      </c>
      <c r="M37" s="20">
        <v>50</v>
      </c>
      <c r="N37" s="16">
        <f t="shared" si="3"/>
        <v>6500</v>
      </c>
      <c r="O37" s="162"/>
      <c r="Q37" s="3"/>
      <c r="R37" s="3"/>
      <c r="S37" s="4"/>
      <c r="T37" s="3"/>
    </row>
    <row r="38" spans="1:23" s="2" customFormat="1" ht="20.399999999999999" customHeight="1">
      <c r="A38" s="8">
        <v>6</v>
      </c>
      <c r="B38" s="5" t="s">
        <v>66</v>
      </c>
      <c r="C38" s="12">
        <f>L38/100*75</f>
        <v>3390</v>
      </c>
      <c r="D38" s="13">
        <f>C38/100*12</f>
        <v>406.79999999999995</v>
      </c>
      <c r="E38" s="14">
        <f>C38/100*0.6</f>
        <v>20.34</v>
      </c>
      <c r="F38" s="14"/>
      <c r="G38" s="14"/>
      <c r="H38" s="14"/>
      <c r="I38" s="14">
        <f>C38/100*2.4</f>
        <v>81.36</v>
      </c>
      <c r="J38" s="64">
        <f>C38/100*26</f>
        <v>881.4</v>
      </c>
      <c r="K38" s="22">
        <f>C38/100*0.02</f>
        <v>0.67799999999999994</v>
      </c>
      <c r="L38" s="111">
        <v>4520</v>
      </c>
      <c r="M38" s="15">
        <v>20</v>
      </c>
      <c r="N38" s="16">
        <f t="shared" si="3"/>
        <v>90400</v>
      </c>
      <c r="O38" s="162"/>
    </row>
    <row r="39" spans="1:23" s="2" customFormat="1" ht="20.399999999999999" customHeight="1">
      <c r="A39" s="8">
        <v>7</v>
      </c>
      <c r="B39" s="9" t="s">
        <v>62</v>
      </c>
      <c r="C39" s="12">
        <f>L39/100*40</f>
        <v>5324</v>
      </c>
      <c r="D39" s="65">
        <f>C39/100*276</f>
        <v>14694.24</v>
      </c>
      <c r="E39" s="14">
        <f>C39/100*17.8</f>
        <v>947.67200000000003</v>
      </c>
      <c r="F39" s="14"/>
      <c r="G39" s="91">
        <f>C39/100*21.8</f>
        <v>1160.6320000000001</v>
      </c>
      <c r="H39" s="14"/>
      <c r="I39" s="14"/>
      <c r="J39" s="64">
        <f>C39/100*13</f>
        <v>692.12</v>
      </c>
      <c r="K39" s="22">
        <f>C39/100*0.07</f>
        <v>3.7268000000000003</v>
      </c>
      <c r="L39" s="111">
        <v>13310</v>
      </c>
      <c r="M39" s="20">
        <v>63</v>
      </c>
      <c r="N39" s="93">
        <f t="shared" si="3"/>
        <v>838530</v>
      </c>
      <c r="O39" s="162"/>
    </row>
    <row r="40" spans="1:23" s="2" customFormat="1" ht="20.399999999999999" customHeight="1">
      <c r="A40" s="8">
        <v>8</v>
      </c>
      <c r="B40" s="139" t="s">
        <v>123</v>
      </c>
      <c r="C40" s="12">
        <f>L40/100*100</f>
        <v>3679.9999999999995</v>
      </c>
      <c r="D40" s="65">
        <f>C40/100*487</f>
        <v>17921.599999999999</v>
      </c>
      <c r="E40" s="17"/>
      <c r="F40" s="17">
        <f>C40/100*19.5</f>
        <v>717.59999999999991</v>
      </c>
      <c r="G40" s="17"/>
      <c r="H40" s="17">
        <f>C40/100*23.2</f>
        <v>853.75999999999988</v>
      </c>
      <c r="I40" s="17">
        <f>C40/100*46</f>
        <v>1692.8</v>
      </c>
      <c r="J40" s="91">
        <f>C40/100*680</f>
        <v>25023.999999999996</v>
      </c>
      <c r="K40" s="14">
        <f>C40/100*0.55</f>
        <v>20.239999999999998</v>
      </c>
      <c r="L40" s="321">
        <v>3680</v>
      </c>
      <c r="M40" s="102">
        <v>260</v>
      </c>
      <c r="N40" s="93">
        <f t="shared" si="3"/>
        <v>956800</v>
      </c>
      <c r="O40" s="162"/>
      <c r="P40" s="3"/>
    </row>
    <row r="41" spans="1:23" s="2" customFormat="1" ht="20.399999999999999" customHeight="1">
      <c r="A41" s="77">
        <v>9</v>
      </c>
      <c r="B41" s="78" t="s">
        <v>105</v>
      </c>
      <c r="C41" s="79"/>
      <c r="D41" s="80"/>
      <c r="E41" s="81"/>
      <c r="F41" s="81"/>
      <c r="G41" s="105"/>
      <c r="H41" s="105"/>
      <c r="I41" s="81"/>
      <c r="J41" s="81"/>
      <c r="K41" s="81"/>
      <c r="L41" s="82"/>
      <c r="M41" s="82"/>
      <c r="N41" s="83">
        <v>14680</v>
      </c>
      <c r="O41" s="162"/>
    </row>
    <row r="42" spans="1:23" ht="22.2" customHeight="1">
      <c r="A42" s="170" t="s">
        <v>0</v>
      </c>
      <c r="B42" s="173" t="s">
        <v>18</v>
      </c>
      <c r="C42" s="176" t="s">
        <v>7</v>
      </c>
      <c r="D42" s="176" t="s">
        <v>8</v>
      </c>
      <c r="E42" s="179" t="s">
        <v>10</v>
      </c>
      <c r="F42" s="180"/>
      <c r="G42" s="179" t="s">
        <v>12</v>
      </c>
      <c r="H42" s="180"/>
      <c r="I42" s="198" t="s">
        <v>15</v>
      </c>
      <c r="J42" s="198" t="s">
        <v>30</v>
      </c>
      <c r="K42" s="198" t="s">
        <v>31</v>
      </c>
      <c r="L42" s="198" t="s">
        <v>16</v>
      </c>
      <c r="M42" s="198" t="s">
        <v>32</v>
      </c>
      <c r="N42" s="170" t="s">
        <v>17</v>
      </c>
      <c r="O42" s="161"/>
    </row>
    <row r="43" spans="1:23" ht="22.2" customHeight="1">
      <c r="A43" s="171"/>
      <c r="B43" s="174"/>
      <c r="C43" s="177"/>
      <c r="D43" s="177"/>
      <c r="E43" s="181"/>
      <c r="F43" s="182"/>
      <c r="G43" s="181"/>
      <c r="H43" s="182"/>
      <c r="I43" s="206"/>
      <c r="J43" s="206"/>
      <c r="K43" s="206"/>
      <c r="L43" s="206"/>
      <c r="M43" s="206"/>
      <c r="N43" s="171"/>
      <c r="O43" s="152"/>
    </row>
    <row r="44" spans="1:23" ht="22.2" customHeight="1">
      <c r="A44" s="171"/>
      <c r="B44" s="174"/>
      <c r="C44" s="177"/>
      <c r="D44" s="177"/>
      <c r="E44" s="198" t="s">
        <v>9</v>
      </c>
      <c r="F44" s="198" t="s">
        <v>11</v>
      </c>
      <c r="G44" s="198" t="s">
        <v>13</v>
      </c>
      <c r="H44" s="198" t="s">
        <v>14</v>
      </c>
      <c r="I44" s="206"/>
      <c r="J44" s="206"/>
      <c r="K44" s="206"/>
      <c r="L44" s="206"/>
      <c r="M44" s="206"/>
      <c r="N44" s="171"/>
      <c r="O44" s="152"/>
    </row>
    <row r="45" spans="1:23" ht="22.2" customHeight="1">
      <c r="A45" s="172"/>
      <c r="B45" s="175"/>
      <c r="C45" s="178"/>
      <c r="D45" s="178"/>
      <c r="E45" s="199"/>
      <c r="F45" s="199"/>
      <c r="G45" s="199"/>
      <c r="H45" s="199"/>
      <c r="I45" s="199"/>
      <c r="J45" s="199"/>
      <c r="K45" s="199"/>
      <c r="L45" s="199"/>
      <c r="M45" s="199"/>
      <c r="N45" s="172"/>
      <c r="O45" s="152"/>
    </row>
    <row r="46" spans="1:23" s="2" customFormat="1" ht="21" customHeight="1">
      <c r="A46" s="214" t="s">
        <v>92</v>
      </c>
      <c r="B46" s="214"/>
      <c r="C46" s="25"/>
      <c r="D46" s="94">
        <f>SUM(D33:D41)</f>
        <v>57562.939999999995</v>
      </c>
      <c r="E46" s="31"/>
      <c r="F46" s="31"/>
      <c r="G46" s="31"/>
      <c r="H46" s="31"/>
      <c r="I46" s="31"/>
      <c r="J46" s="31"/>
      <c r="K46" s="31"/>
      <c r="L46" s="32"/>
      <c r="M46" s="32"/>
      <c r="N46" s="207">
        <f>SUM(N33:N41)</f>
        <v>2078430</v>
      </c>
      <c r="O46" s="162"/>
    </row>
    <row r="47" spans="1:23" ht="21" customHeight="1">
      <c r="A47" s="214" t="s">
        <v>6</v>
      </c>
      <c r="B47" s="214"/>
      <c r="C47" s="33"/>
      <c r="D47" s="34">
        <f>D46/C10</f>
        <v>256.97741071428567</v>
      </c>
      <c r="E47" s="34"/>
      <c r="F47" s="34"/>
      <c r="G47" s="34"/>
      <c r="H47" s="34"/>
      <c r="I47" s="34"/>
      <c r="J47" s="34"/>
      <c r="K47" s="34"/>
      <c r="L47" s="35"/>
      <c r="M47" s="35"/>
      <c r="N47" s="208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09" t="s">
        <v>38</v>
      </c>
      <c r="B48" s="210"/>
      <c r="C48" s="322" t="s">
        <v>125</v>
      </c>
      <c r="D48" s="29" t="s">
        <v>39</v>
      </c>
      <c r="E48" s="34"/>
      <c r="F48" s="34"/>
      <c r="G48" s="34"/>
      <c r="H48" s="34"/>
      <c r="I48" s="34"/>
      <c r="J48" s="36"/>
      <c r="K48" s="36"/>
      <c r="L48" s="35"/>
      <c r="M48" s="35"/>
      <c r="N48" s="158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1"/>
      <c r="B49" s="212"/>
      <c r="C49" s="62" t="s">
        <v>56</v>
      </c>
      <c r="D49" s="29">
        <f>D47*100/1320</f>
        <v>19.467985660173156</v>
      </c>
      <c r="E49" s="34"/>
      <c r="F49" s="34"/>
      <c r="G49" s="34"/>
      <c r="H49" s="34"/>
      <c r="I49" s="34"/>
      <c r="J49" s="36"/>
      <c r="K49" s="36"/>
      <c r="L49" s="35"/>
      <c r="M49" s="35"/>
      <c r="N49" s="158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15" t="s">
        <v>100</v>
      </c>
      <c r="B50" s="216"/>
      <c r="C50" s="219"/>
      <c r="D50" s="221">
        <f>D28+D46</f>
        <v>159862.49600000001</v>
      </c>
      <c r="E50" s="96">
        <f>SUM(E16:E41)</f>
        <v>3573.2986000000001</v>
      </c>
      <c r="F50" s="96">
        <f t="shared" ref="F50:H50" si="4">SUM(F16:F41)</f>
        <v>3051.4259999999999</v>
      </c>
      <c r="G50" s="96">
        <f t="shared" si="4"/>
        <v>3421.3986</v>
      </c>
      <c r="H50" s="95">
        <f t="shared" si="4"/>
        <v>1411.3401999999999</v>
      </c>
      <c r="I50" s="223">
        <f>SUM(I16:I41)</f>
        <v>21730.240400000002</v>
      </c>
      <c r="J50" s="225">
        <f>SUM(J16:J41)</f>
        <v>44304.21</v>
      </c>
      <c r="K50" s="227">
        <f>SUM(K16:K41)</f>
        <v>118.00387999999998</v>
      </c>
      <c r="L50" s="229"/>
      <c r="M50" s="229"/>
      <c r="N50" s="230">
        <f>N28+N46</f>
        <v>4926400</v>
      </c>
      <c r="P50" s="2"/>
      <c r="Q50" s="2"/>
      <c r="R50" s="2"/>
      <c r="S50" s="2"/>
      <c r="T50" s="2"/>
      <c r="U50" s="2"/>
      <c r="V50" s="2"/>
    </row>
    <row r="51" spans="1:23" ht="21" customHeight="1">
      <c r="A51" s="217"/>
      <c r="B51" s="218"/>
      <c r="C51" s="220"/>
      <c r="D51" s="222"/>
      <c r="E51" s="231">
        <f>E50+F50</f>
        <v>6624.7245999999996</v>
      </c>
      <c r="F51" s="232"/>
      <c r="G51" s="231">
        <f>G50+H50</f>
        <v>4832.7388000000001</v>
      </c>
      <c r="H51" s="232"/>
      <c r="I51" s="224"/>
      <c r="J51" s="226"/>
      <c r="K51" s="228"/>
      <c r="L51" s="229"/>
      <c r="M51" s="229"/>
      <c r="N51" s="230"/>
      <c r="U51" s="11"/>
      <c r="V51" s="11"/>
    </row>
    <row r="52" spans="1:23" ht="21" customHeight="1">
      <c r="A52" s="233" t="s">
        <v>73</v>
      </c>
      <c r="B52" s="234"/>
      <c r="C52" s="235"/>
      <c r="D52" s="101">
        <f>D50/C10</f>
        <v>713.67185714285722</v>
      </c>
      <c r="E52" s="352">
        <f>E50/C10</f>
        <v>15.952225892857143</v>
      </c>
      <c r="F52" s="106">
        <f>F50/C10</f>
        <v>13.6224375</v>
      </c>
      <c r="G52" s="352">
        <f>G50/C10</f>
        <v>15.274100892857144</v>
      </c>
      <c r="H52" s="107">
        <f>H50/C10</f>
        <v>6.3006258928571421</v>
      </c>
      <c r="I52" s="239">
        <f>I50/C10</f>
        <v>97.010001785714294</v>
      </c>
      <c r="J52" s="291">
        <f>J50/C10</f>
        <v>197.78665178571427</v>
      </c>
      <c r="K52" s="241">
        <f>K50/C10</f>
        <v>0.52680303571428566</v>
      </c>
      <c r="L52" s="229"/>
      <c r="M52" s="229"/>
      <c r="N52" s="230"/>
      <c r="U52" s="11"/>
      <c r="V52" s="11"/>
    </row>
    <row r="53" spans="1:23" ht="21" customHeight="1">
      <c r="A53" s="236"/>
      <c r="B53" s="237"/>
      <c r="C53" s="238"/>
      <c r="D53" s="98"/>
      <c r="E53" s="302">
        <f>E52+F52</f>
        <v>29.574663392857143</v>
      </c>
      <c r="F53" s="301"/>
      <c r="G53" s="302">
        <f>G52+H52</f>
        <v>21.574726785714287</v>
      </c>
      <c r="H53" s="301"/>
      <c r="I53" s="240"/>
      <c r="J53" s="278"/>
      <c r="K53" s="242"/>
      <c r="L53" s="229"/>
      <c r="M53" s="229"/>
      <c r="N53" s="230"/>
      <c r="P53" s="333"/>
      <c r="Q53" s="334"/>
      <c r="R53" s="334"/>
      <c r="S53" s="334"/>
      <c r="T53" s="334"/>
      <c r="U53" s="335"/>
      <c r="V53" s="335"/>
    </row>
    <row r="54" spans="1:23" ht="21" customHeight="1">
      <c r="A54" s="323" t="s">
        <v>74</v>
      </c>
      <c r="B54" s="324"/>
      <c r="C54" s="325"/>
      <c r="D54" s="326" t="s">
        <v>25</v>
      </c>
      <c r="E54" s="184" t="s">
        <v>19</v>
      </c>
      <c r="F54" s="184"/>
      <c r="G54" s="184" t="s">
        <v>20</v>
      </c>
      <c r="H54" s="184"/>
      <c r="I54" s="156" t="s">
        <v>21</v>
      </c>
      <c r="J54" s="348">
        <v>600</v>
      </c>
      <c r="K54" s="348">
        <v>0.74</v>
      </c>
      <c r="L54" s="229"/>
      <c r="M54" s="229"/>
      <c r="N54" s="230"/>
      <c r="O54" s="166"/>
      <c r="P54" s="336"/>
      <c r="Q54" s="334"/>
      <c r="R54" s="334"/>
      <c r="S54" s="334"/>
      <c r="T54" s="334"/>
      <c r="U54" s="334"/>
      <c r="V54" s="334"/>
    </row>
    <row r="55" spans="1:23" ht="21" customHeight="1">
      <c r="A55" s="246" t="s">
        <v>67</v>
      </c>
      <c r="B55" s="247"/>
      <c r="C55" s="248"/>
      <c r="D55" s="19"/>
      <c r="E55" s="249">
        <f>E53*4.1</f>
        <v>121.25611991071428</v>
      </c>
      <c r="F55" s="250"/>
      <c r="G55" s="249">
        <f>G53*9</f>
        <v>194.17254107142858</v>
      </c>
      <c r="H55" s="250"/>
      <c r="I55" s="68">
        <f>I52*4.1</f>
        <v>397.74100732142858</v>
      </c>
      <c r="J55" s="251"/>
      <c r="K55" s="251"/>
      <c r="L55" s="229"/>
      <c r="M55" s="229"/>
      <c r="N55" s="230"/>
      <c r="O55" s="166"/>
      <c r="P55" s="338"/>
      <c r="Q55" s="339"/>
      <c r="R55" s="339"/>
      <c r="S55" s="339"/>
      <c r="T55" s="333"/>
      <c r="U55" s="333"/>
      <c r="V55" s="333"/>
    </row>
    <row r="56" spans="1:23" ht="21" customHeight="1">
      <c r="A56" s="254" t="s">
        <v>68</v>
      </c>
      <c r="B56" s="255"/>
      <c r="C56" s="246" t="s">
        <v>56</v>
      </c>
      <c r="D56" s="248"/>
      <c r="E56" s="282">
        <f>E55*100/D52</f>
        <v>16.99045838743816</v>
      </c>
      <c r="F56" s="283"/>
      <c r="G56" s="282">
        <f>G55*100/D52</f>
        <v>27.207537908078198</v>
      </c>
      <c r="H56" s="283"/>
      <c r="I56" s="86">
        <f>I55*100/D52</f>
        <v>55.731636793660464</v>
      </c>
      <c r="J56" s="252"/>
      <c r="K56" s="252"/>
      <c r="L56" s="229"/>
      <c r="M56" s="229"/>
      <c r="N56" s="230"/>
      <c r="O56" s="349"/>
      <c r="P56" s="333"/>
      <c r="Q56" s="340"/>
      <c r="R56" s="333"/>
      <c r="S56" s="333"/>
      <c r="T56" s="333"/>
      <c r="U56" s="333"/>
      <c r="V56" s="333"/>
    </row>
    <row r="57" spans="1:23" ht="21" customHeight="1">
      <c r="A57" s="256"/>
      <c r="B57" s="257"/>
      <c r="C57" s="246" t="s">
        <v>69</v>
      </c>
      <c r="D57" s="248"/>
      <c r="E57" s="246" t="s">
        <v>70</v>
      </c>
      <c r="F57" s="248"/>
      <c r="G57" s="246" t="s">
        <v>71</v>
      </c>
      <c r="H57" s="248"/>
      <c r="I57" s="326" t="s">
        <v>72</v>
      </c>
      <c r="J57" s="253"/>
      <c r="K57" s="253"/>
      <c r="L57" s="229"/>
      <c r="M57" s="229"/>
      <c r="N57" s="230"/>
      <c r="O57" s="166"/>
      <c r="P57" s="84"/>
    </row>
    <row r="58" spans="1:23" ht="21" customHeight="1">
      <c r="A58" s="70"/>
      <c r="B58" s="71"/>
      <c r="C58" s="70"/>
      <c r="D58" s="70"/>
      <c r="E58" s="70"/>
      <c r="F58" s="70"/>
      <c r="G58" s="70"/>
      <c r="H58" s="70"/>
      <c r="I58" s="70"/>
      <c r="J58" s="70"/>
      <c r="K58" s="70"/>
      <c r="L58" s="72"/>
      <c r="M58" s="72"/>
      <c r="N58" s="73"/>
      <c r="O58" s="166"/>
    </row>
    <row r="59" spans="1:23" ht="21" customHeight="1">
      <c r="A59" s="243" t="s">
        <v>94</v>
      </c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166"/>
    </row>
    <row r="60" spans="1:23" ht="21" customHeight="1">
      <c r="A60" s="87" t="s">
        <v>95</v>
      </c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166"/>
    </row>
    <row r="61" spans="1:23" ht="21" customHeight="1">
      <c r="A61" s="88"/>
      <c r="B61" s="245" t="s">
        <v>172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66"/>
    </row>
    <row r="62" spans="1:23" ht="21" customHeight="1">
      <c r="A62" s="88"/>
      <c r="B62" s="245" t="s">
        <v>173</v>
      </c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166"/>
    </row>
    <row r="63" spans="1:23" ht="21" customHeight="1">
      <c r="A63" s="88"/>
      <c r="B63" s="245" t="s">
        <v>174</v>
      </c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166"/>
    </row>
    <row r="64" spans="1:23" ht="21" customHeight="1">
      <c r="A64" s="70"/>
      <c r="B64" s="260" t="s">
        <v>101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166"/>
    </row>
    <row r="65" spans="1:15" ht="2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89"/>
      <c r="M65" s="89"/>
      <c r="N65" s="90"/>
      <c r="O65" s="166"/>
    </row>
    <row r="66" spans="1:15" ht="21" customHeight="1">
      <c r="A66" s="261" t="s">
        <v>58</v>
      </c>
      <c r="B66" s="261"/>
      <c r="C66" s="261"/>
      <c r="D66" s="261"/>
      <c r="E66" s="328"/>
      <c r="F66" s="328"/>
      <c r="G66" s="328"/>
      <c r="H66" s="328"/>
      <c r="I66" s="328"/>
      <c r="J66" s="329" t="s">
        <v>34</v>
      </c>
      <c r="K66" s="329"/>
      <c r="L66" s="329"/>
      <c r="M66" s="329"/>
      <c r="N66" s="329"/>
      <c r="O66" s="166"/>
    </row>
    <row r="67" spans="1:15" ht="21" customHeight="1">
      <c r="A67" s="152"/>
      <c r="B67" s="152"/>
      <c r="C67" s="152"/>
      <c r="D67" s="328"/>
      <c r="E67" s="328"/>
      <c r="F67" s="328"/>
      <c r="G67" s="328"/>
      <c r="H67" s="330"/>
      <c r="I67" s="330"/>
      <c r="J67" s="330"/>
      <c r="K67" s="330"/>
      <c r="L67" s="330"/>
      <c r="M67" s="330"/>
      <c r="N67" s="330"/>
      <c r="O67" s="166"/>
    </row>
    <row r="68" spans="1:15" ht="21" customHeight="1">
      <c r="A68" s="152"/>
      <c r="B68" s="152"/>
      <c r="C68" s="152"/>
      <c r="D68" s="328"/>
      <c r="E68" s="328"/>
      <c r="F68" s="328"/>
      <c r="G68" s="328"/>
      <c r="H68" s="330"/>
      <c r="I68" s="330"/>
      <c r="J68" s="330"/>
      <c r="K68" s="330"/>
      <c r="L68" s="330"/>
      <c r="M68" s="330"/>
      <c r="N68" s="330"/>
      <c r="O68" s="166"/>
    </row>
    <row r="69" spans="1:15" ht="21" customHeight="1">
      <c r="A69" s="152"/>
      <c r="B69" s="152"/>
      <c r="C69" s="152"/>
      <c r="D69" s="328"/>
      <c r="E69" s="328"/>
      <c r="F69" s="328"/>
      <c r="G69" s="328"/>
      <c r="H69" s="330"/>
      <c r="I69" s="330"/>
      <c r="J69" s="331" t="s">
        <v>97</v>
      </c>
      <c r="K69" s="331"/>
      <c r="L69" s="331"/>
      <c r="M69" s="331"/>
      <c r="N69" s="331"/>
      <c r="O69" s="166"/>
    </row>
    <row r="70" spans="1:15" ht="21" customHeight="1">
      <c r="A70" s="262" t="s">
        <v>82</v>
      </c>
      <c r="B70" s="262"/>
      <c r="C70" s="262"/>
      <c r="D70" s="262"/>
      <c r="E70" s="328"/>
      <c r="F70" s="328"/>
      <c r="G70" s="328"/>
      <c r="H70" s="330"/>
      <c r="I70" s="330"/>
      <c r="O70" s="166"/>
    </row>
    <row r="71" spans="1:15" ht="21" customHeight="1">
      <c r="A71" s="152"/>
      <c r="B71" s="152"/>
      <c r="C71" s="152"/>
      <c r="D71" s="328"/>
      <c r="E71" s="328"/>
      <c r="F71" s="328"/>
      <c r="G71" s="328"/>
      <c r="H71" s="330"/>
      <c r="I71" s="330"/>
      <c r="J71" s="330"/>
      <c r="K71" s="330"/>
      <c r="L71" s="330"/>
      <c r="M71" s="330"/>
      <c r="N71" s="330"/>
      <c r="O71" s="166"/>
    </row>
    <row r="72" spans="1:15" ht="21" customHeight="1">
      <c r="A72" s="152"/>
      <c r="B72" s="152"/>
      <c r="C72" s="152"/>
      <c r="D72" s="328"/>
      <c r="E72" s="328"/>
      <c r="F72" s="328"/>
      <c r="G72" s="328"/>
      <c r="H72" s="330"/>
      <c r="I72" s="330"/>
      <c r="J72" s="331" t="s">
        <v>108</v>
      </c>
      <c r="K72" s="331"/>
      <c r="L72" s="331"/>
      <c r="M72" s="331"/>
      <c r="N72" s="331"/>
      <c r="O72" s="166"/>
    </row>
    <row r="73" spans="1:15" ht="21" customHeight="1">
      <c r="A73" s="152"/>
      <c r="B73" s="152"/>
      <c r="C73" s="152"/>
      <c r="D73" s="328"/>
      <c r="E73" s="328"/>
      <c r="F73" s="328"/>
      <c r="G73" s="328"/>
      <c r="H73" s="330"/>
      <c r="I73" s="330"/>
      <c r="J73" s="330"/>
      <c r="K73" s="330"/>
      <c r="L73" s="330"/>
      <c r="M73" s="330"/>
      <c r="N73" s="330"/>
      <c r="O73" s="166"/>
    </row>
    <row r="74" spans="1:15" ht="21" customHeight="1">
      <c r="A74" s="152"/>
      <c r="B74" s="152"/>
      <c r="C74" s="152"/>
      <c r="D74" s="328"/>
      <c r="E74" s="328"/>
      <c r="F74" s="328"/>
      <c r="G74" s="328"/>
      <c r="H74" s="330"/>
      <c r="I74" s="330"/>
      <c r="J74" s="330"/>
      <c r="K74" s="330"/>
      <c r="L74" s="330"/>
      <c r="M74" s="330"/>
      <c r="N74" s="330"/>
      <c r="O74" s="166"/>
    </row>
    <row r="75" spans="1:15" ht="21" customHeight="1">
      <c r="A75" s="152"/>
      <c r="B75" s="152"/>
      <c r="C75" s="152"/>
      <c r="D75" s="328"/>
      <c r="E75" s="328"/>
      <c r="F75" s="328"/>
      <c r="G75" s="328"/>
      <c r="H75" s="330"/>
      <c r="I75" s="330"/>
      <c r="J75" s="330"/>
      <c r="K75" s="330"/>
      <c r="L75" s="330"/>
      <c r="M75" s="330"/>
      <c r="N75" s="330"/>
      <c r="O75" s="166"/>
    </row>
    <row r="76" spans="1:15" ht="21" customHeight="1">
      <c r="A76" s="152"/>
      <c r="B76" s="152"/>
      <c r="C76" s="152"/>
      <c r="D76" s="328"/>
      <c r="E76" s="328"/>
      <c r="F76" s="328"/>
      <c r="G76" s="328"/>
      <c r="H76" s="330"/>
      <c r="I76" s="330"/>
      <c r="J76" s="330"/>
      <c r="K76" s="330"/>
      <c r="L76" s="330"/>
      <c r="M76" s="330"/>
      <c r="N76" s="330"/>
      <c r="O76" s="166"/>
    </row>
    <row r="77" spans="1:15" ht="21" customHeight="1">
      <c r="A77" s="152"/>
      <c r="B77" s="152"/>
      <c r="C77" s="152"/>
      <c r="D77" s="328"/>
      <c r="E77" s="328"/>
      <c r="F77" s="328"/>
      <c r="G77" s="328"/>
      <c r="H77" s="330"/>
      <c r="I77" s="330"/>
      <c r="J77" s="330"/>
      <c r="K77" s="330"/>
      <c r="L77" s="330"/>
      <c r="M77" s="330"/>
      <c r="N77" s="330"/>
      <c r="O77" s="166"/>
    </row>
    <row r="78" spans="1:15" ht="21" customHeight="1">
      <c r="A78" s="152"/>
      <c r="B78" s="152"/>
      <c r="C78" s="152"/>
      <c r="D78" s="328"/>
      <c r="E78" s="328"/>
      <c r="F78" s="328"/>
      <c r="G78" s="328"/>
      <c r="H78" s="330"/>
      <c r="I78" s="330"/>
      <c r="J78" s="330"/>
      <c r="K78" s="330"/>
      <c r="L78" s="330"/>
      <c r="M78" s="330"/>
      <c r="N78" s="330"/>
      <c r="O78" s="166"/>
    </row>
    <row r="79" spans="1:15" ht="21" customHeight="1">
      <c r="A79" s="152"/>
      <c r="B79" s="152"/>
      <c r="C79" s="152"/>
      <c r="D79" s="328"/>
      <c r="E79" s="328"/>
      <c r="F79" s="328"/>
      <c r="G79" s="328"/>
      <c r="H79" s="330"/>
      <c r="I79" s="330"/>
      <c r="J79" s="330"/>
      <c r="K79" s="330"/>
      <c r="L79" s="330"/>
      <c r="M79" s="330"/>
      <c r="N79" s="330"/>
      <c r="O79" s="166"/>
    </row>
    <row r="80" spans="1:15" ht="21" customHeight="1">
      <c r="A80" s="152"/>
      <c r="B80" s="152"/>
      <c r="C80" s="152"/>
      <c r="D80" s="328"/>
      <c r="E80" s="328"/>
      <c r="F80" s="328"/>
      <c r="G80" s="328"/>
      <c r="H80" s="330"/>
      <c r="I80" s="330"/>
      <c r="J80" s="330"/>
      <c r="K80" s="330"/>
      <c r="L80" s="330"/>
      <c r="M80" s="330"/>
      <c r="N80" s="330"/>
      <c r="O80" s="166"/>
    </row>
    <row r="81" spans="1:20" ht="19.2" customHeight="1">
      <c r="A81" s="10" t="s">
        <v>57</v>
      </c>
      <c r="B81" s="7"/>
      <c r="C81" s="7"/>
      <c r="D81" s="7"/>
      <c r="E81" s="7"/>
      <c r="F81" s="183" t="s">
        <v>29</v>
      </c>
      <c r="G81" s="183"/>
      <c r="H81" s="183"/>
      <c r="I81" s="183"/>
      <c r="J81" s="183"/>
      <c r="K81" s="183"/>
      <c r="L81" s="183"/>
      <c r="M81" s="183"/>
      <c r="N81" s="183"/>
      <c r="O81" s="159"/>
      <c r="P81" s="159"/>
      <c r="T81" s="2"/>
    </row>
    <row r="82" spans="1:20" ht="19.2" customHeight="1">
      <c r="A82" s="7" t="s">
        <v>171</v>
      </c>
      <c r="B82" s="7"/>
      <c r="C82" s="7"/>
      <c r="D82" s="7"/>
      <c r="E82" s="7"/>
      <c r="F82" s="155"/>
      <c r="G82" s="155"/>
      <c r="H82" s="155"/>
      <c r="I82" s="155"/>
      <c r="J82" s="155"/>
      <c r="K82" s="155"/>
      <c r="L82" s="155"/>
      <c r="M82" s="155"/>
      <c r="N82" s="155"/>
      <c r="O82" s="159"/>
      <c r="P82" s="159"/>
      <c r="T82" s="2"/>
    </row>
    <row r="83" spans="1:20" s="2" customFormat="1" ht="19.2" customHeight="1">
      <c r="A83" s="184" t="s">
        <v>89</v>
      </c>
      <c r="B83" s="184"/>
      <c r="C83" s="184"/>
      <c r="D83" s="184"/>
      <c r="E83" s="184" t="s">
        <v>80</v>
      </c>
      <c r="F83" s="184"/>
      <c r="G83" s="184"/>
      <c r="H83" s="184"/>
      <c r="I83" s="184"/>
      <c r="J83" s="184"/>
      <c r="K83" s="184"/>
      <c r="L83" s="184"/>
      <c r="M83" s="184"/>
      <c r="N83" s="184"/>
      <c r="O83" s="160"/>
    </row>
    <row r="84" spans="1:20" s="2" customFormat="1" ht="19.2" customHeight="1">
      <c r="A84" s="184"/>
      <c r="B84" s="184"/>
      <c r="C84" s="184"/>
      <c r="D84" s="184"/>
      <c r="E84" s="184" t="s">
        <v>88</v>
      </c>
      <c r="F84" s="184"/>
      <c r="G84" s="184"/>
      <c r="H84" s="184"/>
      <c r="I84" s="184"/>
      <c r="J84" s="184" t="s">
        <v>90</v>
      </c>
      <c r="K84" s="184"/>
      <c r="L84" s="184"/>
      <c r="M84" s="184"/>
      <c r="N84" s="184"/>
      <c r="O84" s="160"/>
    </row>
    <row r="85" spans="1:20" s="2" customFormat="1" ht="19.2" customHeight="1">
      <c r="A85" s="185" t="s">
        <v>81</v>
      </c>
      <c r="B85" s="185"/>
      <c r="C85" s="185"/>
      <c r="D85" s="185"/>
      <c r="E85" s="186" t="s">
        <v>124</v>
      </c>
      <c r="F85" s="186"/>
      <c r="G85" s="186"/>
      <c r="H85" s="186"/>
      <c r="I85" s="186"/>
      <c r="J85" s="263" t="s">
        <v>81</v>
      </c>
      <c r="K85" s="264"/>
      <c r="L85" s="264"/>
      <c r="M85" s="264"/>
      <c r="N85" s="265"/>
      <c r="O85" s="160"/>
    </row>
    <row r="86" spans="1:20" s="2" customFormat="1" ht="19.2" customHeight="1">
      <c r="A86" s="289" t="s">
        <v>151</v>
      </c>
      <c r="B86" s="289"/>
      <c r="C86" s="289"/>
      <c r="D86" s="289"/>
      <c r="E86" s="186"/>
      <c r="F86" s="186"/>
      <c r="G86" s="186"/>
      <c r="H86" s="186"/>
      <c r="I86" s="186"/>
      <c r="J86" s="200" t="s">
        <v>153</v>
      </c>
      <c r="K86" s="201"/>
      <c r="L86" s="201"/>
      <c r="M86" s="201"/>
      <c r="N86" s="202"/>
      <c r="O86" s="160"/>
    </row>
    <row r="87" spans="1:20" s="2" customFormat="1" ht="19.2" customHeight="1">
      <c r="A87" s="197" t="s">
        <v>144</v>
      </c>
      <c r="B87" s="197"/>
      <c r="C87" s="197"/>
      <c r="D87" s="197"/>
      <c r="E87" s="186"/>
      <c r="F87" s="186"/>
      <c r="G87" s="186"/>
      <c r="H87" s="186"/>
      <c r="I87" s="186"/>
      <c r="J87" s="266" t="s">
        <v>154</v>
      </c>
      <c r="K87" s="267"/>
      <c r="L87" s="267"/>
      <c r="M87" s="267"/>
      <c r="N87" s="268"/>
      <c r="O87" s="160"/>
    </row>
    <row r="88" spans="1:20" ht="19.2" customHeight="1">
      <c r="A88" s="290" t="s">
        <v>104</v>
      </c>
      <c r="B88" s="290"/>
      <c r="C88" s="288">
        <v>61</v>
      </c>
      <c r="D88" s="288"/>
      <c r="E88" s="7"/>
      <c r="F88" s="155"/>
      <c r="G88" s="155"/>
      <c r="H88" s="155"/>
      <c r="I88" s="155"/>
      <c r="J88" s="155"/>
      <c r="K88" s="155"/>
      <c r="L88" s="155"/>
      <c r="M88" s="155"/>
      <c r="N88" s="155"/>
      <c r="O88" s="159"/>
      <c r="P88" s="159"/>
      <c r="T88" s="2"/>
    </row>
    <row r="89" spans="1:20" ht="19.2" customHeight="1">
      <c r="A89" s="170" t="s">
        <v>0</v>
      </c>
      <c r="B89" s="173" t="s">
        <v>18</v>
      </c>
      <c r="C89" s="176" t="s">
        <v>7</v>
      </c>
      <c r="D89" s="176" t="s">
        <v>8</v>
      </c>
      <c r="E89" s="284" t="s">
        <v>10</v>
      </c>
      <c r="F89" s="285"/>
      <c r="G89" s="284" t="s">
        <v>12</v>
      </c>
      <c r="H89" s="285"/>
      <c r="I89" s="198" t="s">
        <v>15</v>
      </c>
      <c r="J89" s="198" t="s">
        <v>30</v>
      </c>
      <c r="K89" s="198" t="s">
        <v>31</v>
      </c>
      <c r="L89" s="198" t="s">
        <v>16</v>
      </c>
      <c r="M89" s="198" t="s">
        <v>32</v>
      </c>
      <c r="N89" s="170" t="s">
        <v>17</v>
      </c>
      <c r="O89" s="161"/>
    </row>
    <row r="90" spans="1:20" ht="19.2" customHeight="1">
      <c r="A90" s="171"/>
      <c r="B90" s="174"/>
      <c r="C90" s="177"/>
      <c r="D90" s="177"/>
      <c r="E90" s="286"/>
      <c r="F90" s="287"/>
      <c r="G90" s="286"/>
      <c r="H90" s="287"/>
      <c r="I90" s="206"/>
      <c r="J90" s="206"/>
      <c r="K90" s="206"/>
      <c r="L90" s="206"/>
      <c r="M90" s="206"/>
      <c r="N90" s="171"/>
      <c r="O90" s="152"/>
    </row>
    <row r="91" spans="1:20" ht="19.2" customHeight="1">
      <c r="A91" s="171"/>
      <c r="B91" s="174"/>
      <c r="C91" s="177"/>
      <c r="D91" s="177"/>
      <c r="E91" s="198" t="s">
        <v>9</v>
      </c>
      <c r="F91" s="198" t="s">
        <v>11</v>
      </c>
      <c r="G91" s="198" t="s">
        <v>13</v>
      </c>
      <c r="H91" s="198" t="s">
        <v>14</v>
      </c>
      <c r="I91" s="206"/>
      <c r="J91" s="206"/>
      <c r="K91" s="206"/>
      <c r="L91" s="206"/>
      <c r="M91" s="206"/>
      <c r="N91" s="171"/>
      <c r="O91" s="152"/>
    </row>
    <row r="92" spans="1:20" ht="19.2" customHeight="1">
      <c r="A92" s="172"/>
      <c r="B92" s="175"/>
      <c r="C92" s="178"/>
      <c r="D92" s="178"/>
      <c r="E92" s="199"/>
      <c r="F92" s="199"/>
      <c r="G92" s="199"/>
      <c r="H92" s="199"/>
      <c r="I92" s="199"/>
      <c r="J92" s="199"/>
      <c r="K92" s="199"/>
      <c r="L92" s="199"/>
      <c r="M92" s="199"/>
      <c r="N92" s="172"/>
      <c r="O92" s="152"/>
    </row>
    <row r="93" spans="1:20" ht="19.2" customHeight="1">
      <c r="A93" s="203" t="s">
        <v>40</v>
      </c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5"/>
      <c r="O93" s="152"/>
    </row>
    <row r="94" spans="1:20" s="2" customFormat="1" ht="19.2" customHeight="1">
      <c r="A94" s="8">
        <v>1</v>
      </c>
      <c r="B94" s="9" t="s">
        <v>2</v>
      </c>
      <c r="C94" s="12">
        <f>L94/100*100</f>
        <v>80</v>
      </c>
      <c r="D94" s="13">
        <f>C94/100*60</f>
        <v>48</v>
      </c>
      <c r="E94" s="14">
        <f>C94/100*15</f>
        <v>12</v>
      </c>
      <c r="F94" s="14"/>
      <c r="G94" s="14"/>
      <c r="H94" s="14"/>
      <c r="I94" s="14"/>
      <c r="J94" s="64">
        <f>C94/100*387</f>
        <v>309.60000000000002</v>
      </c>
      <c r="K94" s="22">
        <f>C94/100*0.09</f>
        <v>7.1999999999999995E-2</v>
      </c>
      <c r="L94" s="111">
        <v>80</v>
      </c>
      <c r="M94" s="20">
        <v>20</v>
      </c>
      <c r="N94" s="16">
        <f>L94*M94</f>
        <v>1600</v>
      </c>
      <c r="O94" s="162"/>
    </row>
    <row r="95" spans="1:20" s="2" customFormat="1" ht="19.2" customHeight="1">
      <c r="A95" s="8">
        <v>2</v>
      </c>
      <c r="B95" s="9" t="s">
        <v>112</v>
      </c>
      <c r="C95" s="12">
        <f>L95/100*100</f>
        <v>430</v>
      </c>
      <c r="D95" s="13">
        <f>C95/100*53</f>
        <v>227.89999999999998</v>
      </c>
      <c r="E95" s="14"/>
      <c r="F95" s="14">
        <f>C95/100*6.3</f>
        <v>27.09</v>
      </c>
      <c r="G95" s="14"/>
      <c r="H95" s="14">
        <f>C95/100*0.04</f>
        <v>0.17199999999999999</v>
      </c>
      <c r="I95" s="14">
        <f>C95/100*6.8</f>
        <v>29.24</v>
      </c>
      <c r="J95" s="22">
        <f>C95/100*19</f>
        <v>81.7</v>
      </c>
      <c r="K95" s="22">
        <f>C95/100*0.03</f>
        <v>0.129</v>
      </c>
      <c r="L95" s="111">
        <v>430</v>
      </c>
      <c r="M95" s="20">
        <v>45</v>
      </c>
      <c r="N95" s="16">
        <f t="shared" ref="N95" si="5">L95*M95</f>
        <v>19350</v>
      </c>
      <c r="O95" s="342"/>
    </row>
    <row r="96" spans="1:20" s="2" customFormat="1" ht="19.2" customHeight="1">
      <c r="A96" s="8">
        <v>3</v>
      </c>
      <c r="B96" s="9" t="s">
        <v>114</v>
      </c>
      <c r="C96" s="12">
        <f>L96/100*100</f>
        <v>150</v>
      </c>
      <c r="D96" s="13">
        <f>C96/100*899</f>
        <v>1348.5</v>
      </c>
      <c r="E96" s="14"/>
      <c r="F96" s="14"/>
      <c r="G96" s="14">
        <f>C96/100*100</f>
        <v>150</v>
      </c>
      <c r="H96" s="14"/>
      <c r="I96" s="14"/>
      <c r="J96" s="14"/>
      <c r="K96" s="14"/>
      <c r="L96" s="111">
        <v>150</v>
      </c>
      <c r="M96" s="65">
        <v>69</v>
      </c>
      <c r="N96" s="16">
        <f t="shared" ref="N96:N97" si="6">L96*M96</f>
        <v>10350</v>
      </c>
      <c r="O96" s="163"/>
    </row>
    <row r="97" spans="1:23" s="2" customFormat="1" ht="19.2" customHeight="1">
      <c r="A97" s="8">
        <v>4</v>
      </c>
      <c r="B97" s="9" t="s">
        <v>118</v>
      </c>
      <c r="C97" s="12">
        <f>L97/100*100</f>
        <v>150</v>
      </c>
      <c r="D97" s="65">
        <f>C97/100*900</f>
        <v>1350</v>
      </c>
      <c r="E97" s="14"/>
      <c r="F97" s="14"/>
      <c r="G97" s="91"/>
      <c r="H97" s="14">
        <f>C97/100*100</f>
        <v>150</v>
      </c>
      <c r="I97" s="14"/>
      <c r="J97" s="14"/>
      <c r="K97" s="14"/>
      <c r="L97" s="111">
        <v>150</v>
      </c>
      <c r="M97" s="65">
        <v>65</v>
      </c>
      <c r="N97" s="93">
        <f t="shared" si="6"/>
        <v>9750</v>
      </c>
      <c r="O97" s="163"/>
    </row>
    <row r="98" spans="1:23" s="2" customFormat="1" ht="19.2" customHeight="1">
      <c r="A98" s="8">
        <v>5</v>
      </c>
      <c r="B98" s="5" t="s">
        <v>1</v>
      </c>
      <c r="C98" s="12">
        <f>L98/100*100</f>
        <v>2623</v>
      </c>
      <c r="D98" s="13">
        <f>C98/100*344</f>
        <v>9023.1200000000008</v>
      </c>
      <c r="E98" s="14"/>
      <c r="F98" s="14">
        <f>C98/100*7.9</f>
        <v>207.21700000000001</v>
      </c>
      <c r="G98" s="14"/>
      <c r="H98" s="14">
        <f>C98/100*1</f>
        <v>26.23</v>
      </c>
      <c r="I98" s="14">
        <f>C98/100*74</f>
        <v>1941.02</v>
      </c>
      <c r="J98" s="64">
        <f>C98/100*30</f>
        <v>786.9</v>
      </c>
      <c r="K98" s="22">
        <f>C98/100*0.1</f>
        <v>2.6230000000000002</v>
      </c>
      <c r="L98" s="111">
        <v>2623</v>
      </c>
      <c r="M98" s="20">
        <v>18</v>
      </c>
      <c r="N98" s="16">
        <f t="shared" ref="N98:N103" si="7">L98*M98</f>
        <v>47214</v>
      </c>
      <c r="O98" s="162"/>
    </row>
    <row r="99" spans="1:23" s="2" customFormat="1" ht="19.2" customHeight="1">
      <c r="A99" s="8">
        <v>6</v>
      </c>
      <c r="B99" s="5" t="s">
        <v>4</v>
      </c>
      <c r="C99" s="12">
        <f>L99/100*98</f>
        <v>646.79999999999995</v>
      </c>
      <c r="D99" s="13">
        <f>C99/100*118</f>
        <v>763.22400000000005</v>
      </c>
      <c r="E99" s="14">
        <f>C99/100*21</f>
        <v>135.828</v>
      </c>
      <c r="F99" s="14"/>
      <c r="G99" s="14">
        <f>C99/100*3.8</f>
        <v>24.578399999999998</v>
      </c>
      <c r="H99" s="14"/>
      <c r="I99" s="14">
        <f>C99/100*2.5</f>
        <v>16.170000000000002</v>
      </c>
      <c r="J99" s="21">
        <f>C99/100*12</f>
        <v>77.616</v>
      </c>
      <c r="K99" s="21">
        <f>C99/100*0.1</f>
        <v>0.64680000000000004</v>
      </c>
      <c r="L99" s="321">
        <v>660</v>
      </c>
      <c r="M99" s="43">
        <v>270</v>
      </c>
      <c r="N99" s="93">
        <f t="shared" si="7"/>
        <v>178200</v>
      </c>
      <c r="O99" s="342"/>
      <c r="Q99" s="3"/>
      <c r="R99" s="3"/>
    </row>
    <row r="100" spans="1:23" s="2" customFormat="1" ht="19.2" customHeight="1">
      <c r="A100" s="8">
        <v>7</v>
      </c>
      <c r="B100" s="9" t="s">
        <v>64</v>
      </c>
      <c r="C100" s="12">
        <f>L100/100*98</f>
        <v>862.40000000000009</v>
      </c>
      <c r="D100" s="13">
        <f>C100/100*139</f>
        <v>1198.7360000000001</v>
      </c>
      <c r="E100" s="14">
        <f>C100/100*19</f>
        <v>163.85600000000002</v>
      </c>
      <c r="F100" s="14"/>
      <c r="G100" s="14">
        <f>C100/100*7</f>
        <v>60.368000000000002</v>
      </c>
      <c r="H100" s="14"/>
      <c r="I100" s="14"/>
      <c r="J100" s="22">
        <f>C100/100*7</f>
        <v>60.368000000000002</v>
      </c>
      <c r="K100" s="22">
        <f>C100/100*0.9</f>
        <v>7.7616000000000005</v>
      </c>
      <c r="L100" s="111">
        <v>880</v>
      </c>
      <c r="M100" s="15">
        <v>133</v>
      </c>
      <c r="N100" s="93">
        <f t="shared" si="7"/>
        <v>117040</v>
      </c>
      <c r="O100" s="162"/>
    </row>
    <row r="101" spans="1:23" s="2" customFormat="1" ht="19.2" customHeight="1">
      <c r="A101" s="8">
        <v>8</v>
      </c>
      <c r="B101" s="5" t="s">
        <v>110</v>
      </c>
      <c r="C101" s="12">
        <f>L101/100*100</f>
        <v>70</v>
      </c>
      <c r="D101" s="13">
        <f>C101/100*247</f>
        <v>172.89999999999998</v>
      </c>
      <c r="E101" s="17"/>
      <c r="F101" s="17">
        <f>C101/100*17.5</f>
        <v>12.25</v>
      </c>
      <c r="G101" s="17"/>
      <c r="H101" s="17">
        <f>C101/100*1.6</f>
        <v>1.1199999999999999</v>
      </c>
      <c r="I101" s="17">
        <f>C101/100*39.2</f>
        <v>27.44</v>
      </c>
      <c r="J101" s="21"/>
      <c r="K101" s="21"/>
      <c r="L101" s="321">
        <v>70</v>
      </c>
      <c r="M101" s="20">
        <v>50</v>
      </c>
      <c r="N101" s="16">
        <f t="shared" si="7"/>
        <v>3500</v>
      </c>
      <c r="O101" s="162"/>
      <c r="Q101" s="3"/>
      <c r="R101" s="3"/>
      <c r="S101" s="4"/>
      <c r="T101" s="3"/>
    </row>
    <row r="102" spans="1:23" s="2" customFormat="1" ht="19.2" customHeight="1">
      <c r="A102" s="8">
        <v>9</v>
      </c>
      <c r="B102" s="67" t="s">
        <v>60</v>
      </c>
      <c r="C102" s="12">
        <f>L102/100*89</f>
        <v>1904.6</v>
      </c>
      <c r="D102" s="13">
        <f>C102/100*154</f>
        <v>2933.0839999999998</v>
      </c>
      <c r="E102" s="14">
        <f>C102/100*13.1</f>
        <v>249.50259999999997</v>
      </c>
      <c r="F102" s="14"/>
      <c r="G102" s="14">
        <f>C102/100*11.1</f>
        <v>211.41059999999999</v>
      </c>
      <c r="H102" s="14"/>
      <c r="I102" s="14">
        <f>C102/100*0.4</f>
        <v>7.6184000000000003</v>
      </c>
      <c r="J102" s="64">
        <f>C102/100*64</f>
        <v>1218.944</v>
      </c>
      <c r="K102" s="22">
        <f>C102/100*0.13</f>
        <v>2.4759799999999998</v>
      </c>
      <c r="L102" s="111">
        <v>2140</v>
      </c>
      <c r="M102" s="42">
        <v>77</v>
      </c>
      <c r="N102" s="92">
        <f t="shared" si="7"/>
        <v>164780</v>
      </c>
      <c r="O102" s="162"/>
    </row>
    <row r="103" spans="1:23" s="118" customFormat="1" ht="19.2" customHeight="1">
      <c r="A103" s="8">
        <v>10</v>
      </c>
      <c r="B103" s="142" t="s">
        <v>135</v>
      </c>
      <c r="C103" s="134">
        <f>L103/100*65</f>
        <v>1111.5</v>
      </c>
      <c r="D103" s="135">
        <f>C103/100*14</f>
        <v>155.61000000000001</v>
      </c>
      <c r="E103" s="104"/>
      <c r="F103" s="104">
        <f>C103/100*0.6</f>
        <v>6.6689999999999996</v>
      </c>
      <c r="G103" s="104"/>
      <c r="H103" s="104">
        <f>C103/100*0.02</f>
        <v>0.2223</v>
      </c>
      <c r="I103" s="104">
        <f>C103/100*2.9</f>
        <v>32.233499999999999</v>
      </c>
      <c r="J103" s="104">
        <f>C103/100*21</f>
        <v>233.41499999999999</v>
      </c>
      <c r="K103" s="104">
        <f>C103/100*0.03</f>
        <v>0.33344999999999997</v>
      </c>
      <c r="L103" s="111">
        <v>1710</v>
      </c>
      <c r="M103" s="110">
        <v>23</v>
      </c>
      <c r="N103" s="113">
        <f t="shared" si="7"/>
        <v>39330</v>
      </c>
      <c r="O103" s="164"/>
    </row>
    <row r="104" spans="1:23" s="2" customFormat="1" ht="19.2" customHeight="1">
      <c r="A104" s="8">
        <v>11</v>
      </c>
      <c r="B104" s="9" t="s">
        <v>105</v>
      </c>
      <c r="C104" s="12"/>
      <c r="D104" s="135"/>
      <c r="E104" s="14"/>
      <c r="F104" s="14"/>
      <c r="G104" s="14"/>
      <c r="H104" s="14"/>
      <c r="I104" s="14"/>
      <c r="J104" s="14"/>
      <c r="K104" s="14"/>
      <c r="L104" s="15"/>
      <c r="M104" s="15"/>
      <c r="N104" s="16">
        <v>4200</v>
      </c>
      <c r="O104" s="162"/>
    </row>
    <row r="105" spans="1:23" s="2" customFormat="1" ht="19.2" customHeight="1">
      <c r="A105" s="23" t="s">
        <v>98</v>
      </c>
      <c r="B105" s="24"/>
      <c r="C105" s="25"/>
      <c r="D105" s="94">
        <f>SUM(D94:D104)</f>
        <v>17221.074000000001</v>
      </c>
      <c r="E105" s="31"/>
      <c r="F105" s="31"/>
      <c r="G105" s="31"/>
      <c r="H105" s="31"/>
      <c r="I105" s="31"/>
      <c r="J105" s="31"/>
      <c r="K105" s="31"/>
      <c r="L105" s="32"/>
      <c r="M105" s="32"/>
      <c r="N105" s="269">
        <f>SUM(N94:N104)</f>
        <v>595314</v>
      </c>
      <c r="O105" s="162"/>
    </row>
    <row r="106" spans="1:23" ht="19.2" customHeight="1">
      <c r="A106" s="23" t="s">
        <v>41</v>
      </c>
      <c r="B106" s="24"/>
      <c r="C106" s="33"/>
      <c r="D106" s="34">
        <f>D105/C88</f>
        <v>282.31268852459016</v>
      </c>
      <c r="E106" s="34"/>
      <c r="F106" s="34"/>
      <c r="G106" s="34"/>
      <c r="H106" s="34"/>
      <c r="I106" s="34"/>
      <c r="J106" s="34"/>
      <c r="K106" s="34"/>
      <c r="L106" s="35"/>
      <c r="M106" s="35"/>
      <c r="N106" s="270"/>
      <c r="O106" s="350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09" t="s">
        <v>42</v>
      </c>
      <c r="B107" s="210"/>
      <c r="C107" s="322" t="s">
        <v>125</v>
      </c>
      <c r="D107" s="29" t="s">
        <v>36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58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9.2" customHeight="1">
      <c r="A108" s="211"/>
      <c r="B108" s="212"/>
      <c r="C108" s="62" t="s">
        <v>56</v>
      </c>
      <c r="D108" s="29">
        <f>D106*100/930</f>
        <v>30.356203067160234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8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9.2" customHeight="1">
      <c r="A109" s="213" t="s">
        <v>43</v>
      </c>
      <c r="B109" s="213"/>
      <c r="C109" s="45"/>
      <c r="D109" s="46"/>
      <c r="E109" s="47"/>
      <c r="F109" s="47"/>
      <c r="G109" s="47"/>
      <c r="H109" s="47"/>
      <c r="I109" s="47"/>
      <c r="J109" s="47"/>
      <c r="K109" s="47"/>
      <c r="L109" s="48"/>
      <c r="M109" s="48"/>
      <c r="N109" s="51"/>
      <c r="O109" s="162"/>
    </row>
    <row r="110" spans="1:23" s="2" customFormat="1" ht="19.2" customHeight="1">
      <c r="A110" s="8">
        <v>1</v>
      </c>
      <c r="B110" s="9" t="s">
        <v>2</v>
      </c>
      <c r="C110" s="12">
        <f>L110/100*100</f>
        <v>70</v>
      </c>
      <c r="D110" s="13">
        <f>C110/100*60</f>
        <v>42</v>
      </c>
      <c r="E110" s="14">
        <f>C110/100*15</f>
        <v>10.5</v>
      </c>
      <c r="F110" s="14"/>
      <c r="G110" s="14"/>
      <c r="H110" s="14"/>
      <c r="I110" s="14"/>
      <c r="J110" s="64">
        <f>C110/100*387</f>
        <v>270.89999999999998</v>
      </c>
      <c r="K110" s="22">
        <f>C110/100*0.09</f>
        <v>6.3E-2</v>
      </c>
      <c r="L110" s="111">
        <v>70</v>
      </c>
      <c r="M110" s="20">
        <v>20</v>
      </c>
      <c r="N110" s="16">
        <f>L110*M110</f>
        <v>1400</v>
      </c>
      <c r="O110" s="162"/>
    </row>
    <row r="111" spans="1:23" s="2" customFormat="1" ht="19.2" customHeight="1">
      <c r="A111" s="8">
        <v>2</v>
      </c>
      <c r="B111" s="9" t="s">
        <v>114</v>
      </c>
      <c r="C111" s="12">
        <f>L111/100*100</f>
        <v>120</v>
      </c>
      <c r="D111" s="13">
        <f>C111/100*899</f>
        <v>1078.8</v>
      </c>
      <c r="E111" s="14"/>
      <c r="F111" s="14"/>
      <c r="G111" s="14">
        <f>C111/100*100</f>
        <v>120</v>
      </c>
      <c r="H111" s="14"/>
      <c r="I111" s="14"/>
      <c r="J111" s="14"/>
      <c r="K111" s="14"/>
      <c r="L111" s="15">
        <v>120</v>
      </c>
      <c r="M111" s="65">
        <v>69</v>
      </c>
      <c r="N111" s="16">
        <f t="shared" ref="N111" si="8">L111*M111</f>
        <v>8280</v>
      </c>
      <c r="O111" s="163"/>
    </row>
    <row r="112" spans="1:23" s="2" customFormat="1" ht="19.2" customHeight="1">
      <c r="A112" s="8">
        <v>3</v>
      </c>
      <c r="B112" s="5" t="s">
        <v>1</v>
      </c>
      <c r="C112" s="12">
        <f>L112/100*100</f>
        <v>2562</v>
      </c>
      <c r="D112" s="13">
        <f>C112/100*344</f>
        <v>8813.2800000000007</v>
      </c>
      <c r="E112" s="14"/>
      <c r="F112" s="14">
        <f>C112/100*7.9</f>
        <v>202.39800000000002</v>
      </c>
      <c r="G112" s="14"/>
      <c r="H112" s="14">
        <f>C112/100*1</f>
        <v>25.62</v>
      </c>
      <c r="I112" s="14">
        <f>C112/100*74</f>
        <v>1895.88</v>
      </c>
      <c r="J112" s="64">
        <f>C112/100*30</f>
        <v>768.6</v>
      </c>
      <c r="K112" s="22">
        <f>C112/100*0.1</f>
        <v>2.5620000000000003</v>
      </c>
      <c r="L112" s="111">
        <v>2562</v>
      </c>
      <c r="M112" s="20">
        <v>18</v>
      </c>
      <c r="N112" s="16">
        <f t="shared" ref="N112:N116" si="9">L112*M112</f>
        <v>46116</v>
      </c>
      <c r="O112" s="162"/>
    </row>
    <row r="113" spans="1:23" s="2" customFormat="1" ht="19.2" customHeight="1">
      <c r="A113" s="8">
        <v>4</v>
      </c>
      <c r="B113" s="5" t="s">
        <v>110</v>
      </c>
      <c r="C113" s="12">
        <f>L113/100*100</f>
        <v>50</v>
      </c>
      <c r="D113" s="13">
        <f>C113/100*247</f>
        <v>123.5</v>
      </c>
      <c r="E113" s="17"/>
      <c r="F113" s="17">
        <f>C113/100*17.5</f>
        <v>8.75</v>
      </c>
      <c r="G113" s="17"/>
      <c r="H113" s="17">
        <f>C113/100*1.6</f>
        <v>0.8</v>
      </c>
      <c r="I113" s="17">
        <f>C113/100*39.2</f>
        <v>19.600000000000001</v>
      </c>
      <c r="J113" s="21"/>
      <c r="K113" s="21"/>
      <c r="L113" s="321">
        <v>50</v>
      </c>
      <c r="M113" s="20">
        <v>50</v>
      </c>
      <c r="N113" s="16">
        <f t="shared" si="9"/>
        <v>2500</v>
      </c>
      <c r="O113" s="162"/>
      <c r="Q113" s="3"/>
      <c r="R113" s="3"/>
      <c r="S113" s="4"/>
      <c r="T113" s="3"/>
    </row>
    <row r="114" spans="1:23" s="2" customFormat="1" ht="19.2" customHeight="1">
      <c r="A114" s="8">
        <v>5</v>
      </c>
      <c r="B114" s="5" t="s">
        <v>66</v>
      </c>
      <c r="C114" s="12">
        <f>L114/100*75</f>
        <v>457.5</v>
      </c>
      <c r="D114" s="13">
        <f>C114/100*12</f>
        <v>54.900000000000006</v>
      </c>
      <c r="E114" s="14">
        <f>C114/100*0.6</f>
        <v>2.7450000000000001</v>
      </c>
      <c r="F114" s="14"/>
      <c r="G114" s="14"/>
      <c r="H114" s="14"/>
      <c r="I114" s="14">
        <f>C114/100*2.4</f>
        <v>10.98</v>
      </c>
      <c r="J114" s="64">
        <f>C114/100*26</f>
        <v>118.95</v>
      </c>
      <c r="K114" s="22">
        <f>C114/100*0.02</f>
        <v>9.1500000000000012E-2</v>
      </c>
      <c r="L114" s="111">
        <v>610</v>
      </c>
      <c r="M114" s="15">
        <v>20</v>
      </c>
      <c r="N114" s="16">
        <f t="shared" si="9"/>
        <v>12200</v>
      </c>
      <c r="O114" s="162"/>
    </row>
    <row r="115" spans="1:23" s="2" customFormat="1" ht="19.2" customHeight="1">
      <c r="A115" s="8">
        <v>6</v>
      </c>
      <c r="B115" s="5" t="s">
        <v>78</v>
      </c>
      <c r="C115" s="12">
        <f>L115/100*82</f>
        <v>1500.6000000000001</v>
      </c>
      <c r="D115" s="13">
        <f>C115/100*27</f>
        <v>405.16200000000003</v>
      </c>
      <c r="E115" s="17"/>
      <c r="F115" s="17">
        <f>C115/100*0.3</f>
        <v>4.5018000000000002</v>
      </c>
      <c r="G115" s="17"/>
      <c r="H115" s="17">
        <f>C115/100*0.1</f>
        <v>1.5006000000000004</v>
      </c>
      <c r="I115" s="17">
        <f>C115/100*6.1</f>
        <v>91.536600000000007</v>
      </c>
      <c r="J115" s="63">
        <f>C115/100*24</f>
        <v>360.14400000000006</v>
      </c>
      <c r="K115" s="21">
        <f>C115/100*0.03</f>
        <v>0.45018000000000002</v>
      </c>
      <c r="L115" s="320">
        <v>1830</v>
      </c>
      <c r="M115" s="15">
        <v>22</v>
      </c>
      <c r="N115" s="113">
        <f t="shared" si="9"/>
        <v>40260</v>
      </c>
      <c r="O115" s="162"/>
      <c r="Q115" s="3"/>
      <c r="R115" s="3"/>
      <c r="S115" s="4"/>
    </row>
    <row r="116" spans="1:23" s="2" customFormat="1" ht="19.2" customHeight="1">
      <c r="A116" s="8">
        <v>7</v>
      </c>
      <c r="B116" s="9" t="s">
        <v>62</v>
      </c>
      <c r="C116" s="12">
        <f>L116/100*40</f>
        <v>2292</v>
      </c>
      <c r="D116" s="13">
        <f>C116/100*276</f>
        <v>6325.92</v>
      </c>
      <c r="E116" s="14">
        <f>C116/100*17.8</f>
        <v>407.97600000000006</v>
      </c>
      <c r="F116" s="14"/>
      <c r="G116" s="14">
        <f>C116/100*21.8</f>
        <v>499.65600000000006</v>
      </c>
      <c r="H116" s="14"/>
      <c r="I116" s="14"/>
      <c r="J116" s="64">
        <f>C116/100*13</f>
        <v>297.96000000000004</v>
      </c>
      <c r="K116" s="22">
        <f>C116/100*0.07</f>
        <v>1.6044000000000003</v>
      </c>
      <c r="L116" s="111">
        <v>5730</v>
      </c>
      <c r="M116" s="20">
        <v>63</v>
      </c>
      <c r="N116" s="93">
        <f t="shared" si="9"/>
        <v>360990</v>
      </c>
      <c r="O116" s="162"/>
    </row>
    <row r="117" spans="1:23" s="2" customFormat="1" ht="19.2" customHeight="1">
      <c r="A117" s="8">
        <v>8</v>
      </c>
      <c r="B117" s="9" t="s">
        <v>105</v>
      </c>
      <c r="C117" s="12"/>
      <c r="D117" s="13"/>
      <c r="E117" s="14"/>
      <c r="F117" s="14"/>
      <c r="G117" s="104"/>
      <c r="H117" s="104"/>
      <c r="I117" s="14"/>
      <c r="J117" s="14"/>
      <c r="K117" s="14"/>
      <c r="L117" s="15"/>
      <c r="M117" s="15"/>
      <c r="N117" s="16">
        <v>4760</v>
      </c>
      <c r="O117" s="162"/>
    </row>
    <row r="118" spans="1:23" s="2" customFormat="1" ht="19.2" customHeight="1">
      <c r="A118" s="23" t="s">
        <v>99</v>
      </c>
      <c r="B118" s="24"/>
      <c r="C118" s="25"/>
      <c r="D118" s="94">
        <f>SUM(D110:D117)</f>
        <v>16843.561999999998</v>
      </c>
      <c r="E118" s="31"/>
      <c r="F118" s="31"/>
      <c r="G118" s="31"/>
      <c r="H118" s="31"/>
      <c r="I118" s="31"/>
      <c r="J118" s="31"/>
      <c r="K118" s="31"/>
      <c r="L118" s="32"/>
      <c r="M118" s="32"/>
      <c r="N118" s="269">
        <f>SUM(N110:N117)</f>
        <v>476506</v>
      </c>
      <c r="O118" s="162"/>
    </row>
    <row r="119" spans="1:23" ht="19.2" customHeight="1">
      <c r="A119" s="23" t="s">
        <v>44</v>
      </c>
      <c r="B119" s="24"/>
      <c r="C119" s="52"/>
      <c r="D119" s="36">
        <f>D118/C88</f>
        <v>276.12396721311472</v>
      </c>
      <c r="E119" s="36"/>
      <c r="F119" s="36"/>
      <c r="G119" s="36"/>
      <c r="H119" s="36"/>
      <c r="I119" s="36"/>
      <c r="J119" s="36"/>
      <c r="K119" s="36"/>
      <c r="L119" s="53"/>
      <c r="M119" s="35"/>
      <c r="N119" s="270"/>
      <c r="O119" s="350"/>
      <c r="P119" s="2"/>
      <c r="Q119" s="2"/>
      <c r="R119" s="2"/>
      <c r="S119" s="2"/>
      <c r="T119" s="2"/>
      <c r="U119" s="2"/>
      <c r="V119" s="2"/>
      <c r="W119" s="2"/>
    </row>
    <row r="120" spans="1:23" ht="19.2" customHeight="1">
      <c r="A120" s="209" t="s">
        <v>45</v>
      </c>
      <c r="B120" s="210"/>
      <c r="C120" s="322" t="s">
        <v>125</v>
      </c>
      <c r="D120" s="29" t="s">
        <v>46</v>
      </c>
      <c r="E120" s="34"/>
      <c r="F120" s="34"/>
      <c r="G120" s="34"/>
      <c r="H120" s="34"/>
      <c r="I120" s="34"/>
      <c r="J120" s="36"/>
      <c r="K120" s="36"/>
      <c r="L120" s="35"/>
      <c r="M120" s="35"/>
      <c r="N120" s="158"/>
      <c r="O120" s="350"/>
      <c r="P120" s="2"/>
      <c r="Q120" s="2"/>
      <c r="R120" s="2"/>
      <c r="S120" s="2"/>
      <c r="T120" s="2"/>
      <c r="U120" s="2"/>
      <c r="V120" s="2"/>
      <c r="W120" s="2"/>
    </row>
    <row r="121" spans="1:23" ht="19.2" customHeight="1">
      <c r="A121" s="211"/>
      <c r="B121" s="212"/>
      <c r="C121" s="62" t="s">
        <v>56</v>
      </c>
      <c r="D121" s="29">
        <f>D119*100/930</f>
        <v>29.690749162700509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8"/>
      <c r="O121" s="350"/>
      <c r="P121" s="2"/>
      <c r="Q121" s="2"/>
      <c r="R121" s="2"/>
      <c r="S121" s="2"/>
      <c r="T121" s="2"/>
      <c r="U121" s="2"/>
      <c r="V121" s="2"/>
      <c r="W121" s="2"/>
    </row>
    <row r="122" spans="1:23" ht="19.2" customHeight="1">
      <c r="A122" s="213" t="s">
        <v>37</v>
      </c>
      <c r="B122" s="213"/>
      <c r="C122" s="54"/>
      <c r="D122" s="55"/>
      <c r="E122" s="55"/>
      <c r="F122" s="55"/>
      <c r="G122" s="55"/>
      <c r="H122" s="55"/>
      <c r="I122" s="55"/>
      <c r="J122" s="55"/>
      <c r="K122" s="55"/>
      <c r="L122" s="56"/>
      <c r="M122" s="56"/>
      <c r="N122" s="57"/>
      <c r="O122" s="350"/>
      <c r="P122" s="2"/>
      <c r="Q122" s="2"/>
      <c r="R122" s="2"/>
      <c r="S122" s="2"/>
      <c r="T122" s="2"/>
      <c r="U122" s="2"/>
      <c r="V122" s="2"/>
      <c r="W122" s="2"/>
    </row>
    <row r="123" spans="1:23" s="2" customFormat="1" ht="19.2" customHeight="1">
      <c r="A123" s="119">
        <v>1</v>
      </c>
      <c r="B123" s="140" t="s">
        <v>123</v>
      </c>
      <c r="C123" s="25">
        <f>L123/100*100</f>
        <v>1040</v>
      </c>
      <c r="D123" s="120">
        <f>C123/100*487</f>
        <v>5064.8</v>
      </c>
      <c r="E123" s="27"/>
      <c r="F123" s="27">
        <f>C123/100*19.5</f>
        <v>202.8</v>
      </c>
      <c r="G123" s="27"/>
      <c r="H123" s="27">
        <f>C123/100*23.2</f>
        <v>241.28</v>
      </c>
      <c r="I123" s="27">
        <f>C123/100*46</f>
        <v>478.40000000000003</v>
      </c>
      <c r="J123" s="121">
        <f>C123/100*680</f>
        <v>7072</v>
      </c>
      <c r="K123" s="27">
        <f>C123/100*0.55</f>
        <v>5.7200000000000006</v>
      </c>
      <c r="L123" s="28">
        <v>1040</v>
      </c>
      <c r="M123" s="141">
        <v>260</v>
      </c>
      <c r="N123" s="148">
        <f t="shared" ref="N123" si="10">L123*M123</f>
        <v>270400</v>
      </c>
      <c r="O123" s="162"/>
      <c r="P123" s="3"/>
    </row>
    <row r="124" spans="1:23" ht="19.8" customHeight="1">
      <c r="A124" s="170" t="s">
        <v>0</v>
      </c>
      <c r="B124" s="173" t="s">
        <v>18</v>
      </c>
      <c r="C124" s="176" t="s">
        <v>7</v>
      </c>
      <c r="D124" s="176" t="s">
        <v>8</v>
      </c>
      <c r="E124" s="284" t="s">
        <v>10</v>
      </c>
      <c r="F124" s="285"/>
      <c r="G124" s="284" t="s">
        <v>12</v>
      </c>
      <c r="H124" s="285"/>
      <c r="I124" s="198" t="s">
        <v>15</v>
      </c>
      <c r="J124" s="198" t="s">
        <v>30</v>
      </c>
      <c r="K124" s="198" t="s">
        <v>31</v>
      </c>
      <c r="L124" s="198" t="s">
        <v>16</v>
      </c>
      <c r="M124" s="198" t="s">
        <v>32</v>
      </c>
      <c r="N124" s="170" t="s">
        <v>17</v>
      </c>
      <c r="O124" s="161"/>
    </row>
    <row r="125" spans="1:23" ht="19.8" customHeight="1">
      <c r="A125" s="171"/>
      <c r="B125" s="174"/>
      <c r="C125" s="177"/>
      <c r="D125" s="177"/>
      <c r="E125" s="286"/>
      <c r="F125" s="287"/>
      <c r="G125" s="286"/>
      <c r="H125" s="287"/>
      <c r="I125" s="206"/>
      <c r="J125" s="206"/>
      <c r="K125" s="206"/>
      <c r="L125" s="206"/>
      <c r="M125" s="206"/>
      <c r="N125" s="171"/>
      <c r="O125" s="152"/>
    </row>
    <row r="126" spans="1:23" ht="21" customHeight="1">
      <c r="A126" s="171"/>
      <c r="B126" s="174"/>
      <c r="C126" s="177"/>
      <c r="D126" s="177"/>
      <c r="E126" s="198" t="s">
        <v>9</v>
      </c>
      <c r="F126" s="198" t="s">
        <v>11</v>
      </c>
      <c r="G126" s="198" t="s">
        <v>13</v>
      </c>
      <c r="H126" s="198" t="s">
        <v>14</v>
      </c>
      <c r="I126" s="206"/>
      <c r="J126" s="206"/>
      <c r="K126" s="206"/>
      <c r="L126" s="206"/>
      <c r="M126" s="206"/>
      <c r="N126" s="171"/>
      <c r="O126" s="152"/>
    </row>
    <row r="127" spans="1:23" ht="21" customHeight="1">
      <c r="A127" s="172"/>
      <c r="B127" s="175"/>
      <c r="C127" s="178"/>
      <c r="D127" s="178"/>
      <c r="E127" s="199"/>
      <c r="F127" s="199"/>
      <c r="G127" s="199"/>
      <c r="H127" s="199"/>
      <c r="I127" s="199"/>
      <c r="J127" s="199"/>
      <c r="K127" s="199"/>
      <c r="L127" s="199"/>
      <c r="M127" s="199"/>
      <c r="N127" s="172"/>
      <c r="O127" s="152"/>
    </row>
    <row r="128" spans="1:23" s="2" customFormat="1" ht="21" customHeight="1">
      <c r="A128" s="214" t="s">
        <v>92</v>
      </c>
      <c r="B128" s="214"/>
      <c r="C128" s="25"/>
      <c r="D128" s="26">
        <f>SUM(D122:D123)</f>
        <v>5064.8</v>
      </c>
      <c r="E128" s="31"/>
      <c r="F128" s="31"/>
      <c r="G128" s="31"/>
      <c r="H128" s="31"/>
      <c r="I128" s="31"/>
      <c r="J128" s="31"/>
      <c r="K128" s="31"/>
      <c r="L128" s="32"/>
      <c r="M128" s="58"/>
      <c r="N128" s="269">
        <f>SUM(N122:N123)</f>
        <v>270400</v>
      </c>
      <c r="O128" s="162"/>
    </row>
    <row r="129" spans="1:23" ht="21" customHeight="1">
      <c r="A129" s="214" t="s">
        <v>6</v>
      </c>
      <c r="B129" s="214"/>
      <c r="C129" s="33"/>
      <c r="D129" s="34">
        <f>D128/C88</f>
        <v>83.029508196721309</v>
      </c>
      <c r="E129" s="34"/>
      <c r="F129" s="34"/>
      <c r="G129" s="34"/>
      <c r="H129" s="34"/>
      <c r="I129" s="34"/>
      <c r="J129" s="34"/>
      <c r="K129" s="34"/>
      <c r="L129" s="35"/>
      <c r="M129" s="18"/>
      <c r="N129" s="270"/>
      <c r="O129" s="350"/>
      <c r="P129" s="2"/>
      <c r="Q129" s="2"/>
      <c r="R129" s="2"/>
      <c r="S129" s="2"/>
      <c r="T129" s="2"/>
      <c r="U129" s="2"/>
      <c r="V129" s="2"/>
      <c r="W129" s="2"/>
    </row>
    <row r="130" spans="1:23" ht="21" customHeight="1">
      <c r="A130" s="209" t="s">
        <v>38</v>
      </c>
      <c r="B130" s="210"/>
      <c r="C130" s="322" t="s">
        <v>125</v>
      </c>
      <c r="D130" s="29" t="s">
        <v>47</v>
      </c>
      <c r="E130" s="34"/>
      <c r="F130" s="34"/>
      <c r="G130" s="34"/>
      <c r="H130" s="34"/>
      <c r="I130" s="34"/>
      <c r="J130" s="36"/>
      <c r="K130" s="36"/>
      <c r="L130" s="35"/>
      <c r="M130" s="35"/>
      <c r="N130" s="158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211"/>
      <c r="B131" s="212"/>
      <c r="C131" s="62" t="s">
        <v>56</v>
      </c>
      <c r="D131" s="29">
        <f>D129*100/930</f>
        <v>8.927904107174335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8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15" t="s">
        <v>93</v>
      </c>
      <c r="B132" s="216"/>
      <c r="C132" s="219"/>
      <c r="D132" s="280">
        <f>D105+D118+D128</f>
        <v>39129.436000000002</v>
      </c>
      <c r="E132" s="6">
        <f>SUM(E94:E130)</f>
        <v>982.4076</v>
      </c>
      <c r="F132" s="6">
        <f t="shared" ref="F132:H132" si="11">SUM(F94:F130)</f>
        <v>671.67579999999998</v>
      </c>
      <c r="G132" s="95">
        <f t="shared" si="11"/>
        <v>1066.0129999999999</v>
      </c>
      <c r="H132" s="6">
        <f t="shared" si="11"/>
        <v>446.94489999999996</v>
      </c>
      <c r="I132" s="227">
        <f>SUM(I94:I130)</f>
        <v>4550.1184999999996</v>
      </c>
      <c r="J132" s="225">
        <f>SUM(J94:J123)</f>
        <v>11657.097</v>
      </c>
      <c r="K132" s="227">
        <f>SUM(K94:K123)</f>
        <v>24.532910000000001</v>
      </c>
      <c r="L132" s="229"/>
      <c r="M132" s="229"/>
      <c r="N132" s="230">
        <f>N105+N118+N128</f>
        <v>1342220</v>
      </c>
      <c r="U132" s="11"/>
      <c r="V132" s="11"/>
    </row>
    <row r="133" spans="1:23" ht="21" customHeight="1">
      <c r="A133" s="217"/>
      <c r="B133" s="218"/>
      <c r="C133" s="220"/>
      <c r="D133" s="281"/>
      <c r="E133" s="231">
        <f>E132+F132</f>
        <v>1654.0834</v>
      </c>
      <c r="F133" s="232"/>
      <c r="G133" s="231">
        <f>G132+H132</f>
        <v>1512.9578999999999</v>
      </c>
      <c r="H133" s="232"/>
      <c r="I133" s="228"/>
      <c r="J133" s="226"/>
      <c r="K133" s="228"/>
      <c r="L133" s="229"/>
      <c r="M133" s="229"/>
      <c r="N133" s="230"/>
      <c r="U133" s="11"/>
      <c r="V133" s="11"/>
    </row>
    <row r="134" spans="1:23" ht="21" customHeight="1">
      <c r="A134" s="271" t="s">
        <v>73</v>
      </c>
      <c r="B134" s="272"/>
      <c r="C134" s="273"/>
      <c r="D134" s="131">
        <f>D132/C88</f>
        <v>641.46616393442628</v>
      </c>
      <c r="E134" s="108">
        <f>E132/C88</f>
        <v>16.105042622950819</v>
      </c>
      <c r="F134" s="107">
        <f>F132/C88</f>
        <v>11.01107868852459</v>
      </c>
      <c r="G134" s="108">
        <f>G132/C88</f>
        <v>17.47562295081967</v>
      </c>
      <c r="H134" s="107">
        <f>H132/C88</f>
        <v>7.3269655737704911</v>
      </c>
      <c r="I134" s="241">
        <f>I132/C88</f>
        <v>74.592106557377036</v>
      </c>
      <c r="J134" s="239">
        <f>J132/C88</f>
        <v>191.09995081967213</v>
      </c>
      <c r="K134" s="241">
        <f>K132/C88</f>
        <v>0.40217885245901641</v>
      </c>
      <c r="L134" s="229"/>
      <c r="M134" s="229"/>
      <c r="N134" s="230"/>
      <c r="P134" s="333"/>
      <c r="Q134" s="334"/>
      <c r="R134" s="334"/>
      <c r="S134" s="334"/>
      <c r="T134" s="334"/>
      <c r="U134" s="335"/>
      <c r="V134" s="335"/>
    </row>
    <row r="135" spans="1:23" ht="21" customHeight="1">
      <c r="A135" s="274"/>
      <c r="B135" s="275"/>
      <c r="C135" s="276"/>
      <c r="D135" s="98"/>
      <c r="E135" s="302">
        <f>E134+F134</f>
        <v>27.11612131147541</v>
      </c>
      <c r="F135" s="301"/>
      <c r="G135" s="302">
        <f>G134+H134</f>
        <v>24.80258852459016</v>
      </c>
      <c r="H135" s="301"/>
      <c r="I135" s="242"/>
      <c r="J135" s="240"/>
      <c r="K135" s="242"/>
      <c r="L135" s="229"/>
      <c r="M135" s="229"/>
      <c r="N135" s="230"/>
      <c r="P135" s="336"/>
      <c r="Q135" s="334"/>
      <c r="R135" s="334"/>
      <c r="S135" s="337"/>
      <c r="T135" s="337"/>
      <c r="U135" s="334"/>
      <c r="V135" s="334"/>
    </row>
    <row r="136" spans="1:23" ht="21" customHeight="1">
      <c r="A136" s="323" t="s">
        <v>74</v>
      </c>
      <c r="B136" s="324"/>
      <c r="C136" s="325"/>
      <c r="D136" s="326" t="s">
        <v>26</v>
      </c>
      <c r="E136" s="332" t="s">
        <v>22</v>
      </c>
      <c r="F136" s="332"/>
      <c r="G136" s="332" t="s">
        <v>23</v>
      </c>
      <c r="H136" s="332"/>
      <c r="I136" s="326" t="s">
        <v>24</v>
      </c>
      <c r="J136" s="153">
        <v>500</v>
      </c>
      <c r="K136" s="153">
        <v>0.59</v>
      </c>
      <c r="L136" s="229"/>
      <c r="M136" s="229"/>
      <c r="N136" s="230"/>
      <c r="O136" s="166"/>
      <c r="P136" s="333"/>
      <c r="Q136" s="333"/>
      <c r="R136" s="333"/>
      <c r="S136" s="333"/>
      <c r="T136" s="333"/>
      <c r="U136" s="333"/>
      <c r="V136" s="333"/>
    </row>
    <row r="137" spans="1:23" ht="21" customHeight="1">
      <c r="A137" s="246" t="s">
        <v>67</v>
      </c>
      <c r="B137" s="247"/>
      <c r="C137" s="248"/>
      <c r="D137" s="19"/>
      <c r="E137" s="249">
        <f>E135*4.1</f>
        <v>111.17609737704917</v>
      </c>
      <c r="F137" s="250"/>
      <c r="G137" s="249">
        <f>G135*9</f>
        <v>223.22329672131144</v>
      </c>
      <c r="H137" s="250"/>
      <c r="I137" s="68">
        <f>I134*4.1</f>
        <v>305.82763688524579</v>
      </c>
      <c r="J137" s="251"/>
      <c r="K137" s="251"/>
      <c r="L137" s="229"/>
      <c r="M137" s="229"/>
      <c r="N137" s="230"/>
      <c r="O137" s="166"/>
      <c r="P137" s="338"/>
      <c r="Q137" s="339"/>
      <c r="R137" s="339"/>
      <c r="S137" s="339"/>
      <c r="T137" s="333"/>
      <c r="U137" s="333"/>
      <c r="V137" s="333"/>
    </row>
    <row r="138" spans="1:23" ht="21" customHeight="1">
      <c r="A138" s="254" t="s">
        <v>75</v>
      </c>
      <c r="B138" s="255"/>
      <c r="C138" s="246" t="s">
        <v>56</v>
      </c>
      <c r="D138" s="248"/>
      <c r="E138" s="282">
        <f>E137*100/D134</f>
        <v>17.331560669568553</v>
      </c>
      <c r="F138" s="283"/>
      <c r="G138" s="282">
        <f>G137*100/D134</f>
        <v>34.798919923098296</v>
      </c>
      <c r="H138" s="283"/>
      <c r="I138" s="86">
        <f>I137*100/D134</f>
        <v>47.676347417836517</v>
      </c>
      <c r="J138" s="252"/>
      <c r="K138" s="252"/>
      <c r="L138" s="229"/>
      <c r="M138" s="229"/>
      <c r="N138" s="230"/>
      <c r="O138" s="166"/>
      <c r="P138" s="333"/>
      <c r="Q138" s="340"/>
      <c r="R138" s="333"/>
      <c r="S138" s="333"/>
      <c r="T138" s="333"/>
      <c r="U138" s="333"/>
      <c r="V138" s="333"/>
    </row>
    <row r="139" spans="1:23" ht="21" customHeight="1">
      <c r="A139" s="256"/>
      <c r="B139" s="257"/>
      <c r="C139" s="246" t="s">
        <v>69</v>
      </c>
      <c r="D139" s="248"/>
      <c r="E139" s="246" t="s">
        <v>70</v>
      </c>
      <c r="F139" s="248"/>
      <c r="G139" s="246" t="s">
        <v>76</v>
      </c>
      <c r="H139" s="248"/>
      <c r="I139" s="326" t="s">
        <v>77</v>
      </c>
      <c r="J139" s="253"/>
      <c r="K139" s="253"/>
      <c r="L139" s="229"/>
      <c r="M139" s="229"/>
      <c r="N139" s="230"/>
      <c r="O139" s="166"/>
      <c r="P139" s="84"/>
    </row>
    <row r="140" spans="1:23" ht="21" customHeight="1">
      <c r="A140" s="70"/>
      <c r="B140" s="71"/>
      <c r="C140" s="70"/>
      <c r="D140" s="70"/>
      <c r="E140" s="70"/>
      <c r="F140" s="70"/>
      <c r="G140" s="70"/>
      <c r="H140" s="70"/>
      <c r="I140" s="70"/>
      <c r="J140" s="70"/>
      <c r="K140" s="70"/>
      <c r="L140" s="72"/>
      <c r="M140" s="72"/>
      <c r="N140" s="73"/>
      <c r="O140" s="166"/>
    </row>
    <row r="141" spans="1:23" ht="21" customHeight="1">
      <c r="A141" s="243" t="s">
        <v>94</v>
      </c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166"/>
    </row>
    <row r="142" spans="1:23" ht="21" customHeight="1">
      <c r="A142" s="87" t="s">
        <v>95</v>
      </c>
      <c r="B142" s="244" t="s">
        <v>96</v>
      </c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166"/>
    </row>
    <row r="143" spans="1:23" ht="21" customHeight="1">
      <c r="A143" s="88"/>
      <c r="B143" s="245" t="s">
        <v>175</v>
      </c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166"/>
    </row>
    <row r="144" spans="1:23" ht="21" customHeight="1">
      <c r="A144" s="88"/>
      <c r="B144" s="245" t="s">
        <v>176</v>
      </c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166"/>
    </row>
    <row r="145" spans="1:15" ht="21" customHeight="1">
      <c r="A145" s="88"/>
      <c r="B145" s="245" t="s">
        <v>148</v>
      </c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66"/>
    </row>
    <row r="146" spans="1:15" ht="21" customHeight="1">
      <c r="A146" s="70"/>
      <c r="B146" s="260" t="s">
        <v>101</v>
      </c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166"/>
    </row>
    <row r="147" spans="1:15" ht="2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89"/>
      <c r="M147" s="89"/>
      <c r="N147" s="90"/>
      <c r="O147" s="166"/>
    </row>
    <row r="148" spans="1:15" ht="21" customHeight="1">
      <c r="A148" s="261" t="s">
        <v>58</v>
      </c>
      <c r="B148" s="261"/>
      <c r="C148" s="261"/>
      <c r="D148" s="261"/>
      <c r="E148" s="328"/>
      <c r="F148" s="328"/>
      <c r="G148" s="328"/>
      <c r="H148" s="328"/>
      <c r="I148" s="328"/>
      <c r="J148" s="329" t="s">
        <v>34</v>
      </c>
      <c r="K148" s="329"/>
      <c r="L148" s="329"/>
      <c r="M148" s="329"/>
      <c r="N148" s="329"/>
      <c r="O148" s="166"/>
    </row>
    <row r="149" spans="1:15" ht="21" customHeight="1">
      <c r="A149" s="152"/>
      <c r="B149" s="152"/>
      <c r="C149" s="152"/>
      <c r="D149" s="328"/>
      <c r="E149" s="328"/>
      <c r="F149" s="328"/>
      <c r="G149" s="328"/>
      <c r="H149" s="330"/>
      <c r="I149" s="330"/>
      <c r="J149" s="330"/>
      <c r="K149" s="330"/>
      <c r="L149" s="330"/>
      <c r="M149" s="330"/>
      <c r="N149" s="330"/>
      <c r="O149" s="166"/>
    </row>
    <row r="150" spans="1:15" ht="21" customHeight="1">
      <c r="A150" s="152"/>
      <c r="B150" s="152"/>
      <c r="C150" s="152"/>
      <c r="D150" s="328"/>
      <c r="E150" s="328"/>
      <c r="F150" s="328"/>
      <c r="G150" s="328"/>
      <c r="H150" s="330"/>
      <c r="I150" s="330"/>
      <c r="J150" s="330"/>
      <c r="K150" s="330"/>
      <c r="L150" s="330"/>
      <c r="M150" s="330"/>
      <c r="N150" s="330"/>
      <c r="O150" s="166"/>
    </row>
    <row r="151" spans="1:15" ht="21" customHeight="1">
      <c r="A151" s="262" t="s">
        <v>82</v>
      </c>
      <c r="B151" s="262"/>
      <c r="C151" s="262"/>
      <c r="D151" s="262"/>
      <c r="E151" s="328"/>
      <c r="F151" s="328"/>
      <c r="G151" s="328"/>
      <c r="H151" s="330"/>
      <c r="I151" s="330"/>
      <c r="J151" s="331" t="s">
        <v>97</v>
      </c>
      <c r="K151" s="331"/>
      <c r="L151" s="331"/>
      <c r="M151" s="331"/>
      <c r="N151" s="331"/>
      <c r="O151" s="166"/>
    </row>
    <row r="154" spans="1:15" ht="21" customHeight="1">
      <c r="J154" s="331" t="s">
        <v>108</v>
      </c>
      <c r="K154" s="331"/>
      <c r="L154" s="331"/>
      <c r="M154" s="331"/>
      <c r="N154" s="331"/>
    </row>
  </sheetData>
  <mergeCells count="206">
    <mergeCell ref="A8:D8"/>
    <mergeCell ref="B146:N146"/>
    <mergeCell ref="A148:D148"/>
    <mergeCell ref="J148:N148"/>
    <mergeCell ref="N89:N92"/>
    <mergeCell ref="E91:E92"/>
    <mergeCell ref="F91:F92"/>
    <mergeCell ref="G91:G92"/>
    <mergeCell ref="E54:F54"/>
    <mergeCell ref="E89:F90"/>
    <mergeCell ref="I89:I92"/>
    <mergeCell ref="J85:N85"/>
    <mergeCell ref="J86:N86"/>
    <mergeCell ref="J87:N87"/>
    <mergeCell ref="A93:N93"/>
    <mergeCell ref="L89:L92"/>
    <mergeCell ref="E83:N83"/>
    <mergeCell ref="K132:K133"/>
    <mergeCell ref="J132:J133"/>
    <mergeCell ref="A130:B131"/>
    <mergeCell ref="A128:B128"/>
    <mergeCell ref="A59:N59"/>
    <mergeCell ref="B60:N60"/>
    <mergeCell ref="B61:N61"/>
    <mergeCell ref="N50:N57"/>
    <mergeCell ref="N46:N47"/>
    <mergeCell ref="A55:C55"/>
    <mergeCell ref="E55:F55"/>
    <mergeCell ref="G55:H55"/>
    <mergeCell ref="J55:J57"/>
    <mergeCell ref="K55:K57"/>
    <mergeCell ref="A56:B57"/>
    <mergeCell ref="C56:D56"/>
    <mergeCell ref="M11:M14"/>
    <mergeCell ref="J50:J51"/>
    <mergeCell ref="I11:I14"/>
    <mergeCell ref="E13:E14"/>
    <mergeCell ref="B11:B14"/>
    <mergeCell ref="J52:J53"/>
    <mergeCell ref="K52:K53"/>
    <mergeCell ref="I52:I53"/>
    <mergeCell ref="E53:F53"/>
    <mergeCell ref="G53:H53"/>
    <mergeCell ref="K50:K51"/>
    <mergeCell ref="M50:M57"/>
    <mergeCell ref="F1:N1"/>
    <mergeCell ref="F81:N81"/>
    <mergeCell ref="J42:J45"/>
    <mergeCell ref="A30:B31"/>
    <mergeCell ref="A32:B32"/>
    <mergeCell ref="A46:B46"/>
    <mergeCell ref="A48:B49"/>
    <mergeCell ref="A107:B108"/>
    <mergeCell ref="A109:B109"/>
    <mergeCell ref="K42:K45"/>
    <mergeCell ref="A87:D87"/>
    <mergeCell ref="A11:A14"/>
    <mergeCell ref="L11:L14"/>
    <mergeCell ref="N11:N14"/>
    <mergeCell ref="N105:N106"/>
    <mergeCell ref="A15:N15"/>
    <mergeCell ref="I50:I51"/>
    <mergeCell ref="E51:F51"/>
    <mergeCell ref="G51:H51"/>
    <mergeCell ref="A50:B51"/>
    <mergeCell ref="C50:C51"/>
    <mergeCell ref="D50:D51"/>
    <mergeCell ref="N28:N29"/>
    <mergeCell ref="A10:B10"/>
    <mergeCell ref="Q53:R53"/>
    <mergeCell ref="G89:H90"/>
    <mergeCell ref="J69:N69"/>
    <mergeCell ref="A5:D5"/>
    <mergeCell ref="E5:N5"/>
    <mergeCell ref="A6:D6"/>
    <mergeCell ref="E6:I9"/>
    <mergeCell ref="J6:N9"/>
    <mergeCell ref="A7:D7"/>
    <mergeCell ref="A9:D9"/>
    <mergeCell ref="C11:C14"/>
    <mergeCell ref="E42:F43"/>
    <mergeCell ref="G42:H43"/>
    <mergeCell ref="D11:D14"/>
    <mergeCell ref="M42:M45"/>
    <mergeCell ref="F13:F14"/>
    <mergeCell ref="G13:G14"/>
    <mergeCell ref="H13:H14"/>
    <mergeCell ref="E11:F12"/>
    <mergeCell ref="G11:H12"/>
    <mergeCell ref="I42:I45"/>
    <mergeCell ref="N42:N45"/>
    <mergeCell ref="E44:E45"/>
    <mergeCell ref="K11:K14"/>
    <mergeCell ref="C10:D10"/>
    <mergeCell ref="J11:J14"/>
    <mergeCell ref="U53:V53"/>
    <mergeCell ref="U54:V54"/>
    <mergeCell ref="S53:T53"/>
    <mergeCell ref="Q54:R54"/>
    <mergeCell ref="S54:T54"/>
    <mergeCell ref="A89:A92"/>
    <mergeCell ref="B89:B92"/>
    <mergeCell ref="C89:C92"/>
    <mergeCell ref="H91:H92"/>
    <mergeCell ref="J89:J92"/>
    <mergeCell ref="K89:K92"/>
    <mergeCell ref="M89:M92"/>
    <mergeCell ref="D89:D92"/>
    <mergeCell ref="E84:I84"/>
    <mergeCell ref="G57:H57"/>
    <mergeCell ref="A86:D86"/>
    <mergeCell ref="A52:C53"/>
    <mergeCell ref="E56:F56"/>
    <mergeCell ref="G56:H56"/>
    <mergeCell ref="C57:D57"/>
    <mergeCell ref="E57:F57"/>
    <mergeCell ref="A88:B88"/>
    <mergeCell ref="C88:D88"/>
    <mergeCell ref="L42:L45"/>
    <mergeCell ref="A54:C54"/>
    <mergeCell ref="A47:B47"/>
    <mergeCell ref="F44:F45"/>
    <mergeCell ref="G44:G45"/>
    <mergeCell ref="H44:H45"/>
    <mergeCell ref="L50:L57"/>
    <mergeCell ref="A83:D84"/>
    <mergeCell ref="E85:I87"/>
    <mergeCell ref="A42:A45"/>
    <mergeCell ref="B42:B45"/>
    <mergeCell ref="C42:C45"/>
    <mergeCell ref="D42:D45"/>
    <mergeCell ref="G54:H54"/>
    <mergeCell ref="B63:N63"/>
    <mergeCell ref="B64:N64"/>
    <mergeCell ref="A66:D66"/>
    <mergeCell ref="J66:N66"/>
    <mergeCell ref="A70:D70"/>
    <mergeCell ref="J72:N72"/>
    <mergeCell ref="J84:N84"/>
    <mergeCell ref="A85:D85"/>
    <mergeCell ref="B62:N62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B145:N145"/>
    <mergeCell ref="N128:N129"/>
    <mergeCell ref="A129:B129"/>
    <mergeCell ref="A132:B133"/>
    <mergeCell ref="C132:C133"/>
    <mergeCell ref="D132:D133"/>
    <mergeCell ref="L132:L139"/>
    <mergeCell ref="M132:M139"/>
    <mergeCell ref="N132:N139"/>
    <mergeCell ref="A134:C135"/>
    <mergeCell ref="I134:I135"/>
    <mergeCell ref="J134:J135"/>
    <mergeCell ref="K134:K135"/>
    <mergeCell ref="G135:H135"/>
    <mergeCell ref="E135:F135"/>
    <mergeCell ref="E136:F136"/>
    <mergeCell ref="G136:H136"/>
    <mergeCell ref="E137:F137"/>
    <mergeCell ref="G137:H137"/>
    <mergeCell ref="I132:I133"/>
    <mergeCell ref="E133:F133"/>
    <mergeCell ref="G133:H133"/>
    <mergeCell ref="J154:N154"/>
    <mergeCell ref="A151:D151"/>
    <mergeCell ref="J151:N151"/>
    <mergeCell ref="Q134:R134"/>
    <mergeCell ref="S134:T134"/>
    <mergeCell ref="U134:V134"/>
    <mergeCell ref="Q135:R135"/>
    <mergeCell ref="S135:T135"/>
    <mergeCell ref="U135:V135"/>
    <mergeCell ref="A136:C136"/>
    <mergeCell ref="A137:C137"/>
    <mergeCell ref="J137:J139"/>
    <mergeCell ref="K137:K139"/>
    <mergeCell ref="A138:B139"/>
    <mergeCell ref="C138:D138"/>
    <mergeCell ref="E138:F138"/>
    <mergeCell ref="G138:H138"/>
    <mergeCell ref="C139:D139"/>
    <mergeCell ref="E139:F139"/>
    <mergeCell ref="G139:H139"/>
    <mergeCell ref="B142:N142"/>
    <mergeCell ref="B143:N143"/>
    <mergeCell ref="B144:N144"/>
    <mergeCell ref="A141:N141"/>
  </mergeCells>
  <pageMargins left="0.23333333333333334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8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20" ht="19.2" customHeight="1">
      <c r="A1" s="10" t="s">
        <v>57</v>
      </c>
      <c r="B1" s="7"/>
      <c r="C1" s="7"/>
      <c r="D1" s="7"/>
      <c r="E1" s="7"/>
      <c r="F1" s="183" t="s">
        <v>28</v>
      </c>
      <c r="G1" s="183"/>
      <c r="H1" s="183"/>
      <c r="I1" s="183"/>
      <c r="J1" s="183"/>
      <c r="K1" s="183"/>
      <c r="L1" s="183"/>
      <c r="M1" s="183"/>
      <c r="N1" s="183"/>
      <c r="O1" s="159"/>
      <c r="P1" s="159"/>
      <c r="T1" s="2"/>
    </row>
    <row r="2" spans="1:20" ht="19.2" customHeight="1">
      <c r="A2" s="10"/>
      <c r="B2" s="7"/>
      <c r="C2" s="7"/>
      <c r="D2" s="7"/>
      <c r="E2" s="7"/>
      <c r="F2" s="155"/>
      <c r="G2" s="155"/>
      <c r="H2" s="155"/>
      <c r="I2" s="155"/>
      <c r="J2" s="155"/>
      <c r="K2" s="155"/>
      <c r="L2" s="155"/>
      <c r="M2" s="155"/>
      <c r="N2" s="155"/>
      <c r="O2" s="159"/>
      <c r="P2" s="159"/>
      <c r="T2" s="2"/>
    </row>
    <row r="3" spans="1:20" ht="19.2" customHeight="1">
      <c r="A3" s="7" t="s">
        <v>178</v>
      </c>
      <c r="B3" s="7"/>
      <c r="C3" s="7"/>
      <c r="D3" s="7"/>
      <c r="E3" s="7"/>
      <c r="F3" s="155"/>
      <c r="G3" s="155"/>
      <c r="H3" s="155"/>
      <c r="I3" s="155"/>
      <c r="J3" s="155"/>
      <c r="K3" s="155"/>
      <c r="L3" s="155"/>
      <c r="M3" s="155"/>
      <c r="N3" s="155"/>
      <c r="O3" s="159"/>
      <c r="P3" s="159"/>
      <c r="T3" s="2"/>
    </row>
    <row r="4" spans="1:20" ht="19.2" customHeight="1">
      <c r="A4" s="7"/>
      <c r="B4" s="7"/>
      <c r="C4" s="7"/>
      <c r="D4" s="7"/>
      <c r="E4" s="7"/>
      <c r="F4" s="155"/>
      <c r="G4" s="155"/>
      <c r="H4" s="155"/>
      <c r="I4" s="155"/>
      <c r="J4" s="155"/>
      <c r="K4" s="155"/>
      <c r="L4" s="155"/>
      <c r="M4" s="155"/>
      <c r="N4" s="155"/>
      <c r="O4" s="159"/>
      <c r="P4" s="159"/>
      <c r="T4" s="2"/>
    </row>
    <row r="5" spans="1:20" s="2" customFormat="1" ht="20.399999999999999" customHeight="1">
      <c r="A5" s="184" t="s">
        <v>79</v>
      </c>
      <c r="B5" s="184"/>
      <c r="C5" s="184"/>
      <c r="D5" s="184"/>
      <c r="E5" s="184" t="s">
        <v>87</v>
      </c>
      <c r="F5" s="184"/>
      <c r="G5" s="184"/>
      <c r="H5" s="184"/>
      <c r="I5" s="184"/>
      <c r="J5" s="184"/>
      <c r="K5" s="184"/>
      <c r="L5" s="184"/>
      <c r="M5" s="184"/>
      <c r="N5" s="184"/>
      <c r="O5" s="160"/>
    </row>
    <row r="6" spans="1:20" s="2" customFormat="1" ht="20.399999999999999" customHeight="1">
      <c r="A6" s="185" t="s">
        <v>81</v>
      </c>
      <c r="B6" s="185"/>
      <c r="C6" s="185"/>
      <c r="D6" s="185"/>
      <c r="E6" s="186" t="s">
        <v>119</v>
      </c>
      <c r="F6" s="186"/>
      <c r="G6" s="186"/>
      <c r="H6" s="186"/>
      <c r="I6" s="186"/>
      <c r="J6" s="187" t="s">
        <v>155</v>
      </c>
      <c r="K6" s="188"/>
      <c r="L6" s="188"/>
      <c r="M6" s="188"/>
      <c r="N6" s="189"/>
      <c r="O6" s="160"/>
    </row>
    <row r="7" spans="1:20" s="2" customFormat="1" ht="20.399999999999999" customHeight="1">
      <c r="A7" s="303" t="s">
        <v>127</v>
      </c>
      <c r="B7" s="304"/>
      <c r="C7" s="304"/>
      <c r="D7" s="305"/>
      <c r="E7" s="186"/>
      <c r="F7" s="186"/>
      <c r="G7" s="186"/>
      <c r="H7" s="186"/>
      <c r="I7" s="186"/>
      <c r="J7" s="190"/>
      <c r="K7" s="191"/>
      <c r="L7" s="191"/>
      <c r="M7" s="191"/>
      <c r="N7" s="192"/>
      <c r="O7" s="160"/>
    </row>
    <row r="8" spans="1:20" s="2" customFormat="1" ht="20.399999999999999" customHeight="1">
      <c r="A8" s="196" t="s">
        <v>83</v>
      </c>
      <c r="B8" s="196"/>
      <c r="C8" s="196"/>
      <c r="D8" s="196"/>
      <c r="E8" s="186"/>
      <c r="F8" s="186"/>
      <c r="G8" s="186"/>
      <c r="H8" s="186"/>
      <c r="I8" s="186"/>
      <c r="J8" s="190"/>
      <c r="K8" s="191"/>
      <c r="L8" s="191"/>
      <c r="M8" s="191"/>
      <c r="N8" s="192"/>
      <c r="O8" s="160"/>
    </row>
    <row r="9" spans="1:20" s="2" customFormat="1" ht="20.399999999999999" customHeight="1">
      <c r="A9" s="306" t="s">
        <v>137</v>
      </c>
      <c r="B9" s="306"/>
      <c r="C9" s="306"/>
      <c r="D9" s="306"/>
      <c r="E9" s="186"/>
      <c r="F9" s="186"/>
      <c r="G9" s="186"/>
      <c r="H9" s="186"/>
      <c r="I9" s="186"/>
      <c r="J9" s="193"/>
      <c r="K9" s="194"/>
      <c r="L9" s="194"/>
      <c r="M9" s="194"/>
      <c r="N9" s="195"/>
      <c r="O9" s="160"/>
    </row>
    <row r="10" spans="1:20" s="2" customFormat="1" ht="20.399999999999999" customHeight="1">
      <c r="A10" s="290" t="s">
        <v>104</v>
      </c>
      <c r="B10" s="290"/>
      <c r="C10" s="288">
        <v>222</v>
      </c>
      <c r="D10" s="288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60"/>
    </row>
    <row r="11" spans="1:20" ht="20.399999999999999" customHeight="1">
      <c r="A11" s="170" t="s">
        <v>0</v>
      </c>
      <c r="B11" s="173" t="s">
        <v>18</v>
      </c>
      <c r="C11" s="176" t="s">
        <v>7</v>
      </c>
      <c r="D11" s="176" t="s">
        <v>8</v>
      </c>
      <c r="E11" s="179" t="s">
        <v>10</v>
      </c>
      <c r="F11" s="180"/>
      <c r="G11" s="179" t="s">
        <v>12</v>
      </c>
      <c r="H11" s="180"/>
      <c r="I11" s="198" t="s">
        <v>15</v>
      </c>
      <c r="J11" s="198" t="s">
        <v>30</v>
      </c>
      <c r="K11" s="198" t="s">
        <v>31</v>
      </c>
      <c r="L11" s="198" t="s">
        <v>16</v>
      </c>
      <c r="M11" s="198" t="s">
        <v>52</v>
      </c>
      <c r="N11" s="170" t="s">
        <v>17</v>
      </c>
      <c r="O11" s="161"/>
    </row>
    <row r="12" spans="1:20" ht="20.399999999999999" customHeight="1">
      <c r="A12" s="171"/>
      <c r="B12" s="174"/>
      <c r="C12" s="177"/>
      <c r="D12" s="177"/>
      <c r="E12" s="181"/>
      <c r="F12" s="182"/>
      <c r="G12" s="181"/>
      <c r="H12" s="182"/>
      <c r="I12" s="206"/>
      <c r="J12" s="206"/>
      <c r="K12" s="206"/>
      <c r="L12" s="206"/>
      <c r="M12" s="206"/>
      <c r="N12" s="171"/>
      <c r="O12" s="152"/>
    </row>
    <row r="13" spans="1:20" ht="20.399999999999999" customHeight="1">
      <c r="A13" s="171"/>
      <c r="B13" s="174"/>
      <c r="C13" s="177"/>
      <c r="D13" s="177"/>
      <c r="E13" s="198" t="s">
        <v>9</v>
      </c>
      <c r="F13" s="198" t="s">
        <v>11</v>
      </c>
      <c r="G13" s="198" t="s">
        <v>13</v>
      </c>
      <c r="H13" s="198" t="s">
        <v>14</v>
      </c>
      <c r="I13" s="206"/>
      <c r="J13" s="206"/>
      <c r="K13" s="206"/>
      <c r="L13" s="206"/>
      <c r="M13" s="206"/>
      <c r="N13" s="171"/>
      <c r="O13" s="152"/>
    </row>
    <row r="14" spans="1:20" ht="20.399999999999999" customHeight="1">
      <c r="A14" s="172"/>
      <c r="B14" s="175"/>
      <c r="C14" s="178"/>
      <c r="D14" s="178"/>
      <c r="E14" s="199"/>
      <c r="F14" s="199"/>
      <c r="G14" s="199"/>
      <c r="H14" s="199"/>
      <c r="I14" s="199"/>
      <c r="J14" s="199"/>
      <c r="K14" s="199"/>
      <c r="L14" s="199"/>
      <c r="M14" s="199"/>
      <c r="N14" s="172"/>
      <c r="O14" s="152"/>
    </row>
    <row r="15" spans="1:20" ht="20.399999999999999" customHeight="1">
      <c r="A15" s="203" t="s">
        <v>33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5"/>
      <c r="O15" s="152"/>
    </row>
    <row r="16" spans="1:20" s="2" customFormat="1" ht="20.399999999999999" customHeight="1">
      <c r="A16" s="8">
        <v>1</v>
      </c>
      <c r="B16" s="9" t="s">
        <v>2</v>
      </c>
      <c r="C16" s="12">
        <f>L16/100*100</f>
        <v>110.00000000000001</v>
      </c>
      <c r="D16" s="13">
        <f>C16/100*60</f>
        <v>66</v>
      </c>
      <c r="E16" s="14">
        <f>C16/100*15</f>
        <v>16.5</v>
      </c>
      <c r="F16" s="14"/>
      <c r="G16" s="14"/>
      <c r="H16" s="14"/>
      <c r="I16" s="14"/>
      <c r="J16" s="22">
        <f>C16/100*387</f>
        <v>425.70000000000005</v>
      </c>
      <c r="K16" s="22">
        <f>C16/100*0.09</f>
        <v>9.9000000000000005E-2</v>
      </c>
      <c r="L16" s="111">
        <v>110</v>
      </c>
      <c r="M16" s="20">
        <v>20</v>
      </c>
      <c r="N16" s="16">
        <f>L16*M16</f>
        <v>2200</v>
      </c>
      <c r="O16" s="162"/>
    </row>
    <row r="17" spans="1:20" s="2" customFormat="1" ht="20.399999999999999" customHeight="1">
      <c r="A17" s="8">
        <v>2</v>
      </c>
      <c r="B17" s="9" t="s">
        <v>112</v>
      </c>
      <c r="C17" s="12">
        <f>L17/100*100</f>
        <v>1560</v>
      </c>
      <c r="D17" s="13">
        <f>C17/100*53</f>
        <v>826.8</v>
      </c>
      <c r="E17" s="14"/>
      <c r="F17" s="14">
        <f>C17/100*6.3</f>
        <v>98.28</v>
      </c>
      <c r="G17" s="14"/>
      <c r="H17" s="14">
        <f>C17/100*0.04</f>
        <v>0.624</v>
      </c>
      <c r="I17" s="14">
        <f>C17/100*6.8</f>
        <v>106.08</v>
      </c>
      <c r="J17" s="22">
        <f>C17/100*19</f>
        <v>296.39999999999998</v>
      </c>
      <c r="K17" s="22">
        <f>C17/100*0.03</f>
        <v>0.46799999999999997</v>
      </c>
      <c r="L17" s="111">
        <v>1560</v>
      </c>
      <c r="M17" s="20">
        <v>45</v>
      </c>
      <c r="N17" s="16">
        <f t="shared" ref="N17:N27" si="0">L17*M17</f>
        <v>70200</v>
      </c>
      <c r="O17" s="342"/>
    </row>
    <row r="18" spans="1:20" s="2" customFormat="1" ht="20.399999999999999" customHeight="1">
      <c r="A18" s="8">
        <v>3</v>
      </c>
      <c r="B18" s="115" t="s">
        <v>114</v>
      </c>
      <c r="C18" s="12">
        <f>L18/100*100</f>
        <v>670</v>
      </c>
      <c r="D18" s="13">
        <f>C18/100*899</f>
        <v>6023.3</v>
      </c>
      <c r="E18" s="14"/>
      <c r="F18" s="14"/>
      <c r="G18" s="14">
        <f>C18/100*100</f>
        <v>670</v>
      </c>
      <c r="H18" s="14"/>
      <c r="I18" s="14"/>
      <c r="J18" s="14"/>
      <c r="K18" s="14"/>
      <c r="L18" s="15">
        <v>670</v>
      </c>
      <c r="M18" s="65">
        <v>69</v>
      </c>
      <c r="N18" s="16">
        <f t="shared" si="0"/>
        <v>46230</v>
      </c>
      <c r="O18" s="163"/>
    </row>
    <row r="19" spans="1:20" s="2" customFormat="1" ht="20.399999999999999" customHeight="1">
      <c r="A19" s="8">
        <v>4</v>
      </c>
      <c r="B19" s="9" t="s">
        <v>121</v>
      </c>
      <c r="C19" s="12">
        <f>L19/100*90</f>
        <v>206.99999999999997</v>
      </c>
      <c r="D19" s="13">
        <f>C19/100*281</f>
        <v>581.66999999999996</v>
      </c>
      <c r="E19" s="14"/>
      <c r="F19" s="14">
        <f>C19/100*9.5</f>
        <v>19.664999999999999</v>
      </c>
      <c r="G19" s="14"/>
      <c r="H19" s="14">
        <f>C19/100*0.2</f>
        <v>0.41399999999999998</v>
      </c>
      <c r="I19" s="14">
        <f>D19/100*58.5</f>
        <v>340.27695</v>
      </c>
      <c r="J19" s="22">
        <f>C19/100*321</f>
        <v>664.46999999999991</v>
      </c>
      <c r="K19" s="22">
        <f>C19/100*0.14</f>
        <v>0.2898</v>
      </c>
      <c r="L19" s="111">
        <v>230</v>
      </c>
      <c r="M19" s="43">
        <v>120</v>
      </c>
      <c r="N19" s="16">
        <f t="shared" si="0"/>
        <v>27600</v>
      </c>
      <c r="O19" s="342"/>
    </row>
    <row r="20" spans="1:20" s="2" customFormat="1" ht="20.399999999999999" customHeight="1">
      <c r="A20" s="8">
        <v>5</v>
      </c>
      <c r="B20" s="5" t="s">
        <v>1</v>
      </c>
      <c r="C20" s="12">
        <f>L20/100*100</f>
        <v>21090</v>
      </c>
      <c r="D20" s="65">
        <f>C20/100*325.4</f>
        <v>68626.86</v>
      </c>
      <c r="E20" s="14"/>
      <c r="F20" s="91">
        <f>C20/100*7.9</f>
        <v>1666.1100000000001</v>
      </c>
      <c r="G20" s="14"/>
      <c r="H20" s="14">
        <f>C20/100*1</f>
        <v>210.9</v>
      </c>
      <c r="I20" s="91">
        <f>C20/100*66.98</f>
        <v>14126.082</v>
      </c>
      <c r="J20" s="64">
        <f>C20/100*30</f>
        <v>6327</v>
      </c>
      <c r="K20" s="22">
        <f>C20/100*0.1</f>
        <v>21.090000000000003</v>
      </c>
      <c r="L20" s="111">
        <v>21090</v>
      </c>
      <c r="M20" s="20">
        <v>18</v>
      </c>
      <c r="N20" s="16">
        <f t="shared" si="0"/>
        <v>379620</v>
      </c>
      <c r="O20" s="162"/>
    </row>
    <row r="21" spans="1:20" s="2" customFormat="1" ht="20.399999999999999" customHeight="1">
      <c r="A21" s="8">
        <v>6</v>
      </c>
      <c r="B21" s="5" t="s">
        <v>3</v>
      </c>
      <c r="C21" s="12">
        <f>L21/100*48</f>
        <v>3960</v>
      </c>
      <c r="D21" s="13">
        <f>C21/100*199</f>
        <v>7880.4000000000005</v>
      </c>
      <c r="E21" s="14">
        <f>C21/100*20.3</f>
        <v>803.88000000000011</v>
      </c>
      <c r="F21" s="14"/>
      <c r="G21" s="14">
        <f>C21/100*13.1</f>
        <v>518.76</v>
      </c>
      <c r="H21" s="14"/>
      <c r="I21" s="14"/>
      <c r="J21" s="22">
        <f>C21/100*12</f>
        <v>475.20000000000005</v>
      </c>
      <c r="K21" s="22">
        <f>C21/100*0.15</f>
        <v>5.94</v>
      </c>
      <c r="L21" s="111">
        <v>8250</v>
      </c>
      <c r="M21" s="15">
        <v>84</v>
      </c>
      <c r="N21" s="16">
        <f t="shared" si="0"/>
        <v>693000</v>
      </c>
      <c r="O21" s="162"/>
      <c r="Q21" s="3"/>
      <c r="R21" s="3"/>
      <c r="S21" s="4"/>
    </row>
    <row r="22" spans="1:20" s="2" customFormat="1" ht="20.399999999999999" customHeight="1">
      <c r="A22" s="8">
        <v>7</v>
      </c>
      <c r="B22" s="9" t="s">
        <v>64</v>
      </c>
      <c r="C22" s="12">
        <f>L22/100*98</f>
        <v>7624.4</v>
      </c>
      <c r="D22" s="65">
        <f>C22/100*139</f>
        <v>10597.915999999999</v>
      </c>
      <c r="E22" s="91">
        <f>C22/100*19</f>
        <v>1448.636</v>
      </c>
      <c r="F22" s="14"/>
      <c r="G22" s="14">
        <f>C22/100*7</f>
        <v>533.70799999999997</v>
      </c>
      <c r="H22" s="14"/>
      <c r="I22" s="14"/>
      <c r="J22" s="22">
        <f>C22/100*7</f>
        <v>533.70799999999997</v>
      </c>
      <c r="K22" s="22">
        <f>C22/100*0.9</f>
        <v>68.619600000000005</v>
      </c>
      <c r="L22" s="111">
        <v>7780</v>
      </c>
      <c r="M22" s="15">
        <v>133</v>
      </c>
      <c r="N22" s="93">
        <f t="shared" si="0"/>
        <v>1034740</v>
      </c>
      <c r="O22" s="162"/>
    </row>
    <row r="23" spans="1:20" s="2" customFormat="1" ht="20.399999999999999" customHeight="1">
      <c r="A23" s="8">
        <v>8</v>
      </c>
      <c r="B23" s="5" t="s">
        <v>61</v>
      </c>
      <c r="C23" s="12">
        <f>L23/100*86</f>
        <v>1909.2</v>
      </c>
      <c r="D23" s="13">
        <f>C23/100*166</f>
        <v>3169.2719999999999</v>
      </c>
      <c r="E23" s="14">
        <f>C23/100*14.8</f>
        <v>282.5616</v>
      </c>
      <c r="F23" s="14"/>
      <c r="G23" s="14">
        <f>C23/100*11.6</f>
        <v>221.46719999999999</v>
      </c>
      <c r="H23" s="14"/>
      <c r="I23" s="14">
        <f>C23/100*0.5</f>
        <v>9.5459999999999994</v>
      </c>
      <c r="J23" s="64">
        <f>C23/100*55</f>
        <v>1050.06</v>
      </c>
      <c r="K23" s="22">
        <f>C23/100*0.16</f>
        <v>3.0547199999999997</v>
      </c>
      <c r="L23" s="111">
        <v>2220</v>
      </c>
      <c r="M23" s="20">
        <v>57</v>
      </c>
      <c r="N23" s="16">
        <f t="shared" si="0"/>
        <v>126540</v>
      </c>
      <c r="O23" s="162"/>
      <c r="Q23" s="3"/>
      <c r="R23" s="3"/>
      <c r="S23" s="4"/>
    </row>
    <row r="24" spans="1:20" s="2" customFormat="1" ht="20.399999999999999" customHeight="1">
      <c r="A24" s="8">
        <v>9</v>
      </c>
      <c r="B24" s="5" t="s">
        <v>128</v>
      </c>
      <c r="C24" s="12">
        <f>L24/100*31</f>
        <v>688.19999999999993</v>
      </c>
      <c r="D24" s="13">
        <f>C24/100*87</f>
        <v>598.73399999999992</v>
      </c>
      <c r="E24" s="14">
        <f>C24/100*12.3</f>
        <v>84.648600000000002</v>
      </c>
      <c r="F24" s="14"/>
      <c r="G24" s="14">
        <f>C24/100*3.3</f>
        <v>22.710599999999999</v>
      </c>
      <c r="H24" s="14"/>
      <c r="I24" s="14">
        <f>C24/100*2</f>
        <v>13.763999999999999</v>
      </c>
      <c r="J24" s="64">
        <f>C24/100*1120</f>
        <v>7707.8399999999992</v>
      </c>
      <c r="K24" s="22">
        <f>C24/100*0.01</f>
        <v>6.8819999999999992E-2</v>
      </c>
      <c r="L24" s="111">
        <v>2220</v>
      </c>
      <c r="M24" s="20">
        <v>180</v>
      </c>
      <c r="N24" s="93">
        <f t="shared" si="0"/>
        <v>399600</v>
      </c>
      <c r="O24" s="162"/>
      <c r="Q24" s="3"/>
      <c r="R24" s="3"/>
      <c r="S24" s="4"/>
    </row>
    <row r="25" spans="1:20" s="2" customFormat="1" ht="20.399999999999999" customHeight="1">
      <c r="A25" s="8">
        <v>10</v>
      </c>
      <c r="B25" s="5" t="s">
        <v>66</v>
      </c>
      <c r="C25" s="12">
        <f>L25/100*75</f>
        <v>3330</v>
      </c>
      <c r="D25" s="13">
        <f>C25/100*12</f>
        <v>399.59999999999997</v>
      </c>
      <c r="E25" s="17"/>
      <c r="F25" s="17">
        <f>C25/100*0.6</f>
        <v>19.979999999999997</v>
      </c>
      <c r="G25" s="17"/>
      <c r="H25" s="17"/>
      <c r="I25" s="17">
        <f>C25/100*2.4</f>
        <v>79.919999999999987</v>
      </c>
      <c r="J25" s="91">
        <f>C25/100*120</f>
        <v>3995.9999999999995</v>
      </c>
      <c r="K25" s="22">
        <f>C25/100*0.02</f>
        <v>0.66599999999999993</v>
      </c>
      <c r="L25" s="321">
        <v>4440</v>
      </c>
      <c r="M25" s="20">
        <v>20</v>
      </c>
      <c r="N25" s="16">
        <f t="shared" si="0"/>
        <v>88800</v>
      </c>
      <c r="O25" s="162"/>
      <c r="P25" s="3"/>
    </row>
    <row r="26" spans="1:20" s="2" customFormat="1" ht="19.8" customHeight="1">
      <c r="A26" s="8">
        <v>11</v>
      </c>
      <c r="B26" s="142" t="s">
        <v>138</v>
      </c>
      <c r="C26" s="12">
        <f>L26/100*83</f>
        <v>6457.4</v>
      </c>
      <c r="D26" s="13">
        <f>C26/100*14</f>
        <v>904.03599999999994</v>
      </c>
      <c r="E26" s="17"/>
      <c r="F26" s="17">
        <f>C26/100*2</f>
        <v>129.148</v>
      </c>
      <c r="G26" s="17"/>
      <c r="H26" s="17"/>
      <c r="I26" s="17">
        <f>C26/100*1.4</f>
        <v>90.403599999999997</v>
      </c>
      <c r="J26" s="123">
        <f>C26/100*176</f>
        <v>11365.023999999999</v>
      </c>
      <c r="K26" s="17">
        <f>C26/100*0.06</f>
        <v>3.8744399999999999</v>
      </c>
      <c r="L26" s="321">
        <v>7780</v>
      </c>
      <c r="M26" s="15">
        <v>20</v>
      </c>
      <c r="N26" s="113">
        <f t="shared" si="0"/>
        <v>155600</v>
      </c>
      <c r="O26" s="162"/>
      <c r="Q26" s="3"/>
      <c r="R26" s="3"/>
      <c r="S26" s="4"/>
    </row>
    <row r="27" spans="1:20" s="2" customFormat="1" ht="20.399999999999999" customHeight="1">
      <c r="A27" s="8">
        <v>12</v>
      </c>
      <c r="B27" s="5" t="s">
        <v>110</v>
      </c>
      <c r="C27" s="12">
        <f>L27/100*100</f>
        <v>210</v>
      </c>
      <c r="D27" s="13">
        <f>C27/100*247</f>
        <v>518.70000000000005</v>
      </c>
      <c r="E27" s="17"/>
      <c r="F27" s="17">
        <f>C27/100*17.5</f>
        <v>36.75</v>
      </c>
      <c r="G27" s="17"/>
      <c r="H27" s="17">
        <f>C27/100*1.6</f>
        <v>3.3600000000000003</v>
      </c>
      <c r="I27" s="17">
        <f>C27/100*39.2</f>
        <v>82.320000000000007</v>
      </c>
      <c r="J27" s="21"/>
      <c r="K27" s="21"/>
      <c r="L27" s="320">
        <v>210</v>
      </c>
      <c r="M27" s="20">
        <v>50</v>
      </c>
      <c r="N27" s="16">
        <f t="shared" si="0"/>
        <v>10500</v>
      </c>
      <c r="O27" s="162"/>
      <c r="Q27" s="3"/>
      <c r="R27" s="3"/>
      <c r="S27" s="4"/>
      <c r="T27" s="3"/>
    </row>
    <row r="28" spans="1:20" s="2" customFormat="1" ht="20.399999999999999" customHeight="1">
      <c r="A28" s="8">
        <v>13</v>
      </c>
      <c r="B28" s="9" t="s">
        <v>105</v>
      </c>
      <c r="C28" s="12"/>
      <c r="D28" s="13"/>
      <c r="E28" s="14"/>
      <c r="F28" s="14"/>
      <c r="G28" s="14"/>
      <c r="H28" s="14"/>
      <c r="I28" s="14"/>
      <c r="J28" s="14"/>
      <c r="K28" s="14"/>
      <c r="L28" s="15"/>
      <c r="M28" s="15"/>
      <c r="N28" s="16">
        <v>17480</v>
      </c>
      <c r="O28" s="162"/>
    </row>
    <row r="29" spans="1:20" s="2" customFormat="1" ht="20.399999999999999" customHeight="1">
      <c r="A29" s="23" t="s">
        <v>91</v>
      </c>
      <c r="B29" s="24"/>
      <c r="C29" s="25"/>
      <c r="D29" s="147">
        <f>SUM(D16:D28)</f>
        <v>100193.28799999999</v>
      </c>
      <c r="E29" s="27"/>
      <c r="F29" s="27"/>
      <c r="G29" s="27"/>
      <c r="H29" s="27"/>
      <c r="I29" s="27"/>
      <c r="J29" s="27"/>
      <c r="K29" s="27"/>
      <c r="L29" s="28"/>
      <c r="M29" s="28"/>
      <c r="N29" s="269">
        <f>SUM(N16:N28)</f>
        <v>3052110</v>
      </c>
      <c r="O29" s="162"/>
    </row>
    <row r="30" spans="1:20" s="2" customFormat="1" ht="20.399999999999999" customHeight="1">
      <c r="A30" s="23" t="s">
        <v>5</v>
      </c>
      <c r="B30" s="24"/>
      <c r="C30" s="25"/>
      <c r="D30" s="26">
        <f>D29/C10</f>
        <v>451.32111711711707</v>
      </c>
      <c r="E30" s="27"/>
      <c r="F30" s="27"/>
      <c r="G30" s="27"/>
      <c r="H30" s="27"/>
      <c r="I30" s="27"/>
      <c r="J30" s="27"/>
      <c r="K30" s="27"/>
      <c r="L30" s="28"/>
      <c r="M30" s="28"/>
      <c r="N30" s="270"/>
      <c r="O30" s="162"/>
    </row>
    <row r="31" spans="1:20" s="2" customFormat="1" ht="20.399999999999999" customHeight="1">
      <c r="A31" s="298" t="s">
        <v>48</v>
      </c>
      <c r="B31" s="210"/>
      <c r="C31" s="322" t="s">
        <v>125</v>
      </c>
      <c r="D31" s="29" t="s">
        <v>36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62"/>
    </row>
    <row r="32" spans="1:20" s="2" customFormat="1" ht="20.399999999999999" customHeight="1">
      <c r="A32" s="211"/>
      <c r="B32" s="212"/>
      <c r="C32" s="62" t="s">
        <v>56</v>
      </c>
      <c r="D32" s="29">
        <f>D30*100/1320</f>
        <v>34.190993720993717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162"/>
    </row>
    <row r="33" spans="1:23" s="2" customFormat="1" ht="20.399999999999999" customHeight="1">
      <c r="A33" s="213" t="s">
        <v>37</v>
      </c>
      <c r="B33" s="213"/>
      <c r="C33" s="45"/>
      <c r="D33" s="46"/>
      <c r="E33" s="47"/>
      <c r="F33" s="47"/>
      <c r="G33" s="47"/>
      <c r="H33" s="47"/>
      <c r="I33" s="47"/>
      <c r="J33" s="47"/>
      <c r="K33" s="47"/>
      <c r="L33" s="48"/>
      <c r="M33" s="48"/>
      <c r="N33" s="49"/>
      <c r="O33" s="162"/>
    </row>
    <row r="34" spans="1:23" s="2" customFormat="1" ht="20.399999999999999" customHeight="1">
      <c r="A34" s="8">
        <v>1</v>
      </c>
      <c r="B34" s="9" t="s">
        <v>2</v>
      </c>
      <c r="C34" s="12">
        <f>L34/100*100</f>
        <v>229.99999999999997</v>
      </c>
      <c r="D34" s="13">
        <f>C34/100*60</f>
        <v>138</v>
      </c>
      <c r="E34" s="14">
        <f>C34/100*15</f>
        <v>34.5</v>
      </c>
      <c r="F34" s="14"/>
      <c r="G34" s="14"/>
      <c r="H34" s="14"/>
      <c r="I34" s="14"/>
      <c r="J34" s="22">
        <f>C34/100*387</f>
        <v>890.09999999999991</v>
      </c>
      <c r="K34" s="22">
        <f>C34/100*0.09</f>
        <v>0.20699999999999999</v>
      </c>
      <c r="L34" s="111">
        <v>230</v>
      </c>
      <c r="M34" s="20">
        <v>20</v>
      </c>
      <c r="N34" s="16">
        <f>L34*M34</f>
        <v>4600</v>
      </c>
      <c r="O34" s="162"/>
    </row>
    <row r="35" spans="1:23" s="2" customFormat="1" ht="20.399999999999999" customHeight="1">
      <c r="A35" s="8">
        <v>2</v>
      </c>
      <c r="B35" s="115" t="s">
        <v>114</v>
      </c>
      <c r="C35" s="12">
        <f>L35/100*100</f>
        <v>740</v>
      </c>
      <c r="D35" s="13">
        <f>C35/100*899</f>
        <v>6652.6</v>
      </c>
      <c r="E35" s="14"/>
      <c r="F35" s="14"/>
      <c r="G35" s="14">
        <f>C35/100*100</f>
        <v>740</v>
      </c>
      <c r="H35" s="14"/>
      <c r="I35" s="14"/>
      <c r="J35" s="14"/>
      <c r="K35" s="14"/>
      <c r="L35" s="15">
        <v>740</v>
      </c>
      <c r="M35" s="65">
        <v>69</v>
      </c>
      <c r="N35" s="16">
        <f t="shared" ref="N35:N38" si="1">L35*M35</f>
        <v>51060</v>
      </c>
      <c r="O35" s="163"/>
    </row>
    <row r="36" spans="1:23" s="2" customFormat="1" ht="20.399999999999999" customHeight="1">
      <c r="A36" s="8">
        <v>3</v>
      </c>
      <c r="B36" s="9" t="s">
        <v>118</v>
      </c>
      <c r="C36" s="12">
        <f>L36/100*100</f>
        <v>1050</v>
      </c>
      <c r="D36" s="65">
        <f>C36/100*900</f>
        <v>9450</v>
      </c>
      <c r="E36" s="14"/>
      <c r="F36" s="14"/>
      <c r="G36" s="91"/>
      <c r="H36" s="91">
        <f>C36/100*100</f>
        <v>1050</v>
      </c>
      <c r="I36" s="14"/>
      <c r="J36" s="14"/>
      <c r="K36" s="14"/>
      <c r="L36" s="111">
        <v>1050</v>
      </c>
      <c r="M36" s="65">
        <v>65</v>
      </c>
      <c r="N36" s="93">
        <f t="shared" si="1"/>
        <v>68250</v>
      </c>
      <c r="O36" s="163"/>
    </row>
    <row r="37" spans="1:23" s="2" customFormat="1" ht="20.399999999999999" customHeight="1">
      <c r="A37" s="8">
        <v>4</v>
      </c>
      <c r="B37" s="9" t="s">
        <v>64</v>
      </c>
      <c r="C37" s="12">
        <f>L37/100*98</f>
        <v>6340.6</v>
      </c>
      <c r="D37" s="13">
        <f>C37/100*139</f>
        <v>8813.4340000000011</v>
      </c>
      <c r="E37" s="91">
        <f>C37/100*19</f>
        <v>1204.7140000000002</v>
      </c>
      <c r="F37" s="14"/>
      <c r="G37" s="14">
        <f>C37/100*7</f>
        <v>443.84200000000004</v>
      </c>
      <c r="H37" s="14"/>
      <c r="I37" s="14"/>
      <c r="J37" s="22">
        <f>C37/100*7</f>
        <v>443.84200000000004</v>
      </c>
      <c r="K37" s="22">
        <f>C37/100*0.9</f>
        <v>57.065400000000004</v>
      </c>
      <c r="L37" s="111">
        <v>6470</v>
      </c>
      <c r="M37" s="15">
        <v>133</v>
      </c>
      <c r="N37" s="16">
        <f t="shared" si="1"/>
        <v>860510</v>
      </c>
      <c r="O37" s="162"/>
    </row>
    <row r="38" spans="1:23" s="2" customFormat="1" ht="19.8" customHeight="1">
      <c r="A38" s="8">
        <v>5</v>
      </c>
      <c r="B38" s="142" t="s">
        <v>139</v>
      </c>
      <c r="C38" s="12">
        <f>L38/100*100</f>
        <v>18880</v>
      </c>
      <c r="D38" s="65">
        <f>C38/100*110</f>
        <v>20768</v>
      </c>
      <c r="E38" s="17"/>
      <c r="F38" s="17">
        <f>C38/100*1.7</f>
        <v>320.96000000000004</v>
      </c>
      <c r="G38" s="17"/>
      <c r="H38" s="17"/>
      <c r="I38" s="123">
        <f>C38/100*25.7</f>
        <v>4852.16</v>
      </c>
      <c r="J38" s="63">
        <f>C38/100*12</f>
        <v>2265.6000000000004</v>
      </c>
      <c r="K38" s="21">
        <f>C38/100*0.04</f>
        <v>7.5520000000000005</v>
      </c>
      <c r="L38" s="321">
        <v>18880</v>
      </c>
      <c r="M38" s="20">
        <v>14</v>
      </c>
      <c r="N38" s="16">
        <f t="shared" si="1"/>
        <v>264320</v>
      </c>
      <c r="O38" s="162"/>
      <c r="Q38" s="3"/>
      <c r="R38" s="3"/>
      <c r="S38" s="4"/>
      <c r="T38" s="3"/>
    </row>
    <row r="39" spans="1:23" s="2" customFormat="1" ht="20.399999999999999" customHeight="1">
      <c r="A39" s="8">
        <v>6</v>
      </c>
      <c r="B39" s="5" t="s">
        <v>110</v>
      </c>
      <c r="C39" s="12">
        <f>L39/100*100</f>
        <v>130</v>
      </c>
      <c r="D39" s="13">
        <f>C39/100*247</f>
        <v>321.10000000000002</v>
      </c>
      <c r="E39" s="17"/>
      <c r="F39" s="17">
        <f>C39/100*17.5</f>
        <v>22.75</v>
      </c>
      <c r="G39" s="17"/>
      <c r="H39" s="17">
        <f>C39/100*1.6</f>
        <v>2.08</v>
      </c>
      <c r="I39" s="17">
        <f>C39/100*39.2</f>
        <v>50.960000000000008</v>
      </c>
      <c r="J39" s="21"/>
      <c r="K39" s="21"/>
      <c r="L39" s="321">
        <v>130</v>
      </c>
      <c r="M39" s="20">
        <v>50</v>
      </c>
      <c r="N39" s="16">
        <f t="shared" ref="N39:N40" si="2">L39*M39</f>
        <v>6500</v>
      </c>
      <c r="O39" s="162"/>
      <c r="Q39" s="3"/>
      <c r="R39" s="3"/>
      <c r="S39" s="4"/>
      <c r="T39" s="3"/>
    </row>
    <row r="40" spans="1:23" s="2" customFormat="1" ht="20.399999999999999" customHeight="1">
      <c r="A40" s="8">
        <v>7</v>
      </c>
      <c r="B40" s="145" t="s">
        <v>119</v>
      </c>
      <c r="C40" s="12">
        <f>L40/100*73.5</f>
        <v>17948.7</v>
      </c>
      <c r="D40" s="65">
        <f>C40/100*56</f>
        <v>10051.271999999999</v>
      </c>
      <c r="E40" s="17"/>
      <c r="F40" s="17">
        <f>C40/100*0.9</f>
        <v>161.53829999999999</v>
      </c>
      <c r="G40" s="17"/>
      <c r="H40" s="17">
        <f>C40/100*0.3</f>
        <v>53.8461</v>
      </c>
      <c r="I40" s="123">
        <f>C40/100*12.4</f>
        <v>2225.6388000000002</v>
      </c>
      <c r="J40" s="63">
        <f>C40/100*12</f>
        <v>2153.8440000000001</v>
      </c>
      <c r="K40" s="21">
        <f>C40/100*0.04</f>
        <v>7.1794799999999999</v>
      </c>
      <c r="L40" s="320">
        <v>24420</v>
      </c>
      <c r="M40" s="20">
        <v>23</v>
      </c>
      <c r="N40" s="16">
        <f t="shared" si="2"/>
        <v>561660</v>
      </c>
      <c r="O40" s="162"/>
    </row>
    <row r="41" spans="1:23" s="2" customFormat="1" ht="20.399999999999999" customHeight="1">
      <c r="A41" s="77">
        <v>8</v>
      </c>
      <c r="B41" s="78" t="s">
        <v>105</v>
      </c>
      <c r="C41" s="79"/>
      <c r="D41" s="351"/>
      <c r="E41" s="105"/>
      <c r="F41" s="105"/>
      <c r="G41" s="105"/>
      <c r="H41" s="81"/>
      <c r="I41" s="81"/>
      <c r="J41" s="81"/>
      <c r="K41" s="81"/>
      <c r="L41" s="82"/>
      <c r="M41" s="82"/>
      <c r="N41" s="83">
        <v>14680</v>
      </c>
      <c r="O41" s="162"/>
    </row>
    <row r="42" spans="1:23" ht="19.2" customHeight="1">
      <c r="A42" s="170" t="s">
        <v>0</v>
      </c>
      <c r="B42" s="173" t="s">
        <v>18</v>
      </c>
      <c r="C42" s="176" t="s">
        <v>7</v>
      </c>
      <c r="D42" s="176" t="s">
        <v>8</v>
      </c>
      <c r="E42" s="179" t="s">
        <v>10</v>
      </c>
      <c r="F42" s="180"/>
      <c r="G42" s="179" t="s">
        <v>12</v>
      </c>
      <c r="H42" s="180"/>
      <c r="I42" s="198" t="s">
        <v>15</v>
      </c>
      <c r="J42" s="198" t="s">
        <v>30</v>
      </c>
      <c r="K42" s="198" t="s">
        <v>31</v>
      </c>
      <c r="L42" s="198" t="s">
        <v>16</v>
      </c>
      <c r="M42" s="198" t="s">
        <v>52</v>
      </c>
      <c r="N42" s="170" t="s">
        <v>17</v>
      </c>
      <c r="O42" s="161"/>
    </row>
    <row r="43" spans="1:23" ht="19.2" customHeight="1">
      <c r="A43" s="171"/>
      <c r="B43" s="174"/>
      <c r="C43" s="177"/>
      <c r="D43" s="177"/>
      <c r="E43" s="181"/>
      <c r="F43" s="182"/>
      <c r="G43" s="181"/>
      <c r="H43" s="182"/>
      <c r="I43" s="206"/>
      <c r="J43" s="206"/>
      <c r="K43" s="206"/>
      <c r="L43" s="206"/>
      <c r="M43" s="206"/>
      <c r="N43" s="171"/>
      <c r="O43" s="152"/>
    </row>
    <row r="44" spans="1:23" ht="19.2" customHeight="1">
      <c r="A44" s="171"/>
      <c r="B44" s="174"/>
      <c r="C44" s="177"/>
      <c r="D44" s="177"/>
      <c r="E44" s="198" t="s">
        <v>9</v>
      </c>
      <c r="F44" s="198" t="s">
        <v>11</v>
      </c>
      <c r="G44" s="198" t="s">
        <v>13</v>
      </c>
      <c r="H44" s="198" t="s">
        <v>14</v>
      </c>
      <c r="I44" s="206"/>
      <c r="J44" s="206"/>
      <c r="K44" s="206"/>
      <c r="L44" s="206"/>
      <c r="M44" s="206"/>
      <c r="N44" s="171"/>
      <c r="O44" s="152"/>
    </row>
    <row r="45" spans="1:23" ht="19.2" customHeight="1">
      <c r="A45" s="172"/>
      <c r="B45" s="175"/>
      <c r="C45" s="178"/>
      <c r="D45" s="178"/>
      <c r="E45" s="199"/>
      <c r="F45" s="199"/>
      <c r="G45" s="199"/>
      <c r="H45" s="199"/>
      <c r="I45" s="199"/>
      <c r="J45" s="199"/>
      <c r="K45" s="199"/>
      <c r="L45" s="199"/>
      <c r="M45" s="199"/>
      <c r="N45" s="172"/>
      <c r="O45" s="152"/>
    </row>
    <row r="46" spans="1:23" s="2" customFormat="1" ht="21" customHeight="1">
      <c r="A46" s="23" t="s">
        <v>92</v>
      </c>
      <c r="B46" s="24"/>
      <c r="C46" s="25"/>
      <c r="D46" s="94">
        <f>SUM(D34:D41)</f>
        <v>56194.405999999995</v>
      </c>
      <c r="E46" s="31"/>
      <c r="F46" s="31"/>
      <c r="G46" s="31"/>
      <c r="H46" s="31"/>
      <c r="I46" s="31"/>
      <c r="J46" s="31"/>
      <c r="K46" s="31"/>
      <c r="L46" s="32"/>
      <c r="M46" s="32"/>
      <c r="N46" s="269">
        <f>SUM(N34:N41)</f>
        <v>1831580</v>
      </c>
      <c r="O46" s="162"/>
    </row>
    <row r="47" spans="1:23" ht="21" customHeight="1">
      <c r="A47" s="23" t="s">
        <v>6</v>
      </c>
      <c r="B47" s="24"/>
      <c r="C47" s="33"/>
      <c r="D47" s="34">
        <f>D46/C10</f>
        <v>253.12795495495493</v>
      </c>
      <c r="E47" s="34"/>
      <c r="F47" s="34"/>
      <c r="G47" s="34"/>
      <c r="H47" s="34"/>
      <c r="I47" s="34"/>
      <c r="J47" s="34"/>
      <c r="K47" s="34"/>
      <c r="L47" s="35"/>
      <c r="M47" s="35"/>
      <c r="N47" s="270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98" t="s">
        <v>49</v>
      </c>
      <c r="B48" s="210"/>
      <c r="C48" s="322" t="s">
        <v>125</v>
      </c>
      <c r="D48" s="29" t="s">
        <v>39</v>
      </c>
      <c r="E48" s="34"/>
      <c r="F48" s="34"/>
      <c r="G48" s="34"/>
      <c r="H48" s="34"/>
      <c r="I48" s="34"/>
      <c r="J48" s="36"/>
      <c r="K48" s="36"/>
      <c r="L48" s="35"/>
      <c r="M48" s="35"/>
      <c r="N48" s="158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1"/>
      <c r="B49" s="212"/>
      <c r="C49" s="62" t="s">
        <v>56</v>
      </c>
      <c r="D49" s="29">
        <f>D47*100/1320</f>
        <v>19.176360223860222</v>
      </c>
      <c r="E49" s="34"/>
      <c r="F49" s="34"/>
      <c r="G49" s="34"/>
      <c r="H49" s="34"/>
      <c r="I49" s="34"/>
      <c r="J49" s="36"/>
      <c r="K49" s="36"/>
      <c r="L49" s="35"/>
      <c r="M49" s="35"/>
      <c r="N49" s="158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15" t="s">
        <v>93</v>
      </c>
      <c r="B50" s="216"/>
      <c r="C50" s="219"/>
      <c r="D50" s="221">
        <f>D29+D46</f>
        <v>156387.69399999999</v>
      </c>
      <c r="E50" s="95">
        <f>SUM(E16:E41)</f>
        <v>3875.4402</v>
      </c>
      <c r="F50" s="95">
        <f t="shared" ref="F50:H50" si="3">SUM(F16:F41)</f>
        <v>2475.1813000000002</v>
      </c>
      <c r="G50" s="95">
        <f t="shared" si="3"/>
        <v>3150.4877999999999</v>
      </c>
      <c r="H50" s="96">
        <f t="shared" si="3"/>
        <v>1321.2240999999999</v>
      </c>
      <c r="I50" s="225">
        <f>SUM(I16:I41)</f>
        <v>21977.15135</v>
      </c>
      <c r="J50" s="225">
        <f>SUM(J16:J41)</f>
        <v>38594.787999999986</v>
      </c>
      <c r="K50" s="227">
        <f>SUM(K16:K41)</f>
        <v>176.17426000000003</v>
      </c>
      <c r="L50" s="229"/>
      <c r="M50" s="229"/>
      <c r="N50" s="297">
        <f>N29+N46</f>
        <v>4883690</v>
      </c>
      <c r="P50" s="2"/>
      <c r="Q50" s="2"/>
      <c r="R50" s="2"/>
      <c r="S50" s="2"/>
      <c r="T50" s="2"/>
      <c r="U50" s="2"/>
      <c r="V50" s="2"/>
    </row>
    <row r="51" spans="1:23" ht="21" customHeight="1">
      <c r="A51" s="217"/>
      <c r="B51" s="218"/>
      <c r="C51" s="220"/>
      <c r="D51" s="222"/>
      <c r="E51" s="231">
        <f>E50+F50</f>
        <v>6350.6215000000002</v>
      </c>
      <c r="F51" s="232"/>
      <c r="G51" s="231">
        <f>G50+H50</f>
        <v>4471.7119000000002</v>
      </c>
      <c r="H51" s="232"/>
      <c r="I51" s="226"/>
      <c r="J51" s="226"/>
      <c r="K51" s="228"/>
      <c r="L51" s="229"/>
      <c r="M51" s="229"/>
      <c r="N51" s="297"/>
      <c r="U51" s="11"/>
      <c r="V51" s="11"/>
    </row>
    <row r="52" spans="1:23" ht="21" customHeight="1">
      <c r="A52" s="233" t="s">
        <v>73</v>
      </c>
      <c r="B52" s="234"/>
      <c r="C52" s="235"/>
      <c r="D52" s="101">
        <f>D50/C10</f>
        <v>704.449072072072</v>
      </c>
      <c r="E52" s="352">
        <f>E50/C10</f>
        <v>17.456937837837838</v>
      </c>
      <c r="F52" s="106">
        <f>F50/C10</f>
        <v>11.149465315315316</v>
      </c>
      <c r="G52" s="352">
        <f>G50/C10</f>
        <v>14.191386486486486</v>
      </c>
      <c r="H52" s="107">
        <f>H50/C10</f>
        <v>5.9514599099099099</v>
      </c>
      <c r="I52" s="291">
        <f>I50/C10</f>
        <v>98.996177252252252</v>
      </c>
      <c r="J52" s="291">
        <f>J50/C10</f>
        <v>173.85039639639632</v>
      </c>
      <c r="K52" s="241">
        <f>K50/C10</f>
        <v>0.79357774774774792</v>
      </c>
      <c r="L52" s="229"/>
      <c r="M52" s="229"/>
      <c r="N52" s="297"/>
      <c r="U52" s="11"/>
      <c r="V52" s="11"/>
    </row>
    <row r="53" spans="1:23" ht="21" customHeight="1">
      <c r="A53" s="236"/>
      <c r="B53" s="237"/>
      <c r="C53" s="238"/>
      <c r="D53" s="98"/>
      <c r="E53" s="302">
        <f>E52+F52</f>
        <v>28.606403153153153</v>
      </c>
      <c r="F53" s="301"/>
      <c r="G53" s="302">
        <f>G52+H52</f>
        <v>20.142846396396397</v>
      </c>
      <c r="H53" s="301"/>
      <c r="I53" s="278"/>
      <c r="J53" s="278"/>
      <c r="K53" s="242"/>
      <c r="L53" s="229"/>
      <c r="M53" s="229"/>
      <c r="N53" s="297"/>
      <c r="P53" s="333"/>
      <c r="Q53" s="334"/>
      <c r="R53" s="334"/>
      <c r="S53" s="334"/>
      <c r="T53" s="334"/>
      <c r="U53" s="335"/>
      <c r="V53" s="335"/>
    </row>
    <row r="54" spans="1:23" ht="21" customHeight="1">
      <c r="A54" s="323" t="s">
        <v>74</v>
      </c>
      <c r="B54" s="324"/>
      <c r="C54" s="325"/>
      <c r="D54" s="326" t="s">
        <v>25</v>
      </c>
      <c r="E54" s="184" t="s">
        <v>19</v>
      </c>
      <c r="F54" s="184"/>
      <c r="G54" s="184" t="s">
        <v>20</v>
      </c>
      <c r="H54" s="184"/>
      <c r="I54" s="156" t="s">
        <v>21</v>
      </c>
      <c r="J54" s="348">
        <v>600</v>
      </c>
      <c r="K54" s="348">
        <v>0.74</v>
      </c>
      <c r="L54" s="229"/>
      <c r="M54" s="229"/>
      <c r="N54" s="297"/>
      <c r="O54" s="166"/>
      <c r="P54" s="336"/>
      <c r="Q54" s="334"/>
      <c r="R54" s="334"/>
      <c r="S54" s="334"/>
      <c r="T54" s="334"/>
      <c r="U54" s="334"/>
      <c r="V54" s="334"/>
    </row>
    <row r="55" spans="1:23" ht="21" customHeight="1">
      <c r="A55" s="246" t="s">
        <v>67</v>
      </c>
      <c r="B55" s="247"/>
      <c r="C55" s="248"/>
      <c r="D55" s="19"/>
      <c r="E55" s="249">
        <f>E53*4.1</f>
        <v>117.28625292792792</v>
      </c>
      <c r="F55" s="250"/>
      <c r="G55" s="249">
        <f>G53*9</f>
        <v>181.28561756756758</v>
      </c>
      <c r="H55" s="250"/>
      <c r="I55" s="68">
        <f>I52*4.1</f>
        <v>405.88432673423421</v>
      </c>
      <c r="J55" s="251"/>
      <c r="K55" s="251"/>
      <c r="L55" s="229"/>
      <c r="M55" s="229"/>
      <c r="N55" s="297"/>
      <c r="O55" s="166"/>
      <c r="P55" s="338"/>
      <c r="Q55" s="339"/>
      <c r="R55" s="339"/>
      <c r="S55" s="339"/>
      <c r="T55" s="333"/>
      <c r="U55" s="333"/>
      <c r="V55" s="333"/>
    </row>
    <row r="56" spans="1:23" ht="21" customHeight="1">
      <c r="A56" s="254" t="s">
        <v>68</v>
      </c>
      <c r="B56" s="255"/>
      <c r="C56" s="246" t="s">
        <v>56</v>
      </c>
      <c r="D56" s="248"/>
      <c r="E56" s="308">
        <f>E55*100/D52</f>
        <v>16.649358708492755</v>
      </c>
      <c r="F56" s="309"/>
      <c r="G56" s="308">
        <f>G55*100/D52</f>
        <v>25.734382335735447</v>
      </c>
      <c r="H56" s="309"/>
      <c r="I56" s="150">
        <f>I55*100/D52</f>
        <v>57.617270406839047</v>
      </c>
      <c r="J56" s="252"/>
      <c r="K56" s="252"/>
      <c r="L56" s="229"/>
      <c r="M56" s="229"/>
      <c r="N56" s="297"/>
      <c r="O56" s="166"/>
      <c r="P56" s="333"/>
      <c r="Q56" s="340"/>
      <c r="R56" s="333"/>
      <c r="S56" s="333"/>
      <c r="T56" s="333"/>
      <c r="U56" s="333"/>
      <c r="V56" s="333"/>
    </row>
    <row r="57" spans="1:23" ht="21" customHeight="1">
      <c r="A57" s="256"/>
      <c r="B57" s="257"/>
      <c r="C57" s="246" t="s">
        <v>69</v>
      </c>
      <c r="D57" s="248"/>
      <c r="E57" s="246" t="s">
        <v>70</v>
      </c>
      <c r="F57" s="248"/>
      <c r="G57" s="246" t="s">
        <v>71</v>
      </c>
      <c r="H57" s="248"/>
      <c r="I57" s="326" t="s">
        <v>72</v>
      </c>
      <c r="J57" s="253"/>
      <c r="K57" s="253"/>
      <c r="L57" s="229"/>
      <c r="M57" s="229"/>
      <c r="N57" s="297"/>
      <c r="O57" s="166"/>
      <c r="P57" s="84"/>
    </row>
    <row r="58" spans="1:23" ht="21" customHeight="1">
      <c r="A58" s="70"/>
      <c r="B58" s="71"/>
      <c r="C58" s="70"/>
      <c r="D58" s="70"/>
      <c r="E58" s="70"/>
      <c r="F58" s="70"/>
      <c r="G58" s="70"/>
      <c r="H58" s="70"/>
      <c r="I58" s="70"/>
      <c r="J58" s="70"/>
      <c r="K58" s="70"/>
      <c r="L58" s="72"/>
      <c r="M58" s="72"/>
      <c r="N58" s="73"/>
      <c r="O58" s="166"/>
    </row>
    <row r="59" spans="1:23" ht="21" customHeight="1">
      <c r="A59" s="243" t="s">
        <v>94</v>
      </c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166"/>
    </row>
    <row r="60" spans="1:23" ht="21" customHeight="1">
      <c r="A60" s="87" t="s">
        <v>95</v>
      </c>
      <c r="B60" s="244" t="s">
        <v>109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166"/>
    </row>
    <row r="61" spans="1:23" ht="21" customHeight="1">
      <c r="A61" s="88"/>
      <c r="B61" s="245" t="s">
        <v>177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66"/>
    </row>
    <row r="62" spans="1:23" ht="21" customHeight="1">
      <c r="A62" s="88"/>
      <c r="B62" s="245" t="s">
        <v>156</v>
      </c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166"/>
    </row>
    <row r="63" spans="1:23" ht="21" customHeight="1">
      <c r="A63" s="88"/>
      <c r="B63" s="245" t="s">
        <v>157</v>
      </c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166"/>
    </row>
    <row r="64" spans="1:23" ht="21" customHeight="1">
      <c r="A64" s="70"/>
      <c r="B64" s="260" t="s">
        <v>101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166"/>
    </row>
    <row r="65" spans="1:15" ht="2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89"/>
      <c r="M65" s="89"/>
      <c r="N65" s="90"/>
      <c r="O65" s="166"/>
    </row>
    <row r="66" spans="1:15" ht="21" customHeight="1">
      <c r="A66" s="261" t="s">
        <v>58</v>
      </c>
      <c r="B66" s="261"/>
      <c r="C66" s="261"/>
      <c r="D66" s="261"/>
      <c r="E66" s="328"/>
      <c r="F66" s="328"/>
      <c r="G66" s="328"/>
      <c r="H66" s="328"/>
      <c r="I66" s="328"/>
      <c r="J66" s="329" t="s">
        <v>34</v>
      </c>
      <c r="K66" s="329"/>
      <c r="L66" s="329"/>
      <c r="M66" s="329"/>
      <c r="N66" s="329"/>
      <c r="O66" s="166"/>
    </row>
    <row r="67" spans="1:15" ht="21" customHeight="1">
      <c r="A67" s="152"/>
      <c r="B67" s="152"/>
      <c r="C67" s="152"/>
      <c r="D67" s="328"/>
      <c r="E67" s="328"/>
      <c r="F67" s="328"/>
      <c r="G67" s="328"/>
      <c r="H67" s="330"/>
      <c r="I67" s="330"/>
      <c r="J67" s="330"/>
      <c r="K67" s="330"/>
      <c r="L67" s="330"/>
      <c r="M67" s="330"/>
      <c r="N67" s="330"/>
      <c r="O67" s="166"/>
    </row>
    <row r="68" spans="1:15" ht="21" customHeight="1">
      <c r="A68" s="152"/>
      <c r="B68" s="152"/>
      <c r="C68" s="152"/>
      <c r="D68" s="328"/>
      <c r="E68" s="328"/>
      <c r="F68" s="328"/>
      <c r="G68" s="328"/>
      <c r="H68" s="330"/>
      <c r="I68" s="330"/>
      <c r="J68" s="330"/>
      <c r="K68" s="330"/>
      <c r="L68" s="330"/>
      <c r="M68" s="330"/>
      <c r="N68" s="330"/>
      <c r="O68" s="166"/>
    </row>
    <row r="69" spans="1:15" ht="21" customHeight="1">
      <c r="A69" s="152"/>
      <c r="B69" s="152"/>
      <c r="C69" s="152"/>
      <c r="D69" s="328"/>
      <c r="E69" s="328"/>
      <c r="F69" s="328"/>
      <c r="G69" s="328"/>
      <c r="H69" s="330"/>
      <c r="I69" s="330"/>
      <c r="J69" s="331" t="s">
        <v>97</v>
      </c>
      <c r="K69" s="331"/>
      <c r="L69" s="331"/>
      <c r="M69" s="331"/>
      <c r="N69" s="331"/>
      <c r="O69" s="166"/>
    </row>
    <row r="70" spans="1:15" ht="21" customHeight="1">
      <c r="A70" s="262" t="s">
        <v>82</v>
      </c>
      <c r="B70" s="262"/>
      <c r="C70" s="262"/>
      <c r="D70" s="262"/>
      <c r="E70" s="328"/>
      <c r="F70" s="328"/>
      <c r="G70" s="328"/>
      <c r="H70" s="330"/>
      <c r="I70" s="330"/>
      <c r="J70" s="331"/>
      <c r="K70" s="331"/>
      <c r="L70" s="331"/>
      <c r="M70" s="331"/>
      <c r="N70" s="331"/>
      <c r="O70" s="166"/>
    </row>
    <row r="71" spans="1:15" ht="21" customHeight="1">
      <c r="A71" s="152"/>
      <c r="B71" s="152"/>
      <c r="C71" s="152"/>
      <c r="D71" s="328"/>
      <c r="E71" s="328"/>
      <c r="F71" s="328"/>
      <c r="G71" s="328"/>
      <c r="H71" s="330"/>
      <c r="I71" s="330"/>
      <c r="J71" s="330"/>
      <c r="K71" s="330"/>
      <c r="L71" s="330"/>
      <c r="M71" s="330"/>
      <c r="N71" s="330"/>
      <c r="O71" s="166"/>
    </row>
    <row r="72" spans="1:15" ht="21" customHeight="1">
      <c r="A72" s="152"/>
      <c r="B72" s="152"/>
      <c r="C72" s="152"/>
      <c r="D72" s="328"/>
      <c r="E72" s="328"/>
      <c r="F72" s="328"/>
      <c r="G72" s="328"/>
      <c r="H72" s="330"/>
      <c r="I72" s="330"/>
      <c r="J72" s="331" t="s">
        <v>108</v>
      </c>
      <c r="K72" s="331"/>
      <c r="L72" s="331"/>
      <c r="M72" s="331"/>
      <c r="N72" s="331"/>
      <c r="O72" s="166"/>
    </row>
    <row r="73" spans="1:15" ht="21" customHeight="1">
      <c r="A73" s="152"/>
      <c r="B73" s="152"/>
      <c r="C73" s="152"/>
      <c r="D73" s="328"/>
      <c r="E73" s="328"/>
      <c r="F73" s="328"/>
      <c r="G73" s="328"/>
      <c r="H73" s="330"/>
      <c r="I73" s="330"/>
      <c r="J73" s="330"/>
      <c r="K73" s="330"/>
      <c r="L73" s="330"/>
      <c r="M73" s="330"/>
      <c r="N73" s="330"/>
      <c r="O73" s="166"/>
    </row>
    <row r="74" spans="1:15" ht="21" customHeight="1">
      <c r="A74" s="152"/>
      <c r="B74" s="152"/>
      <c r="C74" s="152"/>
      <c r="D74" s="328"/>
      <c r="E74" s="328"/>
      <c r="F74" s="328"/>
      <c r="G74" s="328"/>
      <c r="H74" s="330"/>
      <c r="I74" s="330"/>
      <c r="J74" s="330"/>
      <c r="K74" s="330"/>
      <c r="L74" s="330"/>
      <c r="M74" s="330"/>
      <c r="N74" s="330"/>
      <c r="O74" s="166"/>
    </row>
    <row r="75" spans="1:15" ht="21" customHeight="1">
      <c r="A75" s="152"/>
      <c r="B75" s="152"/>
      <c r="C75" s="152"/>
      <c r="D75" s="328"/>
      <c r="E75" s="328"/>
      <c r="F75" s="328"/>
      <c r="G75" s="328"/>
      <c r="H75" s="330"/>
      <c r="I75" s="330"/>
      <c r="J75" s="330"/>
      <c r="K75" s="330"/>
      <c r="L75" s="330"/>
      <c r="M75" s="330"/>
      <c r="N75" s="330"/>
      <c r="O75" s="166"/>
    </row>
    <row r="76" spans="1:15" ht="21" customHeight="1">
      <c r="A76" s="152"/>
      <c r="B76" s="152"/>
      <c r="C76" s="152"/>
      <c r="D76" s="328"/>
      <c r="E76" s="328"/>
      <c r="F76" s="328"/>
      <c r="G76" s="328"/>
      <c r="H76" s="330"/>
      <c r="I76" s="330"/>
      <c r="J76" s="330"/>
      <c r="K76" s="330"/>
      <c r="L76" s="330"/>
      <c r="M76" s="330"/>
      <c r="N76" s="330"/>
      <c r="O76" s="166"/>
    </row>
    <row r="77" spans="1:15" ht="21" customHeight="1">
      <c r="A77" s="152"/>
      <c r="B77" s="152"/>
      <c r="C77" s="152"/>
      <c r="D77" s="328"/>
      <c r="E77" s="328"/>
      <c r="F77" s="328"/>
      <c r="G77" s="328"/>
      <c r="H77" s="330"/>
      <c r="I77" s="330"/>
      <c r="J77" s="330"/>
      <c r="K77" s="330"/>
      <c r="L77" s="330"/>
      <c r="M77" s="330"/>
      <c r="N77" s="330"/>
      <c r="O77" s="166"/>
    </row>
    <row r="78" spans="1:15" ht="21" customHeight="1">
      <c r="A78" s="152"/>
      <c r="B78" s="152"/>
      <c r="C78" s="152"/>
      <c r="D78" s="328"/>
      <c r="E78" s="328"/>
      <c r="F78" s="328"/>
      <c r="G78" s="328"/>
      <c r="H78" s="330"/>
      <c r="I78" s="330"/>
      <c r="J78" s="330"/>
      <c r="K78" s="330"/>
      <c r="L78" s="330"/>
      <c r="M78" s="330"/>
      <c r="N78" s="330"/>
      <c r="O78" s="166"/>
    </row>
    <row r="79" spans="1:15" ht="21" customHeight="1">
      <c r="A79" s="152"/>
      <c r="B79" s="152"/>
      <c r="C79" s="152"/>
      <c r="D79" s="328"/>
      <c r="E79" s="328"/>
      <c r="F79" s="328"/>
      <c r="G79" s="328"/>
      <c r="H79" s="330"/>
      <c r="I79" s="330"/>
      <c r="J79" s="330"/>
      <c r="K79" s="330"/>
      <c r="L79" s="330"/>
      <c r="M79" s="330"/>
      <c r="N79" s="330"/>
      <c r="O79" s="166"/>
    </row>
    <row r="80" spans="1:15" ht="21" customHeight="1">
      <c r="A80" s="152"/>
      <c r="B80" s="152"/>
      <c r="C80" s="152"/>
      <c r="D80" s="328"/>
      <c r="E80" s="328"/>
      <c r="F80" s="328"/>
      <c r="G80" s="328"/>
      <c r="H80" s="330"/>
      <c r="I80" s="330"/>
      <c r="J80" s="330"/>
      <c r="K80" s="330"/>
      <c r="L80" s="330"/>
      <c r="M80" s="330"/>
      <c r="N80" s="330"/>
      <c r="O80" s="166"/>
    </row>
    <row r="81" spans="1:20" ht="21" customHeight="1">
      <c r="A81" s="152"/>
      <c r="B81" s="152"/>
      <c r="C81" s="152"/>
      <c r="D81" s="328"/>
      <c r="E81" s="328"/>
      <c r="F81" s="328"/>
      <c r="G81" s="328"/>
      <c r="H81" s="330"/>
      <c r="I81" s="330"/>
      <c r="J81" s="330"/>
      <c r="K81" s="330"/>
      <c r="L81" s="330"/>
      <c r="M81" s="330"/>
      <c r="N81" s="330"/>
      <c r="O81" s="166"/>
    </row>
    <row r="82" spans="1:20" s="118" customFormat="1" ht="18" customHeight="1">
      <c r="A82" s="116" t="s">
        <v>57</v>
      </c>
      <c r="B82" s="117"/>
      <c r="C82" s="117"/>
      <c r="D82" s="117"/>
      <c r="E82" s="117"/>
      <c r="F82" s="310" t="s">
        <v>29</v>
      </c>
      <c r="G82" s="310"/>
      <c r="H82" s="310"/>
      <c r="I82" s="310"/>
      <c r="J82" s="310"/>
      <c r="K82" s="310"/>
      <c r="L82" s="310"/>
      <c r="M82" s="310"/>
      <c r="N82" s="310"/>
      <c r="O82" s="353"/>
      <c r="P82" s="353"/>
    </row>
    <row r="83" spans="1:20" s="118" customFormat="1" ht="18" customHeight="1">
      <c r="A83" s="116"/>
      <c r="B83" s="117"/>
      <c r="C83" s="117"/>
      <c r="D83" s="117"/>
      <c r="E83" s="117"/>
      <c r="F83" s="157"/>
      <c r="G83" s="157"/>
      <c r="H83" s="157"/>
      <c r="I83" s="157"/>
      <c r="J83" s="157"/>
      <c r="K83" s="157"/>
      <c r="L83" s="157"/>
      <c r="M83" s="157"/>
      <c r="N83" s="157"/>
      <c r="O83" s="353"/>
      <c r="P83" s="353"/>
    </row>
    <row r="84" spans="1:20" ht="18" customHeight="1">
      <c r="A84" s="7" t="s">
        <v>178</v>
      </c>
      <c r="B84" s="7"/>
      <c r="C84" s="7"/>
      <c r="D84" s="7"/>
      <c r="E84" s="7"/>
      <c r="F84" s="155"/>
      <c r="G84" s="155"/>
      <c r="H84" s="155"/>
      <c r="I84" s="155"/>
      <c r="J84" s="155"/>
      <c r="K84" s="155"/>
      <c r="L84" s="155"/>
      <c r="M84" s="155"/>
      <c r="N84" s="155"/>
      <c r="O84" s="159"/>
      <c r="P84" s="159"/>
      <c r="T84" s="2"/>
    </row>
    <row r="85" spans="1:20" ht="18" customHeight="1">
      <c r="A85" s="7"/>
      <c r="B85" s="7"/>
      <c r="C85" s="7"/>
      <c r="D85" s="7"/>
      <c r="E85" s="7"/>
      <c r="F85" s="155"/>
      <c r="G85" s="155"/>
      <c r="H85" s="155"/>
      <c r="I85" s="155"/>
      <c r="J85" s="155"/>
      <c r="K85" s="155"/>
      <c r="L85" s="155"/>
      <c r="M85" s="155"/>
      <c r="N85" s="155"/>
      <c r="O85" s="159"/>
      <c r="P85" s="159"/>
      <c r="T85" s="2"/>
    </row>
    <row r="86" spans="1:20" s="2" customFormat="1" ht="13.2" customHeight="1">
      <c r="A86" s="184" t="s">
        <v>89</v>
      </c>
      <c r="B86" s="184"/>
      <c r="C86" s="184"/>
      <c r="D86" s="184"/>
      <c r="E86" s="184" t="s">
        <v>80</v>
      </c>
      <c r="F86" s="184"/>
      <c r="G86" s="184"/>
      <c r="H86" s="184"/>
      <c r="I86" s="184"/>
      <c r="J86" s="184"/>
      <c r="K86" s="184"/>
      <c r="L86" s="184"/>
      <c r="M86" s="184"/>
      <c r="N86" s="184"/>
      <c r="O86" s="160"/>
    </row>
    <row r="87" spans="1:20" s="2" customFormat="1" ht="18" customHeight="1">
      <c r="A87" s="184"/>
      <c r="B87" s="184"/>
      <c r="C87" s="184"/>
      <c r="D87" s="184"/>
      <c r="E87" s="184" t="s">
        <v>88</v>
      </c>
      <c r="F87" s="184"/>
      <c r="G87" s="184"/>
      <c r="H87" s="184"/>
      <c r="I87" s="184"/>
      <c r="J87" s="184" t="s">
        <v>90</v>
      </c>
      <c r="K87" s="184"/>
      <c r="L87" s="184"/>
      <c r="M87" s="184"/>
      <c r="N87" s="184"/>
      <c r="O87" s="160"/>
    </row>
    <row r="88" spans="1:20" s="2" customFormat="1" ht="18" customHeight="1">
      <c r="A88" s="185" t="s">
        <v>81</v>
      </c>
      <c r="B88" s="185"/>
      <c r="C88" s="185"/>
      <c r="D88" s="185"/>
      <c r="E88" s="186" t="s">
        <v>119</v>
      </c>
      <c r="F88" s="186"/>
      <c r="G88" s="186"/>
      <c r="H88" s="186"/>
      <c r="I88" s="186"/>
      <c r="J88" s="263" t="s">
        <v>81</v>
      </c>
      <c r="K88" s="264"/>
      <c r="L88" s="264"/>
      <c r="M88" s="264"/>
      <c r="N88" s="265"/>
      <c r="O88" s="160"/>
    </row>
    <row r="89" spans="1:20" s="2" customFormat="1" ht="18" customHeight="1">
      <c r="A89" s="303" t="s">
        <v>127</v>
      </c>
      <c r="B89" s="304"/>
      <c r="C89" s="304"/>
      <c r="D89" s="305"/>
      <c r="E89" s="186"/>
      <c r="F89" s="186"/>
      <c r="G89" s="186"/>
      <c r="H89" s="186"/>
      <c r="I89" s="186"/>
      <c r="J89" s="292" t="s">
        <v>179</v>
      </c>
      <c r="K89" s="293"/>
      <c r="L89" s="293"/>
      <c r="M89" s="293"/>
      <c r="N89" s="293"/>
      <c r="O89" s="160"/>
    </row>
    <row r="90" spans="1:20" s="2" customFormat="1" ht="18" customHeight="1">
      <c r="A90" s="306" t="s">
        <v>137</v>
      </c>
      <c r="B90" s="306"/>
      <c r="C90" s="306"/>
      <c r="D90" s="306"/>
      <c r="E90" s="186"/>
      <c r="F90" s="186"/>
      <c r="G90" s="186"/>
      <c r="H90" s="186"/>
      <c r="I90" s="186"/>
      <c r="J90" s="266" t="s">
        <v>180</v>
      </c>
      <c r="K90" s="267"/>
      <c r="L90" s="267"/>
      <c r="M90" s="267"/>
      <c r="N90" s="268"/>
      <c r="O90" s="160"/>
    </row>
    <row r="91" spans="1:20" ht="18" customHeight="1">
      <c r="A91" s="290" t="s">
        <v>104</v>
      </c>
      <c r="B91" s="290"/>
      <c r="C91" s="288">
        <v>60</v>
      </c>
      <c r="D91" s="288"/>
      <c r="E91" s="7"/>
      <c r="F91" s="155"/>
      <c r="G91" s="155"/>
      <c r="H91" s="155"/>
      <c r="I91" s="155"/>
      <c r="J91" s="155"/>
      <c r="K91" s="155"/>
      <c r="L91" s="155"/>
      <c r="M91" s="155"/>
      <c r="N91" s="155"/>
      <c r="O91" s="159"/>
      <c r="P91" s="159"/>
      <c r="T91" s="2"/>
    </row>
    <row r="92" spans="1:20" ht="18" customHeight="1">
      <c r="A92" s="170" t="s">
        <v>0</v>
      </c>
      <c r="B92" s="173" t="s">
        <v>18</v>
      </c>
      <c r="C92" s="176" t="s">
        <v>7</v>
      </c>
      <c r="D92" s="176" t="s">
        <v>8</v>
      </c>
      <c r="E92" s="179" t="s">
        <v>10</v>
      </c>
      <c r="F92" s="180"/>
      <c r="G92" s="179" t="s">
        <v>12</v>
      </c>
      <c r="H92" s="180"/>
      <c r="I92" s="198" t="s">
        <v>15</v>
      </c>
      <c r="J92" s="198" t="s">
        <v>30</v>
      </c>
      <c r="K92" s="198" t="s">
        <v>31</v>
      </c>
      <c r="L92" s="198" t="s">
        <v>16</v>
      </c>
      <c r="M92" s="198" t="s">
        <v>32</v>
      </c>
      <c r="N92" s="170" t="s">
        <v>17</v>
      </c>
      <c r="O92" s="161"/>
    </row>
    <row r="93" spans="1:20" ht="18" customHeight="1">
      <c r="A93" s="171"/>
      <c r="B93" s="174"/>
      <c r="C93" s="177"/>
      <c r="D93" s="177"/>
      <c r="E93" s="181"/>
      <c r="F93" s="182"/>
      <c r="G93" s="181"/>
      <c r="H93" s="182"/>
      <c r="I93" s="206"/>
      <c r="J93" s="206"/>
      <c r="K93" s="206"/>
      <c r="L93" s="206"/>
      <c r="M93" s="206"/>
      <c r="N93" s="171"/>
      <c r="O93" s="152"/>
    </row>
    <row r="94" spans="1:20" ht="18" customHeight="1">
      <c r="A94" s="171"/>
      <c r="B94" s="174"/>
      <c r="C94" s="177"/>
      <c r="D94" s="177"/>
      <c r="E94" s="198" t="s">
        <v>9</v>
      </c>
      <c r="F94" s="198" t="s">
        <v>11</v>
      </c>
      <c r="G94" s="198" t="s">
        <v>13</v>
      </c>
      <c r="H94" s="198" t="s">
        <v>14</v>
      </c>
      <c r="I94" s="206"/>
      <c r="J94" s="206"/>
      <c r="K94" s="206"/>
      <c r="L94" s="206"/>
      <c r="M94" s="206"/>
      <c r="N94" s="171"/>
      <c r="O94" s="152"/>
    </row>
    <row r="95" spans="1:20" ht="18" customHeight="1">
      <c r="A95" s="172"/>
      <c r="B95" s="175"/>
      <c r="C95" s="178"/>
      <c r="D95" s="178"/>
      <c r="E95" s="199"/>
      <c r="F95" s="199"/>
      <c r="G95" s="199"/>
      <c r="H95" s="199"/>
      <c r="I95" s="199"/>
      <c r="J95" s="199"/>
      <c r="K95" s="199"/>
      <c r="L95" s="199"/>
      <c r="M95" s="199"/>
      <c r="N95" s="172"/>
      <c r="O95" s="152"/>
    </row>
    <row r="96" spans="1:20" ht="18" customHeight="1">
      <c r="A96" s="203" t="s">
        <v>40</v>
      </c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5"/>
      <c r="O96" s="152"/>
    </row>
    <row r="97" spans="1:23" s="2" customFormat="1" ht="18" customHeight="1">
      <c r="A97" s="8">
        <v>1</v>
      </c>
      <c r="B97" s="9" t="s">
        <v>2</v>
      </c>
      <c r="C97" s="12">
        <f t="shared" ref="C97:C100" si="4">L97/100*100</f>
        <v>30</v>
      </c>
      <c r="D97" s="13">
        <f>C97/100*60</f>
        <v>18</v>
      </c>
      <c r="E97" s="14">
        <f>C97/100*15</f>
        <v>4.5</v>
      </c>
      <c r="F97" s="14"/>
      <c r="G97" s="14"/>
      <c r="H97" s="14"/>
      <c r="I97" s="14"/>
      <c r="J97" s="22">
        <f>C97/100*387</f>
        <v>116.1</v>
      </c>
      <c r="K97" s="22">
        <f>C97/100*0.09</f>
        <v>2.7E-2</v>
      </c>
      <c r="L97" s="111">
        <v>30</v>
      </c>
      <c r="M97" s="20">
        <v>20</v>
      </c>
      <c r="N97" s="16">
        <f>L97*M97</f>
        <v>600</v>
      </c>
      <c r="O97" s="162"/>
    </row>
    <row r="98" spans="1:23" s="2" customFormat="1" ht="18" customHeight="1">
      <c r="A98" s="8">
        <v>2</v>
      </c>
      <c r="B98" s="9" t="s">
        <v>112</v>
      </c>
      <c r="C98" s="12">
        <f t="shared" si="4"/>
        <v>420</v>
      </c>
      <c r="D98" s="13">
        <f>C98/100*53</f>
        <v>222.60000000000002</v>
      </c>
      <c r="E98" s="14"/>
      <c r="F98" s="14">
        <f>C98/100*6.3</f>
        <v>26.46</v>
      </c>
      <c r="G98" s="14"/>
      <c r="H98" s="14">
        <f>C98/100*0.04</f>
        <v>0.16800000000000001</v>
      </c>
      <c r="I98" s="14">
        <f>C98/100*6.8</f>
        <v>28.56</v>
      </c>
      <c r="J98" s="22">
        <f>C98/100*19</f>
        <v>79.8</v>
      </c>
      <c r="K98" s="22">
        <f>C98/100*0.03</f>
        <v>0.126</v>
      </c>
      <c r="L98" s="111">
        <v>420</v>
      </c>
      <c r="M98" s="20">
        <v>45</v>
      </c>
      <c r="N98" s="16">
        <f t="shared" ref="N98:N106" si="5">L98*M98</f>
        <v>18900</v>
      </c>
      <c r="O98" s="342"/>
    </row>
    <row r="99" spans="1:23" s="2" customFormat="1" ht="18" customHeight="1">
      <c r="A99" s="8">
        <v>3</v>
      </c>
      <c r="B99" s="9" t="s">
        <v>118</v>
      </c>
      <c r="C99" s="12">
        <f t="shared" si="4"/>
        <v>340</v>
      </c>
      <c r="D99" s="65">
        <f>C99/100*900</f>
        <v>3060</v>
      </c>
      <c r="E99" s="14"/>
      <c r="F99" s="14"/>
      <c r="G99" s="91"/>
      <c r="H99" s="14">
        <f>C99/100*100</f>
        <v>340</v>
      </c>
      <c r="I99" s="14"/>
      <c r="J99" s="14"/>
      <c r="K99" s="14"/>
      <c r="L99" s="111">
        <v>340</v>
      </c>
      <c r="M99" s="65">
        <v>65</v>
      </c>
      <c r="N99" s="93">
        <f t="shared" si="5"/>
        <v>22100</v>
      </c>
      <c r="O99" s="163"/>
    </row>
    <row r="100" spans="1:23" s="2" customFormat="1" ht="18" customHeight="1">
      <c r="A100" s="8">
        <v>4</v>
      </c>
      <c r="B100" s="5" t="s">
        <v>1</v>
      </c>
      <c r="C100" s="12">
        <f t="shared" si="4"/>
        <v>2580</v>
      </c>
      <c r="D100" s="13">
        <f>C100/100*344</f>
        <v>8875.2000000000007</v>
      </c>
      <c r="E100" s="14"/>
      <c r="F100" s="14">
        <f>C100/100*7.9</f>
        <v>203.82000000000002</v>
      </c>
      <c r="G100" s="14"/>
      <c r="H100" s="14">
        <f>C100/100*1</f>
        <v>25.8</v>
      </c>
      <c r="I100" s="91">
        <f>C100/100*71.91</f>
        <v>1855.278</v>
      </c>
      <c r="J100" s="22">
        <f>C100/100*30</f>
        <v>774</v>
      </c>
      <c r="K100" s="22">
        <f>C100/100*0.1</f>
        <v>2.58</v>
      </c>
      <c r="L100" s="111">
        <v>2580</v>
      </c>
      <c r="M100" s="20">
        <v>18</v>
      </c>
      <c r="N100" s="16">
        <f t="shared" si="5"/>
        <v>46440</v>
      </c>
      <c r="O100" s="162"/>
    </row>
    <row r="101" spans="1:23" s="2" customFormat="1" ht="18" customHeight="1">
      <c r="A101" s="8">
        <v>5</v>
      </c>
      <c r="B101" s="9" t="s">
        <v>121</v>
      </c>
      <c r="C101" s="12">
        <f>L101/100*90</f>
        <v>54</v>
      </c>
      <c r="D101" s="13">
        <f>C101/100*281</f>
        <v>151.74</v>
      </c>
      <c r="E101" s="14"/>
      <c r="F101" s="14">
        <f>C101/100*9.5</f>
        <v>5.1300000000000008</v>
      </c>
      <c r="G101" s="14"/>
      <c r="H101" s="14">
        <f>C101/100*0.2</f>
        <v>0.10800000000000001</v>
      </c>
      <c r="I101" s="14">
        <f>D101/100*58.5</f>
        <v>88.767900000000012</v>
      </c>
      <c r="J101" s="22">
        <f>C101/100*321</f>
        <v>173.34</v>
      </c>
      <c r="K101" s="22">
        <f>C101/100*0.14</f>
        <v>7.5600000000000014E-2</v>
      </c>
      <c r="L101" s="111">
        <v>60</v>
      </c>
      <c r="M101" s="43">
        <v>120</v>
      </c>
      <c r="N101" s="16">
        <f t="shared" si="5"/>
        <v>7200</v>
      </c>
      <c r="O101" s="342"/>
    </row>
    <row r="102" spans="1:23" s="2" customFormat="1" ht="18" customHeight="1">
      <c r="A102" s="8">
        <v>6</v>
      </c>
      <c r="B102" s="5" t="s">
        <v>128</v>
      </c>
      <c r="C102" s="12">
        <f>L102/100*31</f>
        <v>279</v>
      </c>
      <c r="D102" s="13">
        <f>C102/100*87</f>
        <v>242.73</v>
      </c>
      <c r="E102" s="14">
        <f>C102/100*12.3</f>
        <v>34.317</v>
      </c>
      <c r="F102" s="14"/>
      <c r="G102" s="14">
        <f>C102/100*3.3</f>
        <v>9.206999999999999</v>
      </c>
      <c r="H102" s="14"/>
      <c r="I102" s="14">
        <f>C102/100*2</f>
        <v>5.58</v>
      </c>
      <c r="J102" s="64">
        <f>C102/100*1120</f>
        <v>3124.8</v>
      </c>
      <c r="K102" s="22">
        <f>C102/100*0.01</f>
        <v>2.7900000000000001E-2</v>
      </c>
      <c r="L102" s="111">
        <v>900</v>
      </c>
      <c r="M102" s="20">
        <v>180</v>
      </c>
      <c r="N102" s="93">
        <f t="shared" si="5"/>
        <v>162000</v>
      </c>
      <c r="O102" s="162"/>
      <c r="Q102" s="3"/>
      <c r="R102" s="3"/>
      <c r="S102" s="4"/>
    </row>
    <row r="103" spans="1:23" s="2" customFormat="1" ht="18" customHeight="1">
      <c r="A103" s="8">
        <v>7</v>
      </c>
      <c r="B103" s="5" t="s">
        <v>3</v>
      </c>
      <c r="C103" s="12">
        <f>L103/100*48</f>
        <v>950.40000000000009</v>
      </c>
      <c r="D103" s="13">
        <f>C103/100*199</f>
        <v>1891.2960000000003</v>
      </c>
      <c r="E103" s="14">
        <f>C103/100*20.3</f>
        <v>192.93120000000005</v>
      </c>
      <c r="F103" s="14"/>
      <c r="G103" s="14">
        <f>C103/100*13.1</f>
        <v>124.50240000000001</v>
      </c>
      <c r="H103" s="14"/>
      <c r="I103" s="14"/>
      <c r="J103" s="22">
        <f>C103/100*12</f>
        <v>114.04800000000002</v>
      </c>
      <c r="K103" s="22">
        <f>C103/100*0.15</f>
        <v>1.4256000000000002</v>
      </c>
      <c r="L103" s="111">
        <v>1980</v>
      </c>
      <c r="M103" s="15">
        <v>84</v>
      </c>
      <c r="N103" s="16">
        <f t="shared" si="5"/>
        <v>166320</v>
      </c>
      <c r="O103" s="162"/>
      <c r="Q103" s="3"/>
      <c r="R103" s="3"/>
      <c r="S103" s="4"/>
    </row>
    <row r="104" spans="1:23" s="2" customFormat="1" ht="18" customHeight="1">
      <c r="A104" s="8">
        <v>8</v>
      </c>
      <c r="B104" s="9" t="s">
        <v>64</v>
      </c>
      <c r="C104" s="12">
        <f>L104/100*98</f>
        <v>1940.4</v>
      </c>
      <c r="D104" s="13">
        <f>C104/100*139</f>
        <v>2697.1559999999999</v>
      </c>
      <c r="E104" s="14">
        <f>C104/100*19</f>
        <v>368.67599999999999</v>
      </c>
      <c r="F104" s="14"/>
      <c r="G104" s="14">
        <f>C104/100*7</f>
        <v>135.828</v>
      </c>
      <c r="H104" s="14"/>
      <c r="I104" s="14"/>
      <c r="J104" s="22">
        <f>C104/100*7</f>
        <v>135.828</v>
      </c>
      <c r="K104" s="22">
        <f>C104/100*0.9</f>
        <v>17.4636</v>
      </c>
      <c r="L104" s="111">
        <v>1980</v>
      </c>
      <c r="M104" s="15">
        <v>133</v>
      </c>
      <c r="N104" s="16">
        <f t="shared" si="5"/>
        <v>263340</v>
      </c>
      <c r="O104" s="162"/>
    </row>
    <row r="105" spans="1:23" s="2" customFormat="1" ht="18" customHeight="1">
      <c r="A105" s="8">
        <v>9</v>
      </c>
      <c r="B105" s="5" t="s">
        <v>110</v>
      </c>
      <c r="C105" s="12">
        <f>L105/100*100</f>
        <v>50</v>
      </c>
      <c r="D105" s="13">
        <f>C105/100*247</f>
        <v>123.5</v>
      </c>
      <c r="E105" s="17"/>
      <c r="F105" s="17">
        <f>C105/100*17.5</f>
        <v>8.75</v>
      </c>
      <c r="G105" s="17"/>
      <c r="H105" s="17">
        <f>C105/100*1.6</f>
        <v>0.8</v>
      </c>
      <c r="I105" s="17">
        <f>C105/100*39.2</f>
        <v>19.600000000000001</v>
      </c>
      <c r="J105" s="21"/>
      <c r="K105" s="21"/>
      <c r="L105" s="321">
        <v>50</v>
      </c>
      <c r="M105" s="20">
        <v>50</v>
      </c>
      <c r="N105" s="16">
        <f t="shared" si="5"/>
        <v>2500</v>
      </c>
      <c r="O105" s="162"/>
      <c r="Q105" s="3"/>
      <c r="R105" s="3"/>
      <c r="S105" s="4"/>
      <c r="T105" s="3"/>
    </row>
    <row r="106" spans="1:23" s="2" customFormat="1" ht="19.8" customHeight="1">
      <c r="A106" s="8">
        <v>10</v>
      </c>
      <c r="B106" s="142" t="s">
        <v>138</v>
      </c>
      <c r="C106" s="12">
        <f>L106/100*83</f>
        <v>1394.4</v>
      </c>
      <c r="D106" s="13">
        <f>C106/100*14</f>
        <v>195.21600000000001</v>
      </c>
      <c r="E106" s="17"/>
      <c r="F106" s="17">
        <f>C106/100*2</f>
        <v>27.888000000000002</v>
      </c>
      <c r="G106" s="17"/>
      <c r="H106" s="17"/>
      <c r="I106" s="17">
        <f>C106/100*1.4</f>
        <v>19.521599999999999</v>
      </c>
      <c r="J106" s="123">
        <f>C106/100*176</f>
        <v>2454.1440000000002</v>
      </c>
      <c r="K106" s="17">
        <f>C106/100*0.06</f>
        <v>0.83664000000000005</v>
      </c>
      <c r="L106" s="321">
        <v>1680</v>
      </c>
      <c r="M106" s="15">
        <v>20</v>
      </c>
      <c r="N106" s="113">
        <f t="shared" si="5"/>
        <v>33600</v>
      </c>
      <c r="O106" s="162"/>
      <c r="Q106" s="3"/>
      <c r="R106" s="3"/>
      <c r="S106" s="4"/>
    </row>
    <row r="107" spans="1:23" s="2" customFormat="1" ht="18" customHeight="1">
      <c r="A107" s="8">
        <v>11</v>
      </c>
      <c r="B107" s="9" t="s">
        <v>105</v>
      </c>
      <c r="C107" s="12"/>
      <c r="D107" s="135"/>
      <c r="E107" s="14"/>
      <c r="F107" s="14"/>
      <c r="G107" s="14"/>
      <c r="H107" s="14"/>
      <c r="I107" s="14"/>
      <c r="J107" s="14"/>
      <c r="K107" s="14"/>
      <c r="L107" s="15"/>
      <c r="M107" s="15"/>
      <c r="N107" s="16">
        <v>4000</v>
      </c>
      <c r="O107" s="162"/>
    </row>
    <row r="108" spans="1:23" s="2" customFormat="1" ht="18" customHeight="1">
      <c r="A108" s="23" t="s">
        <v>98</v>
      </c>
      <c r="B108" s="24"/>
      <c r="C108" s="25"/>
      <c r="D108" s="94">
        <f>SUM(D97:D107)</f>
        <v>17477.438000000002</v>
      </c>
      <c r="E108" s="31"/>
      <c r="F108" s="31"/>
      <c r="G108" s="31"/>
      <c r="H108" s="31"/>
      <c r="I108" s="31"/>
      <c r="J108" s="31"/>
      <c r="K108" s="31"/>
      <c r="L108" s="32"/>
      <c r="M108" s="32"/>
      <c r="N108" s="295">
        <f>SUM(N97:N107)</f>
        <v>727000</v>
      </c>
      <c r="O108" s="162"/>
    </row>
    <row r="109" spans="1:23" ht="18" customHeight="1">
      <c r="A109" s="23" t="s">
        <v>41</v>
      </c>
      <c r="B109" s="24"/>
      <c r="C109" s="33"/>
      <c r="D109" s="34">
        <f>D108/C91</f>
        <v>291.29063333333335</v>
      </c>
      <c r="E109" s="34"/>
      <c r="F109" s="34"/>
      <c r="G109" s="34"/>
      <c r="H109" s="34"/>
      <c r="I109" s="34"/>
      <c r="J109" s="34"/>
      <c r="K109" s="34"/>
      <c r="L109" s="35"/>
      <c r="M109" s="35"/>
      <c r="N109" s="296"/>
      <c r="O109" s="350"/>
      <c r="P109" s="2"/>
      <c r="Q109" s="2"/>
      <c r="R109" s="2"/>
      <c r="S109" s="2"/>
      <c r="T109" s="2"/>
      <c r="U109" s="2"/>
      <c r="V109" s="2"/>
      <c r="W109" s="2"/>
    </row>
    <row r="110" spans="1:23" ht="18" customHeight="1">
      <c r="A110" s="298" t="s">
        <v>50</v>
      </c>
      <c r="B110" s="210"/>
      <c r="C110" s="322" t="s">
        <v>125</v>
      </c>
      <c r="D110" s="29" t="s">
        <v>36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8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" customHeight="1">
      <c r="A111" s="211"/>
      <c r="B111" s="212"/>
      <c r="C111" s="62" t="s">
        <v>56</v>
      </c>
      <c r="D111" s="29">
        <f>D109*100/930</f>
        <v>31.321573476702511</v>
      </c>
      <c r="E111" s="34"/>
      <c r="F111" s="34"/>
      <c r="G111" s="34"/>
      <c r="H111" s="34"/>
      <c r="I111" s="34"/>
      <c r="J111" s="36"/>
      <c r="K111" s="36"/>
      <c r="L111" s="35"/>
      <c r="M111" s="35"/>
      <c r="N111" s="158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" customHeight="1">
      <c r="A112" s="213" t="s">
        <v>43</v>
      </c>
      <c r="B112" s="213"/>
      <c r="C112" s="45"/>
      <c r="D112" s="46"/>
      <c r="E112" s="47"/>
      <c r="F112" s="47"/>
      <c r="G112" s="47"/>
      <c r="H112" s="47"/>
      <c r="I112" s="47"/>
      <c r="J112" s="47"/>
      <c r="K112" s="47"/>
      <c r="L112" s="48"/>
      <c r="M112" s="48"/>
      <c r="N112" s="51"/>
      <c r="O112" s="162"/>
    </row>
    <row r="113" spans="1:23" s="2" customFormat="1" ht="18" customHeight="1">
      <c r="A113" s="8">
        <v>1</v>
      </c>
      <c r="B113" s="9" t="s">
        <v>2</v>
      </c>
      <c r="C113" s="12">
        <f>L113/100*100</f>
        <v>60</v>
      </c>
      <c r="D113" s="13">
        <f>C113/100*60</f>
        <v>36</v>
      </c>
      <c r="E113" s="14">
        <f>C113/100*15</f>
        <v>9</v>
      </c>
      <c r="F113" s="14"/>
      <c r="G113" s="14"/>
      <c r="H113" s="14"/>
      <c r="I113" s="14"/>
      <c r="J113" s="22">
        <f>C113/100*387</f>
        <v>232.2</v>
      </c>
      <c r="K113" s="22">
        <f>C113/100*0.09</f>
        <v>5.3999999999999999E-2</v>
      </c>
      <c r="L113" s="111">
        <v>60</v>
      </c>
      <c r="M113" s="20">
        <v>20</v>
      </c>
      <c r="N113" s="16">
        <f>L113*M113</f>
        <v>1200</v>
      </c>
      <c r="O113" s="162"/>
    </row>
    <row r="114" spans="1:23" s="2" customFormat="1" ht="18" customHeight="1">
      <c r="A114" s="8">
        <v>2</v>
      </c>
      <c r="B114" s="9" t="s">
        <v>112</v>
      </c>
      <c r="C114" s="12">
        <f t="shared" ref="C114" si="6">L114/100*100</f>
        <v>420</v>
      </c>
      <c r="D114" s="13">
        <f>C114/100*53</f>
        <v>222.60000000000002</v>
      </c>
      <c r="E114" s="14"/>
      <c r="F114" s="14">
        <f>C114/100*6.3</f>
        <v>26.46</v>
      </c>
      <c r="G114" s="14"/>
      <c r="H114" s="14">
        <f>C114/100*0.04</f>
        <v>0.16800000000000001</v>
      </c>
      <c r="I114" s="14">
        <f>C114/100*6.8</f>
        <v>28.56</v>
      </c>
      <c r="J114" s="22">
        <f>C114/100*19</f>
        <v>79.8</v>
      </c>
      <c r="K114" s="22">
        <f>C114/100*0.03</f>
        <v>0.126</v>
      </c>
      <c r="L114" s="111">
        <v>420</v>
      </c>
      <c r="M114" s="20">
        <v>45</v>
      </c>
      <c r="N114" s="16">
        <f t="shared" ref="N114" si="7">L114*M114</f>
        <v>18900</v>
      </c>
      <c r="O114" s="342"/>
    </row>
    <row r="115" spans="1:23" s="2" customFormat="1" ht="18" customHeight="1">
      <c r="A115" s="8">
        <v>3</v>
      </c>
      <c r="B115" s="115" t="s">
        <v>114</v>
      </c>
      <c r="C115" s="12">
        <f>L115/100*100</f>
        <v>290</v>
      </c>
      <c r="D115" s="13">
        <f>C115/100*899</f>
        <v>2607.1</v>
      </c>
      <c r="E115" s="14"/>
      <c r="F115" s="14"/>
      <c r="G115" s="14">
        <f>C115/100*100</f>
        <v>290</v>
      </c>
      <c r="H115" s="14"/>
      <c r="I115" s="14"/>
      <c r="J115" s="14"/>
      <c r="K115" s="14"/>
      <c r="L115" s="111">
        <v>290</v>
      </c>
      <c r="M115" s="65">
        <v>69</v>
      </c>
      <c r="N115" s="16">
        <f t="shared" ref="N115:N120" si="8">L115*M115</f>
        <v>20010</v>
      </c>
      <c r="O115" s="163"/>
    </row>
    <row r="116" spans="1:23" s="2" customFormat="1" ht="18" customHeight="1">
      <c r="A116" s="8">
        <v>4</v>
      </c>
      <c r="B116" s="5" t="s">
        <v>1</v>
      </c>
      <c r="C116" s="12">
        <f>L116/100*100</f>
        <v>2520</v>
      </c>
      <c r="D116" s="13">
        <f>C116/100*344</f>
        <v>8668.7999999999993</v>
      </c>
      <c r="E116" s="14"/>
      <c r="F116" s="14">
        <f>C116/100*7.9</f>
        <v>199.08</v>
      </c>
      <c r="G116" s="14"/>
      <c r="H116" s="14">
        <f>C116/100*1</f>
        <v>25.2</v>
      </c>
      <c r="I116" s="91">
        <f>C116/100*71.91</f>
        <v>1812.1319999999998</v>
      </c>
      <c r="J116" s="22">
        <f>C116/100*30</f>
        <v>756</v>
      </c>
      <c r="K116" s="22">
        <f>C116/100*0.1</f>
        <v>2.52</v>
      </c>
      <c r="L116" s="111">
        <v>2520</v>
      </c>
      <c r="M116" s="20">
        <v>18</v>
      </c>
      <c r="N116" s="16">
        <f t="shared" si="8"/>
        <v>45360</v>
      </c>
      <c r="O116" s="162"/>
    </row>
    <row r="117" spans="1:23" s="2" customFormat="1" ht="18" customHeight="1">
      <c r="A117" s="8">
        <v>5</v>
      </c>
      <c r="B117" s="66" t="s">
        <v>60</v>
      </c>
      <c r="C117" s="12">
        <f>L117/100*89</f>
        <v>2714.5</v>
      </c>
      <c r="D117" s="13">
        <f>C117/100*154</f>
        <v>4180.33</v>
      </c>
      <c r="E117" s="14">
        <f>C117/100*13.1</f>
        <v>355.59949999999998</v>
      </c>
      <c r="F117" s="14"/>
      <c r="G117" s="14">
        <f>C117/100*11.1</f>
        <v>301.30949999999996</v>
      </c>
      <c r="H117" s="14"/>
      <c r="I117" s="14">
        <f>C117/100*0.4</f>
        <v>10.858000000000001</v>
      </c>
      <c r="J117" s="64">
        <f>C117/100*64</f>
        <v>1737.28</v>
      </c>
      <c r="K117" s="22">
        <f>C117/100*0.13</f>
        <v>3.5288500000000003</v>
      </c>
      <c r="L117" s="111">
        <v>3050</v>
      </c>
      <c r="M117" s="42">
        <v>77</v>
      </c>
      <c r="N117" s="44">
        <f t="shared" si="8"/>
        <v>234850</v>
      </c>
      <c r="O117" s="162"/>
    </row>
    <row r="118" spans="1:23" s="2" customFormat="1" ht="18" customHeight="1">
      <c r="A118" s="8">
        <v>6</v>
      </c>
      <c r="B118" s="9" t="s">
        <v>64</v>
      </c>
      <c r="C118" s="12">
        <f>L118/100*98</f>
        <v>539</v>
      </c>
      <c r="D118" s="13">
        <f>C118/100*232</f>
        <v>1250.48</v>
      </c>
      <c r="E118" s="14">
        <f>C118/100*17.6</f>
        <v>94.864000000000004</v>
      </c>
      <c r="F118" s="14"/>
      <c r="G118" s="14">
        <f>C118/100*17.2</f>
        <v>92.707999999999984</v>
      </c>
      <c r="H118" s="14"/>
      <c r="I118" s="14"/>
      <c r="J118" s="22">
        <f>C118/100*7</f>
        <v>37.729999999999997</v>
      </c>
      <c r="K118" s="22">
        <f>C118/100*0.9</f>
        <v>4.851</v>
      </c>
      <c r="L118" s="111">
        <v>550</v>
      </c>
      <c r="M118" s="15">
        <v>133</v>
      </c>
      <c r="N118" s="16">
        <f t="shared" si="8"/>
        <v>73150</v>
      </c>
      <c r="O118" s="162"/>
    </row>
    <row r="119" spans="1:23" s="2" customFormat="1" ht="18" customHeight="1">
      <c r="A119" s="8">
        <v>7</v>
      </c>
      <c r="B119" s="5" t="s">
        <v>110</v>
      </c>
      <c r="C119" s="12">
        <f>L119/100*100</f>
        <v>50</v>
      </c>
      <c r="D119" s="13">
        <f>C119/100*247</f>
        <v>123.5</v>
      </c>
      <c r="E119" s="17"/>
      <c r="F119" s="17">
        <f>C119/100*17.5</f>
        <v>8.75</v>
      </c>
      <c r="G119" s="17"/>
      <c r="H119" s="17">
        <f>C119/100*1.6</f>
        <v>0.8</v>
      </c>
      <c r="I119" s="17">
        <f>C119/100*39.2</f>
        <v>19.600000000000001</v>
      </c>
      <c r="J119" s="21"/>
      <c r="K119" s="21"/>
      <c r="L119" s="321">
        <v>50</v>
      </c>
      <c r="M119" s="20">
        <v>50</v>
      </c>
      <c r="N119" s="16">
        <f t="shared" si="8"/>
        <v>2500</v>
      </c>
      <c r="O119" s="162"/>
      <c r="Q119" s="3"/>
      <c r="R119" s="3"/>
      <c r="S119" s="4"/>
      <c r="T119" s="3"/>
    </row>
    <row r="120" spans="1:23" s="2" customFormat="1" ht="18" customHeight="1">
      <c r="A120" s="8">
        <v>8</v>
      </c>
      <c r="B120" s="5" t="s">
        <v>66</v>
      </c>
      <c r="C120" s="12">
        <f>L120/100*75</f>
        <v>1462.5</v>
      </c>
      <c r="D120" s="13">
        <f>C120/100*12</f>
        <v>175.5</v>
      </c>
      <c r="E120" s="14">
        <f>C120/100*0.6</f>
        <v>8.7750000000000004</v>
      </c>
      <c r="F120" s="14"/>
      <c r="G120" s="14"/>
      <c r="H120" s="14"/>
      <c r="I120" s="14">
        <f>C120/100*2.4</f>
        <v>35.1</v>
      </c>
      <c r="J120" s="22">
        <f>C120/100*26</f>
        <v>380.25</v>
      </c>
      <c r="K120" s="22">
        <f>C120/100*0.02</f>
        <v>0.29249999999999998</v>
      </c>
      <c r="L120" s="111">
        <v>1950</v>
      </c>
      <c r="M120" s="15">
        <v>20</v>
      </c>
      <c r="N120" s="16">
        <f t="shared" si="8"/>
        <v>39000</v>
      </c>
      <c r="O120" s="162"/>
    </row>
    <row r="121" spans="1:23" s="2" customFormat="1" ht="18" customHeight="1">
      <c r="A121" s="8">
        <v>9</v>
      </c>
      <c r="B121" s="9" t="s">
        <v>105</v>
      </c>
      <c r="C121" s="12"/>
      <c r="D121" s="13"/>
      <c r="E121" s="14"/>
      <c r="F121" s="14"/>
      <c r="G121" s="104"/>
      <c r="H121" s="104"/>
      <c r="I121" s="14"/>
      <c r="J121" s="14"/>
      <c r="K121" s="14"/>
      <c r="L121" s="15"/>
      <c r="M121" s="15"/>
      <c r="N121" s="16">
        <v>4000</v>
      </c>
      <c r="O121" s="162"/>
    </row>
    <row r="122" spans="1:23" s="2" customFormat="1" ht="18" customHeight="1">
      <c r="A122" s="23" t="s">
        <v>99</v>
      </c>
      <c r="B122" s="24"/>
      <c r="C122" s="25"/>
      <c r="D122" s="94">
        <f>SUM(D113:D121)</f>
        <v>17264.310000000001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95">
        <f>SUM(N113:N121)</f>
        <v>438970</v>
      </c>
      <c r="O122" s="162"/>
    </row>
    <row r="123" spans="1:23" ht="18" customHeight="1">
      <c r="A123" s="23" t="s">
        <v>44</v>
      </c>
      <c r="B123" s="24"/>
      <c r="C123" s="52"/>
      <c r="D123" s="36">
        <f>D122/C91</f>
        <v>287.73850000000004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96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" customHeight="1">
      <c r="A124" s="298" t="s">
        <v>51</v>
      </c>
      <c r="B124" s="210"/>
      <c r="C124" s="322" t="s">
        <v>125</v>
      </c>
      <c r="D124" s="29" t="s">
        <v>46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58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211"/>
      <c r="B125" s="212"/>
      <c r="C125" s="62" t="s">
        <v>56</v>
      </c>
      <c r="D125" s="29">
        <f>D123*100/930</f>
        <v>30.939623655913984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8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307" t="s">
        <v>37</v>
      </c>
      <c r="B126" s="213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60"/>
      <c r="O126" s="4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8" customHeight="1">
      <c r="A127" s="119">
        <v>1</v>
      </c>
      <c r="B127" s="124" t="s">
        <v>119</v>
      </c>
      <c r="C127" s="25">
        <f>L127/100*73.5</f>
        <v>4931.8499999999995</v>
      </c>
      <c r="D127" s="120">
        <f>C127/100*56</f>
        <v>2761.8359999999998</v>
      </c>
      <c r="E127" s="27"/>
      <c r="F127" s="27">
        <f>C127/100*0.9</f>
        <v>44.386649999999996</v>
      </c>
      <c r="G127" s="27"/>
      <c r="H127" s="27">
        <f>C127/100*0.3</f>
        <v>14.795549999999997</v>
      </c>
      <c r="I127" s="121">
        <f>C127/100*12.4</f>
        <v>611.54939999999988</v>
      </c>
      <c r="J127" s="125">
        <f>C127/100*12</f>
        <v>591.82199999999989</v>
      </c>
      <c r="K127" s="126">
        <f>C127/100*0.04</f>
        <v>1.9727399999999997</v>
      </c>
      <c r="L127" s="28">
        <v>6710</v>
      </c>
      <c r="M127" s="127">
        <v>23</v>
      </c>
      <c r="N127" s="122">
        <f t="shared" ref="N127" si="9">L127*M127</f>
        <v>154330</v>
      </c>
      <c r="O127" s="162"/>
    </row>
    <row r="128" spans="1:23" ht="18" customHeight="1">
      <c r="A128" s="170" t="s">
        <v>0</v>
      </c>
      <c r="B128" s="173" t="s">
        <v>18</v>
      </c>
      <c r="C128" s="176" t="s">
        <v>7</v>
      </c>
      <c r="D128" s="176" t="s">
        <v>8</v>
      </c>
      <c r="E128" s="179" t="s">
        <v>10</v>
      </c>
      <c r="F128" s="180"/>
      <c r="G128" s="179" t="s">
        <v>12</v>
      </c>
      <c r="H128" s="180"/>
      <c r="I128" s="198" t="s">
        <v>15</v>
      </c>
      <c r="J128" s="198" t="s">
        <v>30</v>
      </c>
      <c r="K128" s="198" t="s">
        <v>31</v>
      </c>
      <c r="L128" s="198" t="s">
        <v>16</v>
      </c>
      <c r="M128" s="198" t="s">
        <v>32</v>
      </c>
      <c r="N128" s="170" t="s">
        <v>17</v>
      </c>
      <c r="O128" s="161"/>
    </row>
    <row r="129" spans="1:24" ht="18" customHeight="1">
      <c r="A129" s="171"/>
      <c r="B129" s="174"/>
      <c r="C129" s="177"/>
      <c r="D129" s="177"/>
      <c r="E129" s="181"/>
      <c r="F129" s="182"/>
      <c r="G129" s="181"/>
      <c r="H129" s="182"/>
      <c r="I129" s="206"/>
      <c r="J129" s="206"/>
      <c r="K129" s="206"/>
      <c r="L129" s="206"/>
      <c r="M129" s="206"/>
      <c r="N129" s="171"/>
      <c r="O129" s="152"/>
    </row>
    <row r="130" spans="1:24" ht="18" customHeight="1">
      <c r="A130" s="171"/>
      <c r="B130" s="174"/>
      <c r="C130" s="177"/>
      <c r="D130" s="177"/>
      <c r="E130" s="198" t="s">
        <v>9</v>
      </c>
      <c r="F130" s="198" t="s">
        <v>11</v>
      </c>
      <c r="G130" s="198" t="s">
        <v>13</v>
      </c>
      <c r="H130" s="198" t="s">
        <v>14</v>
      </c>
      <c r="I130" s="206"/>
      <c r="J130" s="206"/>
      <c r="K130" s="206"/>
      <c r="L130" s="206"/>
      <c r="M130" s="206"/>
      <c r="N130" s="171"/>
      <c r="O130" s="152"/>
    </row>
    <row r="131" spans="1:24" ht="18" customHeight="1">
      <c r="A131" s="172"/>
      <c r="B131" s="175"/>
      <c r="C131" s="178"/>
      <c r="D131" s="178"/>
      <c r="E131" s="199"/>
      <c r="F131" s="199"/>
      <c r="G131" s="199"/>
      <c r="H131" s="199"/>
      <c r="I131" s="199"/>
      <c r="J131" s="199"/>
      <c r="K131" s="199"/>
      <c r="L131" s="199"/>
      <c r="M131" s="199"/>
      <c r="N131" s="172"/>
      <c r="O131" s="152"/>
    </row>
    <row r="132" spans="1:24" s="2" customFormat="1" ht="21" customHeight="1">
      <c r="A132" s="23" t="s">
        <v>92</v>
      </c>
      <c r="B132" s="24"/>
      <c r="C132" s="25"/>
      <c r="D132" s="26">
        <f>SUM(D126:D127)</f>
        <v>2761.8359999999998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95">
        <f>SUM(N126:N127)</f>
        <v>154330</v>
      </c>
      <c r="O132" s="162"/>
    </row>
    <row r="133" spans="1:24" ht="21" customHeight="1">
      <c r="A133" s="23" t="s">
        <v>6</v>
      </c>
      <c r="B133" s="24"/>
      <c r="C133" s="33"/>
      <c r="D133" s="34">
        <f>D132/C91</f>
        <v>46.0306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96"/>
      <c r="O133" s="4"/>
      <c r="P133" s="2"/>
      <c r="Q133" s="2"/>
      <c r="R133" s="2"/>
      <c r="S133" s="2"/>
      <c r="T133" s="2"/>
      <c r="U133" s="2"/>
      <c r="V133" s="2"/>
      <c r="W133" s="2"/>
    </row>
    <row r="134" spans="1:24" ht="21" customHeight="1">
      <c r="A134" s="298" t="s">
        <v>49</v>
      </c>
      <c r="B134" s="210"/>
      <c r="C134" s="322" t="s">
        <v>125</v>
      </c>
      <c r="D134" s="29" t="s">
        <v>47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58"/>
      <c r="O134" s="4"/>
      <c r="P134" s="2"/>
      <c r="Q134" s="2"/>
      <c r="R134" s="2"/>
      <c r="S134" s="2"/>
      <c r="T134" s="2"/>
      <c r="U134" s="2"/>
      <c r="V134" s="2"/>
      <c r="W134" s="2"/>
    </row>
    <row r="135" spans="1:24" ht="21" customHeight="1">
      <c r="A135" s="211"/>
      <c r="B135" s="212"/>
      <c r="C135" s="62" t="s">
        <v>56</v>
      </c>
      <c r="D135" s="29">
        <f>D133*100/930</f>
        <v>4.9495268817204305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8"/>
      <c r="O135" s="4"/>
      <c r="P135" s="2"/>
      <c r="Q135" s="2"/>
      <c r="R135" s="2"/>
      <c r="S135" s="2"/>
      <c r="T135" s="2"/>
      <c r="U135" s="2"/>
      <c r="V135" s="2"/>
      <c r="W135" s="2"/>
    </row>
    <row r="136" spans="1:24" ht="21" customHeight="1">
      <c r="A136" s="215" t="s">
        <v>93</v>
      </c>
      <c r="B136" s="216"/>
      <c r="C136" s="219"/>
      <c r="D136" s="280">
        <f>D108+D122+D132</f>
        <v>37503.58400000001</v>
      </c>
      <c r="E136" s="95">
        <f>SUM(E97:E135)</f>
        <v>1068.6627000000001</v>
      </c>
      <c r="F136" s="6">
        <f>SUM(F97:F135)</f>
        <v>550.72465</v>
      </c>
      <c r="G136" s="6">
        <f>SUM(G97:G135)</f>
        <v>953.55489999999998</v>
      </c>
      <c r="H136" s="6">
        <f>SUM(H97:H135)</f>
        <v>407.83955000000003</v>
      </c>
      <c r="I136" s="223">
        <f>SUM(I97:I135)</f>
        <v>4535.1068999999998</v>
      </c>
      <c r="J136" s="225">
        <f>SUM(J97:J127)</f>
        <v>10787.142</v>
      </c>
      <c r="K136" s="227">
        <f>SUM(K97:K127)</f>
        <v>35.907429999999998</v>
      </c>
      <c r="L136" s="229"/>
      <c r="M136" s="229"/>
      <c r="N136" s="297">
        <f>N108+N122+N132</f>
        <v>1320300</v>
      </c>
      <c r="P136" s="2"/>
      <c r="Q136" s="2"/>
      <c r="R136" s="2"/>
      <c r="S136" s="2"/>
      <c r="T136" s="2"/>
      <c r="U136" s="2"/>
      <c r="V136" s="2"/>
    </row>
    <row r="137" spans="1:24" ht="21" customHeight="1">
      <c r="A137" s="217"/>
      <c r="B137" s="218"/>
      <c r="C137" s="220"/>
      <c r="D137" s="299"/>
      <c r="E137" s="231">
        <f>E136+F136</f>
        <v>1619.38735</v>
      </c>
      <c r="F137" s="232"/>
      <c r="G137" s="231">
        <f>G136+H136</f>
        <v>1361.39445</v>
      </c>
      <c r="H137" s="232"/>
      <c r="I137" s="224"/>
      <c r="J137" s="226"/>
      <c r="K137" s="228"/>
      <c r="L137" s="229"/>
      <c r="M137" s="229"/>
      <c r="N137" s="297"/>
      <c r="P137" s="2"/>
      <c r="Q137" s="2"/>
      <c r="R137" s="2"/>
      <c r="S137" s="2"/>
      <c r="T137" s="2"/>
      <c r="U137" s="2"/>
      <c r="V137" s="2"/>
    </row>
    <row r="138" spans="1:24" ht="21" customHeight="1">
      <c r="A138" s="271" t="s">
        <v>73</v>
      </c>
      <c r="B138" s="272"/>
      <c r="C138" s="272"/>
      <c r="D138" s="132">
        <f>D136/C91</f>
        <v>625.0597333333335</v>
      </c>
      <c r="E138" s="107">
        <f>E136/C91</f>
        <v>17.811045</v>
      </c>
      <c r="F138" s="106">
        <f>F136/C91</f>
        <v>9.1787441666666663</v>
      </c>
      <c r="G138" s="108">
        <f>G136/C91</f>
        <v>15.892581666666667</v>
      </c>
      <c r="H138" s="107">
        <f>H136/C91</f>
        <v>6.7973258333333337</v>
      </c>
      <c r="I138" s="241">
        <f>I136/C91</f>
        <v>75.585115000000002</v>
      </c>
      <c r="J138" s="241">
        <f>J136/C91</f>
        <v>179.78569999999999</v>
      </c>
      <c r="K138" s="241">
        <f>K136/C91</f>
        <v>0.5984571666666666</v>
      </c>
      <c r="L138" s="229"/>
      <c r="M138" s="229"/>
      <c r="N138" s="297"/>
      <c r="P138" s="2"/>
      <c r="Q138" s="2"/>
      <c r="R138" s="2"/>
      <c r="S138" s="2"/>
      <c r="T138" s="2"/>
      <c r="U138" s="2"/>
      <c r="V138" s="2"/>
    </row>
    <row r="139" spans="1:24" ht="21" customHeight="1">
      <c r="A139" s="274"/>
      <c r="B139" s="275"/>
      <c r="C139" s="275"/>
      <c r="D139" s="100"/>
      <c r="E139" s="300">
        <f>E138+F138</f>
        <v>26.989789166666668</v>
      </c>
      <c r="F139" s="301"/>
      <c r="G139" s="302">
        <f>G138+H138</f>
        <v>22.6899075</v>
      </c>
      <c r="H139" s="301"/>
      <c r="I139" s="242"/>
      <c r="J139" s="242"/>
      <c r="K139" s="242"/>
      <c r="L139" s="229"/>
      <c r="M139" s="229"/>
      <c r="N139" s="297"/>
      <c r="P139" s="333"/>
      <c r="Q139" s="333"/>
      <c r="R139" s="334"/>
      <c r="S139" s="334"/>
      <c r="T139" s="334"/>
      <c r="U139" s="334"/>
      <c r="V139" s="335"/>
      <c r="W139" s="335"/>
      <c r="X139" s="333"/>
    </row>
    <row r="140" spans="1:24" ht="21" customHeight="1">
      <c r="A140" s="323" t="s">
        <v>74</v>
      </c>
      <c r="B140" s="324"/>
      <c r="C140" s="325"/>
      <c r="D140" s="153" t="s">
        <v>26</v>
      </c>
      <c r="E140" s="332" t="s">
        <v>22</v>
      </c>
      <c r="F140" s="332"/>
      <c r="G140" s="332" t="s">
        <v>23</v>
      </c>
      <c r="H140" s="332"/>
      <c r="I140" s="326" t="s">
        <v>24</v>
      </c>
      <c r="J140" s="153">
        <v>500</v>
      </c>
      <c r="K140" s="153">
        <v>0.59</v>
      </c>
      <c r="L140" s="229"/>
      <c r="M140" s="229"/>
      <c r="N140" s="297"/>
      <c r="O140" s="166"/>
      <c r="P140" s="333"/>
      <c r="Q140" s="336"/>
      <c r="R140" s="334"/>
      <c r="S140" s="334"/>
      <c r="T140" s="334"/>
      <c r="U140" s="334"/>
      <c r="V140" s="334"/>
      <c r="W140" s="334"/>
      <c r="X140" s="333"/>
    </row>
    <row r="141" spans="1:24" ht="21" customHeight="1">
      <c r="A141" s="246" t="s">
        <v>67</v>
      </c>
      <c r="B141" s="247"/>
      <c r="C141" s="248"/>
      <c r="D141" s="19"/>
      <c r="E141" s="249">
        <f>E139*4.1</f>
        <v>110.65813558333333</v>
      </c>
      <c r="F141" s="250"/>
      <c r="G141" s="249">
        <f>G139*9</f>
        <v>204.20916750000001</v>
      </c>
      <c r="H141" s="250"/>
      <c r="I141" s="68">
        <f>I138*4.1</f>
        <v>309.89897149999996</v>
      </c>
      <c r="J141" s="251"/>
      <c r="K141" s="251"/>
      <c r="L141" s="229"/>
      <c r="M141" s="229"/>
      <c r="N141" s="297"/>
      <c r="O141" s="166"/>
      <c r="P141" s="338"/>
      <c r="Q141" s="338"/>
      <c r="R141" s="339"/>
      <c r="S141" s="339"/>
      <c r="T141" s="339"/>
      <c r="U141" s="333"/>
      <c r="V141" s="333"/>
      <c r="W141" s="333"/>
      <c r="X141" s="333"/>
    </row>
    <row r="142" spans="1:24" ht="21" customHeight="1">
      <c r="A142" s="254" t="s">
        <v>75</v>
      </c>
      <c r="B142" s="255"/>
      <c r="C142" s="246" t="s">
        <v>56</v>
      </c>
      <c r="D142" s="248"/>
      <c r="E142" s="258">
        <f>E141*100/D138</f>
        <v>17.703609700342234</v>
      </c>
      <c r="F142" s="259"/>
      <c r="G142" s="258">
        <f>G141*100/D138</f>
        <v>32.670344386285848</v>
      </c>
      <c r="H142" s="259"/>
      <c r="I142" s="85">
        <f>I141*100/D138</f>
        <v>49.579097000435993</v>
      </c>
      <c r="J142" s="252"/>
      <c r="K142" s="252"/>
      <c r="L142" s="229"/>
      <c r="M142" s="229"/>
      <c r="N142" s="297"/>
      <c r="O142" s="166"/>
      <c r="P142" s="333"/>
      <c r="Q142" s="333"/>
      <c r="R142" s="340"/>
      <c r="S142" s="333"/>
      <c r="T142" s="333"/>
      <c r="U142" s="333"/>
      <c r="V142" s="333"/>
      <c r="W142" s="333"/>
      <c r="X142" s="333"/>
    </row>
    <row r="143" spans="1:24" ht="21" customHeight="1">
      <c r="A143" s="256"/>
      <c r="B143" s="257"/>
      <c r="C143" s="246" t="s">
        <v>69</v>
      </c>
      <c r="D143" s="248"/>
      <c r="E143" s="246" t="s">
        <v>70</v>
      </c>
      <c r="F143" s="248"/>
      <c r="G143" s="246" t="s">
        <v>76</v>
      </c>
      <c r="H143" s="248"/>
      <c r="I143" s="326" t="s">
        <v>77</v>
      </c>
      <c r="J143" s="253"/>
      <c r="K143" s="253"/>
      <c r="L143" s="229"/>
      <c r="M143" s="229"/>
      <c r="N143" s="297"/>
      <c r="O143" s="166"/>
      <c r="P143" s="84"/>
    </row>
    <row r="144" spans="1:24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166"/>
    </row>
    <row r="145" spans="1:15" ht="21" customHeight="1">
      <c r="A145" s="243" t="s">
        <v>94</v>
      </c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166"/>
    </row>
    <row r="146" spans="1:15" ht="21" customHeight="1">
      <c r="A146" s="87" t="s">
        <v>95</v>
      </c>
      <c r="B146" s="244" t="s">
        <v>96</v>
      </c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166"/>
    </row>
    <row r="147" spans="1:15" ht="21" customHeight="1">
      <c r="A147" s="88"/>
      <c r="B147" s="245" t="s">
        <v>181</v>
      </c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166"/>
    </row>
    <row r="148" spans="1:15" ht="21" customHeight="1">
      <c r="A148" s="88"/>
      <c r="B148" s="245" t="s">
        <v>182</v>
      </c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166"/>
    </row>
    <row r="149" spans="1:15" ht="21" customHeight="1">
      <c r="A149" s="88"/>
      <c r="B149" s="245" t="s">
        <v>183</v>
      </c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166"/>
    </row>
    <row r="150" spans="1:15" ht="21" customHeight="1">
      <c r="A150" s="70"/>
      <c r="B150" s="260" t="s">
        <v>103</v>
      </c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166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166"/>
    </row>
    <row r="152" spans="1:15" ht="21" customHeight="1">
      <c r="A152" s="261" t="s">
        <v>58</v>
      </c>
      <c r="B152" s="261"/>
      <c r="C152" s="261"/>
      <c r="D152" s="261"/>
      <c r="E152" s="328"/>
      <c r="F152" s="328"/>
      <c r="G152" s="328"/>
      <c r="H152" s="328"/>
      <c r="I152" s="328"/>
      <c r="J152" s="329" t="s">
        <v>34</v>
      </c>
      <c r="K152" s="329"/>
      <c r="L152" s="329"/>
      <c r="M152" s="329"/>
      <c r="N152" s="329"/>
      <c r="O152" s="166"/>
    </row>
    <row r="153" spans="1:15" ht="21" customHeight="1">
      <c r="A153" s="152"/>
      <c r="B153" s="152"/>
      <c r="C153" s="152"/>
      <c r="D153" s="328"/>
      <c r="E153" s="328"/>
      <c r="F153" s="328"/>
      <c r="G153" s="328"/>
      <c r="H153" s="330"/>
      <c r="I153" s="330"/>
      <c r="J153" s="330"/>
      <c r="K153" s="330"/>
      <c r="L153" s="330"/>
      <c r="M153" s="330"/>
      <c r="N153" s="330"/>
      <c r="O153" s="166"/>
    </row>
    <row r="154" spans="1:15" ht="21" customHeight="1">
      <c r="A154" s="152"/>
      <c r="B154" s="152"/>
      <c r="C154" s="152"/>
      <c r="D154" s="328"/>
      <c r="E154" s="328"/>
      <c r="F154" s="328"/>
      <c r="G154" s="328"/>
      <c r="H154" s="330"/>
      <c r="I154" s="330"/>
      <c r="J154" s="330"/>
      <c r="K154" s="330"/>
      <c r="L154" s="330"/>
      <c r="M154" s="330"/>
      <c r="N154" s="330"/>
      <c r="O154" s="166"/>
    </row>
    <row r="155" spans="1:15" ht="21" customHeight="1">
      <c r="A155" s="152"/>
      <c r="B155" s="152"/>
      <c r="C155" s="152"/>
      <c r="D155" s="328"/>
      <c r="E155" s="328"/>
      <c r="F155" s="328"/>
      <c r="G155" s="328"/>
      <c r="H155" s="330"/>
      <c r="I155" s="330"/>
      <c r="J155" s="331" t="s">
        <v>97</v>
      </c>
      <c r="K155" s="331"/>
      <c r="L155" s="331"/>
      <c r="M155" s="331"/>
      <c r="N155" s="331"/>
      <c r="O155" s="166"/>
    </row>
    <row r="156" spans="1:15" ht="21" customHeight="1">
      <c r="A156" s="262" t="s">
        <v>82</v>
      </c>
      <c r="B156" s="262"/>
      <c r="C156" s="262"/>
      <c r="D156" s="262"/>
      <c r="E156" s="328"/>
      <c r="F156" s="328"/>
      <c r="G156" s="328"/>
      <c r="H156" s="330"/>
      <c r="I156" s="330"/>
      <c r="J156" s="331"/>
      <c r="K156" s="331"/>
      <c r="L156" s="331"/>
      <c r="M156" s="331"/>
      <c r="N156" s="331"/>
      <c r="O156" s="166"/>
    </row>
    <row r="157" spans="1:15" ht="21" customHeight="1">
      <c r="J157" s="330"/>
      <c r="K157" s="330"/>
      <c r="L157" s="330"/>
      <c r="M157" s="330"/>
      <c r="N157" s="330"/>
    </row>
    <row r="158" spans="1:15" ht="21" customHeight="1">
      <c r="J158" s="331" t="s">
        <v>108</v>
      </c>
      <c r="K158" s="331"/>
      <c r="L158" s="331"/>
      <c r="M158" s="331"/>
      <c r="N158" s="331"/>
    </row>
  </sheetData>
  <mergeCells count="204">
    <mergeCell ref="U53:V53"/>
    <mergeCell ref="U54:V54"/>
    <mergeCell ref="F1:N1"/>
    <mergeCell ref="F82:N82"/>
    <mergeCell ref="Q53:R53"/>
    <mergeCell ref="S53:T53"/>
    <mergeCell ref="Q54:R54"/>
    <mergeCell ref="S54:T54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0:I51"/>
    <mergeCell ref="E51:F51"/>
    <mergeCell ref="G51:H51"/>
    <mergeCell ref="A31:B32"/>
    <mergeCell ref="A33:B33"/>
    <mergeCell ref="N46:N47"/>
    <mergeCell ref="E54:F54"/>
    <mergeCell ref="A5:D5"/>
    <mergeCell ref="E5:N5"/>
    <mergeCell ref="A6:D6"/>
    <mergeCell ref="E6:I9"/>
    <mergeCell ref="J6:N9"/>
    <mergeCell ref="B42:B45"/>
    <mergeCell ref="C42:C45"/>
    <mergeCell ref="D42:D45"/>
    <mergeCell ref="E42:F43"/>
    <mergeCell ref="G42:H43"/>
    <mergeCell ref="I42:I45"/>
    <mergeCell ref="J42:J45"/>
    <mergeCell ref="K42:K45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2:N45"/>
    <mergeCell ref="E44:E45"/>
    <mergeCell ref="B60:N60"/>
    <mergeCell ref="B61:N61"/>
    <mergeCell ref="B62:N62"/>
    <mergeCell ref="A86:D87"/>
    <mergeCell ref="E86:N86"/>
    <mergeCell ref="N92:N95"/>
    <mergeCell ref="A7:D7"/>
    <mergeCell ref="A8:D8"/>
    <mergeCell ref="C50:C51"/>
    <mergeCell ref="A9:D9"/>
    <mergeCell ref="A56:B57"/>
    <mergeCell ref="A48:B49"/>
    <mergeCell ref="A54:C54"/>
    <mergeCell ref="L50:L57"/>
    <mergeCell ref="A50:B51"/>
    <mergeCell ref="F44:F45"/>
    <mergeCell ref="G44:G45"/>
    <mergeCell ref="H44:H45"/>
    <mergeCell ref="A42:A45"/>
    <mergeCell ref="L42:L45"/>
    <mergeCell ref="G56:H56"/>
    <mergeCell ref="E57:F57"/>
    <mergeCell ref="G57:H57"/>
    <mergeCell ref="A52:C53"/>
    <mergeCell ref="M11:M14"/>
    <mergeCell ref="N29:N30"/>
    <mergeCell ref="M42:M45"/>
    <mergeCell ref="M50:M57"/>
    <mergeCell ref="N50:N57"/>
    <mergeCell ref="A55:C55"/>
    <mergeCell ref="C56:D56"/>
    <mergeCell ref="C57:D57"/>
    <mergeCell ref="E55:F55"/>
    <mergeCell ref="G55:H55"/>
    <mergeCell ref="I52:I53"/>
    <mergeCell ref="E53:F53"/>
    <mergeCell ref="G53:H53"/>
    <mergeCell ref="K55:K57"/>
    <mergeCell ref="D50:D51"/>
    <mergeCell ref="E56:F56"/>
    <mergeCell ref="A124:B125"/>
    <mergeCell ref="A126:B126"/>
    <mergeCell ref="A128:A131"/>
    <mergeCell ref="B128:B131"/>
    <mergeCell ref="J50:J51"/>
    <mergeCell ref="K50:K51"/>
    <mergeCell ref="J52:J53"/>
    <mergeCell ref="K52:K53"/>
    <mergeCell ref="G54:H54"/>
    <mergeCell ref="J55:J57"/>
    <mergeCell ref="J69:N69"/>
    <mergeCell ref="J72:N72"/>
    <mergeCell ref="A59:N59"/>
    <mergeCell ref="B63:N63"/>
    <mergeCell ref="B64:N64"/>
    <mergeCell ref="A66:D66"/>
    <mergeCell ref="J66:N66"/>
    <mergeCell ref="A70:D70"/>
    <mergeCell ref="J70:N70"/>
    <mergeCell ref="E87:I87"/>
    <mergeCell ref="J87:N87"/>
    <mergeCell ref="E88:I90"/>
    <mergeCell ref="A91:B91"/>
    <mergeCell ref="C91:D91"/>
    <mergeCell ref="G92:H93"/>
    <mergeCell ref="I92:I95"/>
    <mergeCell ref="J92:J95"/>
    <mergeCell ref="K92:K95"/>
    <mergeCell ref="L92:L95"/>
    <mergeCell ref="M92:M95"/>
    <mergeCell ref="A110:B111"/>
    <mergeCell ref="A112:B112"/>
    <mergeCell ref="N122:N123"/>
    <mergeCell ref="A92:A95"/>
    <mergeCell ref="B92:B95"/>
    <mergeCell ref="J88:N88"/>
    <mergeCell ref="A89:D89"/>
    <mergeCell ref="A90:D90"/>
    <mergeCell ref="J89:N89"/>
    <mergeCell ref="J90:N90"/>
    <mergeCell ref="A88:D88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E94:E95"/>
    <mergeCell ref="F94:F95"/>
    <mergeCell ref="G94:G95"/>
    <mergeCell ref="H94:H95"/>
    <mergeCell ref="A96:N96"/>
    <mergeCell ref="N108:N109"/>
    <mergeCell ref="C92:C95"/>
    <mergeCell ref="D92:D95"/>
    <mergeCell ref="E92:F93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E143:F143"/>
    <mergeCell ref="G143:H143"/>
    <mergeCell ref="A141:C141"/>
    <mergeCell ref="E140:F140"/>
    <mergeCell ref="G140:H140"/>
    <mergeCell ref="E142:F142"/>
    <mergeCell ref="G142:H142"/>
    <mergeCell ref="J158:N158"/>
    <mergeCell ref="R139:S139"/>
    <mergeCell ref="T139:U139"/>
    <mergeCell ref="N128:N131"/>
    <mergeCell ref="E130:E131"/>
    <mergeCell ref="F130:F131"/>
    <mergeCell ref="G130:G131"/>
    <mergeCell ref="H130:H131"/>
    <mergeCell ref="N132:N133"/>
    <mergeCell ref="N136:N143"/>
    <mergeCell ref="B147:N147"/>
    <mergeCell ref="B148:N148"/>
    <mergeCell ref="B149:N149"/>
    <mergeCell ref="E141:F141"/>
    <mergeCell ref="G141:H141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V139:W139"/>
    <mergeCell ref="A140:C140"/>
    <mergeCell ref="J141:J143"/>
    <mergeCell ref="K141:K143"/>
    <mergeCell ref="A142:B143"/>
    <mergeCell ref="C142:D142"/>
    <mergeCell ref="A145:N145"/>
    <mergeCell ref="J156:N156"/>
    <mergeCell ref="B150:N150"/>
    <mergeCell ref="C143:D143"/>
    <mergeCell ref="B146:N146"/>
    <mergeCell ref="A152:D152"/>
    <mergeCell ref="J152:N152"/>
    <mergeCell ref="J155:N155"/>
    <mergeCell ref="A156:D156"/>
    <mergeCell ref="R140:S140"/>
    <mergeCell ref="T140:U140"/>
    <mergeCell ref="V140:W140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60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20" ht="22.2" customHeight="1">
      <c r="A1" s="10" t="s">
        <v>57</v>
      </c>
      <c r="B1" s="7"/>
      <c r="C1" s="7"/>
      <c r="D1" s="7"/>
      <c r="E1" s="7"/>
      <c r="F1" s="183" t="s">
        <v>28</v>
      </c>
      <c r="G1" s="183"/>
      <c r="H1" s="183"/>
      <c r="I1" s="183"/>
      <c r="J1" s="183"/>
      <c r="K1" s="183"/>
      <c r="L1" s="183"/>
      <c r="M1" s="183"/>
      <c r="N1" s="183"/>
      <c r="O1" s="159"/>
      <c r="P1" s="159"/>
      <c r="T1" s="2"/>
    </row>
    <row r="2" spans="1:20" ht="12.6" customHeight="1">
      <c r="A2" s="10"/>
      <c r="B2" s="7"/>
      <c r="C2" s="7"/>
      <c r="D2" s="7"/>
      <c r="E2" s="7"/>
      <c r="F2" s="155"/>
      <c r="G2" s="155"/>
      <c r="H2" s="155"/>
      <c r="I2" s="155"/>
      <c r="J2" s="155"/>
      <c r="K2" s="155"/>
      <c r="L2" s="155"/>
      <c r="M2" s="155"/>
      <c r="N2" s="155"/>
      <c r="O2" s="159"/>
      <c r="P2" s="159"/>
      <c r="T2" s="2"/>
    </row>
    <row r="3" spans="1:20" ht="19.8" customHeight="1">
      <c r="A3" s="7" t="s">
        <v>184</v>
      </c>
      <c r="B3" s="7"/>
      <c r="C3" s="7"/>
      <c r="D3" s="7"/>
      <c r="E3" s="7"/>
      <c r="F3" s="155"/>
      <c r="G3" s="155"/>
      <c r="H3" s="155"/>
      <c r="I3" s="155"/>
      <c r="J3" s="155"/>
      <c r="K3" s="155"/>
      <c r="L3" s="155"/>
      <c r="M3" s="155"/>
      <c r="N3" s="155"/>
      <c r="O3" s="159"/>
      <c r="P3" s="159"/>
      <c r="T3" s="2"/>
    </row>
    <row r="4" spans="1:20" ht="10.8" customHeight="1">
      <c r="A4" s="7"/>
      <c r="B4" s="7"/>
      <c r="C4" s="7"/>
      <c r="D4" s="7"/>
      <c r="E4" s="7"/>
      <c r="F4" s="155"/>
      <c r="G4" s="155"/>
      <c r="H4" s="155"/>
      <c r="I4" s="155"/>
      <c r="J4" s="155"/>
      <c r="K4" s="155"/>
      <c r="L4" s="155"/>
      <c r="M4" s="155"/>
      <c r="N4" s="155"/>
      <c r="O4" s="159"/>
      <c r="P4" s="159"/>
      <c r="T4" s="2"/>
    </row>
    <row r="5" spans="1:20" s="2" customFormat="1" ht="19.8" customHeight="1">
      <c r="A5" s="184" t="s">
        <v>89</v>
      </c>
      <c r="B5" s="184"/>
      <c r="C5" s="184"/>
      <c r="D5" s="184"/>
      <c r="E5" s="184" t="s">
        <v>87</v>
      </c>
      <c r="F5" s="184"/>
      <c r="G5" s="184"/>
      <c r="H5" s="184"/>
      <c r="I5" s="184"/>
      <c r="J5" s="184"/>
      <c r="K5" s="184"/>
      <c r="L5" s="184"/>
      <c r="M5" s="184"/>
      <c r="N5" s="184"/>
      <c r="O5" s="160"/>
    </row>
    <row r="6" spans="1:20" s="2" customFormat="1" ht="19.8" customHeight="1">
      <c r="A6" s="185" t="s">
        <v>81</v>
      </c>
      <c r="B6" s="185"/>
      <c r="C6" s="185"/>
      <c r="D6" s="185"/>
      <c r="E6" s="186" t="s">
        <v>124</v>
      </c>
      <c r="F6" s="186"/>
      <c r="G6" s="186"/>
      <c r="H6" s="186"/>
      <c r="I6" s="186"/>
      <c r="J6" s="187" t="s">
        <v>113</v>
      </c>
      <c r="K6" s="188"/>
      <c r="L6" s="188"/>
      <c r="M6" s="188"/>
      <c r="N6" s="189"/>
      <c r="O6" s="160"/>
    </row>
    <row r="7" spans="1:20" s="2" customFormat="1" ht="19.8" customHeight="1">
      <c r="A7" s="200" t="s">
        <v>129</v>
      </c>
      <c r="B7" s="201"/>
      <c r="C7" s="201"/>
      <c r="D7" s="202"/>
      <c r="E7" s="186"/>
      <c r="F7" s="186"/>
      <c r="G7" s="186"/>
      <c r="H7" s="186"/>
      <c r="I7" s="186"/>
      <c r="J7" s="190"/>
      <c r="K7" s="191"/>
      <c r="L7" s="191"/>
      <c r="M7" s="191"/>
      <c r="N7" s="192"/>
      <c r="O7" s="160"/>
    </row>
    <row r="8" spans="1:20" s="2" customFormat="1" ht="19.8" customHeight="1">
      <c r="A8" s="196" t="s">
        <v>130</v>
      </c>
      <c r="B8" s="196"/>
      <c r="C8" s="196"/>
      <c r="D8" s="196"/>
      <c r="E8" s="186"/>
      <c r="F8" s="186"/>
      <c r="G8" s="186"/>
      <c r="H8" s="186"/>
      <c r="I8" s="186"/>
      <c r="J8" s="190"/>
      <c r="K8" s="191"/>
      <c r="L8" s="191"/>
      <c r="M8" s="191"/>
      <c r="N8" s="192"/>
      <c r="O8" s="160"/>
    </row>
    <row r="9" spans="1:20" s="2" customFormat="1" ht="19.8" customHeight="1">
      <c r="A9" s="197" t="s">
        <v>158</v>
      </c>
      <c r="B9" s="197"/>
      <c r="C9" s="197"/>
      <c r="D9" s="197"/>
      <c r="E9" s="186"/>
      <c r="F9" s="186"/>
      <c r="G9" s="186"/>
      <c r="H9" s="186"/>
      <c r="I9" s="186"/>
      <c r="J9" s="193"/>
      <c r="K9" s="194"/>
      <c r="L9" s="194"/>
      <c r="M9" s="194"/>
      <c r="N9" s="195"/>
      <c r="O9" s="160"/>
    </row>
    <row r="10" spans="1:20" s="2" customFormat="1" ht="19.8" customHeight="1">
      <c r="A10" s="290" t="s">
        <v>104</v>
      </c>
      <c r="B10" s="290"/>
      <c r="C10" s="288">
        <v>222</v>
      </c>
      <c r="D10" s="288"/>
      <c r="E10" s="74"/>
      <c r="F10" s="74"/>
      <c r="G10" s="74"/>
      <c r="H10" s="74"/>
      <c r="I10" s="74"/>
      <c r="J10" s="74"/>
      <c r="K10" s="74"/>
      <c r="L10" s="74"/>
      <c r="M10" s="74"/>
      <c r="N10" s="75"/>
      <c r="O10" s="160"/>
    </row>
    <row r="11" spans="1:20" ht="19.8" customHeight="1">
      <c r="A11" s="170" t="s">
        <v>0</v>
      </c>
      <c r="B11" s="173" t="s">
        <v>18</v>
      </c>
      <c r="C11" s="176" t="s">
        <v>7</v>
      </c>
      <c r="D11" s="176" t="s">
        <v>8</v>
      </c>
      <c r="E11" s="315" t="s">
        <v>10</v>
      </c>
      <c r="F11" s="316"/>
      <c r="G11" s="315" t="s">
        <v>12</v>
      </c>
      <c r="H11" s="316"/>
      <c r="I11" s="198" t="s">
        <v>15</v>
      </c>
      <c r="J11" s="198" t="s">
        <v>30</v>
      </c>
      <c r="K11" s="198" t="s">
        <v>31</v>
      </c>
      <c r="L11" s="198" t="s">
        <v>53</v>
      </c>
      <c r="M11" s="198" t="s">
        <v>54</v>
      </c>
      <c r="N11" s="170" t="s">
        <v>17</v>
      </c>
      <c r="O11" s="161"/>
    </row>
    <row r="12" spans="1:20" ht="19.8" customHeight="1">
      <c r="A12" s="171"/>
      <c r="B12" s="174"/>
      <c r="C12" s="177"/>
      <c r="D12" s="177"/>
      <c r="E12" s="317"/>
      <c r="F12" s="318"/>
      <c r="G12" s="317"/>
      <c r="H12" s="318"/>
      <c r="I12" s="206"/>
      <c r="J12" s="206"/>
      <c r="K12" s="206"/>
      <c r="L12" s="206"/>
      <c r="M12" s="206"/>
      <c r="N12" s="171"/>
      <c r="O12" s="152"/>
    </row>
    <row r="13" spans="1:20" ht="19.8" customHeight="1">
      <c r="A13" s="171"/>
      <c r="B13" s="174"/>
      <c r="C13" s="177"/>
      <c r="D13" s="177"/>
      <c r="E13" s="198" t="s">
        <v>9</v>
      </c>
      <c r="F13" s="198" t="s">
        <v>11</v>
      </c>
      <c r="G13" s="198" t="s">
        <v>13</v>
      </c>
      <c r="H13" s="198" t="s">
        <v>14</v>
      </c>
      <c r="I13" s="206"/>
      <c r="J13" s="206"/>
      <c r="K13" s="206"/>
      <c r="L13" s="206"/>
      <c r="M13" s="206"/>
      <c r="N13" s="171"/>
      <c r="O13" s="152"/>
    </row>
    <row r="14" spans="1:20" ht="19.8" customHeight="1">
      <c r="A14" s="172"/>
      <c r="B14" s="175"/>
      <c r="C14" s="178"/>
      <c r="D14" s="178"/>
      <c r="E14" s="199"/>
      <c r="F14" s="199"/>
      <c r="G14" s="199"/>
      <c r="H14" s="199"/>
      <c r="I14" s="199"/>
      <c r="J14" s="199"/>
      <c r="K14" s="199"/>
      <c r="L14" s="199"/>
      <c r="M14" s="199"/>
      <c r="N14" s="172"/>
      <c r="O14" s="152"/>
    </row>
    <row r="15" spans="1:20" ht="21" customHeight="1">
      <c r="A15" s="203" t="s">
        <v>33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5"/>
      <c r="O15" s="152"/>
    </row>
    <row r="16" spans="1:20" s="2" customFormat="1" ht="21" customHeight="1">
      <c r="A16" s="37">
        <v>1</v>
      </c>
      <c r="B16" s="38" t="s">
        <v>2</v>
      </c>
      <c r="C16" s="39">
        <f>L16/100*100</f>
        <v>290</v>
      </c>
      <c r="D16" s="40">
        <f>C16/100*60</f>
        <v>174</v>
      </c>
      <c r="E16" s="41">
        <f>C16/100*15</f>
        <v>43.5</v>
      </c>
      <c r="F16" s="41"/>
      <c r="G16" s="41"/>
      <c r="H16" s="41"/>
      <c r="I16" s="41"/>
      <c r="J16" s="151">
        <f>C16/100*387</f>
        <v>1122.3</v>
      </c>
      <c r="K16" s="59">
        <f>C16/100*0.09</f>
        <v>0.26100000000000001</v>
      </c>
      <c r="L16" s="137">
        <v>290</v>
      </c>
      <c r="M16" s="109">
        <v>20</v>
      </c>
      <c r="N16" s="44">
        <f>L16*M16</f>
        <v>5800</v>
      </c>
      <c r="O16" s="162"/>
    </row>
    <row r="17" spans="1:20" s="2" customFormat="1" ht="21" customHeight="1">
      <c r="A17" s="8">
        <v>2</v>
      </c>
      <c r="B17" s="9" t="s">
        <v>114</v>
      </c>
      <c r="C17" s="12">
        <f>L17/100*100</f>
        <v>1290</v>
      </c>
      <c r="D17" s="65">
        <f>C17/100*899</f>
        <v>11597.1</v>
      </c>
      <c r="E17" s="14"/>
      <c r="F17" s="14"/>
      <c r="G17" s="91">
        <f>C17/100*100</f>
        <v>1290</v>
      </c>
      <c r="H17" s="14"/>
      <c r="I17" s="14"/>
      <c r="J17" s="22"/>
      <c r="K17" s="22"/>
      <c r="L17" s="111">
        <v>1290</v>
      </c>
      <c r="M17" s="110">
        <v>69</v>
      </c>
      <c r="N17" s="16">
        <f t="shared" ref="N17:N26" si="0">L17*M17</f>
        <v>89010</v>
      </c>
      <c r="O17" s="162"/>
    </row>
    <row r="18" spans="1:20" s="2" customFormat="1" ht="21" customHeight="1">
      <c r="A18" s="8">
        <v>3</v>
      </c>
      <c r="B18" s="128" t="s">
        <v>118</v>
      </c>
      <c r="C18" s="12">
        <f t="shared" ref="C18" si="1">L18/100*100</f>
        <v>310</v>
      </c>
      <c r="D18" s="65">
        <f>C18/100*900</f>
        <v>2790</v>
      </c>
      <c r="E18" s="14"/>
      <c r="F18" s="14"/>
      <c r="G18" s="91"/>
      <c r="H18" s="14">
        <f>C18/100*100</f>
        <v>310</v>
      </c>
      <c r="I18" s="14"/>
      <c r="J18" s="14"/>
      <c r="K18" s="14"/>
      <c r="L18" s="111">
        <v>310</v>
      </c>
      <c r="M18" s="65">
        <v>65</v>
      </c>
      <c r="N18" s="93">
        <f t="shared" si="0"/>
        <v>20150</v>
      </c>
      <c r="O18" s="163"/>
    </row>
    <row r="19" spans="1:20" s="2" customFormat="1" ht="21" customHeight="1">
      <c r="A19" s="8">
        <v>4</v>
      </c>
      <c r="B19" s="5" t="s">
        <v>1</v>
      </c>
      <c r="C19" s="12">
        <f>L19/100*100</f>
        <v>21090</v>
      </c>
      <c r="D19" s="65">
        <f>C19/100*344</f>
        <v>72549.600000000006</v>
      </c>
      <c r="E19" s="14"/>
      <c r="F19" s="91">
        <f>C19/100*7.9</f>
        <v>1666.1100000000001</v>
      </c>
      <c r="G19" s="14"/>
      <c r="H19" s="14">
        <f>C19/100*1</f>
        <v>210.9</v>
      </c>
      <c r="I19" s="91">
        <f>C19/100*72.1</f>
        <v>15205.89</v>
      </c>
      <c r="J19" s="64">
        <f>C19/100*30</f>
        <v>6327</v>
      </c>
      <c r="K19" s="22">
        <f>C19/100*0.1</f>
        <v>21.090000000000003</v>
      </c>
      <c r="L19" s="111">
        <v>21090</v>
      </c>
      <c r="M19" s="109">
        <v>18</v>
      </c>
      <c r="N19" s="44">
        <f t="shared" si="0"/>
        <v>379620</v>
      </c>
      <c r="O19" s="162"/>
    </row>
    <row r="20" spans="1:20" s="2" customFormat="1" ht="21" customHeight="1">
      <c r="A20" s="8">
        <v>5</v>
      </c>
      <c r="B20" s="9" t="s">
        <v>27</v>
      </c>
      <c r="C20" s="12">
        <f>L20/100*100</f>
        <v>200</v>
      </c>
      <c r="D20" s="13">
        <f>C20/100*390</f>
        <v>780</v>
      </c>
      <c r="E20" s="14"/>
      <c r="F20" s="14"/>
      <c r="G20" s="14"/>
      <c r="H20" s="14"/>
      <c r="I20" s="14">
        <f>C20/100*97.4</f>
        <v>194.8</v>
      </c>
      <c r="J20" s="22">
        <f>C20/100*178</f>
        <v>356</v>
      </c>
      <c r="K20" s="22">
        <f>C20/100*0.05</f>
        <v>0.1</v>
      </c>
      <c r="L20" s="111">
        <v>200</v>
      </c>
      <c r="M20" s="20">
        <v>25</v>
      </c>
      <c r="N20" s="16">
        <f t="shared" si="0"/>
        <v>5000</v>
      </c>
      <c r="O20" s="342"/>
    </row>
    <row r="21" spans="1:20" s="2" customFormat="1" ht="21" customHeight="1">
      <c r="A21" s="8">
        <v>6</v>
      </c>
      <c r="B21" s="9" t="s">
        <v>131</v>
      </c>
      <c r="C21" s="12">
        <f>L21/100*60</f>
        <v>9993</v>
      </c>
      <c r="D21" s="13">
        <f>C21/100*97</f>
        <v>9693.2100000000009</v>
      </c>
      <c r="E21" s="91">
        <f>C21/100*22</f>
        <v>2198.46</v>
      </c>
      <c r="F21" s="14"/>
      <c r="G21" s="14">
        <f>C21/100*2.7</f>
        <v>269.81100000000004</v>
      </c>
      <c r="H21" s="14"/>
      <c r="I21" s="14"/>
      <c r="J21" s="64">
        <f>C21/100*90</f>
        <v>8993.7000000000007</v>
      </c>
      <c r="K21" s="22">
        <f>C21/100*0.04</f>
        <v>3.9972000000000003</v>
      </c>
      <c r="L21" s="111">
        <v>16655</v>
      </c>
      <c r="M21" s="20">
        <v>95</v>
      </c>
      <c r="N21" s="93">
        <f t="shared" si="0"/>
        <v>1582225</v>
      </c>
      <c r="O21" s="162"/>
    </row>
    <row r="22" spans="1:20" s="2" customFormat="1" ht="21" customHeight="1">
      <c r="A22" s="8">
        <v>7</v>
      </c>
      <c r="B22" s="128" t="s">
        <v>64</v>
      </c>
      <c r="C22" s="12">
        <f>L22/100*98</f>
        <v>2087.4</v>
      </c>
      <c r="D22" s="13">
        <f>C22/100*139</f>
        <v>2901.4860000000003</v>
      </c>
      <c r="E22" s="14">
        <f>C22/100*19</f>
        <v>396.60600000000005</v>
      </c>
      <c r="F22" s="14"/>
      <c r="G22" s="14">
        <f>C22/100*7</f>
        <v>146.11800000000002</v>
      </c>
      <c r="H22" s="14"/>
      <c r="I22" s="14"/>
      <c r="J22" s="22">
        <f>C22/100*7</f>
        <v>146.11800000000002</v>
      </c>
      <c r="K22" s="22">
        <f>C22/100*0.9</f>
        <v>18.786600000000004</v>
      </c>
      <c r="L22" s="111">
        <v>2130</v>
      </c>
      <c r="M22" s="111">
        <v>133</v>
      </c>
      <c r="N22" s="16">
        <f t="shared" si="0"/>
        <v>283290</v>
      </c>
      <c r="O22" s="162"/>
    </row>
    <row r="23" spans="1:20" s="2" customFormat="1" ht="21" customHeight="1">
      <c r="A23" s="8">
        <v>8</v>
      </c>
      <c r="B23" s="5" t="s">
        <v>3</v>
      </c>
      <c r="C23" s="12">
        <f>L23/100*48</f>
        <v>2664</v>
      </c>
      <c r="D23" s="13">
        <f>C23/100*199</f>
        <v>5301.36</v>
      </c>
      <c r="E23" s="14">
        <f>C23/100*20.3</f>
        <v>540.79200000000003</v>
      </c>
      <c r="F23" s="14"/>
      <c r="G23" s="14">
        <f>C23/100*13.1</f>
        <v>348.98399999999998</v>
      </c>
      <c r="H23" s="14"/>
      <c r="I23" s="14"/>
      <c r="J23" s="22">
        <f>C23/100*12</f>
        <v>319.68</v>
      </c>
      <c r="K23" s="22">
        <f>C23/100*0.15</f>
        <v>3.996</v>
      </c>
      <c r="L23" s="111">
        <v>5550</v>
      </c>
      <c r="M23" s="15">
        <v>84</v>
      </c>
      <c r="N23" s="16">
        <f t="shared" si="0"/>
        <v>466200</v>
      </c>
      <c r="O23" s="162"/>
      <c r="Q23" s="3"/>
      <c r="R23" s="3"/>
      <c r="S23" s="4"/>
    </row>
    <row r="24" spans="1:20" s="2" customFormat="1" ht="21" customHeight="1">
      <c r="A24" s="8">
        <v>9</v>
      </c>
      <c r="B24" s="5" t="s">
        <v>110</v>
      </c>
      <c r="C24" s="12">
        <f>L24/100*100</f>
        <v>220.00000000000003</v>
      </c>
      <c r="D24" s="13">
        <f>C24/100*247</f>
        <v>543.40000000000009</v>
      </c>
      <c r="E24" s="17"/>
      <c r="F24" s="17">
        <f>C24/100*17.5</f>
        <v>38.5</v>
      </c>
      <c r="G24" s="17"/>
      <c r="H24" s="17">
        <f>C24/100*1.6</f>
        <v>3.5200000000000005</v>
      </c>
      <c r="I24" s="17">
        <f>C24/100*39.2</f>
        <v>86.240000000000009</v>
      </c>
      <c r="J24" s="21"/>
      <c r="K24" s="21"/>
      <c r="L24" s="320">
        <v>220</v>
      </c>
      <c r="M24" s="20">
        <v>50</v>
      </c>
      <c r="N24" s="16">
        <f t="shared" si="0"/>
        <v>11000</v>
      </c>
      <c r="O24" s="162"/>
      <c r="Q24" s="3"/>
      <c r="R24" s="3"/>
      <c r="S24" s="4"/>
      <c r="T24" s="3"/>
    </row>
    <row r="25" spans="1:20" s="2" customFormat="1" ht="18.600000000000001" customHeight="1">
      <c r="A25" s="8">
        <v>10</v>
      </c>
      <c r="B25" s="5" t="s">
        <v>136</v>
      </c>
      <c r="C25" s="12">
        <f>L25/100*81</f>
        <v>6836.4000000000005</v>
      </c>
      <c r="D25" s="13">
        <f>C25/100*17</f>
        <v>1162.1880000000001</v>
      </c>
      <c r="E25" s="14"/>
      <c r="F25" s="14">
        <f>C25/100*0.9</f>
        <v>61.527600000000007</v>
      </c>
      <c r="G25" s="14"/>
      <c r="H25" s="14">
        <f>C25/100*0.2</f>
        <v>13.672800000000002</v>
      </c>
      <c r="I25" s="14">
        <f>C25/100*2.8</f>
        <v>191.41919999999999</v>
      </c>
      <c r="J25" s="64">
        <f>C25/100*28</f>
        <v>1914.192</v>
      </c>
      <c r="K25" s="22">
        <f>C25/100*0.04</f>
        <v>2.7345600000000001</v>
      </c>
      <c r="L25" s="111">
        <v>8440</v>
      </c>
      <c r="M25" s="15">
        <v>25</v>
      </c>
      <c r="N25" s="113">
        <f t="shared" si="0"/>
        <v>211000</v>
      </c>
      <c r="O25" s="162"/>
    </row>
    <row r="26" spans="1:20" s="2" customFormat="1" ht="21" customHeight="1">
      <c r="A26" s="8">
        <v>11</v>
      </c>
      <c r="B26" s="5" t="s">
        <v>126</v>
      </c>
      <c r="C26" s="12">
        <f>L26/100*81</f>
        <v>4908.6000000000004</v>
      </c>
      <c r="D26" s="13">
        <f>C26/100*17</f>
        <v>834.4620000000001</v>
      </c>
      <c r="E26" s="17"/>
      <c r="F26" s="17">
        <f>C26/100*0.9</f>
        <v>44.177400000000006</v>
      </c>
      <c r="G26" s="17"/>
      <c r="H26" s="17">
        <f>C26/100*0.2</f>
        <v>9.8172000000000015</v>
      </c>
      <c r="I26" s="17">
        <f>C26/100*2.8</f>
        <v>137.4408</v>
      </c>
      <c r="J26" s="14">
        <f>C26/100*28</f>
        <v>1374.4080000000001</v>
      </c>
      <c r="K26" s="22">
        <f>C26/100*0.04</f>
        <v>1.9634400000000003</v>
      </c>
      <c r="L26" s="321">
        <v>6060</v>
      </c>
      <c r="M26" s="20">
        <v>20</v>
      </c>
      <c r="N26" s="16">
        <f t="shared" si="0"/>
        <v>121200</v>
      </c>
      <c r="O26" s="162"/>
      <c r="P26" s="3"/>
    </row>
    <row r="27" spans="1:20" s="2" customFormat="1" ht="21" customHeight="1">
      <c r="A27" s="8">
        <v>12</v>
      </c>
      <c r="B27" s="9" t="s">
        <v>105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16720</v>
      </c>
      <c r="O27" s="162"/>
    </row>
    <row r="28" spans="1:20" s="2" customFormat="1" ht="21" customHeight="1">
      <c r="A28" s="23" t="s">
        <v>91</v>
      </c>
      <c r="B28" s="24"/>
      <c r="C28" s="25"/>
      <c r="D28" s="147">
        <f>SUM(D16:D27)</f>
        <v>108326.80600000001</v>
      </c>
      <c r="E28" s="27"/>
      <c r="F28" s="27"/>
      <c r="G28" s="27"/>
      <c r="H28" s="27"/>
      <c r="I28" s="27"/>
      <c r="J28" s="27"/>
      <c r="K28" s="27"/>
      <c r="L28" s="28"/>
      <c r="M28" s="28"/>
      <c r="N28" s="269">
        <f>SUM(N16:N27)</f>
        <v>3191215</v>
      </c>
      <c r="O28" s="162"/>
    </row>
    <row r="29" spans="1:20" s="2" customFormat="1" ht="21" customHeight="1">
      <c r="A29" s="23" t="s">
        <v>5</v>
      </c>
      <c r="B29" s="24"/>
      <c r="C29" s="25"/>
      <c r="D29" s="26">
        <f>D28/C10</f>
        <v>487.95858558558564</v>
      </c>
      <c r="E29" s="27"/>
      <c r="F29" s="27"/>
      <c r="G29" s="27"/>
      <c r="H29" s="27"/>
      <c r="I29" s="27"/>
      <c r="J29" s="27"/>
      <c r="K29" s="27"/>
      <c r="L29" s="28"/>
      <c r="M29" s="28"/>
      <c r="N29" s="270"/>
      <c r="O29" s="162"/>
    </row>
    <row r="30" spans="1:20" s="2" customFormat="1" ht="21" customHeight="1">
      <c r="A30" s="298" t="s">
        <v>48</v>
      </c>
      <c r="B30" s="210"/>
      <c r="C30" s="322" t="s">
        <v>125</v>
      </c>
      <c r="D30" s="29" t="s">
        <v>36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62"/>
    </row>
    <row r="31" spans="1:20" s="2" customFormat="1" ht="21" customHeight="1">
      <c r="A31" s="211"/>
      <c r="B31" s="212"/>
      <c r="C31" s="62" t="s">
        <v>56</v>
      </c>
      <c r="D31" s="29">
        <f>D29*100/1320</f>
        <v>36.966559514059519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62"/>
    </row>
    <row r="32" spans="1:20" s="2" customFormat="1" ht="21" customHeight="1">
      <c r="A32" s="213" t="s">
        <v>37</v>
      </c>
      <c r="B32" s="213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162"/>
    </row>
    <row r="33" spans="1:23" s="2" customFormat="1" ht="21" customHeight="1">
      <c r="A33" s="37">
        <v>1</v>
      </c>
      <c r="B33" s="38" t="s">
        <v>2</v>
      </c>
      <c r="C33" s="39">
        <f>L33/100*100</f>
        <v>280</v>
      </c>
      <c r="D33" s="40">
        <f>C33/100*60</f>
        <v>168</v>
      </c>
      <c r="E33" s="41">
        <f>C33/100*15</f>
        <v>42</v>
      </c>
      <c r="F33" s="41"/>
      <c r="G33" s="41"/>
      <c r="H33" s="41"/>
      <c r="I33" s="41"/>
      <c r="J33" s="151">
        <f>C33/100*387</f>
        <v>1083.5999999999999</v>
      </c>
      <c r="K33" s="59">
        <f>C33/100*0.09</f>
        <v>0.252</v>
      </c>
      <c r="L33" s="137">
        <v>280</v>
      </c>
      <c r="M33" s="43">
        <v>20</v>
      </c>
      <c r="N33" s="44">
        <f>L33*M33</f>
        <v>5600</v>
      </c>
      <c r="O33" s="162"/>
    </row>
    <row r="34" spans="1:23" s="2" customFormat="1" ht="21" customHeight="1">
      <c r="A34" s="8">
        <v>2</v>
      </c>
      <c r="B34" s="9" t="s">
        <v>114</v>
      </c>
      <c r="C34" s="12">
        <f>L34/100*100</f>
        <v>1330</v>
      </c>
      <c r="D34" s="65">
        <f>C34/100*899</f>
        <v>11956.7</v>
      </c>
      <c r="E34" s="91"/>
      <c r="F34" s="91"/>
      <c r="G34" s="91">
        <f>C34/100*100</f>
        <v>1330</v>
      </c>
      <c r="H34" s="14"/>
      <c r="I34" s="14"/>
      <c r="J34" s="22"/>
      <c r="K34" s="22"/>
      <c r="L34" s="111">
        <v>1330</v>
      </c>
      <c r="M34" s="110">
        <v>69</v>
      </c>
      <c r="N34" s="16">
        <f t="shared" ref="N34" si="2">L34*M34</f>
        <v>91770</v>
      </c>
      <c r="O34" s="162"/>
    </row>
    <row r="35" spans="1:23" s="2" customFormat="1" ht="21" customHeight="1">
      <c r="A35" s="8">
        <v>3</v>
      </c>
      <c r="B35" s="5" t="s">
        <v>63</v>
      </c>
      <c r="C35" s="12">
        <f>L35/100*100</f>
        <v>2220</v>
      </c>
      <c r="D35" s="13">
        <f>C35/100*344</f>
        <v>7636.8</v>
      </c>
      <c r="E35" s="14"/>
      <c r="F35" s="14">
        <f>C35/100*8.6</f>
        <v>190.92</v>
      </c>
      <c r="G35" s="14"/>
      <c r="H35" s="14">
        <f>C35/100*1.5</f>
        <v>33.299999999999997</v>
      </c>
      <c r="I35" s="91">
        <f>C35/100*74.5</f>
        <v>1653.8999999999999</v>
      </c>
      <c r="J35" s="14">
        <f>C35/100*32</f>
        <v>710.4</v>
      </c>
      <c r="K35" s="14">
        <f>C35/100*0.14</f>
        <v>3.1080000000000001</v>
      </c>
      <c r="L35" s="111">
        <v>2220</v>
      </c>
      <c r="M35" s="20">
        <v>30</v>
      </c>
      <c r="N35" s="16">
        <f t="shared" ref="N35:N38" si="3">L35*M35</f>
        <v>66600</v>
      </c>
      <c r="O35" s="162"/>
      <c r="P35" s="165"/>
    </row>
    <row r="36" spans="1:23" s="2" customFormat="1" ht="21" customHeight="1">
      <c r="A36" s="8">
        <v>4</v>
      </c>
      <c r="B36" s="5" t="s">
        <v>1</v>
      </c>
      <c r="C36" s="12">
        <f>L36/100*100</f>
        <v>3329.9999999999995</v>
      </c>
      <c r="D36" s="65">
        <f>C36/100*344</f>
        <v>11455.199999999999</v>
      </c>
      <c r="E36" s="14"/>
      <c r="F36" s="14">
        <f>C36/100*7.9</f>
        <v>263.07</v>
      </c>
      <c r="G36" s="14"/>
      <c r="H36" s="14">
        <f>C36/100*1</f>
        <v>33.299999999999997</v>
      </c>
      <c r="I36" s="91">
        <f>C36/100*72.1</f>
        <v>2400.9299999999994</v>
      </c>
      <c r="J36" s="22">
        <f>C36/100*30</f>
        <v>998.99999999999989</v>
      </c>
      <c r="K36" s="22">
        <f>C36/100*0.1</f>
        <v>3.33</v>
      </c>
      <c r="L36" s="111">
        <v>3330</v>
      </c>
      <c r="M36" s="20">
        <v>18</v>
      </c>
      <c r="N36" s="16">
        <f t="shared" si="3"/>
        <v>59940</v>
      </c>
      <c r="O36" s="162"/>
    </row>
    <row r="37" spans="1:23" s="2" customFormat="1" ht="21" customHeight="1">
      <c r="A37" s="8">
        <v>5</v>
      </c>
      <c r="B37" s="5" t="s">
        <v>110</v>
      </c>
      <c r="C37" s="12">
        <f>L37/100*100</f>
        <v>130</v>
      </c>
      <c r="D37" s="13">
        <f>C37/100*247</f>
        <v>321.10000000000002</v>
      </c>
      <c r="E37" s="17"/>
      <c r="F37" s="17">
        <f>C37/100*17.5</f>
        <v>22.75</v>
      </c>
      <c r="G37" s="17"/>
      <c r="H37" s="17">
        <f>C37/100*1.6</f>
        <v>2.08</v>
      </c>
      <c r="I37" s="17">
        <f>C37/100*39.2</f>
        <v>50.960000000000008</v>
      </c>
      <c r="J37" s="21"/>
      <c r="K37" s="21"/>
      <c r="L37" s="320">
        <v>130</v>
      </c>
      <c r="M37" s="20">
        <v>50</v>
      </c>
      <c r="N37" s="16">
        <f t="shared" si="3"/>
        <v>6500</v>
      </c>
      <c r="O37" s="162"/>
      <c r="Q37" s="3"/>
      <c r="R37" s="3"/>
      <c r="S37" s="4"/>
      <c r="T37" s="3"/>
    </row>
    <row r="38" spans="1:23" s="2" customFormat="1" ht="21" customHeight="1">
      <c r="A38" s="8">
        <v>6</v>
      </c>
      <c r="B38" s="5" t="s">
        <v>78</v>
      </c>
      <c r="C38" s="12">
        <f>L38/100*82</f>
        <v>2734.7000000000003</v>
      </c>
      <c r="D38" s="13">
        <f>C38/100*27</f>
        <v>738.36900000000003</v>
      </c>
      <c r="E38" s="17"/>
      <c r="F38" s="17">
        <f>C38/100*0.3</f>
        <v>8.2041000000000004</v>
      </c>
      <c r="G38" s="17"/>
      <c r="H38" s="17">
        <f>C38/100*0.1</f>
        <v>2.7347000000000001</v>
      </c>
      <c r="I38" s="17">
        <f>C38/100*6.1</f>
        <v>166.8167</v>
      </c>
      <c r="J38" s="63">
        <f>C38/100*24</f>
        <v>656.32799999999997</v>
      </c>
      <c r="K38" s="21">
        <f>C38/100*0.03</f>
        <v>0.82040999999999997</v>
      </c>
      <c r="L38" s="320">
        <v>3335</v>
      </c>
      <c r="M38" s="15">
        <v>22</v>
      </c>
      <c r="N38" s="16">
        <f t="shared" si="3"/>
        <v>73370</v>
      </c>
      <c r="O38" s="162"/>
      <c r="Q38" s="3"/>
      <c r="R38" s="3"/>
      <c r="S38" s="4"/>
    </row>
    <row r="39" spans="1:23" s="2" customFormat="1" ht="21" customHeight="1">
      <c r="A39" s="8">
        <v>7</v>
      </c>
      <c r="B39" s="9" t="s">
        <v>86</v>
      </c>
      <c r="C39" s="12">
        <f>L39/100*43</f>
        <v>1281.4000000000001</v>
      </c>
      <c r="D39" s="13">
        <f>C39/100*83</f>
        <v>1063.5619999999999</v>
      </c>
      <c r="E39" s="14">
        <f>C39/100*7.7</f>
        <v>98.6678</v>
      </c>
      <c r="F39" s="14"/>
      <c r="G39" s="14">
        <f>C39/100*5.5</f>
        <v>70.477000000000004</v>
      </c>
      <c r="H39" s="14"/>
      <c r="I39" s="14"/>
      <c r="J39" s="22"/>
      <c r="K39" s="22"/>
      <c r="L39" s="111">
        <v>2980</v>
      </c>
      <c r="M39" s="20">
        <v>133</v>
      </c>
      <c r="N39" s="16">
        <f>L39*M39</f>
        <v>396340</v>
      </c>
      <c r="O39" s="162"/>
    </row>
    <row r="40" spans="1:23" s="2" customFormat="1" ht="21" customHeight="1">
      <c r="A40" s="8">
        <v>8</v>
      </c>
      <c r="B40" s="139" t="s">
        <v>123</v>
      </c>
      <c r="C40" s="12">
        <f>L40/100*100</f>
        <v>3779.9999999999995</v>
      </c>
      <c r="D40" s="65">
        <f>C40/100*487</f>
        <v>18408.599999999999</v>
      </c>
      <c r="E40" s="14"/>
      <c r="F40" s="14">
        <f>C40/100*19.5</f>
        <v>737.09999999999991</v>
      </c>
      <c r="G40" s="14"/>
      <c r="H40" s="14">
        <f>C40/100*23.2</f>
        <v>876.95999999999992</v>
      </c>
      <c r="I40" s="91">
        <f>C40/100*46</f>
        <v>1738.8</v>
      </c>
      <c r="J40" s="91">
        <f>C40/100*680</f>
        <v>25703.999999999996</v>
      </c>
      <c r="K40" s="14">
        <f>C40/100*0.55</f>
        <v>20.79</v>
      </c>
      <c r="L40" s="15">
        <v>3780</v>
      </c>
      <c r="M40" s="102">
        <v>260</v>
      </c>
      <c r="N40" s="16">
        <f t="shared" ref="N40" si="4">L40*M40</f>
        <v>982800</v>
      </c>
      <c r="O40" s="162"/>
      <c r="P40" s="3"/>
    </row>
    <row r="41" spans="1:23" s="2" customFormat="1" ht="21" customHeight="1">
      <c r="A41" s="77">
        <v>9</v>
      </c>
      <c r="B41" s="78" t="s">
        <v>105</v>
      </c>
      <c r="C41" s="79"/>
      <c r="D41" s="80"/>
      <c r="E41" s="81"/>
      <c r="F41" s="81"/>
      <c r="G41" s="81"/>
      <c r="H41" s="81"/>
      <c r="I41" s="81"/>
      <c r="J41" s="81"/>
      <c r="K41" s="81"/>
      <c r="L41" s="82"/>
      <c r="M41" s="82"/>
      <c r="N41" s="83">
        <v>14480</v>
      </c>
      <c r="O41" s="162"/>
    </row>
    <row r="42" spans="1:23" ht="21" customHeight="1">
      <c r="A42" s="170" t="s">
        <v>0</v>
      </c>
      <c r="B42" s="173" t="s">
        <v>18</v>
      </c>
      <c r="C42" s="176" t="s">
        <v>7</v>
      </c>
      <c r="D42" s="176" t="s">
        <v>8</v>
      </c>
      <c r="E42" s="315" t="s">
        <v>10</v>
      </c>
      <c r="F42" s="316"/>
      <c r="G42" s="315" t="s">
        <v>12</v>
      </c>
      <c r="H42" s="316"/>
      <c r="I42" s="198" t="s">
        <v>15</v>
      </c>
      <c r="J42" s="198" t="s">
        <v>30</v>
      </c>
      <c r="K42" s="198" t="s">
        <v>31</v>
      </c>
      <c r="L42" s="198" t="s">
        <v>53</v>
      </c>
      <c r="M42" s="198" t="s">
        <v>54</v>
      </c>
      <c r="N42" s="170" t="s">
        <v>17</v>
      </c>
      <c r="O42" s="161"/>
    </row>
    <row r="43" spans="1:23" ht="21" customHeight="1">
      <c r="A43" s="171"/>
      <c r="B43" s="174"/>
      <c r="C43" s="177"/>
      <c r="D43" s="177"/>
      <c r="E43" s="317"/>
      <c r="F43" s="318"/>
      <c r="G43" s="317"/>
      <c r="H43" s="318"/>
      <c r="I43" s="206"/>
      <c r="J43" s="206"/>
      <c r="K43" s="206"/>
      <c r="L43" s="206"/>
      <c r="M43" s="206"/>
      <c r="N43" s="171"/>
      <c r="O43" s="152"/>
    </row>
    <row r="44" spans="1:23" ht="21" customHeight="1">
      <c r="A44" s="171"/>
      <c r="B44" s="174"/>
      <c r="C44" s="177"/>
      <c r="D44" s="177"/>
      <c r="E44" s="198" t="s">
        <v>9</v>
      </c>
      <c r="F44" s="198" t="s">
        <v>11</v>
      </c>
      <c r="G44" s="198" t="s">
        <v>13</v>
      </c>
      <c r="H44" s="198" t="s">
        <v>14</v>
      </c>
      <c r="I44" s="206"/>
      <c r="J44" s="206"/>
      <c r="K44" s="206"/>
      <c r="L44" s="206"/>
      <c r="M44" s="206"/>
      <c r="N44" s="171"/>
      <c r="O44" s="152"/>
    </row>
    <row r="45" spans="1:23" ht="21" customHeight="1">
      <c r="A45" s="172"/>
      <c r="B45" s="175"/>
      <c r="C45" s="178"/>
      <c r="D45" s="178"/>
      <c r="E45" s="199"/>
      <c r="F45" s="199"/>
      <c r="G45" s="199"/>
      <c r="H45" s="199"/>
      <c r="I45" s="199"/>
      <c r="J45" s="199"/>
      <c r="K45" s="199"/>
      <c r="L45" s="199"/>
      <c r="M45" s="199"/>
      <c r="N45" s="172"/>
      <c r="O45" s="152"/>
    </row>
    <row r="46" spans="1:23" s="2" customFormat="1" ht="21" customHeight="1">
      <c r="A46" s="23" t="s">
        <v>102</v>
      </c>
      <c r="B46" s="24"/>
      <c r="C46" s="25"/>
      <c r="D46" s="94">
        <f>SUM(D33:D41)</f>
        <v>51748.330999999991</v>
      </c>
      <c r="E46" s="31"/>
      <c r="F46" s="31"/>
      <c r="G46" s="31"/>
      <c r="H46" s="31"/>
      <c r="I46" s="31"/>
      <c r="J46" s="31"/>
      <c r="K46" s="31"/>
      <c r="L46" s="32"/>
      <c r="M46" s="32"/>
      <c r="N46" s="269">
        <f>SUM(N33:N41)</f>
        <v>1697400</v>
      </c>
      <c r="O46" s="162"/>
    </row>
    <row r="47" spans="1:23" ht="21" customHeight="1">
      <c r="A47" s="23" t="s">
        <v>6</v>
      </c>
      <c r="B47" s="24"/>
      <c r="C47" s="33"/>
      <c r="D47" s="34">
        <f>D46/C10</f>
        <v>233.10059009009004</v>
      </c>
      <c r="E47" s="34"/>
      <c r="F47" s="34"/>
      <c r="G47" s="34"/>
      <c r="H47" s="34"/>
      <c r="I47" s="34"/>
      <c r="J47" s="34"/>
      <c r="K47" s="34"/>
      <c r="L47" s="35"/>
      <c r="M47" s="35"/>
      <c r="N47" s="270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98" t="s">
        <v>49</v>
      </c>
      <c r="B48" s="210"/>
      <c r="C48" s="322" t="s">
        <v>125</v>
      </c>
      <c r="D48" s="29" t="s">
        <v>39</v>
      </c>
      <c r="E48" s="34"/>
      <c r="F48" s="34"/>
      <c r="G48" s="34"/>
      <c r="H48" s="34"/>
      <c r="I48" s="34"/>
      <c r="J48" s="36"/>
      <c r="K48" s="36"/>
      <c r="L48" s="35"/>
      <c r="M48" s="35"/>
      <c r="N48" s="158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1"/>
      <c r="B49" s="212"/>
      <c r="C49" s="62" t="s">
        <v>56</v>
      </c>
      <c r="D49" s="29">
        <f>D47*100/1320</f>
        <v>17.65913561288561</v>
      </c>
      <c r="E49" s="34"/>
      <c r="F49" s="34"/>
      <c r="G49" s="34"/>
      <c r="H49" s="34"/>
      <c r="I49" s="34"/>
      <c r="J49" s="36"/>
      <c r="K49" s="36"/>
      <c r="L49" s="35"/>
      <c r="M49" s="35"/>
      <c r="N49" s="158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15" t="s">
        <v>93</v>
      </c>
      <c r="B50" s="216"/>
      <c r="C50" s="219"/>
      <c r="D50" s="221">
        <f>D28+D46</f>
        <v>160075.13699999999</v>
      </c>
      <c r="E50" s="96">
        <f t="shared" ref="E50:K50" si="5">SUM(E16:E41)</f>
        <v>3320.0258000000003</v>
      </c>
      <c r="F50" s="96">
        <f t="shared" si="5"/>
        <v>3032.3591000000001</v>
      </c>
      <c r="G50" s="96">
        <f t="shared" si="5"/>
        <v>3455.39</v>
      </c>
      <c r="H50" s="95">
        <f t="shared" si="5"/>
        <v>1496.2846999999997</v>
      </c>
      <c r="I50" s="225">
        <f t="shared" si="5"/>
        <v>21827.196699999997</v>
      </c>
      <c r="J50" s="223">
        <f t="shared" si="5"/>
        <v>49706.725999999995</v>
      </c>
      <c r="K50" s="227">
        <f t="shared" si="5"/>
        <v>81.229210000000009</v>
      </c>
      <c r="L50" s="229"/>
      <c r="M50" s="229"/>
      <c r="N50" s="230">
        <f>N28+N46</f>
        <v>4888615</v>
      </c>
      <c r="P50" s="2"/>
      <c r="Q50" s="2"/>
      <c r="R50" s="2"/>
      <c r="S50" s="2"/>
      <c r="T50" s="2"/>
      <c r="U50" s="2"/>
      <c r="V50" s="2"/>
    </row>
    <row r="51" spans="1:23" ht="21" customHeight="1">
      <c r="A51" s="217"/>
      <c r="B51" s="218"/>
      <c r="C51" s="220"/>
      <c r="D51" s="222"/>
      <c r="E51" s="231">
        <f>E50+F50</f>
        <v>6352.3849000000009</v>
      </c>
      <c r="F51" s="232"/>
      <c r="G51" s="231">
        <f>G50+H50</f>
        <v>4951.6746999999996</v>
      </c>
      <c r="H51" s="232"/>
      <c r="I51" s="226"/>
      <c r="J51" s="224"/>
      <c r="K51" s="228"/>
      <c r="L51" s="229"/>
      <c r="M51" s="229"/>
      <c r="N51" s="230"/>
      <c r="U51" s="11"/>
      <c r="V51" s="11"/>
    </row>
    <row r="52" spans="1:23" ht="21" customHeight="1">
      <c r="A52" s="271" t="s">
        <v>73</v>
      </c>
      <c r="B52" s="272"/>
      <c r="C52" s="273"/>
      <c r="D52" s="138">
        <f>D50/C10</f>
        <v>721.05917567567565</v>
      </c>
      <c r="E52" s="108">
        <f>E50/C10</f>
        <v>14.955071171171173</v>
      </c>
      <c r="F52" s="107">
        <f>F50/C10</f>
        <v>13.659275225225226</v>
      </c>
      <c r="G52" s="108">
        <f>G50/C10</f>
        <v>15.564819819819819</v>
      </c>
      <c r="H52" s="107">
        <f>H50/C10</f>
        <v>6.7400211711711702</v>
      </c>
      <c r="I52" s="241">
        <f>I50/C10</f>
        <v>98.320705855855834</v>
      </c>
      <c r="J52" s="239">
        <f>J50/C10</f>
        <v>223.90417117117116</v>
      </c>
      <c r="K52" s="241">
        <f>K50/C10</f>
        <v>0.36589734234234239</v>
      </c>
      <c r="L52" s="229"/>
      <c r="M52" s="229"/>
      <c r="N52" s="230"/>
      <c r="O52" s="2"/>
      <c r="P52" s="2"/>
      <c r="Q52" s="2"/>
      <c r="U52" s="11"/>
      <c r="V52" s="11"/>
    </row>
    <row r="53" spans="1:23" ht="21" customHeight="1">
      <c r="A53" s="274"/>
      <c r="B53" s="275"/>
      <c r="C53" s="276"/>
      <c r="D53" s="97"/>
      <c r="E53" s="302">
        <f>E52+F52</f>
        <v>28.6143463963964</v>
      </c>
      <c r="F53" s="301"/>
      <c r="G53" s="302">
        <f>G52+H52</f>
        <v>22.304840990990989</v>
      </c>
      <c r="H53" s="301"/>
      <c r="I53" s="242"/>
      <c r="J53" s="240"/>
      <c r="K53" s="242"/>
      <c r="L53" s="229"/>
      <c r="M53" s="229"/>
      <c r="N53" s="230"/>
      <c r="P53" s="333"/>
      <c r="Q53" s="334"/>
      <c r="R53" s="334"/>
      <c r="S53" s="334"/>
      <c r="T53" s="334"/>
      <c r="U53" s="335"/>
      <c r="V53" s="335"/>
    </row>
    <row r="54" spans="1:23" ht="21" customHeight="1">
      <c r="A54" s="323" t="s">
        <v>74</v>
      </c>
      <c r="B54" s="324"/>
      <c r="C54" s="325"/>
      <c r="D54" s="326" t="s">
        <v>25</v>
      </c>
      <c r="E54" s="184" t="s">
        <v>19</v>
      </c>
      <c r="F54" s="184"/>
      <c r="G54" s="184" t="s">
        <v>20</v>
      </c>
      <c r="H54" s="184"/>
      <c r="I54" s="156" t="s">
        <v>21</v>
      </c>
      <c r="J54" s="348">
        <v>600</v>
      </c>
      <c r="K54" s="348">
        <v>0.74</v>
      </c>
      <c r="L54" s="229"/>
      <c r="M54" s="229"/>
      <c r="N54" s="230"/>
      <c r="O54" s="166"/>
      <c r="P54" s="336"/>
      <c r="Q54" s="334"/>
      <c r="R54" s="334"/>
      <c r="S54" s="334"/>
      <c r="T54" s="334"/>
      <c r="U54" s="334"/>
      <c r="V54" s="334"/>
    </row>
    <row r="55" spans="1:23" ht="21" customHeight="1">
      <c r="A55" s="246" t="s">
        <v>67</v>
      </c>
      <c r="B55" s="247"/>
      <c r="C55" s="248"/>
      <c r="D55" s="19"/>
      <c r="E55" s="249">
        <f>E53*4.1</f>
        <v>117.31882022522522</v>
      </c>
      <c r="F55" s="250"/>
      <c r="G55" s="249">
        <f>G53*9</f>
        <v>200.7435689189189</v>
      </c>
      <c r="H55" s="250"/>
      <c r="I55" s="68">
        <f>I52*4.1</f>
        <v>403.11489400900888</v>
      </c>
      <c r="J55" s="251"/>
      <c r="K55" s="251"/>
      <c r="L55" s="229"/>
      <c r="M55" s="229"/>
      <c r="N55" s="230"/>
      <c r="O55" s="166"/>
      <c r="P55" s="338"/>
      <c r="Q55" s="339"/>
      <c r="R55" s="339"/>
      <c r="S55" s="339"/>
      <c r="T55" s="333"/>
      <c r="U55" s="333"/>
      <c r="V55" s="333"/>
    </row>
    <row r="56" spans="1:23" ht="21" customHeight="1">
      <c r="A56" s="254" t="s">
        <v>68</v>
      </c>
      <c r="B56" s="255"/>
      <c r="C56" s="246" t="s">
        <v>56</v>
      </c>
      <c r="D56" s="248"/>
      <c r="E56" s="258">
        <f>E55*100/D52</f>
        <v>16.270345650242987</v>
      </c>
      <c r="F56" s="259"/>
      <c r="G56" s="258">
        <f>G55*100/D52</f>
        <v>27.840096304274908</v>
      </c>
      <c r="H56" s="259"/>
      <c r="I56" s="85">
        <f>I55*100/D52</f>
        <v>55.905937765962975</v>
      </c>
      <c r="J56" s="252"/>
      <c r="K56" s="252"/>
      <c r="L56" s="229"/>
      <c r="M56" s="229"/>
      <c r="N56" s="230"/>
      <c r="O56" s="166"/>
      <c r="P56" s="333"/>
      <c r="Q56" s="340"/>
      <c r="R56" s="333"/>
      <c r="S56" s="333"/>
      <c r="T56" s="333"/>
      <c r="U56" s="333"/>
      <c r="V56" s="333"/>
    </row>
    <row r="57" spans="1:23" ht="21" customHeight="1">
      <c r="A57" s="256"/>
      <c r="B57" s="257"/>
      <c r="C57" s="246" t="s">
        <v>69</v>
      </c>
      <c r="D57" s="248"/>
      <c r="E57" s="246" t="s">
        <v>70</v>
      </c>
      <c r="F57" s="248"/>
      <c r="G57" s="246" t="s">
        <v>71</v>
      </c>
      <c r="H57" s="248"/>
      <c r="I57" s="326" t="s">
        <v>72</v>
      </c>
      <c r="J57" s="253"/>
      <c r="K57" s="253"/>
      <c r="L57" s="229"/>
      <c r="M57" s="229"/>
      <c r="N57" s="230"/>
      <c r="O57" s="349"/>
      <c r="P57" s="84"/>
    </row>
    <row r="58" spans="1:23" ht="21" customHeight="1">
      <c r="A58" s="70"/>
      <c r="B58" s="71"/>
      <c r="C58" s="70"/>
      <c r="D58" s="70"/>
      <c r="E58" s="70"/>
      <c r="F58" s="70"/>
      <c r="G58" s="70"/>
      <c r="H58" s="70"/>
      <c r="I58" s="70"/>
      <c r="J58" s="70"/>
      <c r="K58" s="70"/>
      <c r="L58" s="72"/>
      <c r="M58" s="72"/>
      <c r="N58" s="73"/>
      <c r="O58" s="166"/>
    </row>
    <row r="59" spans="1:23" ht="21" customHeight="1">
      <c r="A59" s="243" t="s">
        <v>94</v>
      </c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166"/>
    </row>
    <row r="60" spans="1:23" ht="21" customHeight="1">
      <c r="A60" s="87" t="s">
        <v>95</v>
      </c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166"/>
    </row>
    <row r="61" spans="1:23" ht="21" customHeight="1">
      <c r="A61" s="88"/>
      <c r="B61" s="245" t="s">
        <v>185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66"/>
    </row>
    <row r="62" spans="1:23" ht="21" customHeight="1">
      <c r="A62" s="88"/>
      <c r="B62" s="245" t="s">
        <v>186</v>
      </c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166"/>
    </row>
    <row r="63" spans="1:23" ht="21" customHeight="1">
      <c r="A63" s="88"/>
      <c r="B63" s="245" t="s">
        <v>159</v>
      </c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166"/>
    </row>
    <row r="64" spans="1:23" ht="21" customHeight="1">
      <c r="A64" s="70"/>
      <c r="B64" s="260" t="s">
        <v>101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166"/>
    </row>
    <row r="65" spans="1:15" ht="2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89"/>
      <c r="M65" s="89"/>
      <c r="N65" s="90"/>
      <c r="O65" s="166"/>
    </row>
    <row r="66" spans="1:15" ht="21" customHeight="1">
      <c r="A66" s="261" t="s">
        <v>58</v>
      </c>
      <c r="B66" s="261"/>
      <c r="C66" s="261"/>
      <c r="D66" s="261"/>
      <c r="E66" s="328"/>
      <c r="F66" s="328"/>
      <c r="G66" s="328"/>
      <c r="H66" s="328"/>
      <c r="I66" s="328"/>
      <c r="J66" s="329" t="s">
        <v>34</v>
      </c>
      <c r="K66" s="329"/>
      <c r="L66" s="329"/>
      <c r="M66" s="329"/>
      <c r="N66" s="329"/>
      <c r="O66" s="166"/>
    </row>
    <row r="67" spans="1:15" ht="21" customHeight="1">
      <c r="A67" s="152"/>
      <c r="B67" s="152"/>
      <c r="C67" s="152"/>
      <c r="D67" s="328"/>
      <c r="E67" s="328"/>
      <c r="F67" s="328"/>
      <c r="G67" s="328"/>
      <c r="H67" s="330"/>
      <c r="I67" s="330"/>
      <c r="J67" s="330"/>
      <c r="K67" s="330"/>
      <c r="L67" s="330"/>
      <c r="M67" s="330"/>
      <c r="N67" s="330"/>
      <c r="O67" s="166"/>
    </row>
    <row r="68" spans="1:15" ht="21" customHeight="1">
      <c r="A68" s="152"/>
      <c r="B68" s="152"/>
      <c r="C68" s="152"/>
      <c r="D68" s="328"/>
      <c r="E68" s="328"/>
      <c r="F68" s="328"/>
      <c r="G68" s="328"/>
      <c r="H68" s="330"/>
      <c r="I68" s="330"/>
      <c r="J68" s="330"/>
      <c r="K68" s="330"/>
      <c r="L68" s="330"/>
      <c r="M68" s="330"/>
      <c r="N68" s="330"/>
      <c r="O68" s="166"/>
    </row>
    <row r="69" spans="1:15" ht="21" customHeight="1">
      <c r="A69" s="152"/>
      <c r="B69" s="152"/>
      <c r="C69" s="152"/>
      <c r="D69" s="328"/>
      <c r="E69" s="328"/>
      <c r="F69" s="328"/>
      <c r="G69" s="328"/>
      <c r="H69" s="330"/>
      <c r="I69" s="330"/>
      <c r="J69" s="331" t="s">
        <v>97</v>
      </c>
      <c r="K69" s="331"/>
      <c r="L69" s="331"/>
      <c r="M69" s="331"/>
      <c r="N69" s="331"/>
      <c r="O69" s="166"/>
    </row>
    <row r="70" spans="1:15" ht="21" customHeight="1">
      <c r="A70" s="262" t="s">
        <v>82</v>
      </c>
      <c r="B70" s="262"/>
      <c r="C70" s="262"/>
      <c r="D70" s="262"/>
      <c r="E70" s="328"/>
      <c r="F70" s="328"/>
      <c r="G70" s="328"/>
      <c r="H70" s="330"/>
      <c r="I70" s="330"/>
      <c r="J70" s="331"/>
      <c r="K70" s="331"/>
      <c r="L70" s="331"/>
      <c r="M70" s="331"/>
      <c r="N70" s="331"/>
      <c r="O70" s="166"/>
    </row>
    <row r="71" spans="1:15" ht="21" customHeight="1">
      <c r="A71" s="152"/>
      <c r="B71" s="152"/>
      <c r="C71" s="152"/>
      <c r="D71" s="328"/>
      <c r="E71" s="328"/>
      <c r="F71" s="328"/>
      <c r="G71" s="328"/>
      <c r="H71" s="330"/>
      <c r="I71" s="330"/>
      <c r="J71" s="330"/>
      <c r="K71" s="330"/>
      <c r="L71" s="330"/>
      <c r="M71" s="330"/>
      <c r="N71" s="330"/>
      <c r="O71" s="166"/>
    </row>
    <row r="72" spans="1:15" ht="21" customHeight="1">
      <c r="A72" s="152"/>
      <c r="B72" s="152"/>
      <c r="C72" s="152"/>
      <c r="D72" s="328"/>
      <c r="E72" s="328"/>
      <c r="F72" s="328"/>
      <c r="G72" s="328"/>
      <c r="H72" s="330"/>
      <c r="I72" s="330"/>
      <c r="J72" s="331" t="s">
        <v>108</v>
      </c>
      <c r="K72" s="331"/>
      <c r="L72" s="331"/>
      <c r="M72" s="331"/>
      <c r="N72" s="331"/>
      <c r="O72" s="166"/>
    </row>
    <row r="73" spans="1:15" ht="21" customHeight="1">
      <c r="A73" s="262"/>
      <c r="B73" s="262"/>
      <c r="C73" s="262"/>
      <c r="D73" s="262"/>
      <c r="E73" s="328"/>
      <c r="F73" s="328"/>
      <c r="G73" s="328"/>
      <c r="H73" s="330"/>
      <c r="I73" s="330"/>
      <c r="J73" s="329"/>
      <c r="K73" s="329"/>
      <c r="L73" s="329"/>
      <c r="M73" s="329"/>
      <c r="N73" s="329"/>
      <c r="O73" s="166"/>
    </row>
    <row r="82" spans="1:20" ht="19.8" customHeight="1">
      <c r="A82" s="10" t="s">
        <v>57</v>
      </c>
      <c r="B82" s="7"/>
      <c r="C82" s="7"/>
      <c r="D82" s="7"/>
      <c r="E82" s="7"/>
      <c r="F82" s="183" t="s">
        <v>29</v>
      </c>
      <c r="G82" s="183"/>
      <c r="H82" s="183"/>
      <c r="I82" s="183"/>
      <c r="J82" s="183"/>
      <c r="K82" s="183"/>
      <c r="L82" s="183"/>
      <c r="M82" s="183"/>
      <c r="N82" s="183"/>
      <c r="O82" s="159"/>
      <c r="P82" s="159"/>
      <c r="T82" s="2"/>
    </row>
    <row r="83" spans="1:20" ht="9" customHeight="1">
      <c r="A83" s="10"/>
      <c r="B83" s="7"/>
      <c r="C83" s="7"/>
      <c r="D83" s="7"/>
      <c r="E83" s="7"/>
      <c r="F83" s="155"/>
      <c r="G83" s="155"/>
      <c r="H83" s="155"/>
      <c r="I83" s="155"/>
      <c r="J83" s="155"/>
      <c r="K83" s="155"/>
      <c r="L83" s="155"/>
      <c r="M83" s="155"/>
      <c r="N83" s="155"/>
      <c r="O83" s="159"/>
      <c r="P83" s="159"/>
      <c r="T83" s="2"/>
    </row>
    <row r="84" spans="1:20" ht="18" customHeight="1">
      <c r="A84" s="7" t="s">
        <v>184</v>
      </c>
      <c r="B84" s="7"/>
      <c r="C84" s="7"/>
      <c r="D84" s="7"/>
      <c r="E84" s="7"/>
      <c r="F84" s="155"/>
      <c r="G84" s="155"/>
      <c r="H84" s="155"/>
      <c r="I84" s="155"/>
      <c r="J84" s="155"/>
      <c r="K84" s="155"/>
      <c r="L84" s="155"/>
      <c r="M84" s="155"/>
      <c r="N84" s="155"/>
      <c r="O84" s="159"/>
      <c r="P84" s="159"/>
      <c r="T84" s="2"/>
    </row>
    <row r="85" spans="1:20" ht="8.4" customHeight="1">
      <c r="A85" s="7"/>
      <c r="B85" s="7"/>
      <c r="C85" s="7"/>
      <c r="D85" s="7"/>
      <c r="E85" s="7"/>
      <c r="F85" s="155"/>
      <c r="G85" s="155"/>
      <c r="H85" s="155"/>
      <c r="I85" s="155"/>
      <c r="J85" s="155"/>
      <c r="K85" s="155"/>
      <c r="L85" s="155"/>
      <c r="M85" s="155"/>
      <c r="N85" s="155"/>
      <c r="O85" s="159"/>
      <c r="P85" s="159"/>
      <c r="T85" s="2"/>
    </row>
    <row r="86" spans="1:20" s="2" customFormat="1" ht="18" customHeight="1">
      <c r="A86" s="184" t="s">
        <v>89</v>
      </c>
      <c r="B86" s="184"/>
      <c r="C86" s="184"/>
      <c r="D86" s="184"/>
      <c r="E86" s="184" t="s">
        <v>80</v>
      </c>
      <c r="F86" s="184"/>
      <c r="G86" s="184"/>
      <c r="H86" s="184"/>
      <c r="I86" s="184"/>
      <c r="J86" s="184"/>
      <c r="K86" s="184"/>
      <c r="L86" s="184"/>
      <c r="M86" s="184"/>
      <c r="N86" s="184"/>
      <c r="O86" s="160"/>
    </row>
    <row r="87" spans="1:20" s="2" customFormat="1" ht="18" customHeight="1">
      <c r="A87" s="184"/>
      <c r="B87" s="184"/>
      <c r="C87" s="184"/>
      <c r="D87" s="184"/>
      <c r="E87" s="184" t="s">
        <v>88</v>
      </c>
      <c r="F87" s="184"/>
      <c r="G87" s="184"/>
      <c r="H87" s="184"/>
      <c r="I87" s="184"/>
      <c r="J87" s="184" t="s">
        <v>90</v>
      </c>
      <c r="K87" s="184"/>
      <c r="L87" s="184"/>
      <c r="M87" s="184"/>
      <c r="N87" s="184"/>
      <c r="O87" s="160"/>
    </row>
    <row r="88" spans="1:20" s="2" customFormat="1" ht="18" customHeight="1">
      <c r="A88" s="185" t="s">
        <v>81</v>
      </c>
      <c r="B88" s="185"/>
      <c r="C88" s="185"/>
      <c r="D88" s="185"/>
      <c r="E88" s="186" t="s">
        <v>124</v>
      </c>
      <c r="F88" s="186"/>
      <c r="G88" s="186"/>
      <c r="H88" s="186"/>
      <c r="I88" s="186"/>
      <c r="J88" s="263" t="s">
        <v>81</v>
      </c>
      <c r="K88" s="264"/>
      <c r="L88" s="264"/>
      <c r="M88" s="264"/>
      <c r="N88" s="265"/>
      <c r="O88" s="160"/>
    </row>
    <row r="89" spans="1:20" s="2" customFormat="1" ht="18" customHeight="1">
      <c r="A89" s="200" t="s">
        <v>129</v>
      </c>
      <c r="B89" s="201"/>
      <c r="C89" s="201"/>
      <c r="D89" s="202"/>
      <c r="E89" s="186"/>
      <c r="F89" s="186"/>
      <c r="G89" s="186"/>
      <c r="H89" s="186"/>
      <c r="I89" s="186"/>
      <c r="J89" s="200" t="s">
        <v>84</v>
      </c>
      <c r="K89" s="201"/>
      <c r="L89" s="201"/>
      <c r="M89" s="201"/>
      <c r="N89" s="202"/>
      <c r="O89" s="160"/>
    </row>
    <row r="90" spans="1:20" s="2" customFormat="1" ht="18" customHeight="1">
      <c r="A90" s="196" t="s">
        <v>130</v>
      </c>
      <c r="B90" s="196"/>
      <c r="C90" s="196"/>
      <c r="D90" s="196"/>
      <c r="E90" s="186"/>
      <c r="F90" s="186"/>
      <c r="G90" s="186"/>
      <c r="H90" s="186"/>
      <c r="I90" s="186"/>
      <c r="J90" s="266" t="s">
        <v>117</v>
      </c>
      <c r="K90" s="267"/>
      <c r="L90" s="267"/>
      <c r="M90" s="267"/>
      <c r="N90" s="268"/>
      <c r="O90" s="160"/>
    </row>
    <row r="91" spans="1:20" s="2" customFormat="1" ht="18" customHeight="1">
      <c r="A91" s="197" t="s">
        <v>158</v>
      </c>
      <c r="B91" s="197"/>
      <c r="C91" s="197"/>
      <c r="D91" s="197"/>
      <c r="E91" s="186"/>
      <c r="F91" s="186"/>
      <c r="G91" s="186"/>
      <c r="H91" s="186"/>
      <c r="I91" s="186"/>
      <c r="J91" s="266"/>
      <c r="K91" s="267"/>
      <c r="L91" s="267"/>
      <c r="M91" s="267"/>
      <c r="N91" s="268"/>
      <c r="O91" s="160"/>
    </row>
    <row r="92" spans="1:20" ht="18" customHeight="1">
      <c r="A92" s="290" t="s">
        <v>104</v>
      </c>
      <c r="B92" s="290"/>
      <c r="C92" s="288">
        <v>62</v>
      </c>
      <c r="D92" s="288"/>
      <c r="E92" s="7"/>
      <c r="F92" s="155"/>
      <c r="G92" s="155"/>
      <c r="H92" s="155"/>
      <c r="I92" s="155"/>
      <c r="J92" s="155"/>
      <c r="K92" s="155"/>
      <c r="L92" s="155"/>
      <c r="M92" s="155"/>
      <c r="N92" s="155"/>
      <c r="O92" s="159"/>
      <c r="P92" s="159"/>
      <c r="T92" s="2"/>
    </row>
    <row r="93" spans="1:20" ht="18" customHeight="1">
      <c r="A93" s="170" t="s">
        <v>0</v>
      </c>
      <c r="B93" s="173" t="s">
        <v>18</v>
      </c>
      <c r="C93" s="176" t="s">
        <v>7</v>
      </c>
      <c r="D93" s="176" t="s">
        <v>8</v>
      </c>
      <c r="E93" s="179" t="s">
        <v>10</v>
      </c>
      <c r="F93" s="180"/>
      <c r="G93" s="179" t="s">
        <v>12</v>
      </c>
      <c r="H93" s="180"/>
      <c r="I93" s="198" t="s">
        <v>15</v>
      </c>
      <c r="J93" s="198" t="s">
        <v>30</v>
      </c>
      <c r="K93" s="198" t="s">
        <v>31</v>
      </c>
      <c r="L93" s="198" t="s">
        <v>16</v>
      </c>
      <c r="M93" s="198" t="s">
        <v>32</v>
      </c>
      <c r="N93" s="170" t="s">
        <v>17</v>
      </c>
      <c r="O93" s="161"/>
    </row>
    <row r="94" spans="1:20" ht="18" customHeight="1">
      <c r="A94" s="171"/>
      <c r="B94" s="174"/>
      <c r="C94" s="177"/>
      <c r="D94" s="177"/>
      <c r="E94" s="181"/>
      <c r="F94" s="182"/>
      <c r="G94" s="181"/>
      <c r="H94" s="182"/>
      <c r="I94" s="206"/>
      <c r="J94" s="206"/>
      <c r="K94" s="206"/>
      <c r="L94" s="206"/>
      <c r="M94" s="206"/>
      <c r="N94" s="171"/>
      <c r="O94" s="152"/>
    </row>
    <row r="95" spans="1:20" ht="18" customHeight="1">
      <c r="A95" s="171"/>
      <c r="B95" s="174"/>
      <c r="C95" s="177"/>
      <c r="D95" s="177"/>
      <c r="E95" s="198" t="s">
        <v>9</v>
      </c>
      <c r="F95" s="198" t="s">
        <v>11</v>
      </c>
      <c r="G95" s="198" t="s">
        <v>13</v>
      </c>
      <c r="H95" s="198" t="s">
        <v>14</v>
      </c>
      <c r="I95" s="206"/>
      <c r="J95" s="206"/>
      <c r="K95" s="206"/>
      <c r="L95" s="206"/>
      <c r="M95" s="206"/>
      <c r="N95" s="171"/>
      <c r="O95" s="152"/>
    </row>
    <row r="96" spans="1:20" ht="18" customHeight="1">
      <c r="A96" s="172"/>
      <c r="B96" s="175"/>
      <c r="C96" s="178"/>
      <c r="D96" s="178"/>
      <c r="E96" s="199"/>
      <c r="F96" s="199"/>
      <c r="G96" s="199"/>
      <c r="H96" s="199"/>
      <c r="I96" s="199"/>
      <c r="J96" s="199"/>
      <c r="K96" s="199"/>
      <c r="L96" s="199"/>
      <c r="M96" s="199"/>
      <c r="N96" s="172"/>
      <c r="O96" s="152"/>
    </row>
    <row r="97" spans="1:23" ht="17.399999999999999" customHeight="1">
      <c r="A97" s="203" t="s">
        <v>40</v>
      </c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5"/>
      <c r="O97" s="152"/>
    </row>
    <row r="98" spans="1:23" s="2" customFormat="1" ht="17.399999999999999" customHeight="1">
      <c r="A98" s="8">
        <v>1</v>
      </c>
      <c r="B98" s="9" t="s">
        <v>2</v>
      </c>
      <c r="C98" s="12">
        <f>L98/100*100</f>
        <v>80</v>
      </c>
      <c r="D98" s="13">
        <f>C98/100*60</f>
        <v>48</v>
      </c>
      <c r="E98" s="14">
        <f>C98/100*15</f>
        <v>12</v>
      </c>
      <c r="F98" s="14"/>
      <c r="G98" s="14"/>
      <c r="H98" s="14"/>
      <c r="I98" s="14"/>
      <c r="J98" s="22">
        <f>C98/100*387</f>
        <v>309.60000000000002</v>
      </c>
      <c r="K98" s="22">
        <f>C98/100*0.09</f>
        <v>7.1999999999999995E-2</v>
      </c>
      <c r="L98" s="111">
        <v>80</v>
      </c>
      <c r="M98" s="20">
        <v>20</v>
      </c>
      <c r="N98" s="16">
        <f>L98*M98</f>
        <v>1600</v>
      </c>
      <c r="O98" s="162"/>
    </row>
    <row r="99" spans="1:23" s="2" customFormat="1" ht="17.399999999999999" customHeight="1">
      <c r="A99" s="8">
        <v>2</v>
      </c>
      <c r="B99" s="9" t="s">
        <v>114</v>
      </c>
      <c r="C99" s="12">
        <f>L99/100*100</f>
        <v>550</v>
      </c>
      <c r="D99" s="13">
        <f>C99/100*899</f>
        <v>4944.5</v>
      </c>
      <c r="E99" s="14"/>
      <c r="F99" s="14"/>
      <c r="G99" s="14">
        <f>C99/100*100</f>
        <v>550</v>
      </c>
      <c r="H99" s="14"/>
      <c r="I99" s="14"/>
      <c r="J99" s="22"/>
      <c r="K99" s="22"/>
      <c r="L99" s="111">
        <v>550</v>
      </c>
      <c r="M99" s="110">
        <v>69</v>
      </c>
      <c r="N99" s="16">
        <f t="shared" ref="N99" si="6">L99*M99</f>
        <v>37950</v>
      </c>
      <c r="O99" s="162"/>
    </row>
    <row r="100" spans="1:23" s="2" customFormat="1" ht="17.399999999999999" customHeight="1">
      <c r="A100" s="8">
        <v>3</v>
      </c>
      <c r="B100" s="5" t="s">
        <v>1</v>
      </c>
      <c r="C100" s="12">
        <f>L100/100*100</f>
        <v>2666</v>
      </c>
      <c r="D100" s="13">
        <f>C100/100*344</f>
        <v>9171.0400000000009</v>
      </c>
      <c r="E100" s="14"/>
      <c r="F100" s="14">
        <f>C100/100*7.9</f>
        <v>210.614</v>
      </c>
      <c r="G100" s="14"/>
      <c r="H100" s="14">
        <f>C100/100*1</f>
        <v>26.66</v>
      </c>
      <c r="I100" s="91">
        <f>C100/100*73.6</f>
        <v>1962.1759999999999</v>
      </c>
      <c r="J100" s="22">
        <f>C100/100*30</f>
        <v>799.8</v>
      </c>
      <c r="K100" s="22">
        <f>C100/100*0.1</f>
        <v>2.6660000000000004</v>
      </c>
      <c r="L100" s="111">
        <v>2666</v>
      </c>
      <c r="M100" s="20">
        <v>18</v>
      </c>
      <c r="N100" s="16">
        <f t="shared" ref="N100:N107" si="7">L100*M100</f>
        <v>47988</v>
      </c>
      <c r="O100" s="162"/>
    </row>
    <row r="101" spans="1:23" s="2" customFormat="1" ht="17.399999999999999" customHeight="1">
      <c r="A101" s="8">
        <v>4</v>
      </c>
      <c r="B101" s="9" t="s">
        <v>27</v>
      </c>
      <c r="C101" s="12">
        <f>L101/100*100</f>
        <v>50</v>
      </c>
      <c r="D101" s="13">
        <f>C101/100*390</f>
        <v>195</v>
      </c>
      <c r="E101" s="14"/>
      <c r="F101" s="14"/>
      <c r="G101" s="14"/>
      <c r="H101" s="14"/>
      <c r="I101" s="14">
        <f>C101/100*97.4</f>
        <v>48.7</v>
      </c>
      <c r="J101" s="22">
        <f>C101/100*178</f>
        <v>89</v>
      </c>
      <c r="K101" s="22">
        <f>C101/100*0.05</f>
        <v>2.5000000000000001E-2</v>
      </c>
      <c r="L101" s="111">
        <v>50</v>
      </c>
      <c r="M101" s="20">
        <v>25</v>
      </c>
      <c r="N101" s="16">
        <f t="shared" si="7"/>
        <v>1250</v>
      </c>
      <c r="O101" s="342"/>
    </row>
    <row r="102" spans="1:23" s="2" customFormat="1" ht="17.399999999999999" customHeight="1">
      <c r="A102" s="8">
        <v>5</v>
      </c>
      <c r="B102" s="9" t="s">
        <v>131</v>
      </c>
      <c r="C102" s="12">
        <f>L102/100*60</f>
        <v>2160</v>
      </c>
      <c r="D102" s="13">
        <f>C102/100*97</f>
        <v>2095.2000000000003</v>
      </c>
      <c r="E102" s="91">
        <f>C102/100*18.2</f>
        <v>393.12</v>
      </c>
      <c r="F102" s="14"/>
      <c r="G102" s="14">
        <f>C102/100*2.7</f>
        <v>58.320000000000007</v>
      </c>
      <c r="H102" s="14"/>
      <c r="I102" s="14"/>
      <c r="J102" s="64">
        <f>C102/100*90</f>
        <v>1944.0000000000002</v>
      </c>
      <c r="K102" s="22">
        <f>C102/100*0.04</f>
        <v>0.8640000000000001</v>
      </c>
      <c r="L102" s="111">
        <v>3600</v>
      </c>
      <c r="M102" s="20">
        <v>95</v>
      </c>
      <c r="N102" s="16">
        <f t="shared" si="7"/>
        <v>342000</v>
      </c>
      <c r="O102" s="162"/>
    </row>
    <row r="103" spans="1:23" s="2" customFormat="1" ht="17.399999999999999" customHeight="1">
      <c r="A103" s="8">
        <v>6</v>
      </c>
      <c r="B103" s="128" t="s">
        <v>64</v>
      </c>
      <c r="C103" s="12">
        <f>L103/100*98</f>
        <v>803.59999999999991</v>
      </c>
      <c r="D103" s="13">
        <f>C103/100*139</f>
        <v>1117.0039999999999</v>
      </c>
      <c r="E103" s="14">
        <f>C103/100*19</f>
        <v>152.684</v>
      </c>
      <c r="F103" s="14"/>
      <c r="G103" s="14">
        <f>C103/100*7</f>
        <v>56.251999999999995</v>
      </c>
      <c r="H103" s="14"/>
      <c r="I103" s="14"/>
      <c r="J103" s="22">
        <f>C103/100*7</f>
        <v>56.251999999999995</v>
      </c>
      <c r="K103" s="22">
        <f>C103/100*0.9</f>
        <v>7.2324000000000002</v>
      </c>
      <c r="L103" s="111">
        <v>820</v>
      </c>
      <c r="M103" s="111">
        <v>133</v>
      </c>
      <c r="N103" s="16">
        <f t="shared" si="7"/>
        <v>109060</v>
      </c>
      <c r="O103" s="162"/>
    </row>
    <row r="104" spans="1:23" s="2" customFormat="1" ht="17.399999999999999" customHeight="1">
      <c r="A104" s="8">
        <v>7</v>
      </c>
      <c r="B104" s="5" t="s">
        <v>3</v>
      </c>
      <c r="C104" s="12">
        <f>L104/100*48</f>
        <v>460.79999999999995</v>
      </c>
      <c r="D104" s="13">
        <f>C104/100*199</f>
        <v>916.99199999999996</v>
      </c>
      <c r="E104" s="14">
        <f>C104/100*20.3</f>
        <v>93.542400000000001</v>
      </c>
      <c r="F104" s="14"/>
      <c r="G104" s="14">
        <f>C104/100*13.1</f>
        <v>60.364799999999995</v>
      </c>
      <c r="H104" s="14"/>
      <c r="I104" s="14"/>
      <c r="J104" s="22">
        <f>C104/100*12</f>
        <v>55.295999999999992</v>
      </c>
      <c r="K104" s="22">
        <f>C104/100*0.15</f>
        <v>0.69119999999999993</v>
      </c>
      <c r="L104" s="111">
        <v>960</v>
      </c>
      <c r="M104" s="15">
        <v>84</v>
      </c>
      <c r="N104" s="16">
        <f t="shared" si="7"/>
        <v>80640</v>
      </c>
      <c r="O104" s="162"/>
      <c r="Q104" s="3"/>
      <c r="R104" s="3"/>
      <c r="S104" s="4"/>
    </row>
    <row r="105" spans="1:23" s="2" customFormat="1" ht="17.399999999999999" customHeight="1">
      <c r="A105" s="8">
        <v>8</v>
      </c>
      <c r="B105" s="5" t="s">
        <v>110</v>
      </c>
      <c r="C105" s="12">
        <f>L105/100*100</f>
        <v>50</v>
      </c>
      <c r="D105" s="13">
        <f>C105/100*247</f>
        <v>123.5</v>
      </c>
      <c r="E105" s="17"/>
      <c r="F105" s="17">
        <f>C105/100*17.5</f>
        <v>8.75</v>
      </c>
      <c r="G105" s="17"/>
      <c r="H105" s="17">
        <f>C105/100*1.6</f>
        <v>0.8</v>
      </c>
      <c r="I105" s="17">
        <f>C105/100*39.2</f>
        <v>19.600000000000001</v>
      </c>
      <c r="J105" s="21"/>
      <c r="K105" s="21"/>
      <c r="L105" s="321">
        <v>50</v>
      </c>
      <c r="M105" s="20">
        <v>50</v>
      </c>
      <c r="N105" s="16">
        <f t="shared" si="7"/>
        <v>2500</v>
      </c>
      <c r="O105" s="162"/>
      <c r="Q105" s="3"/>
      <c r="R105" s="3"/>
      <c r="S105" s="4"/>
      <c r="T105" s="3"/>
    </row>
    <row r="106" spans="1:23" s="2" customFormat="1" ht="18" customHeight="1">
      <c r="A106" s="8">
        <v>9</v>
      </c>
      <c r="B106" s="5" t="s">
        <v>136</v>
      </c>
      <c r="C106" s="12">
        <f>L106/100*81</f>
        <v>1458</v>
      </c>
      <c r="D106" s="13">
        <f>C106/100*17</f>
        <v>247.86</v>
      </c>
      <c r="E106" s="14"/>
      <c r="F106" s="14">
        <f>C106/100*0.9</f>
        <v>13.122</v>
      </c>
      <c r="G106" s="14"/>
      <c r="H106" s="14">
        <f>C106/100*0.2</f>
        <v>2.9160000000000004</v>
      </c>
      <c r="I106" s="14">
        <f>C106/100*2.8</f>
        <v>40.823999999999998</v>
      </c>
      <c r="J106" s="64">
        <f>C106/100*28</f>
        <v>408.24</v>
      </c>
      <c r="K106" s="22">
        <f>C106/100*0.04</f>
        <v>0.58320000000000005</v>
      </c>
      <c r="L106" s="111">
        <v>1800</v>
      </c>
      <c r="M106" s="15">
        <v>25</v>
      </c>
      <c r="N106" s="113">
        <f t="shared" si="7"/>
        <v>45000</v>
      </c>
      <c r="O106" s="162"/>
    </row>
    <row r="107" spans="1:23" s="2" customFormat="1" ht="17.399999999999999" customHeight="1">
      <c r="A107" s="8">
        <v>10</v>
      </c>
      <c r="B107" s="5" t="s">
        <v>126</v>
      </c>
      <c r="C107" s="12">
        <f>L107/100*81</f>
        <v>1166.4000000000001</v>
      </c>
      <c r="D107" s="13">
        <f>C107/100*17</f>
        <v>198.28800000000001</v>
      </c>
      <c r="E107" s="17"/>
      <c r="F107" s="17">
        <f>C107/100*0.9</f>
        <v>10.497600000000002</v>
      </c>
      <c r="G107" s="17"/>
      <c r="H107" s="17">
        <f>C107/100*0.2</f>
        <v>2.3328000000000002</v>
      </c>
      <c r="I107" s="17">
        <f>C107/100*2.8</f>
        <v>32.659200000000006</v>
      </c>
      <c r="J107" s="14">
        <f>C107/100*28</f>
        <v>326.59200000000004</v>
      </c>
      <c r="K107" s="22">
        <f>C107/100*0.04</f>
        <v>0.46656000000000009</v>
      </c>
      <c r="L107" s="321">
        <v>1440</v>
      </c>
      <c r="M107" s="20">
        <v>20</v>
      </c>
      <c r="N107" s="16">
        <f t="shared" si="7"/>
        <v>28800</v>
      </c>
      <c r="O107" s="162"/>
      <c r="P107" s="3"/>
    </row>
    <row r="108" spans="1:23" s="2" customFormat="1" ht="17.399999999999999" customHeight="1">
      <c r="A108" s="8">
        <v>11</v>
      </c>
      <c r="B108" s="9" t="s">
        <v>105</v>
      </c>
      <c r="C108" s="12"/>
      <c r="D108" s="13"/>
      <c r="E108" s="14"/>
      <c r="F108" s="14"/>
      <c r="G108" s="14"/>
      <c r="H108" s="14"/>
      <c r="I108" s="14"/>
      <c r="J108" s="14"/>
      <c r="K108" s="14"/>
      <c r="L108" s="15"/>
      <c r="M108" s="15"/>
      <c r="N108" s="16">
        <v>4200</v>
      </c>
      <c r="O108" s="162"/>
    </row>
    <row r="109" spans="1:23" s="2" customFormat="1" ht="17.399999999999999" customHeight="1">
      <c r="A109" s="23" t="s">
        <v>98</v>
      </c>
      <c r="B109" s="24"/>
      <c r="C109" s="25"/>
      <c r="D109" s="94">
        <f>SUM(D99:D108)</f>
        <v>19009.384000000002</v>
      </c>
      <c r="E109" s="31"/>
      <c r="F109" s="31"/>
      <c r="G109" s="31"/>
      <c r="H109" s="31"/>
      <c r="I109" s="31"/>
      <c r="J109" s="31"/>
      <c r="K109" s="31"/>
      <c r="L109" s="32"/>
      <c r="M109" s="32"/>
      <c r="N109" s="295">
        <f>SUM(N98:N108)</f>
        <v>700988</v>
      </c>
      <c r="O109" s="162"/>
    </row>
    <row r="110" spans="1:23" ht="17.399999999999999" customHeight="1">
      <c r="A110" s="23" t="s">
        <v>41</v>
      </c>
      <c r="B110" s="24"/>
      <c r="C110" s="33"/>
      <c r="D110" s="34">
        <f>D109/C92</f>
        <v>306.60296774193552</v>
      </c>
      <c r="E110" s="34"/>
      <c r="F110" s="34"/>
      <c r="G110" s="34"/>
      <c r="H110" s="34"/>
      <c r="I110" s="34"/>
      <c r="J110" s="34"/>
      <c r="K110" s="34"/>
      <c r="L110" s="35"/>
      <c r="M110" s="35"/>
      <c r="N110" s="296"/>
      <c r="O110" s="350"/>
      <c r="P110" s="2"/>
      <c r="Q110" s="2"/>
      <c r="R110" s="2"/>
      <c r="S110" s="2"/>
      <c r="T110" s="2"/>
      <c r="U110" s="2"/>
      <c r="V110" s="2"/>
      <c r="W110" s="2"/>
    </row>
    <row r="111" spans="1:23" ht="17.399999999999999" customHeight="1">
      <c r="A111" s="298" t="s">
        <v>50</v>
      </c>
      <c r="B111" s="210"/>
      <c r="C111" s="322" t="s">
        <v>125</v>
      </c>
      <c r="D111" s="29" t="s">
        <v>36</v>
      </c>
      <c r="E111" s="34"/>
      <c r="F111" s="34"/>
      <c r="G111" s="34"/>
      <c r="H111" s="34"/>
      <c r="I111" s="34"/>
      <c r="J111" s="36"/>
      <c r="K111" s="36"/>
      <c r="L111" s="35"/>
      <c r="M111" s="35"/>
      <c r="N111" s="158"/>
      <c r="O111" s="4"/>
      <c r="P111" s="2"/>
      <c r="Q111" s="2"/>
      <c r="R111" s="2"/>
      <c r="S111" s="2"/>
      <c r="T111" s="2"/>
      <c r="U111" s="2"/>
      <c r="V111" s="2"/>
      <c r="W111" s="2"/>
    </row>
    <row r="112" spans="1:23" ht="17.399999999999999" customHeight="1">
      <c r="A112" s="211"/>
      <c r="B112" s="212"/>
      <c r="C112" s="62" t="s">
        <v>56</v>
      </c>
      <c r="D112" s="29">
        <f>D110*100/930</f>
        <v>32.968061047519946</v>
      </c>
      <c r="E112" s="34"/>
      <c r="F112" s="34"/>
      <c r="G112" s="34"/>
      <c r="H112" s="34"/>
      <c r="I112" s="34"/>
      <c r="J112" s="36"/>
      <c r="K112" s="36"/>
      <c r="L112" s="35"/>
      <c r="M112" s="35"/>
      <c r="N112" s="158"/>
      <c r="O112" s="4"/>
      <c r="P112" s="2"/>
      <c r="Q112" s="2"/>
      <c r="R112" s="2"/>
      <c r="S112" s="2"/>
      <c r="T112" s="2"/>
      <c r="U112" s="2"/>
      <c r="V112" s="2"/>
      <c r="W112" s="2"/>
    </row>
    <row r="113" spans="1:23" s="2" customFormat="1" ht="17.399999999999999" customHeight="1">
      <c r="A113" s="213" t="s">
        <v>43</v>
      </c>
      <c r="B113" s="213"/>
      <c r="C113" s="45"/>
      <c r="D113" s="46"/>
      <c r="E113" s="47"/>
      <c r="F113" s="47"/>
      <c r="G113" s="47"/>
      <c r="H113" s="47"/>
      <c r="I113" s="47"/>
      <c r="J113" s="47"/>
      <c r="K113" s="47"/>
      <c r="L113" s="48"/>
      <c r="M113" s="48"/>
      <c r="N113" s="51"/>
      <c r="O113" s="162"/>
    </row>
    <row r="114" spans="1:23" s="2" customFormat="1" ht="17.399999999999999" customHeight="1">
      <c r="A114" s="8">
        <v>1</v>
      </c>
      <c r="B114" s="9" t="s">
        <v>2</v>
      </c>
      <c r="C114" s="12">
        <f>L114/100*100</f>
        <v>80</v>
      </c>
      <c r="D114" s="13">
        <f>C114/100*60</f>
        <v>48</v>
      </c>
      <c r="E114" s="14">
        <f>C114/100*15</f>
        <v>12</v>
      </c>
      <c r="F114" s="14"/>
      <c r="G114" s="14"/>
      <c r="H114" s="14"/>
      <c r="I114" s="14"/>
      <c r="J114" s="22">
        <f>C114/100*387</f>
        <v>309.60000000000002</v>
      </c>
      <c r="K114" s="22">
        <f>C114/100*0.09</f>
        <v>7.1999999999999995E-2</v>
      </c>
      <c r="L114" s="111">
        <v>80</v>
      </c>
      <c r="M114" s="20">
        <v>20</v>
      </c>
      <c r="N114" s="113">
        <f>L114*M114</f>
        <v>1600</v>
      </c>
      <c r="O114" s="162"/>
    </row>
    <row r="115" spans="1:23" s="2" customFormat="1" ht="17.399999999999999" customHeight="1">
      <c r="A115" s="8">
        <v>2</v>
      </c>
      <c r="B115" s="9" t="s">
        <v>114</v>
      </c>
      <c r="C115" s="12">
        <f>L115/100*100</f>
        <v>200</v>
      </c>
      <c r="D115" s="13">
        <f>C115/100*899</f>
        <v>1798</v>
      </c>
      <c r="E115" s="14"/>
      <c r="F115" s="14"/>
      <c r="G115" s="14">
        <f>C115/100*100</f>
        <v>200</v>
      </c>
      <c r="H115" s="14"/>
      <c r="I115" s="14"/>
      <c r="J115" s="22"/>
      <c r="K115" s="22"/>
      <c r="L115" s="111">
        <v>200</v>
      </c>
      <c r="M115" s="110">
        <v>69</v>
      </c>
      <c r="N115" s="113">
        <f t="shared" ref="N115:N116" si="8">L115*M115</f>
        <v>13800</v>
      </c>
      <c r="O115" s="162"/>
    </row>
    <row r="116" spans="1:23" s="2" customFormat="1" ht="17.399999999999999" customHeight="1">
      <c r="A116" s="8">
        <v>3</v>
      </c>
      <c r="B116" s="128" t="s">
        <v>118</v>
      </c>
      <c r="C116" s="12">
        <f t="shared" ref="C116" si="9">L116/100*100</f>
        <v>160</v>
      </c>
      <c r="D116" s="65">
        <f>C116/100*900</f>
        <v>1440</v>
      </c>
      <c r="E116" s="14"/>
      <c r="F116" s="14"/>
      <c r="G116" s="91"/>
      <c r="H116" s="14">
        <f>C116/100*100</f>
        <v>160</v>
      </c>
      <c r="I116" s="14"/>
      <c r="J116" s="14"/>
      <c r="K116" s="14"/>
      <c r="L116" s="111">
        <v>160</v>
      </c>
      <c r="M116" s="65">
        <v>65</v>
      </c>
      <c r="N116" s="93">
        <f t="shared" si="8"/>
        <v>10400</v>
      </c>
      <c r="O116" s="163"/>
    </row>
    <row r="117" spans="1:23" s="2" customFormat="1" ht="17.399999999999999" customHeight="1">
      <c r="A117" s="8">
        <v>4</v>
      </c>
      <c r="B117" s="5" t="s">
        <v>1</v>
      </c>
      <c r="C117" s="12">
        <f>L117/100*100</f>
        <v>2604</v>
      </c>
      <c r="D117" s="13">
        <f>C117/100*344</f>
        <v>8957.76</v>
      </c>
      <c r="E117" s="14"/>
      <c r="F117" s="14">
        <f>C117/100*7.9</f>
        <v>205.71600000000001</v>
      </c>
      <c r="G117" s="14"/>
      <c r="H117" s="14">
        <f>C117/100*1</f>
        <v>26.04</v>
      </c>
      <c r="I117" s="91">
        <f>C117/100*73.6</f>
        <v>1916.5439999999999</v>
      </c>
      <c r="J117" s="22">
        <f>C117/100*30</f>
        <v>781.19999999999993</v>
      </c>
      <c r="K117" s="22">
        <f>C117/100*0.1</f>
        <v>2.6040000000000001</v>
      </c>
      <c r="L117" s="111">
        <v>2604</v>
      </c>
      <c r="M117" s="20">
        <v>18</v>
      </c>
      <c r="N117" s="113">
        <f t="shared" ref="N117:N122" si="10">L117*M117</f>
        <v>46872</v>
      </c>
      <c r="O117" s="162"/>
    </row>
    <row r="118" spans="1:23" s="2" customFormat="1" ht="17.399999999999999" customHeight="1">
      <c r="A118" s="8">
        <v>5</v>
      </c>
      <c r="B118" s="9" t="s">
        <v>64</v>
      </c>
      <c r="C118" s="12">
        <f>L118/100*98</f>
        <v>1244.5999999999999</v>
      </c>
      <c r="D118" s="13">
        <f>C118/100*139</f>
        <v>1729.9939999999999</v>
      </c>
      <c r="E118" s="14">
        <f>C118/100*19</f>
        <v>236.47399999999999</v>
      </c>
      <c r="F118" s="14"/>
      <c r="G118" s="14">
        <f>C118/100*7</f>
        <v>87.122</v>
      </c>
      <c r="H118" s="14"/>
      <c r="I118" s="14"/>
      <c r="J118" s="22">
        <f>C118/100*7</f>
        <v>87.122</v>
      </c>
      <c r="K118" s="22">
        <f>C118/100*0.9</f>
        <v>11.2014</v>
      </c>
      <c r="L118" s="111">
        <v>1270</v>
      </c>
      <c r="M118" s="42">
        <v>133</v>
      </c>
      <c r="N118" s="114">
        <f t="shared" si="10"/>
        <v>168910</v>
      </c>
      <c r="O118" s="162"/>
    </row>
    <row r="119" spans="1:23" s="2" customFormat="1" ht="17.399999999999999" customHeight="1">
      <c r="A119" s="8">
        <v>6</v>
      </c>
      <c r="B119" s="5" t="s">
        <v>61</v>
      </c>
      <c r="C119" s="12">
        <f>L119/100*86</f>
        <v>516</v>
      </c>
      <c r="D119" s="13">
        <f>C119/100*166</f>
        <v>856.56000000000006</v>
      </c>
      <c r="E119" s="14">
        <f>C119/100*14.8</f>
        <v>76.368000000000009</v>
      </c>
      <c r="F119" s="14"/>
      <c r="G119" s="14">
        <f>C119/100*11.6</f>
        <v>59.856000000000002</v>
      </c>
      <c r="H119" s="14"/>
      <c r="I119" s="14">
        <f>C119/100*0.5</f>
        <v>2.58</v>
      </c>
      <c r="J119" s="22">
        <f>C119/100*55</f>
        <v>283.8</v>
      </c>
      <c r="K119" s="22">
        <f>C119/100*0.16</f>
        <v>0.8256</v>
      </c>
      <c r="L119" s="111">
        <v>600</v>
      </c>
      <c r="M119" s="20">
        <v>57</v>
      </c>
      <c r="N119" s="113">
        <f t="shared" si="10"/>
        <v>34200</v>
      </c>
      <c r="O119" s="162"/>
      <c r="Q119" s="3"/>
      <c r="R119" s="3"/>
      <c r="S119" s="4"/>
    </row>
    <row r="120" spans="1:23" s="2" customFormat="1" ht="17.399999999999999" customHeight="1">
      <c r="A120" s="8">
        <v>7</v>
      </c>
      <c r="B120" s="5" t="s">
        <v>78</v>
      </c>
      <c r="C120" s="12">
        <f>L120/100*82</f>
        <v>1476</v>
      </c>
      <c r="D120" s="13">
        <f>C120/100*27</f>
        <v>398.52</v>
      </c>
      <c r="E120" s="17"/>
      <c r="F120" s="17">
        <f>C120/100*0.3</f>
        <v>4.4279999999999999</v>
      </c>
      <c r="G120" s="17"/>
      <c r="H120" s="17">
        <f>C120/100*0.1</f>
        <v>1.476</v>
      </c>
      <c r="I120" s="17">
        <f>C120/100*6.1</f>
        <v>90.035999999999987</v>
      </c>
      <c r="J120" s="63">
        <f>C120/100*24</f>
        <v>354.24</v>
      </c>
      <c r="K120" s="21">
        <f>C120/100*0.03</f>
        <v>0.44279999999999997</v>
      </c>
      <c r="L120" s="320">
        <v>1800</v>
      </c>
      <c r="M120" s="15">
        <v>22</v>
      </c>
      <c r="N120" s="113">
        <f t="shared" si="10"/>
        <v>39600</v>
      </c>
      <c r="O120" s="162"/>
      <c r="Q120" s="3"/>
      <c r="R120" s="3"/>
      <c r="S120" s="4"/>
    </row>
    <row r="121" spans="1:23" s="2" customFormat="1" ht="17.399999999999999" customHeight="1">
      <c r="A121" s="8">
        <v>8</v>
      </c>
      <c r="B121" s="9" t="s">
        <v>86</v>
      </c>
      <c r="C121" s="12">
        <f>L121/100*43</f>
        <v>219.29999999999998</v>
      </c>
      <c r="D121" s="13">
        <f>C121/100*83</f>
        <v>182.01899999999998</v>
      </c>
      <c r="E121" s="14">
        <f>C121/100*7.7</f>
        <v>16.886099999999999</v>
      </c>
      <c r="F121" s="14"/>
      <c r="G121" s="14">
        <f>C121/100*5.5</f>
        <v>12.061499999999999</v>
      </c>
      <c r="H121" s="14"/>
      <c r="I121" s="14"/>
      <c r="J121" s="22"/>
      <c r="K121" s="22"/>
      <c r="L121" s="111">
        <v>510</v>
      </c>
      <c r="M121" s="20">
        <v>133</v>
      </c>
      <c r="N121" s="113">
        <f t="shared" si="10"/>
        <v>67830</v>
      </c>
      <c r="O121" s="162"/>
    </row>
    <row r="122" spans="1:23" s="2" customFormat="1" ht="17.399999999999999" customHeight="1">
      <c r="A122" s="8">
        <v>9</v>
      </c>
      <c r="B122" s="5" t="s">
        <v>110</v>
      </c>
      <c r="C122" s="12">
        <f>L122/100*100</f>
        <v>50</v>
      </c>
      <c r="D122" s="13">
        <f>C122/100*247</f>
        <v>123.5</v>
      </c>
      <c r="E122" s="17"/>
      <c r="F122" s="17">
        <f>C122/100*17.5</f>
        <v>8.75</v>
      </c>
      <c r="G122" s="17"/>
      <c r="H122" s="17">
        <f>C122/100*1.6</f>
        <v>0.8</v>
      </c>
      <c r="I122" s="17">
        <f>C122/100*39.2</f>
        <v>19.600000000000001</v>
      </c>
      <c r="J122" s="21"/>
      <c r="K122" s="21"/>
      <c r="L122" s="320">
        <v>50</v>
      </c>
      <c r="M122" s="20">
        <v>50</v>
      </c>
      <c r="N122" s="113">
        <f t="shared" si="10"/>
        <v>2500</v>
      </c>
      <c r="O122" s="162"/>
      <c r="Q122" s="3"/>
      <c r="R122" s="3"/>
      <c r="S122" s="4"/>
      <c r="T122" s="3"/>
    </row>
    <row r="123" spans="1:23" s="2" customFormat="1" ht="17.399999999999999" customHeight="1">
      <c r="A123" s="8">
        <v>10</v>
      </c>
      <c r="B123" s="9" t="s">
        <v>105</v>
      </c>
      <c r="C123" s="12"/>
      <c r="D123" s="13"/>
      <c r="E123" s="14"/>
      <c r="F123" s="14"/>
      <c r="G123" s="14"/>
      <c r="H123" s="14"/>
      <c r="I123" s="14"/>
      <c r="J123" s="14"/>
      <c r="K123" s="14"/>
      <c r="L123" s="15"/>
      <c r="M123" s="15"/>
      <c r="N123" s="16">
        <v>4200</v>
      </c>
      <c r="O123" s="162"/>
    </row>
    <row r="124" spans="1:23" s="2" customFormat="1" ht="17.399999999999999" customHeight="1">
      <c r="A124" s="23" t="s">
        <v>99</v>
      </c>
      <c r="B124" s="24"/>
      <c r="C124" s="25"/>
      <c r="D124" s="94">
        <f>SUM(D114:D123)</f>
        <v>15534.353000000001</v>
      </c>
      <c r="E124" s="31"/>
      <c r="F124" s="31"/>
      <c r="G124" s="31"/>
      <c r="H124" s="31"/>
      <c r="I124" s="31"/>
      <c r="J124" s="31"/>
      <c r="K124" s="31"/>
      <c r="L124" s="32"/>
      <c r="M124" s="32"/>
      <c r="N124" s="295">
        <f>SUM(N114:N123)</f>
        <v>389912</v>
      </c>
      <c r="O124" s="162"/>
    </row>
    <row r="125" spans="1:23" ht="17.399999999999999" customHeight="1">
      <c r="A125" s="23" t="s">
        <v>44</v>
      </c>
      <c r="B125" s="24"/>
      <c r="C125" s="52"/>
      <c r="D125" s="36">
        <f>D124/C92</f>
        <v>250.55408064516129</v>
      </c>
      <c r="E125" s="36"/>
      <c r="F125" s="36"/>
      <c r="G125" s="36"/>
      <c r="H125" s="36"/>
      <c r="I125" s="36"/>
      <c r="J125" s="36"/>
      <c r="K125" s="36"/>
      <c r="L125" s="53"/>
      <c r="M125" s="35"/>
      <c r="N125" s="296"/>
      <c r="O125" s="350"/>
      <c r="P125" s="2"/>
      <c r="Q125" s="2"/>
      <c r="R125" s="2"/>
      <c r="S125" s="2"/>
      <c r="T125" s="2"/>
      <c r="U125" s="2"/>
      <c r="V125" s="2"/>
      <c r="W125" s="2"/>
    </row>
    <row r="126" spans="1:23" ht="17.399999999999999" customHeight="1">
      <c r="A126" s="298" t="s">
        <v>51</v>
      </c>
      <c r="B126" s="210"/>
      <c r="C126" s="322" t="s">
        <v>125</v>
      </c>
      <c r="D126" s="29" t="s">
        <v>46</v>
      </c>
      <c r="E126" s="34"/>
      <c r="F126" s="34"/>
      <c r="G126" s="34"/>
      <c r="H126" s="34"/>
      <c r="I126" s="34"/>
      <c r="J126" s="36"/>
      <c r="K126" s="36"/>
      <c r="L126" s="35"/>
      <c r="M126" s="35"/>
      <c r="N126" s="158"/>
      <c r="O126" s="350"/>
      <c r="P126" s="2"/>
      <c r="Q126" s="2"/>
      <c r="R126" s="2"/>
      <c r="S126" s="2"/>
      <c r="T126" s="2"/>
      <c r="U126" s="2"/>
      <c r="V126" s="2"/>
      <c r="W126" s="2"/>
    </row>
    <row r="127" spans="1:23" ht="17.399999999999999" customHeight="1">
      <c r="A127" s="211"/>
      <c r="B127" s="212"/>
      <c r="C127" s="62" t="s">
        <v>56</v>
      </c>
      <c r="D127" s="29">
        <f>D125*100/930</f>
        <v>26.941298994103366</v>
      </c>
      <c r="E127" s="34"/>
      <c r="F127" s="34"/>
      <c r="G127" s="34"/>
      <c r="H127" s="34"/>
      <c r="I127" s="34"/>
      <c r="J127" s="36"/>
      <c r="K127" s="36"/>
      <c r="L127" s="35"/>
      <c r="M127" s="35"/>
      <c r="N127" s="158"/>
      <c r="O127" s="350"/>
      <c r="P127" s="2"/>
      <c r="Q127" s="2"/>
      <c r="R127" s="2"/>
      <c r="S127" s="2"/>
      <c r="T127" s="2"/>
      <c r="U127" s="2"/>
      <c r="V127" s="2"/>
      <c r="W127" s="2"/>
    </row>
    <row r="128" spans="1:23" ht="17.399999999999999" customHeight="1">
      <c r="A128" s="213" t="s">
        <v>37</v>
      </c>
      <c r="B128" s="213"/>
      <c r="C128" s="54"/>
      <c r="D128" s="55"/>
      <c r="E128" s="55"/>
      <c r="F128" s="55"/>
      <c r="G128" s="55"/>
      <c r="H128" s="55"/>
      <c r="I128" s="55"/>
      <c r="J128" s="55"/>
      <c r="K128" s="55"/>
      <c r="L128" s="56"/>
      <c r="M128" s="56"/>
      <c r="N128" s="57"/>
      <c r="O128" s="350"/>
      <c r="P128" s="2"/>
      <c r="Q128" s="2"/>
      <c r="R128" s="2"/>
      <c r="S128" s="2"/>
      <c r="T128" s="2"/>
      <c r="U128" s="2"/>
      <c r="V128" s="2"/>
      <c r="W128" s="2"/>
    </row>
    <row r="129" spans="1:23" s="2" customFormat="1" ht="17.399999999999999" customHeight="1">
      <c r="A129" s="119">
        <v>1</v>
      </c>
      <c r="B129" s="140" t="s">
        <v>123</v>
      </c>
      <c r="C129" s="25">
        <f>L129/100*100</f>
        <v>1050</v>
      </c>
      <c r="D129" s="120">
        <f>C129/100*487</f>
        <v>5113.5</v>
      </c>
      <c r="E129" s="27"/>
      <c r="F129" s="27">
        <f>C129/100*19.5</f>
        <v>204.75</v>
      </c>
      <c r="G129" s="27"/>
      <c r="H129" s="27">
        <f>C129/100*23.2</f>
        <v>243.6</v>
      </c>
      <c r="I129" s="27">
        <f>C129/100*46</f>
        <v>483</v>
      </c>
      <c r="J129" s="121">
        <f>C129/100*680</f>
        <v>7140</v>
      </c>
      <c r="K129" s="27">
        <f>C129/100*0.55</f>
        <v>5.7750000000000004</v>
      </c>
      <c r="L129" s="28">
        <v>1050</v>
      </c>
      <c r="M129" s="141">
        <v>260</v>
      </c>
      <c r="N129" s="122">
        <f t="shared" ref="N129" si="11">L129*M129</f>
        <v>273000</v>
      </c>
      <c r="O129" s="162"/>
      <c r="P129" s="3"/>
    </row>
    <row r="130" spans="1:23" ht="19.2" customHeight="1">
      <c r="A130" s="170" t="s">
        <v>0</v>
      </c>
      <c r="B130" s="173" t="s">
        <v>18</v>
      </c>
      <c r="C130" s="176" t="s">
        <v>7</v>
      </c>
      <c r="D130" s="176" t="s">
        <v>8</v>
      </c>
      <c r="E130" s="179" t="s">
        <v>10</v>
      </c>
      <c r="F130" s="180"/>
      <c r="G130" s="179" t="s">
        <v>12</v>
      </c>
      <c r="H130" s="180"/>
      <c r="I130" s="198" t="s">
        <v>15</v>
      </c>
      <c r="J130" s="198" t="s">
        <v>30</v>
      </c>
      <c r="K130" s="198" t="s">
        <v>31</v>
      </c>
      <c r="L130" s="198" t="s">
        <v>16</v>
      </c>
      <c r="M130" s="198" t="s">
        <v>32</v>
      </c>
      <c r="N130" s="170" t="s">
        <v>17</v>
      </c>
      <c r="O130" s="161"/>
    </row>
    <row r="131" spans="1:23" ht="19.2" customHeight="1">
      <c r="A131" s="171"/>
      <c r="B131" s="174"/>
      <c r="C131" s="177"/>
      <c r="D131" s="177"/>
      <c r="E131" s="181"/>
      <c r="F131" s="182"/>
      <c r="G131" s="181"/>
      <c r="H131" s="182"/>
      <c r="I131" s="206"/>
      <c r="J131" s="206"/>
      <c r="K131" s="206"/>
      <c r="L131" s="206"/>
      <c r="M131" s="206"/>
      <c r="N131" s="171"/>
      <c r="O131" s="152"/>
    </row>
    <row r="132" spans="1:23" ht="19.2" customHeight="1">
      <c r="A132" s="171"/>
      <c r="B132" s="174"/>
      <c r="C132" s="177"/>
      <c r="D132" s="177"/>
      <c r="E132" s="198" t="s">
        <v>9</v>
      </c>
      <c r="F132" s="198" t="s">
        <v>11</v>
      </c>
      <c r="G132" s="198" t="s">
        <v>13</v>
      </c>
      <c r="H132" s="198" t="s">
        <v>14</v>
      </c>
      <c r="I132" s="206"/>
      <c r="J132" s="206"/>
      <c r="K132" s="206"/>
      <c r="L132" s="206"/>
      <c r="M132" s="206"/>
      <c r="N132" s="171"/>
      <c r="O132" s="152"/>
    </row>
    <row r="133" spans="1:23" ht="19.2" customHeight="1">
      <c r="A133" s="172"/>
      <c r="B133" s="175"/>
      <c r="C133" s="178"/>
      <c r="D133" s="178"/>
      <c r="E133" s="199"/>
      <c r="F133" s="199"/>
      <c r="G133" s="199"/>
      <c r="H133" s="199"/>
      <c r="I133" s="199"/>
      <c r="J133" s="199"/>
      <c r="K133" s="199"/>
      <c r="L133" s="199"/>
      <c r="M133" s="199"/>
      <c r="N133" s="172"/>
      <c r="O133" s="152"/>
    </row>
    <row r="134" spans="1:23" s="2" customFormat="1" ht="21" customHeight="1">
      <c r="A134" s="23" t="s">
        <v>92</v>
      </c>
      <c r="B134" s="24"/>
      <c r="C134" s="25"/>
      <c r="D134" s="26">
        <f>SUM(D128:D129)</f>
        <v>5113.5</v>
      </c>
      <c r="E134" s="31"/>
      <c r="F134" s="31"/>
      <c r="G134" s="31"/>
      <c r="H134" s="31"/>
      <c r="I134" s="31"/>
      <c r="J134" s="31"/>
      <c r="K134" s="31"/>
      <c r="L134" s="32"/>
      <c r="M134" s="58"/>
      <c r="N134" s="295">
        <f>SUM(N128:N129)</f>
        <v>273000</v>
      </c>
      <c r="O134" s="162"/>
    </row>
    <row r="135" spans="1:23" ht="21" customHeight="1">
      <c r="A135" s="23" t="s">
        <v>6</v>
      </c>
      <c r="B135" s="24"/>
      <c r="C135" s="33"/>
      <c r="D135" s="34">
        <f>D134/C92</f>
        <v>82.475806451612897</v>
      </c>
      <c r="E135" s="34"/>
      <c r="F135" s="34"/>
      <c r="G135" s="34"/>
      <c r="H135" s="34"/>
      <c r="I135" s="34"/>
      <c r="J135" s="34"/>
      <c r="K135" s="34"/>
      <c r="L135" s="35"/>
      <c r="M135" s="18"/>
      <c r="N135" s="296"/>
      <c r="O135" s="350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298" t="s">
        <v>49</v>
      </c>
      <c r="B136" s="210"/>
      <c r="C136" s="322" t="s">
        <v>125</v>
      </c>
      <c r="D136" s="29" t="s">
        <v>47</v>
      </c>
      <c r="E136" s="34"/>
      <c r="F136" s="34"/>
      <c r="G136" s="34"/>
      <c r="H136" s="34"/>
      <c r="I136" s="34"/>
      <c r="J136" s="36"/>
      <c r="K136" s="36"/>
      <c r="L136" s="35"/>
      <c r="M136" s="35"/>
      <c r="N136" s="158"/>
      <c r="O136" s="4"/>
      <c r="P136" s="2"/>
      <c r="Q136" s="2"/>
      <c r="R136" s="2"/>
      <c r="S136" s="2"/>
      <c r="T136" s="2"/>
      <c r="U136" s="2"/>
      <c r="V136" s="2"/>
      <c r="W136" s="2"/>
    </row>
    <row r="137" spans="1:23" ht="21" customHeight="1">
      <c r="A137" s="211"/>
      <c r="B137" s="212"/>
      <c r="C137" s="62" t="s">
        <v>56</v>
      </c>
      <c r="D137" s="29">
        <f>D135*100/930</f>
        <v>8.8683662851196665</v>
      </c>
      <c r="E137" s="34"/>
      <c r="F137" s="34"/>
      <c r="G137" s="34"/>
      <c r="H137" s="34"/>
      <c r="I137" s="34"/>
      <c r="J137" s="36"/>
      <c r="K137" s="36"/>
      <c r="L137" s="35"/>
      <c r="M137" s="35"/>
      <c r="N137" s="158"/>
      <c r="O137" s="4"/>
      <c r="P137" s="2"/>
      <c r="Q137" s="2"/>
      <c r="R137" s="2"/>
      <c r="S137" s="2"/>
      <c r="T137" s="2"/>
      <c r="U137" s="2"/>
      <c r="V137" s="2"/>
      <c r="W137" s="2"/>
    </row>
    <row r="138" spans="1:23" ht="21" customHeight="1">
      <c r="A138" s="215" t="s">
        <v>93</v>
      </c>
      <c r="B138" s="216"/>
      <c r="C138" s="219"/>
      <c r="D138" s="311">
        <f>D109+D124+D134</f>
        <v>39657.237000000001</v>
      </c>
      <c r="E138" s="6">
        <f>SUM(E98:E129)</f>
        <v>993.07450000000017</v>
      </c>
      <c r="F138" s="6">
        <f>SUM(F98:F129)</f>
        <v>666.62760000000003</v>
      </c>
      <c r="G138" s="96">
        <f>SUM(G98:G128)</f>
        <v>1083.9763</v>
      </c>
      <c r="H138" s="6">
        <f>SUM(H98:H129)</f>
        <v>464.62479999999999</v>
      </c>
      <c r="I138" s="223">
        <f>SUM(I98:I129)</f>
        <v>4615.7191999999995</v>
      </c>
      <c r="J138" s="223">
        <f>SUM(J98:J129)</f>
        <v>12944.742</v>
      </c>
      <c r="K138" s="227">
        <f>SUM(K98:K129)</f>
        <v>33.521160000000002</v>
      </c>
      <c r="L138" s="229"/>
      <c r="M138" s="229"/>
      <c r="N138" s="230">
        <f>N109+N124+N134</f>
        <v>1363900</v>
      </c>
      <c r="P138" s="2"/>
      <c r="Q138" s="2"/>
      <c r="R138" s="2"/>
      <c r="S138" s="2"/>
      <c r="T138" s="2"/>
      <c r="U138" s="2"/>
      <c r="V138" s="2"/>
    </row>
    <row r="139" spans="1:23" ht="21" customHeight="1">
      <c r="A139" s="217"/>
      <c r="B139" s="218"/>
      <c r="C139" s="220"/>
      <c r="D139" s="312"/>
      <c r="E139" s="231">
        <f>E138+F138</f>
        <v>1659.7021000000002</v>
      </c>
      <c r="F139" s="232"/>
      <c r="G139" s="313">
        <f>G138+H138</f>
        <v>1548.6011000000001</v>
      </c>
      <c r="H139" s="314"/>
      <c r="I139" s="224"/>
      <c r="J139" s="224"/>
      <c r="K139" s="228"/>
      <c r="L139" s="229"/>
      <c r="M139" s="229"/>
      <c r="N139" s="230"/>
      <c r="U139" s="11"/>
      <c r="V139" s="11"/>
    </row>
    <row r="140" spans="1:23" ht="21" customHeight="1">
      <c r="A140" s="271" t="s">
        <v>73</v>
      </c>
      <c r="B140" s="272"/>
      <c r="C140" s="273"/>
      <c r="D140" s="103">
        <f>D138/C92</f>
        <v>639.6328548387097</v>
      </c>
      <c r="E140" s="108">
        <f>E138/C92</f>
        <v>16.017330645161294</v>
      </c>
      <c r="F140" s="107">
        <f>F138/C92</f>
        <v>10.752058064516129</v>
      </c>
      <c r="G140" s="108">
        <f>G138/C92</f>
        <v>17.48348870967742</v>
      </c>
      <c r="H140" s="107">
        <f>H138/C92</f>
        <v>7.4939483870967738</v>
      </c>
      <c r="I140" s="241">
        <f>I138/C92</f>
        <v>74.447083870967731</v>
      </c>
      <c r="J140" s="241">
        <f>J138/C92</f>
        <v>208.78616129032258</v>
      </c>
      <c r="K140" s="241">
        <f>K138/C92</f>
        <v>0.54066387096774193</v>
      </c>
      <c r="L140" s="229"/>
      <c r="M140" s="229"/>
      <c r="N140" s="230"/>
      <c r="U140" s="11"/>
      <c r="V140" s="11"/>
    </row>
    <row r="141" spans="1:23" ht="21" customHeight="1">
      <c r="A141" s="274"/>
      <c r="B141" s="275"/>
      <c r="C141" s="276"/>
      <c r="D141" s="97"/>
      <c r="E141" s="302">
        <f>E140+F140</f>
        <v>26.769388709677422</v>
      </c>
      <c r="F141" s="301"/>
      <c r="G141" s="302">
        <f>G140+H140</f>
        <v>24.977437096774196</v>
      </c>
      <c r="H141" s="301"/>
      <c r="I141" s="242"/>
      <c r="J141" s="242"/>
      <c r="K141" s="242"/>
      <c r="L141" s="229"/>
      <c r="M141" s="229"/>
      <c r="N141" s="230"/>
      <c r="P141" s="333"/>
      <c r="Q141" s="334"/>
      <c r="R141" s="334"/>
      <c r="S141" s="334"/>
      <c r="T141" s="334"/>
      <c r="U141" s="335"/>
      <c r="V141" s="335"/>
    </row>
    <row r="142" spans="1:23" ht="21" customHeight="1">
      <c r="A142" s="323" t="s">
        <v>74</v>
      </c>
      <c r="B142" s="324"/>
      <c r="C142" s="325"/>
      <c r="D142" s="326" t="s">
        <v>26</v>
      </c>
      <c r="E142" s="332" t="s">
        <v>22</v>
      </c>
      <c r="F142" s="332"/>
      <c r="G142" s="332" t="s">
        <v>23</v>
      </c>
      <c r="H142" s="332"/>
      <c r="I142" s="326" t="s">
        <v>24</v>
      </c>
      <c r="J142" s="153">
        <v>500</v>
      </c>
      <c r="K142" s="153">
        <v>0.59</v>
      </c>
      <c r="L142" s="229"/>
      <c r="M142" s="229"/>
      <c r="N142" s="230"/>
      <c r="O142" s="166"/>
      <c r="P142" s="336"/>
      <c r="Q142" s="334"/>
      <c r="R142" s="334"/>
      <c r="S142" s="337"/>
      <c r="T142" s="337"/>
      <c r="U142" s="334"/>
      <c r="V142" s="334"/>
    </row>
    <row r="143" spans="1:23" ht="21" customHeight="1">
      <c r="A143" s="246" t="s">
        <v>67</v>
      </c>
      <c r="B143" s="247"/>
      <c r="C143" s="248"/>
      <c r="D143" s="19"/>
      <c r="E143" s="249">
        <f>E141*4.1</f>
        <v>109.75449370967742</v>
      </c>
      <c r="F143" s="250"/>
      <c r="G143" s="249">
        <f>G141*9</f>
        <v>224.79693387096776</v>
      </c>
      <c r="H143" s="250"/>
      <c r="I143" s="68">
        <f>I140*4.1</f>
        <v>305.23304387096766</v>
      </c>
      <c r="J143" s="251"/>
      <c r="K143" s="251"/>
      <c r="L143" s="229"/>
      <c r="M143" s="229"/>
      <c r="N143" s="230"/>
      <c r="O143" s="166"/>
      <c r="P143" s="338"/>
      <c r="Q143" s="339"/>
      <c r="R143" s="339"/>
      <c r="S143" s="339"/>
      <c r="T143" s="333"/>
      <c r="U143" s="333"/>
      <c r="V143" s="333"/>
    </row>
    <row r="144" spans="1:23" ht="21" customHeight="1">
      <c r="A144" s="254" t="s">
        <v>75</v>
      </c>
      <c r="B144" s="255"/>
      <c r="C144" s="246" t="s">
        <v>56</v>
      </c>
      <c r="D144" s="248"/>
      <c r="E144" s="282">
        <f>E143*100/D140</f>
        <v>17.158983138437002</v>
      </c>
      <c r="F144" s="283"/>
      <c r="G144" s="282">
        <f>G143*100/D140</f>
        <v>35.144682167343127</v>
      </c>
      <c r="H144" s="283"/>
      <c r="I144" s="86">
        <f>I143*100/D140</f>
        <v>47.720038387949202</v>
      </c>
      <c r="J144" s="252"/>
      <c r="K144" s="252"/>
      <c r="L144" s="229"/>
      <c r="M144" s="229"/>
      <c r="N144" s="230"/>
      <c r="O144" s="166"/>
      <c r="P144" s="333"/>
      <c r="Q144" s="340"/>
      <c r="R144" s="333"/>
      <c r="S144" s="333"/>
      <c r="T144" s="333"/>
      <c r="U144" s="333"/>
      <c r="V144" s="333"/>
    </row>
    <row r="145" spans="1:16" ht="21" customHeight="1">
      <c r="A145" s="256"/>
      <c r="B145" s="257"/>
      <c r="C145" s="246" t="s">
        <v>69</v>
      </c>
      <c r="D145" s="248"/>
      <c r="E145" s="246" t="s">
        <v>70</v>
      </c>
      <c r="F145" s="248"/>
      <c r="G145" s="246" t="s">
        <v>76</v>
      </c>
      <c r="H145" s="248"/>
      <c r="I145" s="326" t="s">
        <v>77</v>
      </c>
      <c r="J145" s="253"/>
      <c r="K145" s="253"/>
      <c r="L145" s="229"/>
      <c r="M145" s="229"/>
      <c r="N145" s="230"/>
      <c r="O145" s="166"/>
      <c r="P145" s="84"/>
    </row>
    <row r="146" spans="1:16" ht="21" customHeight="1">
      <c r="A146" s="70"/>
      <c r="B146" s="71"/>
      <c r="C146" s="70"/>
      <c r="D146" s="70"/>
      <c r="E146" s="70"/>
      <c r="F146" s="70"/>
      <c r="G146" s="70"/>
      <c r="H146" s="70"/>
      <c r="I146" s="70"/>
      <c r="J146" s="70"/>
      <c r="K146" s="70"/>
      <c r="L146" s="72"/>
      <c r="M146" s="72"/>
      <c r="N146" s="73"/>
      <c r="O146" s="166"/>
    </row>
    <row r="147" spans="1:16" ht="21" customHeight="1">
      <c r="A147" s="243" t="s">
        <v>94</v>
      </c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166"/>
    </row>
    <row r="148" spans="1:16" ht="21" customHeight="1">
      <c r="A148" s="87" t="s">
        <v>95</v>
      </c>
      <c r="B148" s="244" t="s">
        <v>96</v>
      </c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166"/>
    </row>
    <row r="149" spans="1:16" ht="21" customHeight="1">
      <c r="A149" s="88"/>
      <c r="B149" s="245" t="s">
        <v>187</v>
      </c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166"/>
    </row>
    <row r="150" spans="1:16" ht="21" customHeight="1">
      <c r="A150" s="88"/>
      <c r="B150" s="245" t="s">
        <v>188</v>
      </c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166"/>
    </row>
    <row r="151" spans="1:16" ht="21" customHeight="1">
      <c r="A151" s="88"/>
      <c r="B151" s="245" t="s">
        <v>183</v>
      </c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166"/>
    </row>
    <row r="152" spans="1:16" ht="21" customHeight="1">
      <c r="A152" s="70"/>
      <c r="B152" s="260" t="s">
        <v>107</v>
      </c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166"/>
    </row>
    <row r="153" spans="1:16" ht="21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89"/>
      <c r="M153" s="89"/>
      <c r="N153" s="90"/>
      <c r="O153" s="166"/>
    </row>
    <row r="154" spans="1:16" ht="21" customHeight="1">
      <c r="A154" s="261" t="s">
        <v>58</v>
      </c>
      <c r="B154" s="261"/>
      <c r="C154" s="261"/>
      <c r="D154" s="261"/>
      <c r="E154" s="328"/>
      <c r="F154" s="328"/>
      <c r="G154" s="328"/>
      <c r="H154" s="328"/>
      <c r="I154" s="328"/>
      <c r="J154" s="329" t="s">
        <v>34</v>
      </c>
      <c r="K154" s="329"/>
      <c r="L154" s="329"/>
      <c r="M154" s="329"/>
      <c r="N154" s="329"/>
      <c r="O154" s="166"/>
    </row>
    <row r="155" spans="1:16" ht="21" customHeight="1">
      <c r="A155" s="152"/>
      <c r="B155" s="152"/>
      <c r="C155" s="152"/>
      <c r="D155" s="328"/>
      <c r="E155" s="328"/>
      <c r="F155" s="328"/>
      <c r="G155" s="328"/>
      <c r="H155" s="330"/>
      <c r="I155" s="330"/>
      <c r="J155" s="330"/>
      <c r="K155" s="330"/>
      <c r="L155" s="330"/>
      <c r="M155" s="330"/>
      <c r="N155" s="330"/>
      <c r="O155" s="166"/>
    </row>
    <row r="156" spans="1:16" ht="21" customHeight="1">
      <c r="A156" s="152"/>
      <c r="B156" s="152"/>
      <c r="C156" s="152"/>
      <c r="D156" s="328"/>
      <c r="E156" s="328"/>
      <c r="F156" s="328"/>
      <c r="G156" s="328"/>
      <c r="H156" s="330"/>
      <c r="I156" s="330"/>
      <c r="J156" s="330"/>
      <c r="K156" s="330"/>
      <c r="L156" s="330"/>
      <c r="M156" s="330"/>
      <c r="N156" s="330"/>
      <c r="O156" s="166"/>
    </row>
    <row r="157" spans="1:16" ht="21" customHeight="1">
      <c r="A157" s="152"/>
      <c r="B157" s="152"/>
      <c r="C157" s="152"/>
      <c r="D157" s="328"/>
      <c r="E157" s="328"/>
      <c r="F157" s="328"/>
      <c r="G157" s="328"/>
      <c r="H157" s="330"/>
      <c r="I157" s="330"/>
      <c r="J157" s="331" t="s">
        <v>97</v>
      </c>
      <c r="K157" s="331"/>
      <c r="L157" s="331"/>
      <c r="M157" s="331"/>
      <c r="N157" s="331"/>
      <c r="O157" s="166"/>
    </row>
    <row r="158" spans="1:16" ht="21" customHeight="1">
      <c r="A158" s="262" t="s">
        <v>82</v>
      </c>
      <c r="B158" s="262"/>
      <c r="C158" s="262"/>
      <c r="D158" s="262"/>
      <c r="E158" s="328"/>
      <c r="F158" s="328"/>
      <c r="G158" s="328"/>
      <c r="H158" s="330"/>
      <c r="I158" s="330"/>
      <c r="J158" s="331"/>
      <c r="K158" s="331"/>
      <c r="L158" s="331"/>
      <c r="M158" s="331"/>
      <c r="N158" s="331"/>
      <c r="O158" s="166"/>
    </row>
    <row r="159" spans="1:16" ht="21" customHeight="1">
      <c r="J159" s="330"/>
      <c r="K159" s="330"/>
      <c r="L159" s="330"/>
      <c r="M159" s="330"/>
      <c r="N159" s="330"/>
    </row>
    <row r="160" spans="1:16" ht="21" customHeight="1">
      <c r="J160" s="331" t="s">
        <v>108</v>
      </c>
      <c r="K160" s="331"/>
      <c r="L160" s="331"/>
      <c r="M160" s="331"/>
      <c r="N160" s="331"/>
    </row>
  </sheetData>
  <mergeCells count="208">
    <mergeCell ref="A89:D89"/>
    <mergeCell ref="J89:N89"/>
    <mergeCell ref="C57:D57"/>
    <mergeCell ref="N28:N29"/>
    <mergeCell ref="B152:N152"/>
    <mergeCell ref="A154:D154"/>
    <mergeCell ref="J154:N154"/>
    <mergeCell ref="A158:D158"/>
    <mergeCell ref="J158:N158"/>
    <mergeCell ref="L42:L45"/>
    <mergeCell ref="M42:M45"/>
    <mergeCell ref="N42:N45"/>
    <mergeCell ref="E44:E45"/>
    <mergeCell ref="F44:F45"/>
    <mergeCell ref="G44:G45"/>
    <mergeCell ref="H44:H45"/>
    <mergeCell ref="A42:A45"/>
    <mergeCell ref="B42:B45"/>
    <mergeCell ref="C42:C45"/>
    <mergeCell ref="D42:D45"/>
    <mergeCell ref="E42:F43"/>
    <mergeCell ref="G42:H43"/>
    <mergeCell ref="I42:I45"/>
    <mergeCell ref="J42:J45"/>
    <mergeCell ref="J73:N73"/>
    <mergeCell ref="E54:F54"/>
    <mergeCell ref="F1:N1"/>
    <mergeCell ref="Q53:R53"/>
    <mergeCell ref="S53:T53"/>
    <mergeCell ref="Q54:R54"/>
    <mergeCell ref="S54:T54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J11:J14"/>
    <mergeCell ref="A5:D5"/>
    <mergeCell ref="E5:N5"/>
    <mergeCell ref="U53:V53"/>
    <mergeCell ref="U54:V54"/>
    <mergeCell ref="A30:B31"/>
    <mergeCell ref="A32:B32"/>
    <mergeCell ref="N46:N47"/>
    <mergeCell ref="A48:B49"/>
    <mergeCell ref="A50:B51"/>
    <mergeCell ref="C50:C51"/>
    <mergeCell ref="D50:D51"/>
    <mergeCell ref="G54:H54"/>
    <mergeCell ref="L50:L57"/>
    <mergeCell ref="M50:M57"/>
    <mergeCell ref="N50:N57"/>
    <mergeCell ref="E51:F51"/>
    <mergeCell ref="G51:H51"/>
    <mergeCell ref="I52:I53"/>
    <mergeCell ref="E53:F53"/>
    <mergeCell ref="G53:H53"/>
    <mergeCell ref="J50:J51"/>
    <mergeCell ref="K42:K45"/>
    <mergeCell ref="F95:F96"/>
    <mergeCell ref="K52:K53"/>
    <mergeCell ref="H95:H96"/>
    <mergeCell ref="A97:N97"/>
    <mergeCell ref="N109:N110"/>
    <mergeCell ref="A93:A96"/>
    <mergeCell ref="E57:F57"/>
    <mergeCell ref="A54:C54"/>
    <mergeCell ref="A55:C55"/>
    <mergeCell ref="E55:F55"/>
    <mergeCell ref="G55:H55"/>
    <mergeCell ref="J55:J57"/>
    <mergeCell ref="K55:K57"/>
    <mergeCell ref="A56:B57"/>
    <mergeCell ref="C56:D56"/>
    <mergeCell ref="I93:I96"/>
    <mergeCell ref="G57:H57"/>
    <mergeCell ref="E93:F94"/>
    <mergeCell ref="G93:H94"/>
    <mergeCell ref="J69:N69"/>
    <mergeCell ref="J72:N72"/>
    <mergeCell ref="G56:H56"/>
    <mergeCell ref="E56:F56"/>
    <mergeCell ref="A73:D73"/>
    <mergeCell ref="A6:D6"/>
    <mergeCell ref="A7:D7"/>
    <mergeCell ref="A8:D8"/>
    <mergeCell ref="A9:D9"/>
    <mergeCell ref="E6:I9"/>
    <mergeCell ref="J6:N9"/>
    <mergeCell ref="A52:C53"/>
    <mergeCell ref="K50:K51"/>
    <mergeCell ref="J52:J53"/>
    <mergeCell ref="K11:K14"/>
    <mergeCell ref="M11:M14"/>
    <mergeCell ref="I50:I51"/>
    <mergeCell ref="K130:K133"/>
    <mergeCell ref="L130:L133"/>
    <mergeCell ref="M130:M133"/>
    <mergeCell ref="N130:N133"/>
    <mergeCell ref="A111:B112"/>
    <mergeCell ref="A113:B113"/>
    <mergeCell ref="F82:N82"/>
    <mergeCell ref="E87:I87"/>
    <mergeCell ref="J87:N87"/>
    <mergeCell ref="A88:D88"/>
    <mergeCell ref="E88:I91"/>
    <mergeCell ref="J88:N88"/>
    <mergeCell ref="A90:D90"/>
    <mergeCell ref="J90:N90"/>
    <mergeCell ref="A91:D91"/>
    <mergeCell ref="J91:N91"/>
    <mergeCell ref="A86:D87"/>
    <mergeCell ref="E86:N86"/>
    <mergeCell ref="L93:L96"/>
    <mergeCell ref="M93:M96"/>
    <mergeCell ref="N93:N96"/>
    <mergeCell ref="E95:E96"/>
    <mergeCell ref="C93:C96"/>
    <mergeCell ref="D93:D96"/>
    <mergeCell ref="A128:B128"/>
    <mergeCell ref="A130:A133"/>
    <mergeCell ref="B130:B133"/>
    <mergeCell ref="C130:C133"/>
    <mergeCell ref="D130:D133"/>
    <mergeCell ref="E130:F131"/>
    <mergeCell ref="G130:H131"/>
    <mergeCell ref="I130:I133"/>
    <mergeCell ref="E132:E133"/>
    <mergeCell ref="F132:F133"/>
    <mergeCell ref="G132:G133"/>
    <mergeCell ref="H132:H133"/>
    <mergeCell ref="J130:J133"/>
    <mergeCell ref="S141:T141"/>
    <mergeCell ref="U141:V141"/>
    <mergeCell ref="A142:C142"/>
    <mergeCell ref="E142:F142"/>
    <mergeCell ref="G142:H142"/>
    <mergeCell ref="Q142:R142"/>
    <mergeCell ref="S142:T142"/>
    <mergeCell ref="U142:V142"/>
    <mergeCell ref="L138:L145"/>
    <mergeCell ref="M138:M145"/>
    <mergeCell ref="N138:N145"/>
    <mergeCell ref="E139:F139"/>
    <mergeCell ref="G139:H139"/>
    <mergeCell ref="A140:C141"/>
    <mergeCell ref="I140:I141"/>
    <mergeCell ref="J140:J141"/>
    <mergeCell ref="K140:K141"/>
    <mergeCell ref="E141:F141"/>
    <mergeCell ref="G141:H141"/>
    <mergeCell ref="A143:C143"/>
    <mergeCell ref="E143:F143"/>
    <mergeCell ref="G143:H143"/>
    <mergeCell ref="Q141:R141"/>
    <mergeCell ref="B149:N149"/>
    <mergeCell ref="B150:N150"/>
    <mergeCell ref="B151:N151"/>
    <mergeCell ref="N134:N135"/>
    <mergeCell ref="A136:B137"/>
    <mergeCell ref="A138:B139"/>
    <mergeCell ref="C138:C139"/>
    <mergeCell ref="D138:D139"/>
    <mergeCell ref="I138:I139"/>
    <mergeCell ref="J138:J139"/>
    <mergeCell ref="K138:K139"/>
    <mergeCell ref="J143:J145"/>
    <mergeCell ref="K143:K145"/>
    <mergeCell ref="A144:B145"/>
    <mergeCell ref="C144:D144"/>
    <mergeCell ref="E144:F144"/>
    <mergeCell ref="G144:H144"/>
    <mergeCell ref="C145:D145"/>
    <mergeCell ref="E145:F145"/>
    <mergeCell ref="G145:H145"/>
    <mergeCell ref="J157:N157"/>
    <mergeCell ref="J160:N160"/>
    <mergeCell ref="J93:J96"/>
    <mergeCell ref="K93:K96"/>
    <mergeCell ref="N124:N125"/>
    <mergeCell ref="A126:B127"/>
    <mergeCell ref="A10:B10"/>
    <mergeCell ref="C10:D10"/>
    <mergeCell ref="A92:B92"/>
    <mergeCell ref="C92:D92"/>
    <mergeCell ref="A59:N59"/>
    <mergeCell ref="B60:N60"/>
    <mergeCell ref="B61:N61"/>
    <mergeCell ref="B62:N62"/>
    <mergeCell ref="B63:N63"/>
    <mergeCell ref="B64:N64"/>
    <mergeCell ref="A66:D66"/>
    <mergeCell ref="J66:N66"/>
    <mergeCell ref="A70:D70"/>
    <mergeCell ref="J70:N70"/>
    <mergeCell ref="G95:G96"/>
    <mergeCell ref="B93:B96"/>
    <mergeCell ref="A147:N147"/>
    <mergeCell ref="B148:N148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55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2.88671875" style="1" customWidth="1"/>
    <col min="3" max="3" width="7.44140625" style="1" customWidth="1"/>
    <col min="4" max="4" width="8.109375" style="1" customWidth="1"/>
    <col min="5" max="8" width="7" style="1" customWidth="1"/>
    <col min="9" max="10" width="7.5546875" style="1" customWidth="1"/>
    <col min="11" max="11" width="6.44140625" style="1" customWidth="1"/>
    <col min="12" max="13" width="5.6640625" style="1" customWidth="1"/>
    <col min="14" max="14" width="7.77734375" style="1" customWidth="1"/>
    <col min="15" max="15" width="11.88671875" style="1" customWidth="1"/>
    <col min="16" max="16" width="9.109375" style="1"/>
    <col min="17" max="22" width="8.44140625" style="1" customWidth="1"/>
    <col min="23" max="16384" width="9.109375" style="1"/>
  </cols>
  <sheetData>
    <row r="1" spans="1:20" ht="22.2" customHeight="1">
      <c r="A1" s="10" t="s">
        <v>57</v>
      </c>
      <c r="B1" s="7"/>
      <c r="C1" s="7"/>
      <c r="D1" s="7"/>
      <c r="E1" s="7"/>
      <c r="F1" s="183" t="s">
        <v>28</v>
      </c>
      <c r="G1" s="183"/>
      <c r="H1" s="183"/>
      <c r="I1" s="183"/>
      <c r="J1" s="183"/>
      <c r="K1" s="183"/>
      <c r="L1" s="183"/>
      <c r="M1" s="183"/>
      <c r="N1" s="183"/>
      <c r="O1" s="159"/>
      <c r="P1" s="159"/>
      <c r="T1" s="2"/>
    </row>
    <row r="2" spans="1:20" ht="11.4" customHeight="1">
      <c r="A2" s="10"/>
      <c r="B2" s="7"/>
      <c r="C2" s="7"/>
      <c r="D2" s="7"/>
      <c r="E2" s="7"/>
      <c r="F2" s="155"/>
      <c r="G2" s="155"/>
      <c r="H2" s="155"/>
      <c r="I2" s="155"/>
      <c r="J2" s="155"/>
      <c r="K2" s="155"/>
      <c r="L2" s="155"/>
      <c r="M2" s="155"/>
      <c r="N2" s="155"/>
      <c r="O2" s="159"/>
      <c r="P2" s="159"/>
      <c r="T2" s="2"/>
    </row>
    <row r="3" spans="1:20" ht="22.2" customHeight="1">
      <c r="A3" s="7" t="s">
        <v>189</v>
      </c>
      <c r="B3" s="7"/>
      <c r="C3" s="7"/>
      <c r="D3" s="7"/>
      <c r="E3" s="7"/>
      <c r="F3" s="155"/>
      <c r="G3" s="155"/>
      <c r="H3" s="155"/>
      <c r="I3" s="155"/>
      <c r="J3" s="155"/>
      <c r="K3" s="155"/>
      <c r="L3" s="155"/>
      <c r="M3" s="155"/>
      <c r="N3" s="155"/>
      <c r="O3" s="159"/>
      <c r="P3" s="159"/>
      <c r="T3" s="2"/>
    </row>
    <row r="4" spans="1:20" ht="11.4" customHeight="1">
      <c r="A4" s="7"/>
      <c r="B4" s="7"/>
      <c r="C4" s="7"/>
      <c r="D4" s="7"/>
      <c r="E4" s="7"/>
      <c r="F4" s="155"/>
      <c r="G4" s="155"/>
      <c r="H4" s="155"/>
      <c r="I4" s="155"/>
      <c r="J4" s="155"/>
      <c r="K4" s="155"/>
      <c r="L4" s="155"/>
      <c r="M4" s="155"/>
      <c r="N4" s="155"/>
      <c r="O4" s="159"/>
      <c r="P4" s="159"/>
      <c r="T4" s="2"/>
    </row>
    <row r="5" spans="1:20" s="2" customFormat="1" ht="22.2" customHeight="1">
      <c r="A5" s="184" t="s">
        <v>89</v>
      </c>
      <c r="B5" s="184"/>
      <c r="C5" s="184"/>
      <c r="D5" s="184"/>
      <c r="E5" s="184" t="s">
        <v>87</v>
      </c>
      <c r="F5" s="184"/>
      <c r="G5" s="184"/>
      <c r="H5" s="184"/>
      <c r="I5" s="184"/>
      <c r="J5" s="184"/>
      <c r="K5" s="184"/>
      <c r="L5" s="184"/>
      <c r="M5" s="184"/>
      <c r="N5" s="184"/>
      <c r="O5" s="160"/>
    </row>
    <row r="6" spans="1:20" s="2" customFormat="1" ht="22.2" customHeight="1">
      <c r="A6" s="185" t="s">
        <v>81</v>
      </c>
      <c r="B6" s="185"/>
      <c r="C6" s="185"/>
      <c r="D6" s="185"/>
      <c r="E6" s="186" t="s">
        <v>124</v>
      </c>
      <c r="F6" s="186"/>
      <c r="G6" s="186"/>
      <c r="H6" s="186"/>
      <c r="I6" s="186"/>
      <c r="J6" s="187" t="s">
        <v>141</v>
      </c>
      <c r="K6" s="188"/>
      <c r="L6" s="188"/>
      <c r="M6" s="188"/>
      <c r="N6" s="189"/>
      <c r="O6" s="160"/>
    </row>
    <row r="7" spans="1:20" s="2" customFormat="1" ht="22.2" customHeight="1">
      <c r="A7" s="292" t="s">
        <v>122</v>
      </c>
      <c r="B7" s="293"/>
      <c r="C7" s="293"/>
      <c r="D7" s="294"/>
      <c r="E7" s="186"/>
      <c r="F7" s="186"/>
      <c r="G7" s="186"/>
      <c r="H7" s="186"/>
      <c r="I7" s="186"/>
      <c r="J7" s="190"/>
      <c r="K7" s="191"/>
      <c r="L7" s="191"/>
      <c r="M7" s="191"/>
      <c r="N7" s="192"/>
      <c r="O7" s="160"/>
    </row>
    <row r="8" spans="1:20" s="2" customFormat="1" ht="22.2" customHeight="1">
      <c r="A8" s="196" t="s">
        <v>132</v>
      </c>
      <c r="B8" s="196"/>
      <c r="C8" s="196"/>
      <c r="D8" s="196"/>
      <c r="E8" s="186"/>
      <c r="F8" s="186"/>
      <c r="G8" s="186"/>
      <c r="H8" s="186"/>
      <c r="I8" s="186"/>
      <c r="J8" s="190"/>
      <c r="K8" s="191"/>
      <c r="L8" s="191"/>
      <c r="M8" s="191"/>
      <c r="N8" s="192"/>
      <c r="O8" s="160"/>
    </row>
    <row r="9" spans="1:20" s="2" customFormat="1" ht="22.2" customHeight="1">
      <c r="A9" s="197" t="s">
        <v>160</v>
      </c>
      <c r="B9" s="197"/>
      <c r="C9" s="197"/>
      <c r="D9" s="197"/>
      <c r="E9" s="186"/>
      <c r="F9" s="186"/>
      <c r="G9" s="186"/>
      <c r="H9" s="186"/>
      <c r="I9" s="186"/>
      <c r="J9" s="193"/>
      <c r="K9" s="194"/>
      <c r="L9" s="194"/>
      <c r="M9" s="194"/>
      <c r="N9" s="195"/>
      <c r="O9" s="160"/>
    </row>
    <row r="10" spans="1:20" ht="22.2" customHeight="1">
      <c r="A10" s="290" t="s">
        <v>104</v>
      </c>
      <c r="B10" s="290"/>
      <c r="C10" s="288">
        <v>232</v>
      </c>
      <c r="D10" s="288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9"/>
      <c r="P10" s="159"/>
      <c r="T10" s="2"/>
    </row>
    <row r="11" spans="1:20" ht="22.2" customHeight="1">
      <c r="A11" s="170" t="s">
        <v>0</v>
      </c>
      <c r="B11" s="173" t="s">
        <v>18</v>
      </c>
      <c r="C11" s="176" t="s">
        <v>7</v>
      </c>
      <c r="D11" s="176" t="s">
        <v>8</v>
      </c>
      <c r="E11" s="315" t="s">
        <v>10</v>
      </c>
      <c r="F11" s="316"/>
      <c r="G11" s="315" t="s">
        <v>12</v>
      </c>
      <c r="H11" s="316"/>
      <c r="I11" s="198" t="s">
        <v>15</v>
      </c>
      <c r="J11" s="198" t="s">
        <v>30</v>
      </c>
      <c r="K11" s="198" t="s">
        <v>31</v>
      </c>
      <c r="L11" s="198" t="s">
        <v>16</v>
      </c>
      <c r="M11" s="198" t="s">
        <v>32</v>
      </c>
      <c r="N11" s="170" t="s">
        <v>17</v>
      </c>
      <c r="O11" s="161"/>
    </row>
    <row r="12" spans="1:20" ht="22.2" customHeight="1">
      <c r="A12" s="171"/>
      <c r="B12" s="174"/>
      <c r="C12" s="177"/>
      <c r="D12" s="177"/>
      <c r="E12" s="317"/>
      <c r="F12" s="318"/>
      <c r="G12" s="317"/>
      <c r="H12" s="318"/>
      <c r="I12" s="206"/>
      <c r="J12" s="206"/>
      <c r="K12" s="206"/>
      <c r="L12" s="206"/>
      <c r="M12" s="206"/>
      <c r="N12" s="171"/>
      <c r="O12" s="152"/>
    </row>
    <row r="13" spans="1:20" ht="22.2" customHeight="1">
      <c r="A13" s="171"/>
      <c r="B13" s="174"/>
      <c r="C13" s="177"/>
      <c r="D13" s="177"/>
      <c r="E13" s="198" t="s">
        <v>9</v>
      </c>
      <c r="F13" s="198" t="s">
        <v>11</v>
      </c>
      <c r="G13" s="198" t="s">
        <v>13</v>
      </c>
      <c r="H13" s="198" t="s">
        <v>14</v>
      </c>
      <c r="I13" s="206"/>
      <c r="J13" s="206"/>
      <c r="K13" s="206"/>
      <c r="L13" s="206"/>
      <c r="M13" s="206"/>
      <c r="N13" s="171"/>
      <c r="O13" s="152"/>
    </row>
    <row r="14" spans="1:20" ht="22.2" customHeight="1">
      <c r="A14" s="172"/>
      <c r="B14" s="175"/>
      <c r="C14" s="178"/>
      <c r="D14" s="178"/>
      <c r="E14" s="199"/>
      <c r="F14" s="199"/>
      <c r="G14" s="199"/>
      <c r="H14" s="199"/>
      <c r="I14" s="199"/>
      <c r="J14" s="199"/>
      <c r="K14" s="199"/>
      <c r="L14" s="199"/>
      <c r="M14" s="199"/>
      <c r="N14" s="172"/>
      <c r="O14" s="152"/>
    </row>
    <row r="15" spans="1:20" ht="22.2" customHeight="1">
      <c r="A15" s="203" t="s">
        <v>33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5"/>
      <c r="O15" s="152"/>
    </row>
    <row r="16" spans="1:20" s="2" customFormat="1" ht="22.2" customHeight="1">
      <c r="A16" s="8">
        <v>1</v>
      </c>
      <c r="B16" s="9" t="s">
        <v>2</v>
      </c>
      <c r="C16" s="12">
        <f>L16/100*100</f>
        <v>310</v>
      </c>
      <c r="D16" s="13">
        <f>C16/100*60</f>
        <v>186</v>
      </c>
      <c r="E16" s="14">
        <f>C16/100*15</f>
        <v>46.5</v>
      </c>
      <c r="F16" s="14"/>
      <c r="G16" s="14"/>
      <c r="H16" s="14"/>
      <c r="I16" s="14"/>
      <c r="J16" s="64">
        <f>C16/100*387</f>
        <v>1199.7</v>
      </c>
      <c r="K16" s="22">
        <f>C16/100*0.09</f>
        <v>0.27899999999999997</v>
      </c>
      <c r="L16" s="15">
        <v>310</v>
      </c>
      <c r="M16" s="20">
        <v>20</v>
      </c>
      <c r="N16" s="16">
        <f>L16*M16</f>
        <v>6200</v>
      </c>
      <c r="O16" s="162"/>
    </row>
    <row r="17" spans="1:20" s="2" customFormat="1" ht="18" customHeight="1">
      <c r="A17" s="8">
        <v>2</v>
      </c>
      <c r="B17" s="128" t="s">
        <v>118</v>
      </c>
      <c r="C17" s="12">
        <f t="shared" ref="C17" si="0">L17/100*100</f>
        <v>260</v>
      </c>
      <c r="D17" s="65">
        <f>C17/100*900</f>
        <v>2340</v>
      </c>
      <c r="E17" s="14"/>
      <c r="F17" s="14"/>
      <c r="G17" s="91"/>
      <c r="H17" s="14">
        <f>C17/100*100</f>
        <v>260</v>
      </c>
      <c r="I17" s="14"/>
      <c r="J17" s="14"/>
      <c r="K17" s="14"/>
      <c r="L17" s="111">
        <v>260</v>
      </c>
      <c r="M17" s="65">
        <v>65</v>
      </c>
      <c r="N17" s="93">
        <f t="shared" ref="N17" si="1">L17*M17</f>
        <v>16900</v>
      </c>
      <c r="O17" s="163"/>
    </row>
    <row r="18" spans="1:20" s="2" customFormat="1" ht="22.2" customHeight="1">
      <c r="A18" s="8">
        <v>3</v>
      </c>
      <c r="B18" s="5" t="s">
        <v>1</v>
      </c>
      <c r="C18" s="12">
        <f>L18/100*100</f>
        <v>22040</v>
      </c>
      <c r="D18" s="65">
        <f>C18/100*338</f>
        <v>74495.199999999997</v>
      </c>
      <c r="E18" s="14"/>
      <c r="F18" s="91">
        <f>C18/100*7.9</f>
        <v>1741.16</v>
      </c>
      <c r="G18" s="14"/>
      <c r="H18" s="14">
        <f>C18/100*1</f>
        <v>220.4</v>
      </c>
      <c r="I18" s="91">
        <f>C18/100*78.9</f>
        <v>17389.560000000001</v>
      </c>
      <c r="J18" s="64">
        <f>C18/100*30</f>
        <v>6612</v>
      </c>
      <c r="K18" s="22">
        <f>C18/100*0.1</f>
        <v>22.040000000000003</v>
      </c>
      <c r="L18" s="341">
        <v>22040</v>
      </c>
      <c r="M18" s="20">
        <v>18</v>
      </c>
      <c r="N18" s="16">
        <f t="shared" ref="N18:N25" si="2">L18*M18</f>
        <v>396720</v>
      </c>
      <c r="O18" s="162"/>
    </row>
    <row r="19" spans="1:20" s="2" customFormat="1" ht="20.399999999999999" customHeight="1">
      <c r="A19" s="8">
        <v>4</v>
      </c>
      <c r="B19" s="9" t="s">
        <v>112</v>
      </c>
      <c r="C19" s="12">
        <f>L19/100*100</f>
        <v>1720</v>
      </c>
      <c r="D19" s="13">
        <f>C19/100*53</f>
        <v>911.59999999999991</v>
      </c>
      <c r="E19" s="14"/>
      <c r="F19" s="14">
        <f>C19/100*6.3</f>
        <v>108.36</v>
      </c>
      <c r="G19" s="14"/>
      <c r="H19" s="14">
        <f>C19/100*0.04</f>
        <v>0.68799999999999994</v>
      </c>
      <c r="I19" s="14">
        <f>C19/100*6.8</f>
        <v>116.96</v>
      </c>
      <c r="J19" s="22">
        <f>C19/100*19</f>
        <v>326.8</v>
      </c>
      <c r="K19" s="22">
        <f>C19/100*0.03</f>
        <v>0.51600000000000001</v>
      </c>
      <c r="L19" s="111">
        <v>1720</v>
      </c>
      <c r="M19" s="20">
        <v>45</v>
      </c>
      <c r="N19" s="16">
        <f t="shared" si="2"/>
        <v>77400</v>
      </c>
      <c r="O19" s="342"/>
    </row>
    <row r="20" spans="1:20" s="2" customFormat="1" ht="19.2" customHeight="1">
      <c r="A20" s="8">
        <v>5</v>
      </c>
      <c r="B20" s="9" t="s">
        <v>121</v>
      </c>
      <c r="C20" s="12">
        <f>L20/100*90</f>
        <v>216</v>
      </c>
      <c r="D20" s="13">
        <f>C20/100*281</f>
        <v>606.96</v>
      </c>
      <c r="E20" s="14"/>
      <c r="F20" s="14">
        <f>C20/100*9.5</f>
        <v>20.520000000000003</v>
      </c>
      <c r="G20" s="14"/>
      <c r="H20" s="14">
        <f>C20/100*0.2</f>
        <v>0.43200000000000005</v>
      </c>
      <c r="I20" s="14">
        <f>D20/100*58.5</f>
        <v>355.07160000000005</v>
      </c>
      <c r="J20" s="22">
        <f>C20/100*321</f>
        <v>693.36</v>
      </c>
      <c r="K20" s="22">
        <f>C20/100*0.14</f>
        <v>0.30240000000000006</v>
      </c>
      <c r="L20" s="111">
        <v>240</v>
      </c>
      <c r="M20" s="43">
        <v>120</v>
      </c>
      <c r="N20" s="16">
        <f t="shared" si="2"/>
        <v>28800</v>
      </c>
      <c r="O20" s="342"/>
    </row>
    <row r="21" spans="1:20" s="2" customFormat="1" ht="22.2" customHeight="1">
      <c r="A21" s="8">
        <v>6</v>
      </c>
      <c r="B21" s="9" t="s">
        <v>65</v>
      </c>
      <c r="C21" s="12">
        <f>L21/100*98</f>
        <v>10564.4</v>
      </c>
      <c r="D21" s="65">
        <f>C21/100*139</f>
        <v>14684.516</v>
      </c>
      <c r="E21" s="91">
        <f>C21/100*21</f>
        <v>2218.5239999999999</v>
      </c>
      <c r="F21" s="14"/>
      <c r="G21" s="14">
        <f>C21/100*7</f>
        <v>739.50799999999992</v>
      </c>
      <c r="H21" s="14"/>
      <c r="I21" s="14"/>
      <c r="J21" s="22">
        <f>C21/100*7</f>
        <v>739.50799999999992</v>
      </c>
      <c r="K21" s="22">
        <f>C21/100*0.9</f>
        <v>95.079599999999999</v>
      </c>
      <c r="L21" s="341">
        <v>10780</v>
      </c>
      <c r="M21" s="42">
        <v>133</v>
      </c>
      <c r="N21" s="92">
        <f t="shared" si="2"/>
        <v>1433740</v>
      </c>
      <c r="O21" s="162"/>
      <c r="P21" s="162"/>
    </row>
    <row r="22" spans="1:20" s="2" customFormat="1" ht="22.2" customHeight="1">
      <c r="A22" s="8">
        <v>7</v>
      </c>
      <c r="B22" s="5" t="s">
        <v>3</v>
      </c>
      <c r="C22" s="12">
        <f>L22/100*48</f>
        <v>5112</v>
      </c>
      <c r="D22" s="65">
        <f>C22/100*199</f>
        <v>10172.879999999999</v>
      </c>
      <c r="E22" s="91">
        <f>C22/100*22.3</f>
        <v>1139.9759999999999</v>
      </c>
      <c r="F22" s="14"/>
      <c r="G22" s="14">
        <f>C22/100*13.1</f>
        <v>669.67199999999991</v>
      </c>
      <c r="H22" s="14"/>
      <c r="I22" s="14"/>
      <c r="J22" s="22">
        <f>C22/100*12</f>
        <v>613.43999999999994</v>
      </c>
      <c r="K22" s="22">
        <f>C22/100*0.15</f>
        <v>7.6679999999999993</v>
      </c>
      <c r="L22" s="341">
        <v>10650</v>
      </c>
      <c r="M22" s="15">
        <v>84</v>
      </c>
      <c r="N22" s="16">
        <f t="shared" si="2"/>
        <v>894600</v>
      </c>
      <c r="O22" s="162"/>
      <c r="P22" s="162"/>
      <c r="Q22" s="3"/>
      <c r="R22" s="3"/>
      <c r="S22" s="4"/>
    </row>
    <row r="23" spans="1:20" s="2" customFormat="1" ht="20.399999999999999" customHeight="1">
      <c r="A23" s="8">
        <v>8</v>
      </c>
      <c r="B23" s="5" t="s">
        <v>110</v>
      </c>
      <c r="C23" s="12">
        <f>L23/100*100</f>
        <v>240</v>
      </c>
      <c r="D23" s="13">
        <f>C23/100*247</f>
        <v>592.79999999999995</v>
      </c>
      <c r="E23" s="17"/>
      <c r="F23" s="17">
        <f>C23/100*17.5</f>
        <v>42</v>
      </c>
      <c r="G23" s="17"/>
      <c r="H23" s="17">
        <f>C23/100*1.6</f>
        <v>3.84</v>
      </c>
      <c r="I23" s="17">
        <f>C23/100*39.2</f>
        <v>94.08</v>
      </c>
      <c r="J23" s="21"/>
      <c r="K23" s="21"/>
      <c r="L23" s="320">
        <v>240</v>
      </c>
      <c r="M23" s="20">
        <v>50</v>
      </c>
      <c r="N23" s="113">
        <f t="shared" si="2"/>
        <v>12000</v>
      </c>
      <c r="O23" s="162"/>
      <c r="Q23" s="3"/>
      <c r="R23" s="3"/>
      <c r="S23" s="4"/>
      <c r="T23" s="3"/>
    </row>
    <row r="24" spans="1:20" s="118" customFormat="1" ht="19.8" customHeight="1">
      <c r="A24" s="8">
        <v>9</v>
      </c>
      <c r="B24" s="142" t="s">
        <v>135</v>
      </c>
      <c r="C24" s="134">
        <f>L24/100*65</f>
        <v>2886</v>
      </c>
      <c r="D24" s="135">
        <f>C24/100*14</f>
        <v>404.03999999999996</v>
      </c>
      <c r="E24" s="104"/>
      <c r="F24" s="104">
        <f>C24/100*0.6</f>
        <v>17.315999999999999</v>
      </c>
      <c r="G24" s="104"/>
      <c r="H24" s="104">
        <f>C24/100*0.02</f>
        <v>0.57720000000000005</v>
      </c>
      <c r="I24" s="104">
        <f>C24/100*2.9</f>
        <v>83.694000000000003</v>
      </c>
      <c r="J24" s="104">
        <f>C24/100*21</f>
        <v>606.05999999999995</v>
      </c>
      <c r="K24" s="104">
        <f>C24/100*0.03</f>
        <v>0.8657999999999999</v>
      </c>
      <c r="L24" s="111">
        <v>4440</v>
      </c>
      <c r="M24" s="110">
        <v>23</v>
      </c>
      <c r="N24" s="113">
        <f t="shared" si="2"/>
        <v>102120</v>
      </c>
      <c r="O24" s="164"/>
    </row>
    <row r="25" spans="1:20" s="2" customFormat="1" ht="20.399999999999999" customHeight="1">
      <c r="A25" s="8">
        <v>10</v>
      </c>
      <c r="B25" s="5" t="s">
        <v>66</v>
      </c>
      <c r="C25" s="12">
        <f>L25/100*75</f>
        <v>6322.5</v>
      </c>
      <c r="D25" s="13">
        <f>C25/100*12</f>
        <v>758.7</v>
      </c>
      <c r="E25" s="17"/>
      <c r="F25" s="17">
        <f>C25/100*0.6</f>
        <v>37.935000000000002</v>
      </c>
      <c r="G25" s="17"/>
      <c r="H25" s="17"/>
      <c r="I25" s="17">
        <f>C25/100*2.4</f>
        <v>151.74</v>
      </c>
      <c r="J25" s="91">
        <f>C25/100*120</f>
        <v>7587</v>
      </c>
      <c r="K25" s="22">
        <f>C25/100*0.02</f>
        <v>1.2645</v>
      </c>
      <c r="L25" s="321">
        <v>8430</v>
      </c>
      <c r="M25" s="20">
        <v>20</v>
      </c>
      <c r="N25" s="16">
        <f t="shared" si="2"/>
        <v>168600</v>
      </c>
      <c r="O25" s="162"/>
      <c r="P25" s="3"/>
    </row>
    <row r="26" spans="1:20" s="2" customFormat="1" ht="22.2" customHeight="1">
      <c r="A26" s="8">
        <v>11</v>
      </c>
      <c r="B26" s="9" t="s">
        <v>105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18240</v>
      </c>
      <c r="O26" s="162"/>
    </row>
    <row r="27" spans="1:20" s="2" customFormat="1" ht="22.2" customHeight="1">
      <c r="A27" s="23" t="s">
        <v>91</v>
      </c>
      <c r="B27" s="24"/>
      <c r="C27" s="25"/>
      <c r="D27" s="94">
        <f>SUM(D16:D26)</f>
        <v>105152.69600000001</v>
      </c>
      <c r="E27" s="27"/>
      <c r="F27" s="27"/>
      <c r="G27" s="27"/>
      <c r="H27" s="27"/>
      <c r="I27" s="27"/>
      <c r="J27" s="27"/>
      <c r="K27" s="27"/>
      <c r="L27" s="28"/>
      <c r="M27" s="28"/>
      <c r="N27" s="269">
        <f>SUM(N16:N26)</f>
        <v>3155320</v>
      </c>
      <c r="O27" s="162"/>
    </row>
    <row r="28" spans="1:20" s="2" customFormat="1" ht="22.2" customHeight="1">
      <c r="A28" s="23" t="s">
        <v>5</v>
      </c>
      <c r="B28" s="24"/>
      <c r="C28" s="25"/>
      <c r="D28" s="26">
        <f>D27/C10</f>
        <v>453.24437931034487</v>
      </c>
      <c r="E28" s="27"/>
      <c r="F28" s="27"/>
      <c r="G28" s="27"/>
      <c r="H28" s="27"/>
      <c r="I28" s="27"/>
      <c r="J28" s="27"/>
      <c r="K28" s="27"/>
      <c r="L28" s="28"/>
      <c r="M28" s="28"/>
      <c r="N28" s="270"/>
      <c r="O28" s="162"/>
    </row>
    <row r="29" spans="1:20" s="2" customFormat="1" ht="22.2" customHeight="1">
      <c r="A29" s="298" t="s">
        <v>48</v>
      </c>
      <c r="B29" s="210"/>
      <c r="C29" s="322" t="s">
        <v>125</v>
      </c>
      <c r="D29" s="29" t="s">
        <v>36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62"/>
    </row>
    <row r="30" spans="1:20" s="2" customFormat="1" ht="22.2" customHeight="1">
      <c r="A30" s="211"/>
      <c r="B30" s="212"/>
      <c r="C30" s="62" t="s">
        <v>56</v>
      </c>
      <c r="D30" s="29">
        <f>D28*100/1320</f>
        <v>34.336695402298858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62"/>
    </row>
    <row r="31" spans="1:20" s="2" customFormat="1" ht="22.2" customHeight="1">
      <c r="A31" s="213" t="s">
        <v>37</v>
      </c>
      <c r="B31" s="213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62"/>
    </row>
    <row r="32" spans="1:20" s="2" customFormat="1" ht="22.2" customHeight="1">
      <c r="A32" s="8">
        <v>1</v>
      </c>
      <c r="B32" s="9" t="s">
        <v>2</v>
      </c>
      <c r="C32" s="12">
        <f>L32/100*100</f>
        <v>300</v>
      </c>
      <c r="D32" s="13">
        <f>C32/100*60</f>
        <v>180</v>
      </c>
      <c r="E32" s="14">
        <f>C32/100*15</f>
        <v>45</v>
      </c>
      <c r="F32" s="14"/>
      <c r="G32" s="14"/>
      <c r="H32" s="14"/>
      <c r="I32" s="14"/>
      <c r="J32" s="64">
        <f>C32/100*387</f>
        <v>1161</v>
      </c>
      <c r="K32" s="22">
        <f>C32/100*0.09</f>
        <v>0.27</v>
      </c>
      <c r="L32" s="15">
        <v>300</v>
      </c>
      <c r="M32" s="20">
        <v>20</v>
      </c>
      <c r="N32" s="16">
        <f>L32*M32</f>
        <v>6000</v>
      </c>
      <c r="O32" s="162"/>
    </row>
    <row r="33" spans="1:23" s="2" customFormat="1" ht="19.8" customHeight="1">
      <c r="A33" s="8">
        <v>2</v>
      </c>
      <c r="B33" s="9" t="s">
        <v>114</v>
      </c>
      <c r="C33" s="12">
        <f>L33/100*100</f>
        <v>1950</v>
      </c>
      <c r="D33" s="65">
        <f>C33/100*899</f>
        <v>17530.5</v>
      </c>
      <c r="E33" s="14"/>
      <c r="F33" s="14"/>
      <c r="G33" s="91">
        <f>C33/100*100</f>
        <v>1950</v>
      </c>
      <c r="H33" s="14"/>
      <c r="I33" s="14"/>
      <c r="J33" s="22"/>
      <c r="K33" s="22"/>
      <c r="L33" s="111">
        <v>1950</v>
      </c>
      <c r="M33" s="110">
        <v>69</v>
      </c>
      <c r="N33" s="113">
        <f t="shared" ref="N33" si="3">L33*M33</f>
        <v>134550</v>
      </c>
      <c r="O33" s="162"/>
    </row>
    <row r="34" spans="1:23" s="2" customFormat="1" ht="22.2" customHeight="1">
      <c r="A34" s="8">
        <v>3</v>
      </c>
      <c r="B34" s="5" t="s">
        <v>115</v>
      </c>
      <c r="C34" s="12">
        <f>L34/100*100</f>
        <v>5580</v>
      </c>
      <c r="D34" s="65">
        <f>C34/100*295</f>
        <v>16461</v>
      </c>
      <c r="E34" s="14"/>
      <c r="F34" s="14">
        <f>C34/100*6</f>
        <v>334.79999999999995</v>
      </c>
      <c r="G34" s="14"/>
      <c r="H34" s="14">
        <f>C34/100*0.8</f>
        <v>44.64</v>
      </c>
      <c r="I34" s="91">
        <f>C34/100*28.8</f>
        <v>1607.04</v>
      </c>
      <c r="J34" s="22"/>
      <c r="K34" s="22"/>
      <c r="L34" s="111">
        <v>5580</v>
      </c>
      <c r="M34" s="43">
        <v>32</v>
      </c>
      <c r="N34" s="16">
        <f>L34*M34</f>
        <v>178560</v>
      </c>
      <c r="O34" s="162"/>
    </row>
    <row r="35" spans="1:23" s="2" customFormat="1" ht="22.2" customHeight="1">
      <c r="A35" s="8">
        <v>4</v>
      </c>
      <c r="B35" s="9" t="s">
        <v>116</v>
      </c>
      <c r="C35" s="12">
        <f>L35/100*31</f>
        <v>790.5</v>
      </c>
      <c r="D35" s="13">
        <f>C35/100*87</f>
        <v>687.73500000000001</v>
      </c>
      <c r="E35" s="14">
        <f>C35/100*12.3</f>
        <v>97.231500000000011</v>
      </c>
      <c r="F35" s="14"/>
      <c r="G35" s="14">
        <f>C35/100*3.3</f>
        <v>26.086500000000001</v>
      </c>
      <c r="H35" s="14"/>
      <c r="I35" s="14">
        <f>C35/100*2</f>
        <v>15.81</v>
      </c>
      <c r="J35" s="22">
        <f>C35/100*120</f>
        <v>948.6</v>
      </c>
      <c r="K35" s="22">
        <f>C35/100*0.01</f>
        <v>7.9050000000000009E-2</v>
      </c>
      <c r="L35" s="15">
        <v>2550</v>
      </c>
      <c r="M35" s="102">
        <v>180</v>
      </c>
      <c r="N35" s="16">
        <f t="shared" ref="N35:N38" si="4">L35*M35</f>
        <v>459000</v>
      </c>
      <c r="O35" s="162"/>
    </row>
    <row r="36" spans="1:23" s="2" customFormat="1" ht="20.399999999999999" customHeight="1">
      <c r="A36" s="8">
        <v>5</v>
      </c>
      <c r="B36" s="5" t="s">
        <v>110</v>
      </c>
      <c r="C36" s="12">
        <f>L36/100*100</f>
        <v>150</v>
      </c>
      <c r="D36" s="13">
        <f>C36/100*247</f>
        <v>370.5</v>
      </c>
      <c r="E36" s="17"/>
      <c r="F36" s="17">
        <f>C36/100*17.5</f>
        <v>26.25</v>
      </c>
      <c r="G36" s="17"/>
      <c r="H36" s="17">
        <f>C36/100*1.6</f>
        <v>2.4000000000000004</v>
      </c>
      <c r="I36" s="17">
        <f>C36/100*39.2</f>
        <v>58.800000000000004</v>
      </c>
      <c r="J36" s="21"/>
      <c r="K36" s="21"/>
      <c r="L36" s="320">
        <v>150</v>
      </c>
      <c r="M36" s="20">
        <v>50</v>
      </c>
      <c r="N36" s="113">
        <f t="shared" si="4"/>
        <v>7500</v>
      </c>
      <c r="O36" s="162"/>
      <c r="Q36" s="3"/>
      <c r="R36" s="3"/>
      <c r="S36" s="4"/>
      <c r="T36" s="3"/>
    </row>
    <row r="37" spans="1:23" s="118" customFormat="1" ht="19.8" customHeight="1">
      <c r="A37" s="133">
        <v>6</v>
      </c>
      <c r="B37" s="142" t="s">
        <v>143</v>
      </c>
      <c r="C37" s="134">
        <f>L37/100*63</f>
        <v>2797.2</v>
      </c>
      <c r="D37" s="135">
        <f>C37/100*25</f>
        <v>699.3</v>
      </c>
      <c r="E37" s="104"/>
      <c r="F37" s="104">
        <f>C37/100*3.2</f>
        <v>89.510400000000004</v>
      </c>
      <c r="G37" s="104"/>
      <c r="H37" s="104">
        <f>C37/100*0.4</f>
        <v>11.188800000000001</v>
      </c>
      <c r="I37" s="104">
        <f>C37/100*2.1</f>
        <v>58.741199999999999</v>
      </c>
      <c r="J37" s="149">
        <f>C37/100*100</f>
        <v>2797.2</v>
      </c>
      <c r="K37" s="104">
        <f>C37/100*0.1</f>
        <v>2.7972000000000001</v>
      </c>
      <c r="L37" s="111">
        <v>4440</v>
      </c>
      <c r="M37" s="110">
        <v>15</v>
      </c>
      <c r="N37" s="113">
        <f t="shared" si="4"/>
        <v>66600</v>
      </c>
      <c r="O37" s="164"/>
    </row>
    <row r="38" spans="1:23" s="2" customFormat="1" ht="21.6" customHeight="1">
      <c r="A38" s="8">
        <v>7</v>
      </c>
      <c r="B38" s="139" t="s">
        <v>123</v>
      </c>
      <c r="C38" s="12">
        <f>L38/100*100</f>
        <v>4140</v>
      </c>
      <c r="D38" s="65">
        <f>C38/100*487</f>
        <v>20161.8</v>
      </c>
      <c r="E38" s="17"/>
      <c r="F38" s="17">
        <f>C38/100*19.5</f>
        <v>807.3</v>
      </c>
      <c r="G38" s="17"/>
      <c r="H38" s="17">
        <f>C38/100*23.2</f>
        <v>960.4799999999999</v>
      </c>
      <c r="I38" s="123">
        <f>C38/100*46</f>
        <v>1904.3999999999999</v>
      </c>
      <c r="J38" s="91">
        <f>C38/100*680</f>
        <v>28152</v>
      </c>
      <c r="K38" s="14">
        <f>C38/100*0.55</f>
        <v>22.77</v>
      </c>
      <c r="L38" s="320">
        <v>4140</v>
      </c>
      <c r="M38" s="102">
        <v>260</v>
      </c>
      <c r="N38" s="93">
        <f t="shared" si="4"/>
        <v>1076400</v>
      </c>
      <c r="O38" s="162"/>
      <c r="P38" s="3"/>
    </row>
    <row r="39" spans="1:23" s="2" customFormat="1" ht="22.2" customHeight="1">
      <c r="A39" s="77">
        <v>8</v>
      </c>
      <c r="B39" s="78" t="s">
        <v>105</v>
      </c>
      <c r="C39" s="79"/>
      <c r="D39" s="80"/>
      <c r="E39" s="81"/>
      <c r="F39" s="81"/>
      <c r="G39" s="81"/>
      <c r="H39" s="81"/>
      <c r="I39" s="81"/>
      <c r="J39" s="81"/>
      <c r="K39" s="81"/>
      <c r="L39" s="82"/>
      <c r="M39" s="82"/>
      <c r="N39" s="83">
        <v>15440</v>
      </c>
      <c r="O39" s="162"/>
    </row>
    <row r="40" spans="1:23" ht="21" customHeight="1">
      <c r="A40" s="170" t="s">
        <v>0</v>
      </c>
      <c r="B40" s="173" t="s">
        <v>18</v>
      </c>
      <c r="C40" s="176" t="s">
        <v>7</v>
      </c>
      <c r="D40" s="176" t="s">
        <v>8</v>
      </c>
      <c r="E40" s="315" t="s">
        <v>10</v>
      </c>
      <c r="F40" s="316"/>
      <c r="G40" s="315" t="s">
        <v>12</v>
      </c>
      <c r="H40" s="316"/>
      <c r="I40" s="198" t="s">
        <v>15</v>
      </c>
      <c r="J40" s="198" t="s">
        <v>30</v>
      </c>
      <c r="K40" s="198" t="s">
        <v>31</v>
      </c>
      <c r="L40" s="198" t="s">
        <v>16</v>
      </c>
      <c r="M40" s="198" t="s">
        <v>32</v>
      </c>
      <c r="N40" s="170" t="s">
        <v>17</v>
      </c>
      <c r="O40" s="161"/>
    </row>
    <row r="41" spans="1:23" ht="21" customHeight="1">
      <c r="A41" s="171"/>
      <c r="B41" s="174"/>
      <c r="C41" s="177"/>
      <c r="D41" s="177"/>
      <c r="E41" s="317"/>
      <c r="F41" s="318"/>
      <c r="G41" s="317"/>
      <c r="H41" s="318"/>
      <c r="I41" s="206"/>
      <c r="J41" s="206"/>
      <c r="K41" s="206"/>
      <c r="L41" s="206"/>
      <c r="M41" s="206"/>
      <c r="N41" s="171"/>
      <c r="O41" s="152"/>
    </row>
    <row r="42" spans="1:23" ht="21" customHeight="1">
      <c r="A42" s="171"/>
      <c r="B42" s="174"/>
      <c r="C42" s="177"/>
      <c r="D42" s="177"/>
      <c r="E42" s="198" t="s">
        <v>9</v>
      </c>
      <c r="F42" s="198" t="s">
        <v>11</v>
      </c>
      <c r="G42" s="198" t="s">
        <v>13</v>
      </c>
      <c r="H42" s="198" t="s">
        <v>14</v>
      </c>
      <c r="I42" s="206"/>
      <c r="J42" s="206"/>
      <c r="K42" s="206"/>
      <c r="L42" s="206"/>
      <c r="M42" s="206"/>
      <c r="N42" s="171"/>
      <c r="O42" s="152"/>
    </row>
    <row r="43" spans="1:23" ht="21" customHeight="1">
      <c r="A43" s="172"/>
      <c r="B43" s="175"/>
      <c r="C43" s="178"/>
      <c r="D43" s="178"/>
      <c r="E43" s="199"/>
      <c r="F43" s="199"/>
      <c r="G43" s="199"/>
      <c r="H43" s="199"/>
      <c r="I43" s="199"/>
      <c r="J43" s="199"/>
      <c r="K43" s="199"/>
      <c r="L43" s="199"/>
      <c r="M43" s="199"/>
      <c r="N43" s="172"/>
      <c r="O43" s="152"/>
    </row>
    <row r="44" spans="1:23" s="2" customFormat="1" ht="21" customHeight="1">
      <c r="A44" s="23" t="s">
        <v>92</v>
      </c>
      <c r="B44" s="24"/>
      <c r="C44" s="25"/>
      <c r="D44" s="94">
        <f>SUM(D32:D39)</f>
        <v>56090.835000000006</v>
      </c>
      <c r="E44" s="31"/>
      <c r="F44" s="31"/>
      <c r="G44" s="31"/>
      <c r="H44" s="31"/>
      <c r="I44" s="31"/>
      <c r="J44" s="31"/>
      <c r="K44" s="31"/>
      <c r="L44" s="32"/>
      <c r="M44" s="32"/>
      <c r="N44" s="269">
        <f>SUM(N32:N39)</f>
        <v>1944050</v>
      </c>
      <c r="O44" s="162"/>
    </row>
    <row r="45" spans="1:23" ht="21" customHeight="1">
      <c r="A45" s="23" t="s">
        <v>6</v>
      </c>
      <c r="B45" s="24"/>
      <c r="C45" s="33"/>
      <c r="D45" s="34">
        <f>D44/C10</f>
        <v>241.7708405172414</v>
      </c>
      <c r="E45" s="34"/>
      <c r="F45" s="34"/>
      <c r="G45" s="34"/>
      <c r="H45" s="34"/>
      <c r="I45" s="34"/>
      <c r="J45" s="34"/>
      <c r="K45" s="34"/>
      <c r="L45" s="35"/>
      <c r="M45" s="35"/>
      <c r="N45" s="270"/>
      <c r="O45" s="4"/>
      <c r="P45" s="2"/>
      <c r="Q45" s="2"/>
      <c r="R45" s="2"/>
      <c r="S45" s="2"/>
      <c r="T45" s="2"/>
      <c r="U45" s="2"/>
      <c r="V45" s="2"/>
      <c r="W45" s="2"/>
    </row>
    <row r="46" spans="1:23" ht="21" customHeight="1">
      <c r="A46" s="298" t="s">
        <v>49</v>
      </c>
      <c r="B46" s="210"/>
      <c r="C46" s="322" t="s">
        <v>125</v>
      </c>
      <c r="D46" s="29" t="s">
        <v>39</v>
      </c>
      <c r="E46" s="34"/>
      <c r="F46" s="34"/>
      <c r="G46" s="34"/>
      <c r="H46" s="34"/>
      <c r="I46" s="34"/>
      <c r="J46" s="36"/>
      <c r="K46" s="36"/>
      <c r="L46" s="35"/>
      <c r="M46" s="35"/>
      <c r="N46" s="158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11"/>
      <c r="B47" s="212"/>
      <c r="C47" s="62" t="s">
        <v>56</v>
      </c>
      <c r="D47" s="29">
        <f>D45*100/1320</f>
        <v>18.315972766457683</v>
      </c>
      <c r="E47" s="34"/>
      <c r="F47" s="34"/>
      <c r="G47" s="34"/>
      <c r="H47" s="34"/>
      <c r="I47" s="34"/>
      <c r="J47" s="36"/>
      <c r="K47" s="36"/>
      <c r="L47" s="35"/>
      <c r="M47" s="35"/>
      <c r="N47" s="158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15" t="s">
        <v>93</v>
      </c>
      <c r="B48" s="216"/>
      <c r="C48" s="219"/>
      <c r="D48" s="280">
        <f>D27+D44</f>
        <v>161243.53100000002</v>
      </c>
      <c r="E48" s="95">
        <f>SUM(E16:E39)</f>
        <v>3547.2314999999999</v>
      </c>
      <c r="F48" s="95">
        <f t="shared" ref="F48:H48" si="5">SUM(F16:F39)</f>
        <v>3225.1513999999997</v>
      </c>
      <c r="G48" s="95">
        <f t="shared" si="5"/>
        <v>3385.2664999999997</v>
      </c>
      <c r="H48" s="95">
        <f t="shared" si="5"/>
        <v>1504.6459999999997</v>
      </c>
      <c r="I48" s="225">
        <f>SUM(I16:I39)</f>
        <v>21835.896800000006</v>
      </c>
      <c r="J48" s="225">
        <f>SUM(J16:J39)</f>
        <v>51436.668000000005</v>
      </c>
      <c r="K48" s="227">
        <f>SUM(K16:K39)</f>
        <v>153.93155000000002</v>
      </c>
      <c r="L48" s="229"/>
      <c r="M48" s="229"/>
      <c r="N48" s="297">
        <f>N27+N44</f>
        <v>5099370</v>
      </c>
      <c r="P48" s="2"/>
      <c r="Q48" s="2"/>
      <c r="R48" s="2"/>
      <c r="S48" s="2"/>
      <c r="T48" s="2"/>
      <c r="U48" s="2"/>
      <c r="V48" s="2"/>
    </row>
    <row r="49" spans="1:23" ht="21" customHeight="1">
      <c r="A49" s="217"/>
      <c r="B49" s="218"/>
      <c r="C49" s="220"/>
      <c r="D49" s="281"/>
      <c r="E49" s="231">
        <f>E48+F48</f>
        <v>6772.3828999999996</v>
      </c>
      <c r="F49" s="232"/>
      <c r="G49" s="231">
        <f>G48+H48</f>
        <v>4889.9124999999995</v>
      </c>
      <c r="H49" s="232"/>
      <c r="I49" s="226"/>
      <c r="J49" s="226"/>
      <c r="K49" s="228"/>
      <c r="L49" s="229"/>
      <c r="M49" s="229"/>
      <c r="N49" s="297"/>
      <c r="P49" s="2"/>
      <c r="Q49" s="2"/>
      <c r="R49" s="2"/>
      <c r="S49" s="2"/>
      <c r="T49" s="2"/>
      <c r="U49" s="2"/>
      <c r="V49" s="2"/>
    </row>
    <row r="50" spans="1:23" ht="21" customHeight="1">
      <c r="A50" s="233" t="s">
        <v>73</v>
      </c>
      <c r="B50" s="234"/>
      <c r="C50" s="235"/>
      <c r="D50" s="112">
        <f>D48/C10</f>
        <v>695.01521982758629</v>
      </c>
      <c r="E50" s="343">
        <f>E48/C10</f>
        <v>15.289790948275861</v>
      </c>
      <c r="F50" s="344">
        <f>F48/C10</f>
        <v>13.901514655172413</v>
      </c>
      <c r="G50" s="343">
        <f>G48/C10</f>
        <v>14.59166594827586</v>
      </c>
      <c r="H50" s="345">
        <f>H48/C10</f>
        <v>6.4855431034482747</v>
      </c>
      <c r="I50" s="291">
        <f>I48/C10</f>
        <v>94.120244827586234</v>
      </c>
      <c r="J50" s="291">
        <f>J48/C10</f>
        <v>221.70977586206899</v>
      </c>
      <c r="K50" s="241">
        <f>K48/C10</f>
        <v>0.66349806034482761</v>
      </c>
      <c r="L50" s="229"/>
      <c r="M50" s="229"/>
      <c r="N50" s="297"/>
      <c r="U50" s="11"/>
      <c r="V50" s="11"/>
    </row>
    <row r="51" spans="1:23" ht="21" customHeight="1">
      <c r="A51" s="236"/>
      <c r="B51" s="237"/>
      <c r="C51" s="238"/>
      <c r="D51" s="98"/>
      <c r="E51" s="346">
        <f>E50+F50</f>
        <v>29.191305603448274</v>
      </c>
      <c r="F51" s="347"/>
      <c r="G51" s="346">
        <f>G50+H50</f>
        <v>21.077209051724136</v>
      </c>
      <c r="H51" s="347"/>
      <c r="I51" s="278"/>
      <c r="J51" s="278"/>
      <c r="K51" s="242"/>
      <c r="L51" s="229"/>
      <c r="M51" s="229"/>
      <c r="N51" s="297"/>
      <c r="U51" s="11"/>
      <c r="V51" s="11"/>
    </row>
    <row r="52" spans="1:23" ht="21" customHeight="1">
      <c r="A52" s="323" t="s">
        <v>74</v>
      </c>
      <c r="B52" s="324"/>
      <c r="C52" s="325"/>
      <c r="D52" s="326" t="s">
        <v>25</v>
      </c>
      <c r="E52" s="184" t="s">
        <v>19</v>
      </c>
      <c r="F52" s="184"/>
      <c r="G52" s="184" t="s">
        <v>20</v>
      </c>
      <c r="H52" s="184"/>
      <c r="I52" s="156" t="s">
        <v>21</v>
      </c>
      <c r="J52" s="348">
        <v>600</v>
      </c>
      <c r="K52" s="348">
        <v>0.74</v>
      </c>
      <c r="L52" s="229"/>
      <c r="M52" s="229"/>
      <c r="N52" s="297"/>
      <c r="O52" s="166"/>
      <c r="P52" s="333"/>
      <c r="Q52" s="334"/>
      <c r="R52" s="334"/>
      <c r="S52" s="334"/>
      <c r="T52" s="334"/>
      <c r="U52" s="335"/>
      <c r="V52" s="335"/>
      <c r="W52" s="1">
        <f>Q52+S52+U52</f>
        <v>0</v>
      </c>
    </row>
    <row r="53" spans="1:23" ht="21" customHeight="1">
      <c r="A53" s="246" t="s">
        <v>67</v>
      </c>
      <c r="B53" s="247"/>
      <c r="C53" s="248"/>
      <c r="D53" s="19"/>
      <c r="E53" s="249">
        <f>E51*4.1</f>
        <v>119.68435297413791</v>
      </c>
      <c r="F53" s="250"/>
      <c r="G53" s="249">
        <f>G51*9</f>
        <v>189.69488146551723</v>
      </c>
      <c r="H53" s="250"/>
      <c r="I53" s="68">
        <f>I50*4.1</f>
        <v>385.8930037931035</v>
      </c>
      <c r="J53" s="251"/>
      <c r="K53" s="251"/>
      <c r="L53" s="229"/>
      <c r="M53" s="229"/>
      <c r="N53" s="297"/>
      <c r="O53" s="166"/>
      <c r="P53" s="338"/>
      <c r="Q53" s="339"/>
      <c r="R53" s="339"/>
      <c r="S53" s="339"/>
      <c r="T53" s="333"/>
      <c r="U53" s="333"/>
      <c r="V53" s="333"/>
    </row>
    <row r="54" spans="1:23" ht="21" customHeight="1">
      <c r="A54" s="254" t="s">
        <v>68</v>
      </c>
      <c r="B54" s="255"/>
      <c r="C54" s="246" t="s">
        <v>56</v>
      </c>
      <c r="D54" s="248"/>
      <c r="E54" s="282">
        <f>E53*100/D50</f>
        <v>17.220393102157995</v>
      </c>
      <c r="F54" s="283"/>
      <c r="G54" s="282">
        <f>G53*100/D50</f>
        <v>27.293629844908313</v>
      </c>
      <c r="H54" s="283"/>
      <c r="I54" s="86">
        <f>I53*100/D50</f>
        <v>55.522957308594286</v>
      </c>
      <c r="J54" s="252"/>
      <c r="K54" s="252"/>
      <c r="L54" s="229"/>
      <c r="M54" s="229"/>
      <c r="N54" s="297"/>
      <c r="O54" s="166"/>
      <c r="P54" s="333"/>
      <c r="Q54" s="340"/>
      <c r="R54" s="333"/>
      <c r="S54" s="333"/>
      <c r="T54" s="333"/>
      <c r="U54" s="333"/>
      <c r="V54" s="333"/>
    </row>
    <row r="55" spans="1:23" ht="21" customHeight="1">
      <c r="A55" s="256"/>
      <c r="B55" s="257"/>
      <c r="C55" s="246" t="s">
        <v>69</v>
      </c>
      <c r="D55" s="248"/>
      <c r="E55" s="246" t="s">
        <v>70</v>
      </c>
      <c r="F55" s="248"/>
      <c r="G55" s="246" t="s">
        <v>71</v>
      </c>
      <c r="H55" s="248"/>
      <c r="I55" s="326" t="s">
        <v>72</v>
      </c>
      <c r="J55" s="253"/>
      <c r="K55" s="253"/>
      <c r="L55" s="229"/>
      <c r="M55" s="229"/>
      <c r="N55" s="297"/>
      <c r="O55" s="166"/>
      <c r="P55" s="84"/>
    </row>
    <row r="56" spans="1:23" ht="21" customHeight="1">
      <c r="A56" s="70"/>
      <c r="B56" s="71"/>
      <c r="C56" s="70"/>
      <c r="D56" s="70"/>
      <c r="E56" s="70"/>
      <c r="F56" s="70"/>
      <c r="G56" s="70"/>
      <c r="H56" s="70"/>
      <c r="I56" s="70"/>
      <c r="J56" s="70"/>
      <c r="K56" s="70"/>
      <c r="L56" s="72"/>
      <c r="M56" s="72"/>
      <c r="N56" s="73"/>
      <c r="O56" s="166"/>
    </row>
    <row r="57" spans="1:23" ht="21" customHeight="1">
      <c r="A57" s="243" t="s">
        <v>94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166"/>
    </row>
    <row r="58" spans="1:23" ht="21" customHeight="1">
      <c r="A58" s="87" t="s">
        <v>95</v>
      </c>
      <c r="B58" s="244" t="s">
        <v>96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166"/>
    </row>
    <row r="59" spans="1:23" ht="21" customHeight="1">
      <c r="A59" s="88"/>
      <c r="B59" s="245" t="s">
        <v>190</v>
      </c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166"/>
    </row>
    <row r="60" spans="1:23" ht="21" customHeight="1">
      <c r="A60" s="88"/>
      <c r="B60" s="245" t="s">
        <v>191</v>
      </c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166"/>
    </row>
    <row r="61" spans="1:23" ht="21" customHeight="1">
      <c r="A61" s="88"/>
      <c r="B61" s="245" t="s">
        <v>192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66"/>
    </row>
    <row r="62" spans="1:23" ht="21" customHeight="1">
      <c r="A62" s="70"/>
      <c r="B62" s="260" t="s">
        <v>101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166"/>
    </row>
    <row r="63" spans="1:23" ht="21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89"/>
      <c r="M63" s="89"/>
      <c r="N63" s="90"/>
      <c r="O63" s="166"/>
    </row>
    <row r="64" spans="1:23" ht="21" customHeight="1">
      <c r="A64" s="261" t="s">
        <v>58</v>
      </c>
      <c r="B64" s="261"/>
      <c r="C64" s="261"/>
      <c r="D64" s="261"/>
      <c r="E64" s="328"/>
      <c r="F64" s="328"/>
      <c r="G64" s="328"/>
      <c r="H64" s="328"/>
      <c r="I64" s="328"/>
      <c r="J64" s="329" t="s">
        <v>34</v>
      </c>
      <c r="K64" s="329"/>
      <c r="L64" s="329"/>
      <c r="M64" s="329"/>
      <c r="N64" s="329"/>
      <c r="O64" s="166"/>
    </row>
    <row r="65" spans="1:22" ht="21" customHeight="1">
      <c r="A65" s="152"/>
      <c r="B65" s="152"/>
      <c r="C65" s="152"/>
      <c r="D65" s="328"/>
      <c r="E65" s="328"/>
      <c r="F65" s="328"/>
      <c r="G65" s="328"/>
      <c r="H65" s="330"/>
      <c r="I65" s="330"/>
      <c r="J65" s="330"/>
      <c r="K65" s="330"/>
      <c r="L65" s="330"/>
      <c r="M65" s="330"/>
      <c r="N65" s="330"/>
      <c r="O65" s="166"/>
    </row>
    <row r="66" spans="1:22" ht="21" customHeight="1">
      <c r="A66" s="152"/>
      <c r="B66" s="152"/>
      <c r="C66" s="152"/>
      <c r="D66" s="328"/>
      <c r="E66" s="328"/>
      <c r="F66" s="328"/>
      <c r="G66" s="328"/>
      <c r="H66" s="330"/>
      <c r="I66" s="330"/>
      <c r="J66" s="330"/>
      <c r="K66" s="330"/>
      <c r="L66" s="330"/>
      <c r="M66" s="330"/>
      <c r="N66" s="330"/>
      <c r="O66" s="166"/>
    </row>
    <row r="67" spans="1:22" ht="21" customHeight="1">
      <c r="A67" s="152"/>
      <c r="B67" s="152"/>
      <c r="C67" s="152"/>
      <c r="D67" s="328"/>
      <c r="E67" s="328"/>
      <c r="F67" s="328"/>
      <c r="G67" s="328"/>
      <c r="H67" s="330"/>
      <c r="I67" s="330"/>
      <c r="J67" s="331" t="s">
        <v>97</v>
      </c>
      <c r="K67" s="331"/>
      <c r="L67" s="331"/>
      <c r="M67" s="331"/>
      <c r="N67" s="331"/>
      <c r="O67" s="166"/>
    </row>
    <row r="68" spans="1:22" ht="21" customHeight="1">
      <c r="A68" s="262" t="s">
        <v>82</v>
      </c>
      <c r="B68" s="262"/>
      <c r="C68" s="262"/>
      <c r="D68" s="262"/>
      <c r="E68" s="328"/>
      <c r="F68" s="328"/>
      <c r="G68" s="328"/>
      <c r="H68" s="330"/>
      <c r="I68" s="330"/>
      <c r="O68" s="166"/>
    </row>
    <row r="69" spans="1:22" ht="21" customHeight="1">
      <c r="A69" s="152"/>
      <c r="B69" s="152"/>
      <c r="C69" s="152"/>
      <c r="D69" s="328"/>
      <c r="E69" s="328"/>
      <c r="F69" s="328"/>
      <c r="G69" s="328"/>
      <c r="H69" s="330"/>
      <c r="I69" s="330"/>
      <c r="J69" s="330"/>
      <c r="K69" s="330"/>
      <c r="L69" s="330"/>
      <c r="M69" s="330"/>
      <c r="N69" s="330"/>
      <c r="O69" s="166"/>
      <c r="Q69" s="76"/>
      <c r="R69" s="76"/>
      <c r="S69" s="76"/>
      <c r="T69" s="76"/>
      <c r="U69" s="76"/>
      <c r="V69" s="76"/>
    </row>
    <row r="70" spans="1:22" ht="21" customHeight="1">
      <c r="A70" s="152"/>
      <c r="B70" s="152"/>
      <c r="C70" s="152"/>
      <c r="D70" s="328"/>
      <c r="E70" s="328"/>
      <c r="F70" s="328"/>
      <c r="G70" s="328"/>
      <c r="H70" s="330"/>
      <c r="I70" s="330"/>
      <c r="J70" s="331" t="s">
        <v>108</v>
      </c>
      <c r="K70" s="331"/>
      <c r="L70" s="331"/>
      <c r="M70" s="331"/>
      <c r="N70" s="331"/>
      <c r="O70" s="166"/>
      <c r="Q70" s="76"/>
      <c r="R70" s="76"/>
      <c r="S70" s="76"/>
      <c r="T70" s="76"/>
      <c r="U70" s="76"/>
      <c r="V70" s="76"/>
    </row>
    <row r="71" spans="1:22" ht="21" customHeight="1">
      <c r="A71" s="152"/>
      <c r="B71" s="152"/>
      <c r="C71" s="152"/>
      <c r="D71" s="328"/>
      <c r="E71" s="328"/>
      <c r="F71" s="328"/>
      <c r="G71" s="328"/>
      <c r="H71" s="330"/>
      <c r="I71" s="330"/>
      <c r="J71" s="330"/>
      <c r="K71" s="330"/>
      <c r="L71" s="330"/>
      <c r="M71" s="330"/>
      <c r="N71" s="330"/>
      <c r="O71" s="166"/>
      <c r="Q71" s="76"/>
      <c r="R71" s="76"/>
      <c r="S71" s="76"/>
      <c r="T71" s="76"/>
      <c r="U71" s="76"/>
      <c r="V71" s="76"/>
    </row>
    <row r="72" spans="1:22" ht="21" customHeight="1">
      <c r="A72" s="152"/>
      <c r="B72" s="152"/>
      <c r="C72" s="152"/>
      <c r="D72" s="328"/>
      <c r="E72" s="328"/>
      <c r="F72" s="328"/>
      <c r="G72" s="328"/>
      <c r="H72" s="330"/>
      <c r="I72" s="330"/>
      <c r="J72" s="330"/>
      <c r="K72" s="330"/>
      <c r="L72" s="330"/>
      <c r="M72" s="330"/>
      <c r="N72" s="330"/>
      <c r="O72" s="166"/>
      <c r="Q72" s="76"/>
      <c r="R72" s="76"/>
      <c r="S72" s="76"/>
      <c r="T72" s="76"/>
      <c r="U72" s="76"/>
      <c r="V72" s="76"/>
    </row>
    <row r="73" spans="1:22" ht="21" customHeight="1">
      <c r="A73" s="152"/>
      <c r="B73" s="152"/>
      <c r="C73" s="152"/>
      <c r="D73" s="328"/>
      <c r="E73" s="328"/>
      <c r="F73" s="328"/>
      <c r="G73" s="328"/>
      <c r="H73" s="330"/>
      <c r="I73" s="330"/>
      <c r="J73" s="330"/>
      <c r="K73" s="330"/>
      <c r="L73" s="330"/>
      <c r="M73" s="330"/>
      <c r="N73" s="330"/>
      <c r="O73" s="166"/>
      <c r="Q73" s="76"/>
      <c r="R73" s="76"/>
      <c r="S73" s="76"/>
      <c r="T73" s="76"/>
      <c r="U73" s="76"/>
      <c r="V73" s="76"/>
    </row>
    <row r="74" spans="1:22" ht="21" customHeight="1">
      <c r="A74" s="152"/>
      <c r="B74" s="152"/>
      <c r="C74" s="152"/>
      <c r="D74" s="328"/>
      <c r="E74" s="328"/>
      <c r="F74" s="328"/>
      <c r="G74" s="328"/>
      <c r="H74" s="330"/>
      <c r="I74" s="330"/>
      <c r="J74" s="330"/>
      <c r="K74" s="330"/>
      <c r="L74" s="330"/>
      <c r="M74" s="330"/>
      <c r="N74" s="330"/>
      <c r="O74" s="166"/>
      <c r="Q74" s="76"/>
      <c r="R74" s="76"/>
      <c r="S74" s="76"/>
      <c r="T74" s="76"/>
      <c r="U74" s="76"/>
      <c r="V74" s="76"/>
    </row>
    <row r="75" spans="1:22" ht="21" customHeight="1">
      <c r="A75" s="152"/>
      <c r="B75" s="152"/>
      <c r="C75" s="152"/>
      <c r="D75" s="328"/>
      <c r="E75" s="328"/>
      <c r="F75" s="328"/>
      <c r="G75" s="328"/>
      <c r="H75" s="330"/>
      <c r="I75" s="330"/>
      <c r="J75" s="330"/>
      <c r="K75" s="330"/>
      <c r="L75" s="330"/>
      <c r="M75" s="330"/>
      <c r="N75" s="330"/>
      <c r="O75" s="166"/>
      <c r="Q75" s="76"/>
      <c r="R75" s="76"/>
      <c r="S75" s="76"/>
      <c r="T75" s="76"/>
      <c r="U75" s="76"/>
      <c r="V75" s="76"/>
    </row>
    <row r="76" spans="1:22" ht="21" customHeight="1">
      <c r="A76" s="152"/>
      <c r="B76" s="152"/>
      <c r="C76" s="152"/>
      <c r="D76" s="328"/>
      <c r="E76" s="328"/>
      <c r="F76" s="328"/>
      <c r="G76" s="328"/>
      <c r="H76" s="330"/>
      <c r="I76" s="330"/>
      <c r="J76" s="330"/>
      <c r="K76" s="330"/>
      <c r="L76" s="330"/>
      <c r="M76" s="330"/>
      <c r="N76" s="330"/>
      <c r="O76" s="166"/>
      <c r="Q76" s="76"/>
      <c r="R76" s="76"/>
      <c r="S76" s="76"/>
      <c r="T76" s="76"/>
      <c r="U76" s="76"/>
      <c r="V76" s="76"/>
    </row>
    <row r="77" spans="1:22" ht="21" customHeight="1">
      <c r="A77" s="152"/>
      <c r="B77" s="152"/>
      <c r="C77" s="152"/>
      <c r="D77" s="328"/>
      <c r="E77" s="328"/>
      <c r="F77" s="328"/>
      <c r="G77" s="328"/>
      <c r="H77" s="330"/>
      <c r="I77" s="330"/>
      <c r="J77" s="330"/>
      <c r="K77" s="330"/>
      <c r="L77" s="330"/>
      <c r="M77" s="330"/>
      <c r="N77" s="330"/>
      <c r="O77" s="166"/>
      <c r="Q77" s="76"/>
      <c r="R77" s="76"/>
      <c r="S77" s="76"/>
      <c r="T77" s="76"/>
      <c r="U77" s="76"/>
      <c r="V77" s="76"/>
    </row>
    <row r="78" spans="1:22" ht="21" customHeight="1">
      <c r="A78" s="152"/>
      <c r="B78" s="152"/>
      <c r="C78" s="152"/>
      <c r="D78" s="328"/>
      <c r="E78" s="328"/>
      <c r="F78" s="328"/>
      <c r="G78" s="328"/>
      <c r="H78" s="330"/>
      <c r="I78" s="330"/>
      <c r="J78" s="330"/>
      <c r="K78" s="330"/>
      <c r="L78" s="330"/>
      <c r="M78" s="330"/>
      <c r="N78" s="330"/>
      <c r="O78" s="166"/>
      <c r="Q78" s="76"/>
      <c r="R78" s="76"/>
      <c r="S78" s="76"/>
      <c r="T78" s="76"/>
      <c r="U78" s="76"/>
      <c r="V78" s="76"/>
    </row>
    <row r="79" spans="1:22" ht="19.2" customHeight="1">
      <c r="A79" s="10" t="s">
        <v>57</v>
      </c>
      <c r="B79" s="7"/>
      <c r="C79" s="7"/>
      <c r="D79" s="7"/>
      <c r="E79" s="7"/>
      <c r="F79" s="183" t="s">
        <v>29</v>
      </c>
      <c r="G79" s="183"/>
      <c r="H79" s="183"/>
      <c r="I79" s="183"/>
      <c r="J79" s="183"/>
      <c r="K79" s="183"/>
      <c r="L79" s="183"/>
      <c r="M79" s="183"/>
      <c r="N79" s="183"/>
      <c r="O79" s="159"/>
      <c r="P79" s="159"/>
      <c r="T79" s="2"/>
    </row>
    <row r="80" spans="1:22" ht="19.2" customHeight="1">
      <c r="A80" s="10"/>
      <c r="B80" s="7"/>
      <c r="C80" s="7"/>
      <c r="D80" s="7"/>
      <c r="E80" s="7"/>
      <c r="F80" s="155"/>
      <c r="G80" s="155"/>
      <c r="H80" s="155"/>
      <c r="I80" s="155"/>
      <c r="J80" s="155"/>
      <c r="K80" s="155"/>
      <c r="L80" s="155"/>
      <c r="M80" s="155"/>
      <c r="N80" s="155"/>
      <c r="O80" s="159"/>
      <c r="P80" s="159"/>
      <c r="T80" s="2"/>
    </row>
    <row r="81" spans="1:20" ht="19.2" customHeight="1">
      <c r="A81" s="7" t="s">
        <v>189</v>
      </c>
      <c r="B81" s="7"/>
      <c r="C81" s="7"/>
      <c r="D81" s="7"/>
      <c r="E81" s="7"/>
      <c r="F81" s="155"/>
      <c r="G81" s="155"/>
      <c r="H81" s="155"/>
      <c r="I81" s="155"/>
      <c r="J81" s="155"/>
      <c r="K81" s="155"/>
      <c r="L81" s="155"/>
      <c r="M81" s="155"/>
      <c r="N81" s="155"/>
      <c r="O81" s="159"/>
      <c r="P81" s="159"/>
      <c r="T81" s="2"/>
    </row>
    <row r="82" spans="1:20" ht="19.2" customHeight="1">
      <c r="A82" s="7"/>
      <c r="B82" s="7"/>
      <c r="C82" s="7"/>
      <c r="D82" s="7"/>
      <c r="E82" s="7"/>
      <c r="F82" s="155"/>
      <c r="G82" s="155"/>
      <c r="H82" s="155"/>
      <c r="I82" s="155"/>
      <c r="J82" s="155"/>
      <c r="K82" s="155"/>
      <c r="L82" s="155"/>
      <c r="M82" s="155"/>
      <c r="N82" s="155"/>
      <c r="O82" s="159"/>
      <c r="P82" s="159"/>
      <c r="T82" s="2"/>
    </row>
    <row r="83" spans="1:20" s="2" customFormat="1" ht="19.2" customHeight="1">
      <c r="A83" s="184" t="s">
        <v>89</v>
      </c>
      <c r="B83" s="184"/>
      <c r="C83" s="184"/>
      <c r="D83" s="184"/>
      <c r="E83" s="184" t="s">
        <v>80</v>
      </c>
      <c r="F83" s="184"/>
      <c r="G83" s="184"/>
      <c r="H83" s="184"/>
      <c r="I83" s="184"/>
      <c r="J83" s="184"/>
      <c r="K83" s="184"/>
      <c r="L83" s="184"/>
      <c r="M83" s="184"/>
      <c r="N83" s="184"/>
      <c r="O83" s="160"/>
    </row>
    <row r="84" spans="1:20" s="2" customFormat="1" ht="19.2" customHeight="1">
      <c r="A84" s="184"/>
      <c r="B84" s="184"/>
      <c r="C84" s="184"/>
      <c r="D84" s="184"/>
      <c r="E84" s="184" t="s">
        <v>88</v>
      </c>
      <c r="F84" s="184"/>
      <c r="G84" s="184"/>
      <c r="H84" s="184"/>
      <c r="I84" s="184"/>
      <c r="J84" s="184" t="s">
        <v>90</v>
      </c>
      <c r="K84" s="184"/>
      <c r="L84" s="184"/>
      <c r="M84" s="184"/>
      <c r="N84" s="184"/>
      <c r="O84" s="160"/>
    </row>
    <row r="85" spans="1:20" s="2" customFormat="1" ht="19.2" customHeight="1">
      <c r="A85" s="185" t="s">
        <v>81</v>
      </c>
      <c r="B85" s="185"/>
      <c r="C85" s="185"/>
      <c r="D85" s="185"/>
      <c r="E85" s="186" t="s">
        <v>124</v>
      </c>
      <c r="F85" s="186"/>
      <c r="G85" s="186"/>
      <c r="H85" s="186"/>
      <c r="I85" s="186"/>
      <c r="J85" s="263" t="s">
        <v>81</v>
      </c>
      <c r="K85" s="264"/>
      <c r="L85" s="264"/>
      <c r="M85" s="264"/>
      <c r="N85" s="265"/>
      <c r="O85" s="160"/>
    </row>
    <row r="86" spans="1:20" s="2" customFormat="1" ht="19.2" customHeight="1">
      <c r="A86" s="292" t="s">
        <v>122</v>
      </c>
      <c r="B86" s="293"/>
      <c r="C86" s="293"/>
      <c r="D86" s="294"/>
      <c r="E86" s="186"/>
      <c r="F86" s="186"/>
      <c r="G86" s="186"/>
      <c r="H86" s="186"/>
      <c r="I86" s="186"/>
      <c r="J86" s="200" t="s">
        <v>162</v>
      </c>
      <c r="K86" s="201"/>
      <c r="L86" s="201"/>
      <c r="M86" s="201"/>
      <c r="N86" s="202"/>
      <c r="O86" s="160"/>
    </row>
    <row r="87" spans="1:20" s="2" customFormat="1" ht="19.2" customHeight="1">
      <c r="A87" s="197" t="s">
        <v>161</v>
      </c>
      <c r="B87" s="197"/>
      <c r="C87" s="197"/>
      <c r="D87" s="197"/>
      <c r="E87" s="186"/>
      <c r="F87" s="186"/>
      <c r="G87" s="186"/>
      <c r="H87" s="186"/>
      <c r="I87" s="186"/>
      <c r="J87" s="266" t="s">
        <v>142</v>
      </c>
      <c r="K87" s="267"/>
      <c r="L87" s="267"/>
      <c r="M87" s="267"/>
      <c r="N87" s="268"/>
      <c r="O87" s="160"/>
    </row>
    <row r="88" spans="1:20" ht="19.2" customHeight="1">
      <c r="A88" s="290" t="s">
        <v>104</v>
      </c>
      <c r="B88" s="290"/>
      <c r="C88" s="288">
        <v>61</v>
      </c>
      <c r="D88" s="288"/>
      <c r="E88" s="7"/>
      <c r="F88" s="155"/>
      <c r="G88" s="155"/>
      <c r="H88" s="155"/>
      <c r="I88" s="155"/>
      <c r="J88" s="155"/>
      <c r="K88" s="155"/>
      <c r="L88" s="155"/>
      <c r="M88" s="155"/>
      <c r="N88" s="155"/>
      <c r="O88" s="159"/>
      <c r="P88" s="159"/>
      <c r="T88" s="2"/>
    </row>
    <row r="89" spans="1:20" ht="19.2" customHeight="1">
      <c r="A89" s="170" t="s">
        <v>0</v>
      </c>
      <c r="B89" s="173" t="s">
        <v>18</v>
      </c>
      <c r="C89" s="176" t="s">
        <v>7</v>
      </c>
      <c r="D89" s="176" t="s">
        <v>8</v>
      </c>
      <c r="E89" s="179" t="s">
        <v>10</v>
      </c>
      <c r="F89" s="180"/>
      <c r="G89" s="179" t="s">
        <v>12</v>
      </c>
      <c r="H89" s="180"/>
      <c r="I89" s="198" t="s">
        <v>15</v>
      </c>
      <c r="J89" s="198" t="s">
        <v>30</v>
      </c>
      <c r="K89" s="198" t="s">
        <v>31</v>
      </c>
      <c r="L89" s="198" t="s">
        <v>16</v>
      </c>
      <c r="M89" s="198" t="s">
        <v>32</v>
      </c>
      <c r="N89" s="170" t="s">
        <v>17</v>
      </c>
      <c r="O89" s="161"/>
    </row>
    <row r="90" spans="1:20" ht="19.2" customHeight="1">
      <c r="A90" s="171"/>
      <c r="B90" s="174"/>
      <c r="C90" s="177"/>
      <c r="D90" s="177"/>
      <c r="E90" s="181"/>
      <c r="F90" s="182"/>
      <c r="G90" s="181"/>
      <c r="H90" s="182"/>
      <c r="I90" s="206"/>
      <c r="J90" s="206"/>
      <c r="K90" s="206"/>
      <c r="L90" s="206"/>
      <c r="M90" s="206"/>
      <c r="N90" s="171"/>
      <c r="O90" s="152"/>
    </row>
    <row r="91" spans="1:20" ht="19.2" customHeight="1">
      <c r="A91" s="171"/>
      <c r="B91" s="174"/>
      <c r="C91" s="177"/>
      <c r="D91" s="177"/>
      <c r="E91" s="198" t="s">
        <v>9</v>
      </c>
      <c r="F91" s="198" t="s">
        <v>11</v>
      </c>
      <c r="G91" s="198" t="s">
        <v>13</v>
      </c>
      <c r="H91" s="198" t="s">
        <v>14</v>
      </c>
      <c r="I91" s="206"/>
      <c r="J91" s="206"/>
      <c r="K91" s="206"/>
      <c r="L91" s="206"/>
      <c r="M91" s="206"/>
      <c r="N91" s="171"/>
      <c r="O91" s="152"/>
    </row>
    <row r="92" spans="1:20" ht="30.6" customHeight="1">
      <c r="A92" s="172"/>
      <c r="B92" s="175"/>
      <c r="C92" s="178"/>
      <c r="D92" s="178"/>
      <c r="E92" s="199"/>
      <c r="F92" s="199"/>
      <c r="G92" s="199"/>
      <c r="H92" s="199"/>
      <c r="I92" s="199"/>
      <c r="J92" s="199"/>
      <c r="K92" s="199"/>
      <c r="L92" s="199"/>
      <c r="M92" s="199"/>
      <c r="N92" s="172"/>
      <c r="O92" s="152"/>
    </row>
    <row r="93" spans="1:20" ht="17.399999999999999" customHeight="1">
      <c r="A93" s="203" t="s">
        <v>40</v>
      </c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5"/>
      <c r="O93" s="152"/>
    </row>
    <row r="94" spans="1:20" s="2" customFormat="1" ht="17.399999999999999" customHeight="1">
      <c r="A94" s="8">
        <v>1</v>
      </c>
      <c r="B94" s="9" t="s">
        <v>2</v>
      </c>
      <c r="C94" s="12">
        <f>L94/100*100</f>
        <v>80</v>
      </c>
      <c r="D94" s="13">
        <f>C94/100*60</f>
        <v>48</v>
      </c>
      <c r="E94" s="14">
        <f>C94/100*15</f>
        <v>12</v>
      </c>
      <c r="F94" s="14"/>
      <c r="G94" s="14"/>
      <c r="H94" s="14"/>
      <c r="I94" s="14"/>
      <c r="J94" s="22">
        <f>C94/100*387</f>
        <v>309.60000000000002</v>
      </c>
      <c r="K94" s="22">
        <f>C94/100*0.09</f>
        <v>7.1999999999999995E-2</v>
      </c>
      <c r="L94" s="111">
        <v>80</v>
      </c>
      <c r="M94" s="20">
        <v>20</v>
      </c>
      <c r="N94" s="16">
        <f>L94*M94</f>
        <v>1600</v>
      </c>
      <c r="O94" s="162"/>
    </row>
    <row r="95" spans="1:20" s="2" customFormat="1" ht="17.399999999999999" customHeight="1">
      <c r="A95" s="8">
        <v>2</v>
      </c>
      <c r="B95" s="128" t="s">
        <v>114</v>
      </c>
      <c r="C95" s="12">
        <f>L95/100*100</f>
        <v>310</v>
      </c>
      <c r="D95" s="13">
        <f>C95/100*899</f>
        <v>2786.9</v>
      </c>
      <c r="E95" s="14"/>
      <c r="F95" s="14"/>
      <c r="G95" s="14">
        <f>C95/100*100</f>
        <v>310</v>
      </c>
      <c r="H95" s="14"/>
      <c r="I95" s="14"/>
      <c r="J95" s="22"/>
      <c r="K95" s="22"/>
      <c r="L95" s="111">
        <v>310</v>
      </c>
      <c r="M95" s="110">
        <v>69</v>
      </c>
      <c r="N95" s="113">
        <f t="shared" ref="N95:N103" si="6">L95*M95</f>
        <v>21390</v>
      </c>
      <c r="O95" s="162"/>
    </row>
    <row r="96" spans="1:20" s="2" customFormat="1" ht="17.399999999999999" customHeight="1">
      <c r="A96" s="8">
        <v>3</v>
      </c>
      <c r="B96" s="128" t="s">
        <v>118</v>
      </c>
      <c r="C96" s="12">
        <f t="shared" ref="C96" si="7">L96/100*100</f>
        <v>140</v>
      </c>
      <c r="D96" s="65">
        <f>C96/100*900</f>
        <v>1260</v>
      </c>
      <c r="E96" s="14"/>
      <c r="F96" s="14"/>
      <c r="G96" s="91"/>
      <c r="H96" s="14">
        <f>C96/100*100</f>
        <v>140</v>
      </c>
      <c r="I96" s="14"/>
      <c r="J96" s="14"/>
      <c r="K96" s="14"/>
      <c r="L96" s="111">
        <v>140</v>
      </c>
      <c r="M96" s="65">
        <v>65</v>
      </c>
      <c r="N96" s="93">
        <f t="shared" si="6"/>
        <v>9100</v>
      </c>
      <c r="O96" s="163"/>
    </row>
    <row r="97" spans="1:23" s="2" customFormat="1" ht="17.399999999999999" customHeight="1">
      <c r="A97" s="8">
        <v>4</v>
      </c>
      <c r="B97" s="9" t="s">
        <v>112</v>
      </c>
      <c r="C97" s="12">
        <f>L97/100*100</f>
        <v>370</v>
      </c>
      <c r="D97" s="13">
        <f>C97/100*53</f>
        <v>196.10000000000002</v>
      </c>
      <c r="E97" s="14"/>
      <c r="F97" s="14">
        <f>C97/100*6.3</f>
        <v>23.31</v>
      </c>
      <c r="G97" s="14"/>
      <c r="H97" s="14">
        <f>C97/100*0.04</f>
        <v>0.14800000000000002</v>
      </c>
      <c r="I97" s="14">
        <f>C97/100*6.8</f>
        <v>25.16</v>
      </c>
      <c r="J97" s="22">
        <f>C97/100*19</f>
        <v>70.3</v>
      </c>
      <c r="K97" s="22">
        <f>C97/100*0.03</f>
        <v>0.111</v>
      </c>
      <c r="L97" s="111">
        <v>370</v>
      </c>
      <c r="M97" s="20">
        <v>45</v>
      </c>
      <c r="N97" s="16">
        <f t="shared" si="6"/>
        <v>16650</v>
      </c>
      <c r="O97" s="342"/>
    </row>
    <row r="98" spans="1:23" s="2" customFormat="1" ht="17.399999999999999" customHeight="1">
      <c r="A98" s="8">
        <v>5</v>
      </c>
      <c r="B98" s="9" t="s">
        <v>121</v>
      </c>
      <c r="C98" s="12">
        <f>L98/100*90</f>
        <v>62.999999999999993</v>
      </c>
      <c r="D98" s="13">
        <f>C98/100*281</f>
        <v>177.02999999999997</v>
      </c>
      <c r="E98" s="14"/>
      <c r="F98" s="14">
        <f>C98/100*9.5</f>
        <v>5.9849999999999994</v>
      </c>
      <c r="G98" s="14"/>
      <c r="H98" s="14">
        <f>C98/100*0.2</f>
        <v>0.12599999999999997</v>
      </c>
      <c r="I98" s="14">
        <f>D98/100*58.5</f>
        <v>103.56254999999999</v>
      </c>
      <c r="J98" s="22">
        <f>C98/100*321</f>
        <v>202.22999999999996</v>
      </c>
      <c r="K98" s="22">
        <f>C98/100*0.14</f>
        <v>8.8199999999999987E-2</v>
      </c>
      <c r="L98" s="111">
        <v>70</v>
      </c>
      <c r="M98" s="43">
        <v>120</v>
      </c>
      <c r="N98" s="16">
        <f t="shared" si="6"/>
        <v>8400</v>
      </c>
      <c r="O98" s="342"/>
    </row>
    <row r="99" spans="1:23" s="2" customFormat="1" ht="17.399999999999999" customHeight="1">
      <c r="A99" s="8">
        <v>6</v>
      </c>
      <c r="B99" s="5" t="s">
        <v>1</v>
      </c>
      <c r="C99" s="12">
        <f>L99/100*100</f>
        <v>2623</v>
      </c>
      <c r="D99" s="13">
        <f>C99/100*344</f>
        <v>9023.1200000000008</v>
      </c>
      <c r="E99" s="14"/>
      <c r="F99" s="14">
        <f>C99/100*7.9</f>
        <v>207.21700000000001</v>
      </c>
      <c r="G99" s="14"/>
      <c r="H99" s="14">
        <f>C99/100*1</f>
        <v>26.23</v>
      </c>
      <c r="I99" s="91">
        <f>C99/100*72.6</f>
        <v>1904.2979999999998</v>
      </c>
      <c r="J99" s="22">
        <f>C99/100*30</f>
        <v>786.9</v>
      </c>
      <c r="K99" s="22">
        <f>C99/100*0.1</f>
        <v>2.6230000000000002</v>
      </c>
      <c r="L99" s="111">
        <v>2623</v>
      </c>
      <c r="M99" s="20">
        <v>18</v>
      </c>
      <c r="N99" s="16">
        <f t="shared" si="6"/>
        <v>47214</v>
      </c>
      <c r="O99" s="162"/>
    </row>
    <row r="100" spans="1:23" s="2" customFormat="1" ht="17.399999999999999" customHeight="1">
      <c r="A100" s="8">
        <v>7</v>
      </c>
      <c r="B100" s="9" t="s">
        <v>64</v>
      </c>
      <c r="C100" s="12">
        <f>L100/100*98</f>
        <v>2626.4</v>
      </c>
      <c r="D100" s="13">
        <f>C100/100*139</f>
        <v>3650.6959999999999</v>
      </c>
      <c r="E100" s="14">
        <f>C100/100*19</f>
        <v>499.01599999999996</v>
      </c>
      <c r="F100" s="14"/>
      <c r="G100" s="14">
        <f>C100/100*7</f>
        <v>183.84799999999998</v>
      </c>
      <c r="H100" s="14"/>
      <c r="I100" s="14"/>
      <c r="J100" s="22">
        <f>C100/100*7</f>
        <v>183.84799999999998</v>
      </c>
      <c r="K100" s="22">
        <f>C100/100*0.9</f>
        <v>23.637599999999999</v>
      </c>
      <c r="L100" s="111">
        <v>2680</v>
      </c>
      <c r="M100" s="42">
        <v>133</v>
      </c>
      <c r="N100" s="44">
        <f t="shared" si="6"/>
        <v>356440</v>
      </c>
      <c r="O100" s="162"/>
    </row>
    <row r="101" spans="1:23" s="2" customFormat="1" ht="17.399999999999999" customHeight="1">
      <c r="A101" s="8">
        <v>8</v>
      </c>
      <c r="B101" s="5" t="s">
        <v>3</v>
      </c>
      <c r="C101" s="12">
        <f>L101/100*48</f>
        <v>835.19999999999993</v>
      </c>
      <c r="D101" s="13">
        <f>C101/100*199</f>
        <v>1662.0479999999998</v>
      </c>
      <c r="E101" s="14">
        <f>C101/100*20.3</f>
        <v>169.54559999999998</v>
      </c>
      <c r="F101" s="14"/>
      <c r="G101" s="14">
        <f>C101/100*13.1</f>
        <v>109.41119999999998</v>
      </c>
      <c r="H101" s="14"/>
      <c r="I101" s="14"/>
      <c r="J101" s="22">
        <f>C101/100*12</f>
        <v>100.22399999999999</v>
      </c>
      <c r="K101" s="22">
        <f>C101/100*0.15</f>
        <v>1.2527999999999997</v>
      </c>
      <c r="L101" s="111">
        <v>1740</v>
      </c>
      <c r="M101" s="15">
        <v>84</v>
      </c>
      <c r="N101" s="16">
        <f t="shared" si="6"/>
        <v>146160</v>
      </c>
      <c r="O101" s="162"/>
      <c r="Q101" s="3"/>
      <c r="R101" s="3"/>
      <c r="S101" s="4"/>
    </row>
    <row r="102" spans="1:23" s="2" customFormat="1" ht="17.399999999999999" customHeight="1">
      <c r="A102" s="8">
        <v>9</v>
      </c>
      <c r="B102" s="5" t="s">
        <v>66</v>
      </c>
      <c r="C102" s="12">
        <f>L102/100*75</f>
        <v>1395</v>
      </c>
      <c r="D102" s="13">
        <f>C102/100*12</f>
        <v>167.39999999999998</v>
      </c>
      <c r="E102" s="17"/>
      <c r="F102" s="17">
        <f>C102/100*0.6</f>
        <v>8.3699999999999992</v>
      </c>
      <c r="G102" s="17"/>
      <c r="H102" s="17"/>
      <c r="I102" s="17">
        <f>C102/100*2.4</f>
        <v>33.479999999999997</v>
      </c>
      <c r="J102" s="91">
        <f>C102/100*120</f>
        <v>1674</v>
      </c>
      <c r="K102" s="22">
        <f>C102/100*0.02</f>
        <v>0.27899999999999997</v>
      </c>
      <c r="L102" s="321">
        <v>1860</v>
      </c>
      <c r="M102" s="20">
        <v>20</v>
      </c>
      <c r="N102" s="16">
        <f t="shared" si="6"/>
        <v>37200</v>
      </c>
      <c r="O102" s="162"/>
      <c r="P102" s="3"/>
    </row>
    <row r="103" spans="1:23" s="2" customFormat="1" ht="17.399999999999999" customHeight="1">
      <c r="A103" s="8">
        <v>10</v>
      </c>
      <c r="B103" s="5" t="s">
        <v>110</v>
      </c>
      <c r="C103" s="12">
        <f>L103/100*100</f>
        <v>60</v>
      </c>
      <c r="D103" s="13">
        <f>C103/100*247</f>
        <v>148.19999999999999</v>
      </c>
      <c r="E103" s="17"/>
      <c r="F103" s="17">
        <f>C103/100*17.5</f>
        <v>10.5</v>
      </c>
      <c r="G103" s="17"/>
      <c r="H103" s="17">
        <f>C103/100*1.6</f>
        <v>0.96</v>
      </c>
      <c r="I103" s="17">
        <f>C103/100*39.2</f>
        <v>23.52</v>
      </c>
      <c r="J103" s="21"/>
      <c r="K103" s="21"/>
      <c r="L103" s="321">
        <v>60</v>
      </c>
      <c r="M103" s="20">
        <v>50</v>
      </c>
      <c r="N103" s="113">
        <f t="shared" si="6"/>
        <v>3000</v>
      </c>
      <c r="O103" s="162"/>
      <c r="Q103" s="3"/>
      <c r="R103" s="3"/>
      <c r="S103" s="4"/>
      <c r="T103" s="3"/>
    </row>
    <row r="104" spans="1:23" s="2" customFormat="1" ht="17.399999999999999" customHeight="1">
      <c r="A104" s="8">
        <v>11</v>
      </c>
      <c r="B104" s="9" t="s">
        <v>105</v>
      </c>
      <c r="C104" s="12"/>
      <c r="D104" s="13"/>
      <c r="E104" s="14"/>
      <c r="F104" s="14"/>
      <c r="G104" s="14"/>
      <c r="H104" s="14"/>
      <c r="I104" s="14"/>
      <c r="J104" s="14"/>
      <c r="K104" s="14"/>
      <c r="L104" s="15"/>
      <c r="M104" s="15"/>
      <c r="N104" s="16">
        <v>4760</v>
      </c>
      <c r="O104" s="162"/>
    </row>
    <row r="105" spans="1:23" s="2" customFormat="1" ht="17.399999999999999" customHeight="1">
      <c r="A105" s="23" t="s">
        <v>98</v>
      </c>
      <c r="B105" s="24"/>
      <c r="C105" s="25"/>
      <c r="D105" s="94">
        <f>SUM(D94:D104)</f>
        <v>19119.494000000002</v>
      </c>
      <c r="E105" s="31"/>
      <c r="F105" s="31"/>
      <c r="G105" s="31"/>
      <c r="H105" s="31"/>
      <c r="I105" s="31"/>
      <c r="J105" s="31"/>
      <c r="K105" s="31"/>
      <c r="L105" s="32"/>
      <c r="M105" s="32"/>
      <c r="N105" s="295">
        <f>SUM(N94:N104)</f>
        <v>651914</v>
      </c>
      <c r="O105" s="162"/>
    </row>
    <row r="106" spans="1:23" ht="17.399999999999999" customHeight="1">
      <c r="A106" s="23" t="s">
        <v>41</v>
      </c>
      <c r="B106" s="24"/>
      <c r="C106" s="33"/>
      <c r="D106" s="34">
        <f>D105/C88</f>
        <v>313.43432786885251</v>
      </c>
      <c r="E106" s="34"/>
      <c r="F106" s="34"/>
      <c r="G106" s="34"/>
      <c r="H106" s="34"/>
      <c r="I106" s="34"/>
      <c r="J106" s="34"/>
      <c r="K106" s="34"/>
      <c r="L106" s="35"/>
      <c r="M106" s="35"/>
      <c r="N106" s="296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7.399999999999999" customHeight="1">
      <c r="A107" s="298" t="s">
        <v>50</v>
      </c>
      <c r="B107" s="210"/>
      <c r="C107" s="322" t="s">
        <v>125</v>
      </c>
      <c r="D107" s="29" t="s">
        <v>36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58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7.399999999999999" customHeight="1">
      <c r="A108" s="211"/>
      <c r="B108" s="212"/>
      <c r="C108" s="62" t="s">
        <v>56</v>
      </c>
      <c r="D108" s="29">
        <f>D106*100/930</f>
        <v>33.702615899876612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8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7.399999999999999" customHeight="1">
      <c r="A109" s="307" t="s">
        <v>43</v>
      </c>
      <c r="B109" s="213"/>
      <c r="C109" s="45"/>
      <c r="D109" s="46"/>
      <c r="E109" s="47"/>
      <c r="F109" s="47"/>
      <c r="G109" s="47"/>
      <c r="H109" s="47"/>
      <c r="I109" s="47"/>
      <c r="J109" s="47"/>
      <c r="K109" s="47"/>
      <c r="L109" s="48"/>
      <c r="M109" s="48"/>
      <c r="N109" s="49"/>
      <c r="O109" s="162"/>
    </row>
    <row r="110" spans="1:23" s="2" customFormat="1" ht="17.399999999999999" customHeight="1">
      <c r="A110" s="8">
        <v>1</v>
      </c>
      <c r="B110" s="9" t="s">
        <v>2</v>
      </c>
      <c r="C110" s="12">
        <f>L110/100*100</f>
        <v>70</v>
      </c>
      <c r="D110" s="13">
        <f>C110/100*60</f>
        <v>42</v>
      </c>
      <c r="E110" s="14">
        <f>C110/100*15</f>
        <v>10.5</v>
      </c>
      <c r="F110" s="14"/>
      <c r="G110" s="14"/>
      <c r="H110" s="14"/>
      <c r="I110" s="14"/>
      <c r="J110" s="22">
        <f>C110/100*387</f>
        <v>270.89999999999998</v>
      </c>
      <c r="K110" s="22">
        <f>C110/100*0.09</f>
        <v>6.3E-2</v>
      </c>
      <c r="L110" s="111">
        <v>70</v>
      </c>
      <c r="M110" s="20">
        <v>20</v>
      </c>
      <c r="N110" s="16">
        <f>L110*M110</f>
        <v>1400</v>
      </c>
      <c r="O110" s="162"/>
    </row>
    <row r="111" spans="1:23" s="2" customFormat="1" ht="17.399999999999999" customHeight="1">
      <c r="A111" s="8">
        <v>2</v>
      </c>
      <c r="B111" s="9" t="s">
        <v>114</v>
      </c>
      <c r="C111" s="12">
        <f>L111/100*100</f>
        <v>210</v>
      </c>
      <c r="D111" s="13">
        <f>C111/100*899</f>
        <v>1887.9</v>
      </c>
      <c r="E111" s="14"/>
      <c r="F111" s="14"/>
      <c r="G111" s="14">
        <f>C111/100*100</f>
        <v>210</v>
      </c>
      <c r="H111" s="14"/>
      <c r="I111" s="14"/>
      <c r="J111" s="22"/>
      <c r="K111" s="22"/>
      <c r="L111" s="111">
        <v>210</v>
      </c>
      <c r="M111" s="110">
        <v>69</v>
      </c>
      <c r="N111" s="113">
        <f t="shared" ref="N111:N117" si="8">L111*M111</f>
        <v>14490</v>
      </c>
      <c r="O111" s="162"/>
    </row>
    <row r="112" spans="1:23" s="2" customFormat="1" ht="17.399999999999999" customHeight="1">
      <c r="A112" s="8">
        <v>3</v>
      </c>
      <c r="B112" s="5" t="s">
        <v>1</v>
      </c>
      <c r="C112" s="12">
        <f>L112/100*100</f>
        <v>2562</v>
      </c>
      <c r="D112" s="13">
        <f>C112/100*344</f>
        <v>8813.2800000000007</v>
      </c>
      <c r="E112" s="14"/>
      <c r="F112" s="14">
        <f>C112/100*7.9</f>
        <v>202.39800000000002</v>
      </c>
      <c r="G112" s="14"/>
      <c r="H112" s="14">
        <f>C112/100*1</f>
        <v>25.62</v>
      </c>
      <c r="I112" s="91">
        <f>C112/100*72.6</f>
        <v>1860.0119999999999</v>
      </c>
      <c r="J112" s="22">
        <f>C112/100*30</f>
        <v>768.6</v>
      </c>
      <c r="K112" s="22">
        <f>C112/100*0.1</f>
        <v>2.5620000000000003</v>
      </c>
      <c r="L112" s="111">
        <v>2562</v>
      </c>
      <c r="M112" s="20">
        <v>18</v>
      </c>
      <c r="N112" s="16">
        <f t="shared" si="8"/>
        <v>46116</v>
      </c>
      <c r="O112" s="162"/>
    </row>
    <row r="113" spans="1:23" s="2" customFormat="1" ht="17.399999999999999" customHeight="1">
      <c r="A113" s="8">
        <v>4</v>
      </c>
      <c r="B113" s="9" t="s">
        <v>116</v>
      </c>
      <c r="C113" s="12">
        <f>L113/100*31</f>
        <v>223.20000000000002</v>
      </c>
      <c r="D113" s="13">
        <f>C113/100*87</f>
        <v>194.18400000000003</v>
      </c>
      <c r="E113" s="14">
        <f>C113/100*12.3</f>
        <v>27.453600000000005</v>
      </c>
      <c r="F113" s="14"/>
      <c r="G113" s="14">
        <f>C113/100*3.3</f>
        <v>7.3656000000000006</v>
      </c>
      <c r="H113" s="14"/>
      <c r="I113" s="14">
        <f>C113/100*2</f>
        <v>4.4640000000000004</v>
      </c>
      <c r="J113" s="22">
        <f>C113/100*120</f>
        <v>267.84000000000003</v>
      </c>
      <c r="K113" s="22">
        <f>C113/100*0.01</f>
        <v>2.2320000000000003E-2</v>
      </c>
      <c r="L113" s="111">
        <v>720</v>
      </c>
      <c r="M113" s="102">
        <v>180</v>
      </c>
      <c r="N113" s="16">
        <f t="shared" si="8"/>
        <v>129600</v>
      </c>
      <c r="O113" s="162"/>
    </row>
    <row r="114" spans="1:23" s="2" customFormat="1" ht="17.399999999999999" customHeight="1">
      <c r="A114" s="8">
        <v>5</v>
      </c>
      <c r="B114" s="9" t="s">
        <v>61</v>
      </c>
      <c r="C114" s="12">
        <f>L114/100*86</f>
        <v>1599.6000000000001</v>
      </c>
      <c r="D114" s="13">
        <f>C114/100*166</f>
        <v>2655.3360000000002</v>
      </c>
      <c r="E114" s="14">
        <f>C114/100*14.8</f>
        <v>236.74080000000004</v>
      </c>
      <c r="F114" s="14"/>
      <c r="G114" s="14">
        <f>C114/100*11.6</f>
        <v>185.55360000000002</v>
      </c>
      <c r="H114" s="14"/>
      <c r="I114" s="14">
        <f>C114/100*0.5</f>
        <v>7.9980000000000011</v>
      </c>
      <c r="J114" s="14">
        <f>C114/100*55</f>
        <v>879.78000000000009</v>
      </c>
      <c r="K114" s="14">
        <f>C114/100*0.16</f>
        <v>2.5593600000000003</v>
      </c>
      <c r="L114" s="111">
        <v>1860</v>
      </c>
      <c r="M114" s="43">
        <v>57</v>
      </c>
      <c r="N114" s="16">
        <f t="shared" si="8"/>
        <v>106020</v>
      </c>
      <c r="O114" s="162"/>
      <c r="Q114" s="3"/>
      <c r="R114" s="3"/>
      <c r="S114" s="4"/>
      <c r="T114" s="3"/>
    </row>
    <row r="115" spans="1:23" s="2" customFormat="1" ht="17.399999999999999" customHeight="1">
      <c r="A115" s="8">
        <v>6</v>
      </c>
      <c r="B115" s="9" t="s">
        <v>64</v>
      </c>
      <c r="C115" s="12">
        <f>L115/100*98</f>
        <v>676.2</v>
      </c>
      <c r="D115" s="13">
        <f>C115/100*139</f>
        <v>939.91800000000012</v>
      </c>
      <c r="E115" s="14">
        <f>C115/100*19</f>
        <v>128.47800000000001</v>
      </c>
      <c r="F115" s="14"/>
      <c r="G115" s="14">
        <f>C115/100*7</f>
        <v>47.334000000000003</v>
      </c>
      <c r="H115" s="14"/>
      <c r="I115" s="14"/>
      <c r="J115" s="22">
        <f>C115/100*7</f>
        <v>47.334000000000003</v>
      </c>
      <c r="K115" s="22">
        <f>C115/100*0.9</f>
        <v>6.0858000000000008</v>
      </c>
      <c r="L115" s="111">
        <v>690</v>
      </c>
      <c r="M115" s="42">
        <v>133</v>
      </c>
      <c r="N115" s="44">
        <f t="shared" si="8"/>
        <v>91770</v>
      </c>
      <c r="O115" s="162"/>
    </row>
    <row r="116" spans="1:23" s="2" customFormat="1" ht="17.399999999999999" customHeight="1">
      <c r="A116" s="8">
        <v>7</v>
      </c>
      <c r="B116" s="5" t="s">
        <v>110</v>
      </c>
      <c r="C116" s="12">
        <f>L116/100*100</f>
        <v>60</v>
      </c>
      <c r="D116" s="13">
        <f>C116/100*247</f>
        <v>148.19999999999999</v>
      </c>
      <c r="E116" s="17"/>
      <c r="F116" s="17">
        <f>C116/100*17.5</f>
        <v>10.5</v>
      </c>
      <c r="G116" s="17"/>
      <c r="H116" s="17">
        <f>C116/100*1.6</f>
        <v>0.96</v>
      </c>
      <c r="I116" s="17">
        <f>C116/100*39.2</f>
        <v>23.52</v>
      </c>
      <c r="J116" s="21"/>
      <c r="K116" s="21"/>
      <c r="L116" s="320">
        <v>60</v>
      </c>
      <c r="M116" s="20">
        <v>50</v>
      </c>
      <c r="N116" s="113">
        <f t="shared" si="8"/>
        <v>3000</v>
      </c>
      <c r="O116" s="162"/>
      <c r="Q116" s="3"/>
      <c r="R116" s="3"/>
      <c r="S116" s="4"/>
      <c r="T116" s="3"/>
    </row>
    <row r="117" spans="1:23" s="118" customFormat="1" ht="17.399999999999999" customHeight="1">
      <c r="A117" s="133">
        <v>8</v>
      </c>
      <c r="B117" s="142" t="s">
        <v>143</v>
      </c>
      <c r="C117" s="134">
        <f>L117/100*63</f>
        <v>1096.1999999999998</v>
      </c>
      <c r="D117" s="135">
        <f>C117/100*25</f>
        <v>274.04999999999995</v>
      </c>
      <c r="E117" s="104"/>
      <c r="F117" s="104">
        <f>C117/100*3.2</f>
        <v>35.078399999999995</v>
      </c>
      <c r="G117" s="104"/>
      <c r="H117" s="104">
        <f>C117/100*0.4</f>
        <v>4.3847999999999994</v>
      </c>
      <c r="I117" s="104">
        <f>C117/100*2.1</f>
        <v>23.020199999999996</v>
      </c>
      <c r="J117" s="149">
        <f>C117/100*100</f>
        <v>1096.1999999999998</v>
      </c>
      <c r="K117" s="104">
        <f>C117/100*0.1</f>
        <v>1.0961999999999998</v>
      </c>
      <c r="L117" s="111">
        <v>1740</v>
      </c>
      <c r="M117" s="110">
        <v>15</v>
      </c>
      <c r="N117" s="113">
        <f t="shared" si="8"/>
        <v>26100</v>
      </c>
      <c r="O117" s="164"/>
    </row>
    <row r="118" spans="1:23" s="2" customFormat="1" ht="17.399999999999999" customHeight="1">
      <c r="A118" s="8">
        <v>9</v>
      </c>
      <c r="B118" s="9" t="s">
        <v>105</v>
      </c>
      <c r="C118" s="12"/>
      <c r="D118" s="13"/>
      <c r="E118" s="14"/>
      <c r="F118" s="14"/>
      <c r="G118" s="14"/>
      <c r="H118" s="14"/>
      <c r="I118" s="14"/>
      <c r="J118" s="14"/>
      <c r="K118" s="14"/>
      <c r="L118" s="15"/>
      <c r="M118" s="15"/>
      <c r="N118" s="16">
        <v>4760</v>
      </c>
      <c r="O118" s="162"/>
    </row>
    <row r="119" spans="1:23" s="2" customFormat="1" ht="17.399999999999999" customHeight="1">
      <c r="A119" s="23" t="s">
        <v>99</v>
      </c>
      <c r="B119" s="24"/>
      <c r="C119" s="25"/>
      <c r="D119" s="94">
        <f>SUM(D110:D118)</f>
        <v>14954.868</v>
      </c>
      <c r="E119" s="31"/>
      <c r="F119" s="31"/>
      <c r="G119" s="31"/>
      <c r="H119" s="31"/>
      <c r="I119" s="31"/>
      <c r="J119" s="31"/>
      <c r="K119" s="31"/>
      <c r="L119" s="32"/>
      <c r="M119" s="32"/>
      <c r="N119" s="295">
        <f>SUM(N110:N118)</f>
        <v>423256</v>
      </c>
      <c r="O119" s="162"/>
    </row>
    <row r="120" spans="1:23" ht="17.399999999999999" customHeight="1">
      <c r="A120" s="23" t="s">
        <v>44</v>
      </c>
      <c r="B120" s="24"/>
      <c r="C120" s="52"/>
      <c r="D120" s="36">
        <f>D119/C88</f>
        <v>245.16177049180328</v>
      </c>
      <c r="E120" s="36"/>
      <c r="F120" s="36"/>
      <c r="G120" s="36"/>
      <c r="H120" s="36"/>
      <c r="I120" s="36"/>
      <c r="J120" s="36"/>
      <c r="K120" s="36"/>
      <c r="L120" s="53"/>
      <c r="M120" s="35"/>
      <c r="N120" s="296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7.399999999999999" customHeight="1">
      <c r="A121" s="298" t="s">
        <v>51</v>
      </c>
      <c r="B121" s="210"/>
      <c r="C121" s="322" t="s">
        <v>125</v>
      </c>
      <c r="D121" s="29" t="s">
        <v>46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8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7.399999999999999" customHeight="1">
      <c r="A122" s="211"/>
      <c r="B122" s="212"/>
      <c r="C122" s="62" t="s">
        <v>56</v>
      </c>
      <c r="D122" s="29">
        <f>D120*100/930</f>
        <v>26.361480698043366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8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7.399999999999999" customHeight="1">
      <c r="A123" s="213" t="s">
        <v>37</v>
      </c>
      <c r="B123" s="213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4"/>
      <c r="P123" s="2"/>
      <c r="Q123" s="2"/>
      <c r="R123" s="2"/>
      <c r="S123" s="2"/>
      <c r="T123" s="2"/>
      <c r="U123" s="2"/>
      <c r="V123" s="2"/>
      <c r="W123" s="2"/>
    </row>
    <row r="124" spans="1:23" s="2" customFormat="1" ht="17.399999999999999" customHeight="1">
      <c r="A124" s="119">
        <v>1</v>
      </c>
      <c r="B124" s="140" t="s">
        <v>123</v>
      </c>
      <c r="C124" s="25">
        <f>L124/100*100</f>
        <v>1030</v>
      </c>
      <c r="D124" s="120">
        <f>C124/100*487</f>
        <v>5016.1000000000004</v>
      </c>
      <c r="E124" s="27"/>
      <c r="F124" s="27">
        <f>C124/100*19.5</f>
        <v>200.85000000000002</v>
      </c>
      <c r="G124" s="27"/>
      <c r="H124" s="27">
        <f>C124/100*23.2</f>
        <v>238.96</v>
      </c>
      <c r="I124" s="27">
        <f>C124/100*46</f>
        <v>473.8</v>
      </c>
      <c r="J124" s="121">
        <f>C124/100*680</f>
        <v>7004.0000000000009</v>
      </c>
      <c r="K124" s="27">
        <f>C124/100*0.55</f>
        <v>5.6650000000000009</v>
      </c>
      <c r="L124" s="28">
        <v>1030</v>
      </c>
      <c r="M124" s="141">
        <v>260</v>
      </c>
      <c r="N124" s="122">
        <f t="shared" ref="N124" si="9">L124*M124</f>
        <v>267800</v>
      </c>
      <c r="O124" s="162"/>
      <c r="P124" s="3"/>
    </row>
    <row r="125" spans="1:23" ht="19.2" customHeight="1">
      <c r="A125" s="170" t="s">
        <v>0</v>
      </c>
      <c r="B125" s="173" t="s">
        <v>18</v>
      </c>
      <c r="C125" s="176" t="s">
        <v>7</v>
      </c>
      <c r="D125" s="176" t="s">
        <v>8</v>
      </c>
      <c r="E125" s="179" t="s">
        <v>10</v>
      </c>
      <c r="F125" s="180"/>
      <c r="G125" s="179" t="s">
        <v>12</v>
      </c>
      <c r="H125" s="180"/>
      <c r="I125" s="198" t="s">
        <v>15</v>
      </c>
      <c r="J125" s="198" t="s">
        <v>30</v>
      </c>
      <c r="K125" s="198" t="s">
        <v>31</v>
      </c>
      <c r="L125" s="198" t="s">
        <v>16</v>
      </c>
      <c r="M125" s="198" t="s">
        <v>32</v>
      </c>
      <c r="N125" s="170" t="s">
        <v>17</v>
      </c>
      <c r="O125" s="161"/>
    </row>
    <row r="126" spans="1:23" ht="19.2" customHeight="1">
      <c r="A126" s="171"/>
      <c r="B126" s="174"/>
      <c r="C126" s="177"/>
      <c r="D126" s="177"/>
      <c r="E126" s="181"/>
      <c r="F126" s="182"/>
      <c r="G126" s="181"/>
      <c r="H126" s="182"/>
      <c r="I126" s="206"/>
      <c r="J126" s="206"/>
      <c r="K126" s="206"/>
      <c r="L126" s="206"/>
      <c r="M126" s="206"/>
      <c r="N126" s="171"/>
      <c r="O126" s="152"/>
    </row>
    <row r="127" spans="1:23" ht="19.2" customHeight="1">
      <c r="A127" s="171"/>
      <c r="B127" s="174"/>
      <c r="C127" s="177"/>
      <c r="D127" s="177"/>
      <c r="E127" s="198" t="s">
        <v>9</v>
      </c>
      <c r="F127" s="198" t="s">
        <v>11</v>
      </c>
      <c r="G127" s="198" t="s">
        <v>13</v>
      </c>
      <c r="H127" s="198" t="s">
        <v>14</v>
      </c>
      <c r="I127" s="206"/>
      <c r="J127" s="206"/>
      <c r="K127" s="206"/>
      <c r="L127" s="206"/>
      <c r="M127" s="206"/>
      <c r="N127" s="171"/>
      <c r="O127" s="152"/>
    </row>
    <row r="128" spans="1:23" ht="28.8" customHeight="1">
      <c r="A128" s="172"/>
      <c r="B128" s="175"/>
      <c r="C128" s="178"/>
      <c r="D128" s="178"/>
      <c r="E128" s="199"/>
      <c r="F128" s="199"/>
      <c r="G128" s="199"/>
      <c r="H128" s="199"/>
      <c r="I128" s="199"/>
      <c r="J128" s="199"/>
      <c r="K128" s="199"/>
      <c r="L128" s="199"/>
      <c r="M128" s="199"/>
      <c r="N128" s="172"/>
      <c r="O128" s="152"/>
    </row>
    <row r="129" spans="1:23" s="2" customFormat="1" ht="21" customHeight="1">
      <c r="A129" s="23" t="s">
        <v>92</v>
      </c>
      <c r="B129" s="24"/>
      <c r="C129" s="25"/>
      <c r="D129" s="26">
        <f>SUM(D123:D124)</f>
        <v>5016.1000000000004</v>
      </c>
      <c r="E129" s="31"/>
      <c r="F129" s="31"/>
      <c r="G129" s="31"/>
      <c r="H129" s="31"/>
      <c r="I129" s="31"/>
      <c r="J129" s="31"/>
      <c r="K129" s="31"/>
      <c r="L129" s="32"/>
      <c r="M129" s="58"/>
      <c r="N129" s="295">
        <f>SUM(N123:N124)</f>
        <v>267800</v>
      </c>
      <c r="O129" s="162"/>
    </row>
    <row r="130" spans="1:23" ht="21" customHeight="1">
      <c r="A130" s="23" t="s">
        <v>6</v>
      </c>
      <c r="B130" s="24"/>
      <c r="C130" s="33"/>
      <c r="D130" s="34">
        <f>D129/C88</f>
        <v>82.231147540983613</v>
      </c>
      <c r="E130" s="34"/>
      <c r="F130" s="34"/>
      <c r="G130" s="34"/>
      <c r="H130" s="34"/>
      <c r="I130" s="34"/>
      <c r="J130" s="34"/>
      <c r="K130" s="34"/>
      <c r="L130" s="35"/>
      <c r="M130" s="18"/>
      <c r="N130" s="296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298" t="s">
        <v>49</v>
      </c>
      <c r="B131" s="210"/>
      <c r="C131" s="61" t="s">
        <v>55</v>
      </c>
      <c r="D131" s="29" t="s">
        <v>47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8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11"/>
      <c r="B132" s="212"/>
      <c r="C132" s="62" t="s">
        <v>56</v>
      </c>
      <c r="D132" s="29">
        <f>D130*100/930</f>
        <v>8.8420588753745832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8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5" t="s">
        <v>93</v>
      </c>
      <c r="B133" s="216"/>
      <c r="C133" s="219"/>
      <c r="D133" s="280">
        <f>D105+D119+D129</f>
        <v>39090.462</v>
      </c>
      <c r="E133" s="95">
        <f t="shared" ref="E133:I133" si="10">SUM(E94:E124)</f>
        <v>1083.7340000000002</v>
      </c>
      <c r="F133" s="6">
        <f t="shared" si="10"/>
        <v>704.20839999999998</v>
      </c>
      <c r="G133" s="95">
        <f t="shared" si="10"/>
        <v>1053.5124000000001</v>
      </c>
      <c r="H133" s="6">
        <f t="shared" si="10"/>
        <v>437.38880000000006</v>
      </c>
      <c r="I133" s="223">
        <f t="shared" si="10"/>
        <v>4482.83475</v>
      </c>
      <c r="J133" s="225">
        <f>SUM(J94:J124)</f>
        <v>13661.756000000001</v>
      </c>
      <c r="K133" s="227">
        <f>SUM(K94:K124)</f>
        <v>46.117280000000001</v>
      </c>
      <c r="L133" s="229"/>
      <c r="M133" s="229"/>
      <c r="N133" s="297">
        <f>N105+N119+N129</f>
        <v>1342970</v>
      </c>
      <c r="P133" s="2"/>
      <c r="Q133" s="2"/>
      <c r="R133" s="2"/>
      <c r="S133" s="2"/>
      <c r="T133" s="2"/>
      <c r="U133" s="2"/>
      <c r="V133" s="2"/>
    </row>
    <row r="134" spans="1:23" ht="21" customHeight="1">
      <c r="A134" s="217"/>
      <c r="B134" s="218"/>
      <c r="C134" s="220"/>
      <c r="D134" s="281"/>
      <c r="E134" s="231">
        <f>E133+F133</f>
        <v>1787.9424000000001</v>
      </c>
      <c r="F134" s="232"/>
      <c r="G134" s="231">
        <f>G133+H133</f>
        <v>1490.9012000000002</v>
      </c>
      <c r="H134" s="232"/>
      <c r="I134" s="224"/>
      <c r="J134" s="226"/>
      <c r="K134" s="228"/>
      <c r="L134" s="229"/>
      <c r="M134" s="229"/>
      <c r="N134" s="297"/>
      <c r="U134" s="11"/>
      <c r="V134" s="11"/>
    </row>
    <row r="135" spans="1:23" ht="21" customHeight="1">
      <c r="A135" s="271" t="s">
        <v>73</v>
      </c>
      <c r="B135" s="272"/>
      <c r="C135" s="273"/>
      <c r="D135" s="103">
        <f>D133/C88</f>
        <v>640.82724590163934</v>
      </c>
      <c r="E135" s="108">
        <f>E133/C88</f>
        <v>17.766131147540985</v>
      </c>
      <c r="F135" s="107">
        <f>F133/C88</f>
        <v>11.5444</v>
      </c>
      <c r="G135" s="108">
        <f>G133/C88</f>
        <v>17.270695081967215</v>
      </c>
      <c r="H135" s="107">
        <f>H133/C88</f>
        <v>7.1703081967213125</v>
      </c>
      <c r="I135" s="241">
        <f>I133/C88</f>
        <v>73.489094262295083</v>
      </c>
      <c r="J135" s="241">
        <f>J133/C88</f>
        <v>223.96321311475413</v>
      </c>
      <c r="K135" s="241">
        <f>K133/C88</f>
        <v>0.75602098360655734</v>
      </c>
      <c r="L135" s="229"/>
      <c r="M135" s="229"/>
      <c r="N135" s="297"/>
      <c r="U135" s="11"/>
      <c r="V135" s="11"/>
    </row>
    <row r="136" spans="1:23" ht="21" customHeight="1">
      <c r="A136" s="274"/>
      <c r="B136" s="275"/>
      <c r="C136" s="276"/>
      <c r="D136" s="98"/>
      <c r="E136" s="302">
        <f>E135+F135</f>
        <v>29.310531147540985</v>
      </c>
      <c r="F136" s="301"/>
      <c r="G136" s="302">
        <f>G135+H135</f>
        <v>24.441003278688527</v>
      </c>
      <c r="H136" s="301"/>
      <c r="I136" s="242"/>
      <c r="J136" s="242"/>
      <c r="K136" s="242"/>
      <c r="L136" s="229"/>
      <c r="M136" s="229"/>
      <c r="N136" s="297"/>
      <c r="P136" s="333"/>
      <c r="Q136" s="334"/>
      <c r="R136" s="334"/>
      <c r="S136" s="334"/>
      <c r="T136" s="334"/>
      <c r="U136" s="335"/>
      <c r="V136" s="335"/>
      <c r="W136" s="333"/>
    </row>
    <row r="137" spans="1:23" ht="21" customHeight="1">
      <c r="A137" s="323" t="s">
        <v>74</v>
      </c>
      <c r="B137" s="324"/>
      <c r="C137" s="325"/>
      <c r="D137" s="326" t="s">
        <v>26</v>
      </c>
      <c r="E137" s="332" t="s">
        <v>22</v>
      </c>
      <c r="F137" s="332"/>
      <c r="G137" s="332" t="s">
        <v>23</v>
      </c>
      <c r="H137" s="332"/>
      <c r="I137" s="326" t="s">
        <v>24</v>
      </c>
      <c r="J137" s="153">
        <v>500</v>
      </c>
      <c r="K137" s="153">
        <v>0.59</v>
      </c>
      <c r="L137" s="229"/>
      <c r="M137" s="229"/>
      <c r="N137" s="297"/>
      <c r="O137" s="166"/>
      <c r="P137" s="336"/>
      <c r="Q137" s="334"/>
      <c r="R137" s="334"/>
      <c r="S137" s="334"/>
      <c r="T137" s="334"/>
      <c r="U137" s="334"/>
      <c r="V137" s="334"/>
      <c r="W137" s="333"/>
    </row>
    <row r="138" spans="1:23" ht="21" customHeight="1">
      <c r="A138" s="246" t="s">
        <v>67</v>
      </c>
      <c r="B138" s="247"/>
      <c r="C138" s="248"/>
      <c r="D138" s="19"/>
      <c r="E138" s="249">
        <f>E136*4.1</f>
        <v>120.17317770491803</v>
      </c>
      <c r="F138" s="250"/>
      <c r="G138" s="249">
        <f>G136*9</f>
        <v>219.96902950819674</v>
      </c>
      <c r="H138" s="250"/>
      <c r="I138" s="68">
        <f>I135*4.1</f>
        <v>301.30528647540979</v>
      </c>
      <c r="J138" s="251"/>
      <c r="K138" s="251"/>
      <c r="L138" s="229"/>
      <c r="M138" s="229"/>
      <c r="N138" s="297"/>
      <c r="O138" s="166"/>
      <c r="P138" s="338"/>
      <c r="Q138" s="339"/>
      <c r="R138" s="339"/>
      <c r="S138" s="339"/>
      <c r="T138" s="333"/>
      <c r="U138" s="333"/>
      <c r="V138" s="333"/>
      <c r="W138" s="333"/>
    </row>
    <row r="139" spans="1:23" ht="21" customHeight="1">
      <c r="A139" s="254" t="s">
        <v>75</v>
      </c>
      <c r="B139" s="255"/>
      <c r="C139" s="246" t="s">
        <v>56</v>
      </c>
      <c r="D139" s="248"/>
      <c r="E139" s="282">
        <f>E138*100/D135</f>
        <v>18.752819652016392</v>
      </c>
      <c r="F139" s="283"/>
      <c r="G139" s="282">
        <f>G138*100/D135</f>
        <v>34.325792312201379</v>
      </c>
      <c r="H139" s="283"/>
      <c r="I139" s="86">
        <f>I138*100/D135</f>
        <v>47.018176646262191</v>
      </c>
      <c r="J139" s="252"/>
      <c r="K139" s="252"/>
      <c r="L139" s="229"/>
      <c r="M139" s="229"/>
      <c r="N139" s="297"/>
      <c r="O139" s="166"/>
      <c r="P139" s="333"/>
      <c r="Q139" s="340"/>
      <c r="R139" s="333"/>
      <c r="S139" s="333"/>
      <c r="T139" s="333"/>
      <c r="U139" s="333"/>
      <c r="V139" s="333"/>
      <c r="W139" s="333"/>
    </row>
    <row r="140" spans="1:23" ht="21" customHeight="1">
      <c r="A140" s="256"/>
      <c r="B140" s="257"/>
      <c r="C140" s="246" t="s">
        <v>69</v>
      </c>
      <c r="D140" s="248"/>
      <c r="E140" s="246" t="s">
        <v>70</v>
      </c>
      <c r="F140" s="248"/>
      <c r="G140" s="246" t="s">
        <v>76</v>
      </c>
      <c r="H140" s="248"/>
      <c r="I140" s="326" t="s">
        <v>77</v>
      </c>
      <c r="J140" s="253"/>
      <c r="K140" s="253"/>
      <c r="L140" s="229"/>
      <c r="M140" s="229"/>
      <c r="N140" s="297"/>
      <c r="O140" s="166"/>
    </row>
    <row r="141" spans="1:23" ht="21" customHeight="1">
      <c r="A141" s="70"/>
      <c r="B141" s="71"/>
      <c r="C141" s="70"/>
      <c r="D141" s="70"/>
      <c r="E141" s="70"/>
      <c r="F141" s="70"/>
      <c r="G141" s="70"/>
      <c r="H141" s="70"/>
      <c r="I141" s="70"/>
      <c r="J141" s="70"/>
      <c r="K141" s="70"/>
      <c r="L141" s="72"/>
      <c r="M141" s="72"/>
      <c r="N141" s="73"/>
      <c r="O141" s="166"/>
      <c r="P141" s="84"/>
    </row>
    <row r="142" spans="1:23" ht="21" customHeight="1">
      <c r="A142" s="243" t="s">
        <v>94</v>
      </c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166"/>
    </row>
    <row r="143" spans="1:23" ht="21" customHeight="1">
      <c r="A143" s="87" t="s">
        <v>95</v>
      </c>
      <c r="B143" s="244" t="s">
        <v>96</v>
      </c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166"/>
    </row>
    <row r="144" spans="1:23" ht="21" customHeight="1">
      <c r="A144" s="88"/>
      <c r="B144" s="245" t="s">
        <v>193</v>
      </c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166"/>
    </row>
    <row r="145" spans="1:15" ht="21" customHeight="1">
      <c r="A145" s="88"/>
      <c r="B145" s="245" t="s">
        <v>194</v>
      </c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66"/>
    </row>
    <row r="146" spans="1:15" ht="21" customHeight="1">
      <c r="A146" s="88"/>
      <c r="B146" s="245" t="s">
        <v>195</v>
      </c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166"/>
    </row>
    <row r="147" spans="1:15" ht="21" customHeight="1">
      <c r="A147" s="70"/>
      <c r="B147" s="260" t="s">
        <v>101</v>
      </c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166"/>
    </row>
    <row r="148" spans="1:15" ht="2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89"/>
      <c r="M148" s="89"/>
      <c r="N148" s="90"/>
      <c r="O148" s="166"/>
    </row>
    <row r="149" spans="1:15" ht="21" customHeight="1">
      <c r="A149" s="261" t="s">
        <v>58</v>
      </c>
      <c r="B149" s="261"/>
      <c r="C149" s="261"/>
      <c r="D149" s="261"/>
      <c r="E149" s="328"/>
      <c r="F149" s="328"/>
      <c r="G149" s="328"/>
      <c r="H149" s="328"/>
      <c r="I149" s="328"/>
      <c r="J149" s="329" t="s">
        <v>34</v>
      </c>
      <c r="K149" s="329"/>
      <c r="L149" s="329"/>
      <c r="M149" s="329"/>
      <c r="N149" s="329"/>
      <c r="O149" s="166"/>
    </row>
    <row r="150" spans="1:15" ht="21" customHeight="1">
      <c r="A150" s="152"/>
      <c r="B150" s="152"/>
      <c r="C150" s="152"/>
      <c r="D150" s="328"/>
      <c r="E150" s="328"/>
      <c r="F150" s="328"/>
      <c r="G150" s="328"/>
      <c r="H150" s="330"/>
      <c r="I150" s="330"/>
      <c r="J150" s="330"/>
      <c r="K150" s="330"/>
      <c r="L150" s="330"/>
      <c r="M150" s="330"/>
      <c r="N150" s="330"/>
      <c r="O150" s="166"/>
    </row>
    <row r="151" spans="1:15" ht="21" customHeight="1">
      <c r="A151" s="152"/>
      <c r="B151" s="152"/>
      <c r="C151" s="152"/>
      <c r="D151" s="328"/>
      <c r="E151" s="328"/>
      <c r="F151" s="328"/>
      <c r="G151" s="328"/>
      <c r="H151" s="330"/>
      <c r="I151" s="330"/>
      <c r="J151" s="330"/>
      <c r="K151" s="330"/>
      <c r="L151" s="330"/>
      <c r="M151" s="330"/>
      <c r="N151" s="330"/>
      <c r="O151" s="166"/>
    </row>
    <row r="152" spans="1:15" ht="21" customHeight="1">
      <c r="A152" s="152"/>
      <c r="B152" s="152"/>
      <c r="C152" s="152"/>
      <c r="D152" s="328"/>
      <c r="E152" s="328"/>
      <c r="F152" s="328"/>
      <c r="G152" s="328"/>
      <c r="H152" s="330"/>
      <c r="I152" s="330"/>
      <c r="J152" s="331" t="s">
        <v>97</v>
      </c>
      <c r="K152" s="331"/>
      <c r="L152" s="331"/>
      <c r="M152" s="331"/>
      <c r="N152" s="331"/>
      <c r="O152" s="166"/>
    </row>
    <row r="153" spans="1:15" ht="21" customHeight="1">
      <c r="A153" s="262" t="s">
        <v>82</v>
      </c>
      <c r="B153" s="262"/>
      <c r="C153" s="262"/>
      <c r="D153" s="262"/>
      <c r="E153" s="328"/>
      <c r="F153" s="328"/>
      <c r="G153" s="328"/>
      <c r="H153" s="330"/>
      <c r="I153" s="330"/>
      <c r="O153" s="166"/>
    </row>
    <row r="154" spans="1:15" ht="21" customHeight="1">
      <c r="J154" s="330"/>
      <c r="K154" s="330"/>
      <c r="L154" s="330"/>
      <c r="M154" s="330"/>
      <c r="N154" s="330"/>
    </row>
    <row r="155" spans="1:15" ht="21" customHeight="1">
      <c r="J155" s="331" t="s">
        <v>108</v>
      </c>
      <c r="K155" s="331"/>
      <c r="L155" s="331"/>
      <c r="M155" s="331"/>
      <c r="N155" s="331"/>
    </row>
  </sheetData>
  <mergeCells count="199">
    <mergeCell ref="B144:N144"/>
    <mergeCell ref="B145:N145"/>
    <mergeCell ref="B146:N146"/>
    <mergeCell ref="B147:N147"/>
    <mergeCell ref="A149:D149"/>
    <mergeCell ref="J149:N149"/>
    <mergeCell ref="J152:N152"/>
    <mergeCell ref="A153:D153"/>
    <mergeCell ref="J155:N155"/>
    <mergeCell ref="A139:B140"/>
    <mergeCell ref="C139:D139"/>
    <mergeCell ref="E139:F139"/>
    <mergeCell ref="G139:H139"/>
    <mergeCell ref="C140:D140"/>
    <mergeCell ref="E140:F140"/>
    <mergeCell ref="G140:H140"/>
    <mergeCell ref="A142:N142"/>
    <mergeCell ref="B143:N143"/>
    <mergeCell ref="Q136:R136"/>
    <mergeCell ref="S136:T136"/>
    <mergeCell ref="U136:V136"/>
    <mergeCell ref="A137:C137"/>
    <mergeCell ref="E137:F137"/>
    <mergeCell ref="G137:H137"/>
    <mergeCell ref="Q137:R137"/>
    <mergeCell ref="S137:T137"/>
    <mergeCell ref="U137:V137"/>
    <mergeCell ref="N129:N130"/>
    <mergeCell ref="A131:B132"/>
    <mergeCell ref="A133:B134"/>
    <mergeCell ref="C133:C134"/>
    <mergeCell ref="D133:D134"/>
    <mergeCell ref="I133:I134"/>
    <mergeCell ref="J133:J134"/>
    <mergeCell ref="K133:K134"/>
    <mergeCell ref="L133:L140"/>
    <mergeCell ref="M133:M140"/>
    <mergeCell ref="N133:N140"/>
    <mergeCell ref="E134:F134"/>
    <mergeCell ref="G134:H134"/>
    <mergeCell ref="A135:C136"/>
    <mergeCell ref="I135:I136"/>
    <mergeCell ref="J135:J136"/>
    <mergeCell ref="K135:K136"/>
    <mergeCell ref="E136:F136"/>
    <mergeCell ref="G136:H136"/>
    <mergeCell ref="A138:C138"/>
    <mergeCell ref="E138:F138"/>
    <mergeCell ref="G138:H138"/>
    <mergeCell ref="J138:J140"/>
    <mergeCell ref="K138:K140"/>
    <mergeCell ref="A107:B108"/>
    <mergeCell ref="A109:B109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L89:L92"/>
    <mergeCell ref="M89:M92"/>
    <mergeCell ref="N89:N92"/>
    <mergeCell ref="E91:E92"/>
    <mergeCell ref="F91:F92"/>
    <mergeCell ref="G91:G92"/>
    <mergeCell ref="H91:H92"/>
    <mergeCell ref="A93:N93"/>
    <mergeCell ref="N105:N106"/>
    <mergeCell ref="A89:A92"/>
    <mergeCell ref="B89:B92"/>
    <mergeCell ref="C89:C92"/>
    <mergeCell ref="D89:D92"/>
    <mergeCell ref="E89:F90"/>
    <mergeCell ref="G89:H90"/>
    <mergeCell ref="I89:I92"/>
    <mergeCell ref="J89:J92"/>
    <mergeCell ref="K89:K92"/>
    <mergeCell ref="A85:D85"/>
    <mergeCell ref="E85:I87"/>
    <mergeCell ref="J85:N85"/>
    <mergeCell ref="A86:D86"/>
    <mergeCell ref="J86:N86"/>
    <mergeCell ref="A87:D87"/>
    <mergeCell ref="J87:N87"/>
    <mergeCell ref="A88:B88"/>
    <mergeCell ref="C88:D88"/>
    <mergeCell ref="D11:D14"/>
    <mergeCell ref="E11:F12"/>
    <mergeCell ref="G11:H12"/>
    <mergeCell ref="I11:I14"/>
    <mergeCell ref="L11:L14"/>
    <mergeCell ref="N11:N14"/>
    <mergeCell ref="E13:E14"/>
    <mergeCell ref="E40:F41"/>
    <mergeCell ref="K11:K14"/>
    <mergeCell ref="M11:M14"/>
    <mergeCell ref="H13:H14"/>
    <mergeCell ref="J11:J14"/>
    <mergeCell ref="U52:V52"/>
    <mergeCell ref="A29:B30"/>
    <mergeCell ref="A31:B31"/>
    <mergeCell ref="N44:N45"/>
    <mergeCell ref="A46:B47"/>
    <mergeCell ref="E49:F49"/>
    <mergeCell ref="G49:H49"/>
    <mergeCell ref="I50:I51"/>
    <mergeCell ref="E51:F51"/>
    <mergeCell ref="G51:H51"/>
    <mergeCell ref="M48:M55"/>
    <mergeCell ref="N48:N55"/>
    <mergeCell ref="E54:F54"/>
    <mergeCell ref="G54:H54"/>
    <mergeCell ref="L48:L55"/>
    <mergeCell ref="A50:C51"/>
    <mergeCell ref="A52:C52"/>
    <mergeCell ref="A54:B55"/>
    <mergeCell ref="C54:D54"/>
    <mergeCell ref="E42:E43"/>
    <mergeCell ref="B40:B43"/>
    <mergeCell ref="C40:C43"/>
    <mergeCell ref="A40:A43"/>
    <mergeCell ref="D40:D43"/>
    <mergeCell ref="Q52:R52"/>
    <mergeCell ref="S52:T52"/>
    <mergeCell ref="F13:F14"/>
    <mergeCell ref="G13:G14"/>
    <mergeCell ref="M40:M43"/>
    <mergeCell ref="N40:N43"/>
    <mergeCell ref="F42:F43"/>
    <mergeCell ref="G42:G43"/>
    <mergeCell ref="H42:H43"/>
    <mergeCell ref="J48:J49"/>
    <mergeCell ref="K48:K49"/>
    <mergeCell ref="J50:J51"/>
    <mergeCell ref="K50:K51"/>
    <mergeCell ref="I48:I49"/>
    <mergeCell ref="G40:H41"/>
    <mergeCell ref="I40:I43"/>
    <mergeCell ref="J40:J43"/>
    <mergeCell ref="K40:K43"/>
    <mergeCell ref="L40:L43"/>
    <mergeCell ref="N27:N28"/>
    <mergeCell ref="A15:N15"/>
    <mergeCell ref="A11:A14"/>
    <mergeCell ref="B11:B14"/>
    <mergeCell ref="C11:C14"/>
    <mergeCell ref="C55:D55"/>
    <mergeCell ref="E55:F55"/>
    <mergeCell ref="G55:H55"/>
    <mergeCell ref="C48:C49"/>
    <mergeCell ref="J53:J55"/>
    <mergeCell ref="K53:K55"/>
    <mergeCell ref="F1:N1"/>
    <mergeCell ref="A7:D7"/>
    <mergeCell ref="A8:D8"/>
    <mergeCell ref="A9:D9"/>
    <mergeCell ref="A5:D5"/>
    <mergeCell ref="E5:N5"/>
    <mergeCell ref="A6:D6"/>
    <mergeCell ref="E6:I9"/>
    <mergeCell ref="J6:N9"/>
    <mergeCell ref="D48:D49"/>
    <mergeCell ref="E52:F52"/>
    <mergeCell ref="G52:H52"/>
    <mergeCell ref="A53:C53"/>
    <mergeCell ref="E53:F53"/>
    <mergeCell ref="G53:H53"/>
    <mergeCell ref="A10:B10"/>
    <mergeCell ref="C10:D10"/>
    <mergeCell ref="A48:B49"/>
    <mergeCell ref="F79:N79"/>
    <mergeCell ref="A83:D84"/>
    <mergeCell ref="E83:N83"/>
    <mergeCell ref="A68:D68"/>
    <mergeCell ref="J67:N67"/>
    <mergeCell ref="J70:N70"/>
    <mergeCell ref="A57:N57"/>
    <mergeCell ref="B58:N58"/>
    <mergeCell ref="B59:N59"/>
    <mergeCell ref="B60:N60"/>
    <mergeCell ref="B61:N61"/>
    <mergeCell ref="B62:N62"/>
    <mergeCell ref="A64:D64"/>
    <mergeCell ref="J64:N64"/>
    <mergeCell ref="E84:I84"/>
    <mergeCell ref="J84:N84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1.88671875" style="1" customWidth="1"/>
    <col min="3" max="4" width="7.33203125" style="1" customWidth="1"/>
    <col min="5" max="8" width="6.88671875" style="1" customWidth="1"/>
    <col min="9" max="9" width="7.6640625" style="1" customWidth="1"/>
    <col min="10" max="10" width="7.44140625" style="1" customWidth="1"/>
    <col min="11" max="11" width="6.88671875" style="1" customWidth="1"/>
    <col min="12" max="12" width="6.6640625" style="1" customWidth="1"/>
    <col min="13" max="13" width="6.44140625" style="1" customWidth="1"/>
    <col min="14" max="14" width="8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1.6" customHeight="1">
      <c r="A1" s="10" t="s">
        <v>57</v>
      </c>
      <c r="B1" s="7"/>
      <c r="C1" s="7"/>
      <c r="D1" s="7"/>
      <c r="E1" s="7"/>
      <c r="F1" s="183" t="s">
        <v>28</v>
      </c>
      <c r="G1" s="183"/>
      <c r="H1" s="183"/>
      <c r="I1" s="183"/>
      <c r="J1" s="183"/>
      <c r="K1" s="183"/>
      <c r="L1" s="183"/>
      <c r="M1" s="183"/>
      <c r="N1" s="183"/>
      <c r="O1" s="159"/>
      <c r="P1" s="159"/>
      <c r="T1" s="2"/>
    </row>
    <row r="2" spans="1:20" ht="3.6" customHeight="1">
      <c r="A2" s="10"/>
      <c r="B2" s="7"/>
      <c r="C2" s="7"/>
      <c r="D2" s="7"/>
      <c r="E2" s="7"/>
      <c r="F2" s="155"/>
      <c r="G2" s="155"/>
      <c r="H2" s="155"/>
      <c r="I2" s="155"/>
      <c r="J2" s="155"/>
      <c r="K2" s="155"/>
      <c r="L2" s="155"/>
      <c r="M2" s="155"/>
      <c r="N2" s="155"/>
      <c r="O2" s="159"/>
      <c r="P2" s="159"/>
      <c r="T2" s="2"/>
    </row>
    <row r="3" spans="1:20" ht="21.6" customHeight="1">
      <c r="A3" s="7" t="s">
        <v>199</v>
      </c>
      <c r="B3" s="7"/>
      <c r="C3" s="7"/>
      <c r="D3" s="7"/>
      <c r="E3" s="7"/>
      <c r="F3" s="155"/>
      <c r="G3" s="155"/>
      <c r="H3" s="155"/>
      <c r="I3" s="155"/>
      <c r="J3" s="155"/>
      <c r="K3" s="155"/>
      <c r="L3" s="155"/>
      <c r="M3" s="155"/>
      <c r="N3" s="155"/>
      <c r="O3" s="159"/>
      <c r="P3" s="159"/>
      <c r="T3" s="2"/>
    </row>
    <row r="4" spans="1:20" ht="3.6" customHeight="1">
      <c r="A4" s="7"/>
      <c r="B4" s="7"/>
      <c r="C4" s="7"/>
      <c r="D4" s="7"/>
      <c r="E4" s="7"/>
      <c r="F4" s="155"/>
      <c r="G4" s="155"/>
      <c r="H4" s="155"/>
      <c r="I4" s="155"/>
      <c r="J4" s="155"/>
      <c r="K4" s="155"/>
      <c r="L4" s="155"/>
      <c r="M4" s="155"/>
      <c r="N4" s="155"/>
      <c r="O4" s="159"/>
      <c r="P4" s="159"/>
      <c r="T4" s="2"/>
    </row>
    <row r="5" spans="1:20" s="2" customFormat="1" ht="21.6" customHeight="1">
      <c r="A5" s="184" t="s">
        <v>89</v>
      </c>
      <c r="B5" s="184"/>
      <c r="C5" s="184"/>
      <c r="D5" s="184"/>
      <c r="E5" s="184" t="s">
        <v>87</v>
      </c>
      <c r="F5" s="184"/>
      <c r="G5" s="184"/>
      <c r="H5" s="184"/>
      <c r="I5" s="184"/>
      <c r="J5" s="184"/>
      <c r="K5" s="184"/>
      <c r="L5" s="184"/>
      <c r="M5" s="184"/>
      <c r="N5" s="184"/>
      <c r="O5" s="160"/>
    </row>
    <row r="6" spans="1:20" s="2" customFormat="1" ht="21.6" customHeight="1">
      <c r="A6" s="185" t="s">
        <v>81</v>
      </c>
      <c r="B6" s="185"/>
      <c r="C6" s="185"/>
      <c r="D6" s="185"/>
      <c r="E6" s="186" t="s">
        <v>124</v>
      </c>
      <c r="F6" s="186"/>
      <c r="G6" s="186"/>
      <c r="H6" s="186"/>
      <c r="I6" s="186"/>
      <c r="J6" s="187" t="s">
        <v>133</v>
      </c>
      <c r="K6" s="188"/>
      <c r="L6" s="188"/>
      <c r="M6" s="188"/>
      <c r="N6" s="189"/>
      <c r="O6" s="160"/>
    </row>
    <row r="7" spans="1:20" s="2" customFormat="1" ht="21.6" customHeight="1">
      <c r="A7" s="289" t="s">
        <v>196</v>
      </c>
      <c r="B7" s="289"/>
      <c r="C7" s="289"/>
      <c r="D7" s="289"/>
      <c r="E7" s="186"/>
      <c r="F7" s="186"/>
      <c r="G7" s="186"/>
      <c r="H7" s="186"/>
      <c r="I7" s="186"/>
      <c r="J7" s="190"/>
      <c r="K7" s="191"/>
      <c r="L7" s="191"/>
      <c r="M7" s="191"/>
      <c r="N7" s="192"/>
      <c r="O7" s="160"/>
    </row>
    <row r="8" spans="1:20" s="2" customFormat="1" ht="21.6" customHeight="1">
      <c r="A8" s="200" t="s">
        <v>134</v>
      </c>
      <c r="B8" s="201"/>
      <c r="C8" s="201"/>
      <c r="D8" s="202"/>
      <c r="E8" s="186"/>
      <c r="F8" s="186"/>
      <c r="G8" s="186"/>
      <c r="H8" s="186"/>
      <c r="I8" s="186"/>
      <c r="J8" s="190"/>
      <c r="K8" s="191"/>
      <c r="L8" s="191"/>
      <c r="M8" s="191"/>
      <c r="N8" s="192"/>
      <c r="O8" s="160"/>
    </row>
    <row r="9" spans="1:20" s="2" customFormat="1" ht="21.6" customHeight="1">
      <c r="A9" s="197" t="s">
        <v>197</v>
      </c>
      <c r="B9" s="197"/>
      <c r="C9" s="197"/>
      <c r="D9" s="197"/>
      <c r="E9" s="186"/>
      <c r="F9" s="186"/>
      <c r="G9" s="186"/>
      <c r="H9" s="186"/>
      <c r="I9" s="186"/>
      <c r="J9" s="193"/>
      <c r="K9" s="194"/>
      <c r="L9" s="194"/>
      <c r="M9" s="194"/>
      <c r="N9" s="195"/>
      <c r="O9" s="160"/>
    </row>
    <row r="10" spans="1:20" s="2" customFormat="1" ht="21.6" customHeight="1">
      <c r="A10" s="290" t="s">
        <v>104</v>
      </c>
      <c r="B10" s="290"/>
      <c r="C10" s="288">
        <v>99</v>
      </c>
      <c r="D10" s="288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60"/>
    </row>
    <row r="11" spans="1:20" ht="21.6" customHeight="1">
      <c r="A11" s="170" t="s">
        <v>0</v>
      </c>
      <c r="B11" s="173" t="s">
        <v>18</v>
      </c>
      <c r="C11" s="176" t="s">
        <v>7</v>
      </c>
      <c r="D11" s="176" t="s">
        <v>8</v>
      </c>
      <c r="E11" s="179" t="s">
        <v>10</v>
      </c>
      <c r="F11" s="180"/>
      <c r="G11" s="179" t="s">
        <v>12</v>
      </c>
      <c r="H11" s="180"/>
      <c r="I11" s="198" t="s">
        <v>15</v>
      </c>
      <c r="J11" s="198" t="s">
        <v>30</v>
      </c>
      <c r="K11" s="198" t="s">
        <v>31</v>
      </c>
      <c r="L11" s="198" t="s">
        <v>16</v>
      </c>
      <c r="M11" s="198" t="s">
        <v>32</v>
      </c>
      <c r="N11" s="170" t="s">
        <v>17</v>
      </c>
      <c r="O11" s="161"/>
    </row>
    <row r="12" spans="1:20" ht="21.6" customHeight="1">
      <c r="A12" s="171"/>
      <c r="B12" s="174"/>
      <c r="C12" s="177"/>
      <c r="D12" s="177"/>
      <c r="E12" s="181"/>
      <c r="F12" s="182"/>
      <c r="G12" s="181"/>
      <c r="H12" s="182"/>
      <c r="I12" s="206"/>
      <c r="J12" s="206"/>
      <c r="K12" s="206"/>
      <c r="L12" s="206"/>
      <c r="M12" s="206"/>
      <c r="N12" s="171"/>
      <c r="O12" s="152"/>
    </row>
    <row r="13" spans="1:20" ht="21.6" customHeight="1">
      <c r="A13" s="171"/>
      <c r="B13" s="174"/>
      <c r="C13" s="177"/>
      <c r="D13" s="177"/>
      <c r="E13" s="198" t="s">
        <v>9</v>
      </c>
      <c r="F13" s="198" t="s">
        <v>11</v>
      </c>
      <c r="G13" s="198" t="s">
        <v>13</v>
      </c>
      <c r="H13" s="198" t="s">
        <v>14</v>
      </c>
      <c r="I13" s="206"/>
      <c r="J13" s="206"/>
      <c r="K13" s="206"/>
      <c r="L13" s="206"/>
      <c r="M13" s="206"/>
      <c r="N13" s="171"/>
      <c r="O13" s="152"/>
    </row>
    <row r="14" spans="1:20" ht="21.6" customHeight="1">
      <c r="A14" s="172"/>
      <c r="B14" s="175"/>
      <c r="C14" s="178"/>
      <c r="D14" s="178"/>
      <c r="E14" s="199"/>
      <c r="F14" s="199"/>
      <c r="G14" s="199"/>
      <c r="H14" s="199"/>
      <c r="I14" s="199"/>
      <c r="J14" s="199"/>
      <c r="K14" s="199"/>
      <c r="L14" s="199"/>
      <c r="M14" s="199"/>
      <c r="N14" s="172"/>
      <c r="O14" s="152"/>
    </row>
    <row r="15" spans="1:20" ht="20.399999999999999" customHeight="1">
      <c r="A15" s="203" t="s">
        <v>33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5"/>
      <c r="O15" s="152"/>
    </row>
    <row r="16" spans="1:20" s="2" customFormat="1" ht="20.399999999999999" customHeight="1">
      <c r="A16" s="8">
        <v>1</v>
      </c>
      <c r="B16" s="9" t="s">
        <v>2</v>
      </c>
      <c r="C16" s="12">
        <f>L16/100*100</f>
        <v>130</v>
      </c>
      <c r="D16" s="13">
        <f>C16/100*60</f>
        <v>78</v>
      </c>
      <c r="E16" s="14">
        <f>C16/100*15</f>
        <v>19.5</v>
      </c>
      <c r="F16" s="14"/>
      <c r="G16" s="14"/>
      <c r="H16" s="14"/>
      <c r="I16" s="14"/>
      <c r="J16" s="22">
        <f>C16/100*387</f>
        <v>503.1</v>
      </c>
      <c r="K16" s="22">
        <f>C16/100*0.09</f>
        <v>0.11699999999999999</v>
      </c>
      <c r="L16" s="111">
        <v>130</v>
      </c>
      <c r="M16" s="20">
        <v>20</v>
      </c>
      <c r="N16" s="16">
        <f>L16*M16</f>
        <v>2600</v>
      </c>
      <c r="O16" s="162"/>
    </row>
    <row r="17" spans="1:20" s="2" customFormat="1" ht="20.399999999999999" customHeight="1">
      <c r="A17" s="8">
        <v>2</v>
      </c>
      <c r="B17" s="128" t="s">
        <v>118</v>
      </c>
      <c r="C17" s="12">
        <f t="shared" ref="C17" si="0">L17/100*100</f>
        <v>100</v>
      </c>
      <c r="D17" s="65">
        <f>C17/100*900</f>
        <v>900</v>
      </c>
      <c r="E17" s="14"/>
      <c r="F17" s="14"/>
      <c r="G17" s="91"/>
      <c r="H17" s="14">
        <f>C17/100*100</f>
        <v>100</v>
      </c>
      <c r="I17" s="14"/>
      <c r="J17" s="14"/>
      <c r="K17" s="14"/>
      <c r="L17" s="111">
        <v>100</v>
      </c>
      <c r="M17" s="65">
        <v>65</v>
      </c>
      <c r="N17" s="93">
        <f t="shared" ref="N17:N26" si="1">L17*M17</f>
        <v>6500</v>
      </c>
      <c r="O17" s="163"/>
    </row>
    <row r="18" spans="1:20" s="2" customFormat="1" ht="20.399999999999999" customHeight="1">
      <c r="A18" s="8">
        <v>3</v>
      </c>
      <c r="B18" s="5" t="s">
        <v>1</v>
      </c>
      <c r="C18" s="12">
        <f>L18/100*100</f>
        <v>9405</v>
      </c>
      <c r="D18" s="65">
        <f>C18/100*338</f>
        <v>31788.899999999998</v>
      </c>
      <c r="E18" s="14"/>
      <c r="F18" s="14">
        <f>C18/100*7.9</f>
        <v>742.995</v>
      </c>
      <c r="G18" s="14"/>
      <c r="H18" s="14">
        <f>C18/100*1</f>
        <v>94.05</v>
      </c>
      <c r="I18" s="14">
        <f>C18/100*71.8</f>
        <v>6752.79</v>
      </c>
      <c r="J18" s="64">
        <f>C18/100*30</f>
        <v>2821.5</v>
      </c>
      <c r="K18" s="22">
        <f>C18/100*0.1</f>
        <v>9.4049999999999994</v>
      </c>
      <c r="L18" s="111">
        <v>9405</v>
      </c>
      <c r="M18" s="20">
        <v>18</v>
      </c>
      <c r="N18" s="16">
        <f t="shared" si="1"/>
        <v>169290</v>
      </c>
      <c r="O18" s="162"/>
    </row>
    <row r="19" spans="1:20" s="2" customFormat="1" ht="20.399999999999999" customHeight="1">
      <c r="A19" s="8">
        <v>4</v>
      </c>
      <c r="B19" s="5" t="s">
        <v>85</v>
      </c>
      <c r="C19" s="12">
        <f>L19/100*88</f>
        <v>3872</v>
      </c>
      <c r="D19" s="13">
        <f>C19/100*184</f>
        <v>7124.48</v>
      </c>
      <c r="E19" s="14">
        <f>C19/100*13</f>
        <v>503.36</v>
      </c>
      <c r="F19" s="14"/>
      <c r="G19" s="14">
        <f>C19/100*14.2</f>
        <v>549.82399999999996</v>
      </c>
      <c r="H19" s="14"/>
      <c r="I19" s="14">
        <f>C19/100*1</f>
        <v>38.72</v>
      </c>
      <c r="J19" s="64">
        <f>C19/100*71</f>
        <v>2749.12</v>
      </c>
      <c r="K19" s="22">
        <f>C19/100*0.15</f>
        <v>5.8079999999999998</v>
      </c>
      <c r="L19" s="111">
        <v>4400</v>
      </c>
      <c r="M19" s="20">
        <v>57</v>
      </c>
      <c r="N19" s="16">
        <f t="shared" si="1"/>
        <v>250800</v>
      </c>
      <c r="O19" s="162"/>
      <c r="Q19" s="3"/>
      <c r="R19" s="3"/>
      <c r="S19" s="4"/>
    </row>
    <row r="20" spans="1:20" s="118" customFormat="1" ht="20.399999999999999" customHeight="1">
      <c r="A20" s="133">
        <v>5</v>
      </c>
      <c r="B20" s="128" t="s">
        <v>65</v>
      </c>
      <c r="C20" s="134">
        <f>L20/100*98</f>
        <v>1558.2</v>
      </c>
      <c r="D20" s="135">
        <f>C20/100*139</f>
        <v>2165.8980000000001</v>
      </c>
      <c r="E20" s="104">
        <f>C20/100*19</f>
        <v>296.05799999999999</v>
      </c>
      <c r="F20" s="104"/>
      <c r="G20" s="104">
        <f>C20/100*7</f>
        <v>109.07400000000001</v>
      </c>
      <c r="H20" s="104"/>
      <c r="I20" s="104"/>
      <c r="J20" s="136">
        <f>C20/100*7</f>
        <v>109.07400000000001</v>
      </c>
      <c r="K20" s="136">
        <f>C20/100*0.9</f>
        <v>14.023800000000001</v>
      </c>
      <c r="L20" s="111">
        <v>1590</v>
      </c>
      <c r="M20" s="137">
        <v>133</v>
      </c>
      <c r="N20" s="114">
        <f t="shared" si="1"/>
        <v>211470</v>
      </c>
      <c r="O20" s="164"/>
    </row>
    <row r="21" spans="1:20" s="2" customFormat="1" ht="20.399999999999999" customHeight="1">
      <c r="A21" s="8">
        <v>6</v>
      </c>
      <c r="B21" s="5" t="s">
        <v>4</v>
      </c>
      <c r="C21" s="12">
        <f>L21/100*98</f>
        <v>1127</v>
      </c>
      <c r="D21" s="13">
        <f>C21/100*118</f>
        <v>1329.86</v>
      </c>
      <c r="E21" s="14">
        <f>C21/100*22.5</f>
        <v>253.57499999999999</v>
      </c>
      <c r="F21" s="14"/>
      <c r="G21" s="14">
        <f>C21/100*3.8</f>
        <v>42.825999999999993</v>
      </c>
      <c r="H21" s="14"/>
      <c r="I21" s="14"/>
      <c r="J21" s="22">
        <f>C21/100*12</f>
        <v>135.24</v>
      </c>
      <c r="K21" s="22">
        <f>C21/100*0.1</f>
        <v>1.127</v>
      </c>
      <c r="L21" s="111">
        <v>1150</v>
      </c>
      <c r="M21" s="15">
        <v>270</v>
      </c>
      <c r="N21" s="93">
        <f t="shared" si="1"/>
        <v>310500</v>
      </c>
      <c r="O21" s="164"/>
      <c r="Q21" s="3"/>
      <c r="R21" s="3"/>
      <c r="S21" s="4"/>
    </row>
    <row r="22" spans="1:20" s="2" customFormat="1" ht="20.399999999999999" customHeight="1">
      <c r="A22" s="8">
        <v>8</v>
      </c>
      <c r="B22" s="5" t="s">
        <v>198</v>
      </c>
      <c r="C22" s="12">
        <f>L22/100*95</f>
        <v>1577.0000000000002</v>
      </c>
      <c r="D22" s="13">
        <f>C22/100*20</f>
        <v>315.40000000000009</v>
      </c>
      <c r="E22" s="14"/>
      <c r="F22" s="14">
        <f>C22/100*0.6</f>
        <v>9.4620000000000015</v>
      </c>
      <c r="G22" s="14"/>
      <c r="H22" s="14">
        <f>C22/100*0.2</f>
        <v>3.1540000000000008</v>
      </c>
      <c r="I22" s="14">
        <f>C22/100*4</f>
        <v>63.080000000000013</v>
      </c>
      <c r="J22" s="21">
        <f>C22/100*12</f>
        <v>189.24000000000004</v>
      </c>
      <c r="K22" s="21">
        <f>C22/100*0.04</f>
        <v>0.63080000000000014</v>
      </c>
      <c r="L22" s="320">
        <v>1660</v>
      </c>
      <c r="M22" s="15">
        <v>22</v>
      </c>
      <c r="N22" s="16">
        <f t="shared" si="1"/>
        <v>36520</v>
      </c>
      <c r="O22" s="162"/>
      <c r="Q22" s="3"/>
      <c r="R22" s="3"/>
    </row>
    <row r="23" spans="1:20" s="2" customFormat="1" ht="20.399999999999999" customHeight="1">
      <c r="A23" s="133">
        <v>9</v>
      </c>
      <c r="B23" s="5" t="s">
        <v>78</v>
      </c>
      <c r="C23" s="12">
        <f>L23/100*78</f>
        <v>1809.6</v>
      </c>
      <c r="D23" s="13">
        <f>C23/100*37</f>
        <v>669.55200000000002</v>
      </c>
      <c r="E23" s="17"/>
      <c r="F23" s="17">
        <f>C23/100*2.8</f>
        <v>50.668799999999997</v>
      </c>
      <c r="G23" s="17"/>
      <c r="H23" s="17">
        <f>C23/100*0.1</f>
        <v>1.8096000000000001</v>
      </c>
      <c r="I23" s="17">
        <f>C23/100*6.2</f>
        <v>112.1952</v>
      </c>
      <c r="J23" s="21">
        <f>C23/100*46</f>
        <v>832.41600000000005</v>
      </c>
      <c r="K23" s="21">
        <f>C23/100*0.06</f>
        <v>1.0857600000000001</v>
      </c>
      <c r="L23" s="320">
        <v>2320</v>
      </c>
      <c r="M23" s="15">
        <v>22</v>
      </c>
      <c r="N23" s="16">
        <f t="shared" si="1"/>
        <v>51040</v>
      </c>
      <c r="O23" s="162"/>
      <c r="Q23" s="3"/>
      <c r="R23" s="3"/>
      <c r="S23" s="4"/>
    </row>
    <row r="24" spans="1:20" s="2" customFormat="1" ht="20.399999999999999" customHeight="1">
      <c r="A24" s="8">
        <v>10</v>
      </c>
      <c r="B24" s="5" t="s">
        <v>110</v>
      </c>
      <c r="C24" s="12">
        <f>L24/100*100</f>
        <v>100</v>
      </c>
      <c r="D24" s="13">
        <f>C24/100*247</f>
        <v>247</v>
      </c>
      <c r="E24" s="17"/>
      <c r="F24" s="17">
        <f>C24/100*17.5</f>
        <v>17.5</v>
      </c>
      <c r="G24" s="17"/>
      <c r="H24" s="17">
        <f>C24/100*1.6</f>
        <v>1.6</v>
      </c>
      <c r="I24" s="17">
        <f>C24/100*39.2</f>
        <v>39.200000000000003</v>
      </c>
      <c r="J24" s="21"/>
      <c r="K24" s="21"/>
      <c r="L24" s="320">
        <v>100</v>
      </c>
      <c r="M24" s="20">
        <v>50</v>
      </c>
      <c r="N24" s="113">
        <f t="shared" si="1"/>
        <v>5000</v>
      </c>
      <c r="O24" s="162"/>
      <c r="Q24" s="3"/>
      <c r="R24" s="3"/>
      <c r="S24" s="4"/>
      <c r="T24" s="3"/>
    </row>
    <row r="25" spans="1:20" s="2" customFormat="1" ht="20.399999999999999" customHeight="1">
      <c r="A25" s="8">
        <v>9</v>
      </c>
      <c r="B25" s="5" t="s">
        <v>140</v>
      </c>
      <c r="C25" s="12">
        <f>L25/100*77</f>
        <v>2079</v>
      </c>
      <c r="D25" s="13">
        <f>C25/100*35</f>
        <v>727.65</v>
      </c>
      <c r="E25" s="17"/>
      <c r="F25" s="17">
        <f>C25/100*5.3</f>
        <v>110.187</v>
      </c>
      <c r="G25" s="17"/>
      <c r="H25" s="17"/>
      <c r="I25" s="17">
        <f>C25/100*3.4</f>
        <v>70.685999999999993</v>
      </c>
      <c r="J25" s="123">
        <f>C25/100*169</f>
        <v>3513.5099999999998</v>
      </c>
      <c r="K25" s="17">
        <f>C25/100*0.07</f>
        <v>1.4553</v>
      </c>
      <c r="L25" s="321">
        <v>2700</v>
      </c>
      <c r="M25" s="15">
        <v>35</v>
      </c>
      <c r="N25" s="16">
        <f t="shared" si="1"/>
        <v>94500</v>
      </c>
      <c r="O25" s="162"/>
      <c r="Q25" s="3"/>
      <c r="R25" s="3"/>
      <c r="S25" s="4"/>
    </row>
    <row r="26" spans="1:20" s="2" customFormat="1" ht="20.399999999999999" customHeight="1">
      <c r="A26" s="133">
        <v>10</v>
      </c>
      <c r="B26" s="5" t="s">
        <v>136</v>
      </c>
      <c r="C26" s="12">
        <f>L26/100*81</f>
        <v>437.40000000000003</v>
      </c>
      <c r="D26" s="13">
        <f>C26/100*17</f>
        <v>74.358000000000004</v>
      </c>
      <c r="E26" s="14"/>
      <c r="F26" s="14">
        <f>C26/100*0.9</f>
        <v>3.9366000000000008</v>
      </c>
      <c r="G26" s="14"/>
      <c r="H26" s="14">
        <f>C26/100*0.2</f>
        <v>0.87480000000000013</v>
      </c>
      <c r="I26" s="14">
        <f>C26/100*2.8</f>
        <v>12.247200000000001</v>
      </c>
      <c r="J26" s="64">
        <f>C26/100*28</f>
        <v>122.47200000000001</v>
      </c>
      <c r="K26" s="22">
        <f>C26/100*0.04</f>
        <v>0.17496000000000003</v>
      </c>
      <c r="L26" s="111">
        <v>540</v>
      </c>
      <c r="M26" s="15">
        <v>25</v>
      </c>
      <c r="N26" s="113">
        <f t="shared" si="1"/>
        <v>13500</v>
      </c>
      <c r="O26" s="162"/>
    </row>
    <row r="27" spans="1:20" s="2" customFormat="1" ht="20.399999999999999" customHeight="1">
      <c r="A27" s="8">
        <v>12</v>
      </c>
      <c r="B27" s="9" t="s">
        <v>105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7600</v>
      </c>
      <c r="O27" s="162"/>
    </row>
    <row r="28" spans="1:20" s="2" customFormat="1" ht="20.399999999999999" customHeight="1">
      <c r="A28" s="23" t="s">
        <v>91</v>
      </c>
      <c r="B28" s="24"/>
      <c r="C28" s="25"/>
      <c r="D28" s="94">
        <f>SUM(D16:D27)</f>
        <v>45421.098000000005</v>
      </c>
      <c r="E28" s="27"/>
      <c r="F28" s="27"/>
      <c r="G28" s="27"/>
      <c r="H28" s="27"/>
      <c r="I28" s="27"/>
      <c r="J28" s="27"/>
      <c r="K28" s="27"/>
      <c r="L28" s="28"/>
      <c r="M28" s="28"/>
      <c r="N28" s="269">
        <f>SUM(N16:N27)</f>
        <v>1159320</v>
      </c>
      <c r="O28" s="162"/>
    </row>
    <row r="29" spans="1:20" s="2" customFormat="1" ht="20.399999999999999" customHeight="1">
      <c r="A29" s="23" t="s">
        <v>5</v>
      </c>
      <c r="B29" s="24"/>
      <c r="C29" s="25"/>
      <c r="D29" s="26">
        <f>D28/C10</f>
        <v>458.79896969696978</v>
      </c>
      <c r="E29" s="27"/>
      <c r="F29" s="27"/>
      <c r="G29" s="27"/>
      <c r="H29" s="27"/>
      <c r="I29" s="27"/>
      <c r="J29" s="27"/>
      <c r="K29" s="27"/>
      <c r="L29" s="28"/>
      <c r="M29" s="28"/>
      <c r="N29" s="270"/>
      <c r="O29" s="162"/>
    </row>
    <row r="30" spans="1:20" s="2" customFormat="1" ht="20.399999999999999" customHeight="1">
      <c r="A30" s="298" t="s">
        <v>48</v>
      </c>
      <c r="B30" s="210"/>
      <c r="C30" s="322" t="s">
        <v>125</v>
      </c>
      <c r="D30" s="29" t="s">
        <v>36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62"/>
    </row>
    <row r="31" spans="1:20" s="2" customFormat="1" ht="20.399999999999999" customHeight="1">
      <c r="A31" s="211"/>
      <c r="B31" s="212"/>
      <c r="C31" s="62" t="s">
        <v>56</v>
      </c>
      <c r="D31" s="29">
        <f>D29*100/1320</f>
        <v>34.757497704315895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62"/>
    </row>
    <row r="32" spans="1:20" s="2" customFormat="1" ht="20.399999999999999" customHeight="1">
      <c r="A32" s="213" t="s">
        <v>37</v>
      </c>
      <c r="B32" s="213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162"/>
    </row>
    <row r="33" spans="1:23" s="2" customFormat="1" ht="19.8" customHeight="1">
      <c r="A33" s="8">
        <v>1</v>
      </c>
      <c r="B33" s="9" t="s">
        <v>2</v>
      </c>
      <c r="C33" s="12">
        <f>L33/100*100</f>
        <v>120</v>
      </c>
      <c r="D33" s="13">
        <f>C33/100*60</f>
        <v>72</v>
      </c>
      <c r="E33" s="14">
        <f>C33/100*15</f>
        <v>18</v>
      </c>
      <c r="F33" s="14"/>
      <c r="G33" s="14"/>
      <c r="H33" s="14"/>
      <c r="I33" s="14"/>
      <c r="J33" s="22">
        <f>C33/100*387</f>
        <v>464.4</v>
      </c>
      <c r="K33" s="22">
        <f>C33/100*0.09</f>
        <v>0.108</v>
      </c>
      <c r="L33" s="111">
        <v>120</v>
      </c>
      <c r="M33" s="20">
        <v>20</v>
      </c>
      <c r="N33" s="16">
        <f>L33*M33</f>
        <v>2400</v>
      </c>
      <c r="O33" s="162"/>
    </row>
    <row r="34" spans="1:23" s="2" customFormat="1" ht="19.8" customHeight="1">
      <c r="A34" s="8">
        <v>2</v>
      </c>
      <c r="B34" s="5" t="s">
        <v>1</v>
      </c>
      <c r="C34" s="12">
        <f>L34/100*100</f>
        <v>1485</v>
      </c>
      <c r="D34" s="13">
        <f>C34/100*338</f>
        <v>5019.3</v>
      </c>
      <c r="E34" s="14"/>
      <c r="F34" s="14">
        <f>C34/100*7.9</f>
        <v>117.315</v>
      </c>
      <c r="G34" s="14"/>
      <c r="H34" s="14">
        <f>C34/100*1</f>
        <v>14.85</v>
      </c>
      <c r="I34" s="14">
        <f>C34/100*71.8</f>
        <v>1066.23</v>
      </c>
      <c r="J34" s="22">
        <f>C34/100*30</f>
        <v>445.5</v>
      </c>
      <c r="K34" s="22">
        <f>C34/100*0.1</f>
        <v>1.4850000000000001</v>
      </c>
      <c r="L34" s="111">
        <v>1485</v>
      </c>
      <c r="M34" s="20">
        <v>18</v>
      </c>
      <c r="N34" s="16">
        <f t="shared" ref="N34:N41" si="2">L34*M34</f>
        <v>26730</v>
      </c>
      <c r="O34" s="162"/>
    </row>
    <row r="35" spans="1:23" s="2" customFormat="1" ht="19.8" customHeight="1">
      <c r="A35" s="8">
        <v>3</v>
      </c>
      <c r="B35" s="5" t="s">
        <v>63</v>
      </c>
      <c r="C35" s="12">
        <f>L35/100*100</f>
        <v>990</v>
      </c>
      <c r="D35" s="13">
        <f>C35/100*344</f>
        <v>3405.6</v>
      </c>
      <c r="E35" s="14"/>
      <c r="F35" s="14">
        <f>C35/100*8.6</f>
        <v>85.14</v>
      </c>
      <c r="G35" s="14"/>
      <c r="H35" s="14">
        <f>C35/100*1.5</f>
        <v>14.850000000000001</v>
      </c>
      <c r="I35" s="14">
        <f>C35/100*74.5</f>
        <v>737.55000000000007</v>
      </c>
      <c r="J35" s="14">
        <f>C35/100*32</f>
        <v>316.8</v>
      </c>
      <c r="K35" s="14">
        <f>C35/100*0.14</f>
        <v>1.3860000000000001</v>
      </c>
      <c r="L35" s="111">
        <v>990</v>
      </c>
      <c r="M35" s="20">
        <v>30</v>
      </c>
      <c r="N35" s="16">
        <f t="shared" si="2"/>
        <v>29700</v>
      </c>
      <c r="O35" s="162"/>
      <c r="P35" s="165"/>
    </row>
    <row r="36" spans="1:23" s="2" customFormat="1" ht="19.8" customHeight="1">
      <c r="A36" s="8">
        <v>4</v>
      </c>
      <c r="B36" s="130" t="s">
        <v>114</v>
      </c>
      <c r="C36" s="12">
        <f>L36/100*100</f>
        <v>600</v>
      </c>
      <c r="D36" s="13">
        <f>C36/100*899</f>
        <v>5394</v>
      </c>
      <c r="E36" s="14"/>
      <c r="F36" s="14"/>
      <c r="G36" s="14">
        <f>C36/100*100</f>
        <v>600</v>
      </c>
      <c r="H36" s="14"/>
      <c r="I36" s="14"/>
      <c r="J36" s="22"/>
      <c r="K36" s="22"/>
      <c r="L36" s="111">
        <v>600</v>
      </c>
      <c r="M36" s="110">
        <v>69</v>
      </c>
      <c r="N36" s="113">
        <f t="shared" si="2"/>
        <v>41400</v>
      </c>
      <c r="O36" s="162"/>
    </row>
    <row r="37" spans="1:23" s="2" customFormat="1" ht="19.8" customHeight="1">
      <c r="A37" s="8">
        <v>5</v>
      </c>
      <c r="B37" s="129" t="s">
        <v>78</v>
      </c>
      <c r="C37" s="12">
        <f>L37/100*82</f>
        <v>1525.2</v>
      </c>
      <c r="D37" s="13">
        <f>C37/100*27</f>
        <v>411.80400000000003</v>
      </c>
      <c r="E37" s="17"/>
      <c r="F37" s="17">
        <f>C37/100*0.3</f>
        <v>4.5755999999999997</v>
      </c>
      <c r="G37" s="17"/>
      <c r="H37" s="17">
        <f>C37/100*0.1</f>
        <v>1.5252000000000001</v>
      </c>
      <c r="I37" s="17">
        <f>C37/100*6.1</f>
        <v>93.037199999999999</v>
      </c>
      <c r="J37" s="21">
        <f>C37/100*24</f>
        <v>366.048</v>
      </c>
      <c r="K37" s="21">
        <f>C37/100*0.03</f>
        <v>0.45756000000000002</v>
      </c>
      <c r="L37" s="321">
        <v>1860</v>
      </c>
      <c r="M37" s="15">
        <v>22</v>
      </c>
      <c r="N37" s="16">
        <f t="shared" si="2"/>
        <v>40920</v>
      </c>
      <c r="O37" s="162"/>
      <c r="Q37" s="3"/>
      <c r="R37" s="3"/>
      <c r="S37" s="4"/>
    </row>
    <row r="38" spans="1:23" s="2" customFormat="1" ht="19.8" customHeight="1">
      <c r="A38" s="8">
        <v>6</v>
      </c>
      <c r="B38" s="5" t="s">
        <v>4</v>
      </c>
      <c r="C38" s="12">
        <f>L38/100*98</f>
        <v>1029</v>
      </c>
      <c r="D38" s="13">
        <f>C38/100*118</f>
        <v>1214.2199999999998</v>
      </c>
      <c r="E38" s="14">
        <f>C38/100*22.5</f>
        <v>231.52499999999998</v>
      </c>
      <c r="F38" s="14"/>
      <c r="G38" s="14">
        <f>C38/100*3.8</f>
        <v>39.101999999999997</v>
      </c>
      <c r="H38" s="14"/>
      <c r="I38" s="14"/>
      <c r="J38" s="22">
        <f>C38/100*12</f>
        <v>123.47999999999999</v>
      </c>
      <c r="K38" s="22">
        <f>C38/100*0.1</f>
        <v>1.0289999999999999</v>
      </c>
      <c r="L38" s="111">
        <v>1050</v>
      </c>
      <c r="M38" s="15">
        <v>270</v>
      </c>
      <c r="N38" s="93">
        <f t="shared" si="2"/>
        <v>283500</v>
      </c>
      <c r="O38" s="164"/>
      <c r="Q38" s="3"/>
      <c r="R38" s="3"/>
      <c r="S38" s="4"/>
    </row>
    <row r="39" spans="1:23" s="2" customFormat="1" ht="19.8" customHeight="1">
      <c r="A39" s="8">
        <v>7</v>
      </c>
      <c r="B39" s="5" t="s">
        <v>3</v>
      </c>
      <c r="C39" s="12">
        <f>L39/100*48</f>
        <v>777.59999999999991</v>
      </c>
      <c r="D39" s="13">
        <f>C39/100*199</f>
        <v>1547.4239999999998</v>
      </c>
      <c r="E39" s="14">
        <f>C39/100*20.3</f>
        <v>157.85279999999997</v>
      </c>
      <c r="F39" s="14"/>
      <c r="G39" s="14">
        <f>C39/100*13.1</f>
        <v>101.86559999999999</v>
      </c>
      <c r="H39" s="14"/>
      <c r="I39" s="14"/>
      <c r="J39" s="22">
        <f>C39/100*12</f>
        <v>93.311999999999983</v>
      </c>
      <c r="K39" s="22">
        <f>C39/100*0.15</f>
        <v>1.1663999999999999</v>
      </c>
      <c r="L39" s="111">
        <v>1620</v>
      </c>
      <c r="M39" s="15">
        <v>84</v>
      </c>
      <c r="N39" s="16">
        <f t="shared" si="2"/>
        <v>136080</v>
      </c>
      <c r="O39" s="162"/>
      <c r="Q39" s="3"/>
      <c r="R39" s="3"/>
      <c r="S39" s="4"/>
    </row>
    <row r="40" spans="1:23" s="2" customFormat="1" ht="19.8" customHeight="1">
      <c r="A40" s="8">
        <v>8</v>
      </c>
      <c r="B40" s="5" t="s">
        <v>110</v>
      </c>
      <c r="C40" s="12">
        <f>L40/100*100</f>
        <v>60</v>
      </c>
      <c r="D40" s="13">
        <f>C40/100*247</f>
        <v>148.19999999999999</v>
      </c>
      <c r="E40" s="17"/>
      <c r="F40" s="17">
        <f>C40/100*17.5</f>
        <v>10.5</v>
      </c>
      <c r="G40" s="17"/>
      <c r="H40" s="17">
        <f>C40/100*1.6</f>
        <v>0.96</v>
      </c>
      <c r="I40" s="17">
        <f>C40/100*39.2</f>
        <v>23.52</v>
      </c>
      <c r="J40" s="21"/>
      <c r="K40" s="21"/>
      <c r="L40" s="320">
        <v>60</v>
      </c>
      <c r="M40" s="20">
        <v>50</v>
      </c>
      <c r="N40" s="113">
        <f t="shared" si="2"/>
        <v>3000</v>
      </c>
      <c r="O40" s="162"/>
      <c r="Q40" s="3"/>
      <c r="R40" s="3"/>
      <c r="S40" s="4"/>
      <c r="T40" s="3"/>
    </row>
    <row r="41" spans="1:23" s="2" customFormat="1" ht="19.8" customHeight="1">
      <c r="A41" s="8">
        <v>9</v>
      </c>
      <c r="B41" s="139" t="s">
        <v>123</v>
      </c>
      <c r="C41" s="12">
        <f>L41/100*100</f>
        <v>1720</v>
      </c>
      <c r="D41" s="13">
        <f>C41/100*487</f>
        <v>8376.4</v>
      </c>
      <c r="E41" s="17"/>
      <c r="F41" s="17">
        <f>C41/100*19.5</f>
        <v>335.4</v>
      </c>
      <c r="G41" s="17"/>
      <c r="H41" s="17">
        <f>C41/100*23.2</f>
        <v>399.03999999999996</v>
      </c>
      <c r="I41" s="17">
        <f>C41/100*46</f>
        <v>791.19999999999993</v>
      </c>
      <c r="J41" s="91">
        <f>C41/100*680</f>
        <v>11696</v>
      </c>
      <c r="K41" s="14">
        <f>C41/100*0.55</f>
        <v>9.4600000000000009</v>
      </c>
      <c r="L41" s="320">
        <v>1720</v>
      </c>
      <c r="M41" s="102">
        <v>260</v>
      </c>
      <c r="N41" s="16">
        <f t="shared" si="2"/>
        <v>447200</v>
      </c>
      <c r="O41" s="162"/>
      <c r="P41" s="3"/>
    </row>
    <row r="42" spans="1:23" s="2" customFormat="1" ht="19.8" customHeight="1">
      <c r="A42" s="77">
        <v>10</v>
      </c>
      <c r="B42" s="78" t="s">
        <v>105</v>
      </c>
      <c r="C42" s="79"/>
      <c r="D42" s="80"/>
      <c r="E42" s="81"/>
      <c r="F42" s="81"/>
      <c r="G42" s="81"/>
      <c r="H42" s="81"/>
      <c r="I42" s="81"/>
      <c r="J42" s="81"/>
      <c r="K42" s="81"/>
      <c r="L42" s="82"/>
      <c r="M42" s="82"/>
      <c r="N42" s="83">
        <v>6480</v>
      </c>
      <c r="O42" s="162"/>
    </row>
    <row r="43" spans="1:23" ht="22.2" customHeight="1">
      <c r="A43" s="170" t="s">
        <v>0</v>
      </c>
      <c r="B43" s="173" t="s">
        <v>18</v>
      </c>
      <c r="C43" s="176" t="s">
        <v>7</v>
      </c>
      <c r="D43" s="176" t="s">
        <v>8</v>
      </c>
      <c r="E43" s="179" t="s">
        <v>10</v>
      </c>
      <c r="F43" s="180"/>
      <c r="G43" s="179" t="s">
        <v>12</v>
      </c>
      <c r="H43" s="180"/>
      <c r="I43" s="198" t="s">
        <v>15</v>
      </c>
      <c r="J43" s="198" t="s">
        <v>30</v>
      </c>
      <c r="K43" s="198" t="s">
        <v>31</v>
      </c>
      <c r="L43" s="198" t="s">
        <v>16</v>
      </c>
      <c r="M43" s="198" t="s">
        <v>32</v>
      </c>
      <c r="N43" s="170" t="s">
        <v>17</v>
      </c>
      <c r="O43" s="161"/>
    </row>
    <row r="44" spans="1:23" ht="22.2" customHeight="1">
      <c r="A44" s="171"/>
      <c r="B44" s="174"/>
      <c r="C44" s="177"/>
      <c r="D44" s="177"/>
      <c r="E44" s="181"/>
      <c r="F44" s="182"/>
      <c r="G44" s="181"/>
      <c r="H44" s="182"/>
      <c r="I44" s="206"/>
      <c r="J44" s="206"/>
      <c r="K44" s="206"/>
      <c r="L44" s="206"/>
      <c r="M44" s="206"/>
      <c r="N44" s="171"/>
      <c r="O44" s="152"/>
    </row>
    <row r="45" spans="1:23" ht="22.2" customHeight="1">
      <c r="A45" s="171"/>
      <c r="B45" s="174"/>
      <c r="C45" s="177"/>
      <c r="D45" s="177"/>
      <c r="E45" s="198" t="s">
        <v>9</v>
      </c>
      <c r="F45" s="198" t="s">
        <v>11</v>
      </c>
      <c r="G45" s="198" t="s">
        <v>13</v>
      </c>
      <c r="H45" s="198" t="s">
        <v>14</v>
      </c>
      <c r="I45" s="206"/>
      <c r="J45" s="206"/>
      <c r="K45" s="206"/>
      <c r="L45" s="206"/>
      <c r="M45" s="206"/>
      <c r="N45" s="171"/>
      <c r="O45" s="152"/>
    </row>
    <row r="46" spans="1:23" ht="22.2" customHeight="1">
      <c r="A46" s="172"/>
      <c r="B46" s="175"/>
      <c r="C46" s="178"/>
      <c r="D46" s="178"/>
      <c r="E46" s="199"/>
      <c r="F46" s="199"/>
      <c r="G46" s="199"/>
      <c r="H46" s="199"/>
      <c r="I46" s="199"/>
      <c r="J46" s="199"/>
      <c r="K46" s="199"/>
      <c r="L46" s="199"/>
      <c r="M46" s="199"/>
      <c r="N46" s="172"/>
      <c r="O46" s="152"/>
    </row>
    <row r="47" spans="1:23" s="2" customFormat="1" ht="21" customHeight="1">
      <c r="A47" s="23" t="s">
        <v>92</v>
      </c>
      <c r="B47" s="24"/>
      <c r="C47" s="25"/>
      <c r="D47" s="94">
        <f>SUM(D33:D42)</f>
        <v>25588.947999999997</v>
      </c>
      <c r="E47" s="31"/>
      <c r="F47" s="31"/>
      <c r="G47" s="31"/>
      <c r="H47" s="31"/>
      <c r="I47" s="31"/>
      <c r="J47" s="31"/>
      <c r="K47" s="31"/>
      <c r="L47" s="32"/>
      <c r="M47" s="32"/>
      <c r="N47" s="269">
        <f>SUM(N33:N42)</f>
        <v>1017410</v>
      </c>
      <c r="O47" s="162"/>
    </row>
    <row r="48" spans="1:23" ht="21" customHeight="1">
      <c r="A48" s="23" t="s">
        <v>6</v>
      </c>
      <c r="B48" s="24"/>
      <c r="C48" s="33"/>
      <c r="D48" s="34">
        <f>D47/C10</f>
        <v>258.47422222222218</v>
      </c>
      <c r="E48" s="34"/>
      <c r="F48" s="34"/>
      <c r="G48" s="34"/>
      <c r="H48" s="34"/>
      <c r="I48" s="34"/>
      <c r="J48" s="34"/>
      <c r="K48" s="34"/>
      <c r="L48" s="35"/>
      <c r="M48" s="35"/>
      <c r="N48" s="270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98" t="s">
        <v>49</v>
      </c>
      <c r="B49" s="210"/>
      <c r="C49" s="322" t="s">
        <v>125</v>
      </c>
      <c r="D49" s="29" t="s">
        <v>39</v>
      </c>
      <c r="E49" s="34"/>
      <c r="F49" s="34"/>
      <c r="G49" s="34"/>
      <c r="H49" s="34"/>
      <c r="I49" s="34"/>
      <c r="J49" s="36"/>
      <c r="K49" s="36"/>
      <c r="L49" s="35"/>
      <c r="M49" s="35"/>
      <c r="N49" s="158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11"/>
      <c r="B50" s="212"/>
      <c r="C50" s="62" t="s">
        <v>56</v>
      </c>
      <c r="D50" s="29">
        <f>D48*100/1320</f>
        <v>19.58138047138047</v>
      </c>
      <c r="E50" s="34"/>
      <c r="F50" s="34"/>
      <c r="G50" s="34"/>
      <c r="H50" s="34"/>
      <c r="I50" s="34"/>
      <c r="J50" s="36"/>
      <c r="K50" s="36"/>
      <c r="L50" s="35"/>
      <c r="M50" s="35"/>
      <c r="N50" s="158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215" t="s">
        <v>93</v>
      </c>
      <c r="B51" s="216"/>
      <c r="C51" s="219"/>
      <c r="D51" s="280">
        <f>D28+D47</f>
        <v>71010.046000000002</v>
      </c>
      <c r="E51" s="95">
        <f>SUM(E16:E42)</f>
        <v>1479.8707999999999</v>
      </c>
      <c r="F51" s="95">
        <f t="shared" ref="F51:H51" si="3">SUM(F16:F42)</f>
        <v>1487.6799999999998</v>
      </c>
      <c r="G51" s="95">
        <f t="shared" si="3"/>
        <v>1442.6916000000001</v>
      </c>
      <c r="H51" s="6">
        <f t="shared" si="3"/>
        <v>632.71359999999993</v>
      </c>
      <c r="I51" s="227">
        <f>SUM(I16:I42)</f>
        <v>9800.4556000000011</v>
      </c>
      <c r="J51" s="225">
        <f>SUM(J16:J42)</f>
        <v>24481.212</v>
      </c>
      <c r="K51" s="227">
        <f>SUM(K16:K42)</f>
        <v>48.919579999999996</v>
      </c>
      <c r="L51" s="229"/>
      <c r="M51" s="229"/>
      <c r="N51" s="297">
        <f>N28+N47</f>
        <v>2176730</v>
      </c>
      <c r="P51" s="2"/>
      <c r="Q51" s="2"/>
      <c r="R51" s="2"/>
      <c r="S51" s="2"/>
      <c r="T51" s="2"/>
      <c r="U51" s="2"/>
      <c r="V51" s="2"/>
    </row>
    <row r="52" spans="1:23" ht="21" customHeight="1">
      <c r="A52" s="217"/>
      <c r="B52" s="218"/>
      <c r="C52" s="220"/>
      <c r="D52" s="281"/>
      <c r="E52" s="231">
        <f>E51+F51</f>
        <v>2967.5508</v>
      </c>
      <c r="F52" s="232"/>
      <c r="G52" s="231">
        <f>G51+H51</f>
        <v>2075.4052000000001</v>
      </c>
      <c r="H52" s="232"/>
      <c r="I52" s="228"/>
      <c r="J52" s="226"/>
      <c r="K52" s="228"/>
      <c r="L52" s="229"/>
      <c r="M52" s="229"/>
      <c r="N52" s="297"/>
      <c r="U52" s="11"/>
      <c r="V52" s="11"/>
    </row>
    <row r="53" spans="1:23" ht="21" customHeight="1">
      <c r="A53" s="233" t="s">
        <v>73</v>
      </c>
      <c r="B53" s="234"/>
      <c r="C53" s="235"/>
      <c r="D53" s="101">
        <f>D51/C10</f>
        <v>717.27319191919196</v>
      </c>
      <c r="E53" s="108">
        <f>E51/C10</f>
        <v>14.948189898989899</v>
      </c>
      <c r="F53" s="107">
        <f>F51/C10</f>
        <v>15.027070707070706</v>
      </c>
      <c r="G53" s="108">
        <f>G51/C10</f>
        <v>14.572642424242426</v>
      </c>
      <c r="H53" s="107">
        <f>H51/C10</f>
        <v>6.3910464646464638</v>
      </c>
      <c r="I53" s="241">
        <f>I51/C10</f>
        <v>98.994501010101018</v>
      </c>
      <c r="J53" s="291">
        <f>J51/C10</f>
        <v>247.28496969696968</v>
      </c>
      <c r="K53" s="241">
        <f>K51/C10</f>
        <v>0.4941371717171717</v>
      </c>
      <c r="L53" s="229"/>
      <c r="M53" s="229"/>
      <c r="N53" s="297"/>
      <c r="U53" s="11"/>
      <c r="V53" s="11"/>
    </row>
    <row r="54" spans="1:23" ht="21" customHeight="1">
      <c r="A54" s="236"/>
      <c r="B54" s="237"/>
      <c r="C54" s="238"/>
      <c r="D54" s="98"/>
      <c r="E54" s="302">
        <f>E53+F53</f>
        <v>29.975260606060605</v>
      </c>
      <c r="F54" s="301"/>
      <c r="G54" s="302">
        <f>G53+H53</f>
        <v>20.963688888888889</v>
      </c>
      <c r="H54" s="301"/>
      <c r="I54" s="242"/>
      <c r="J54" s="278"/>
      <c r="K54" s="242"/>
      <c r="L54" s="229"/>
      <c r="M54" s="229"/>
      <c r="N54" s="297"/>
      <c r="P54" s="333"/>
      <c r="Q54" s="334"/>
      <c r="R54" s="334"/>
      <c r="S54" s="334"/>
      <c r="T54" s="334"/>
      <c r="U54" s="335"/>
      <c r="V54" s="335"/>
    </row>
    <row r="55" spans="1:23" ht="21" customHeight="1">
      <c r="A55" s="323" t="s">
        <v>74</v>
      </c>
      <c r="B55" s="324"/>
      <c r="C55" s="325"/>
      <c r="D55" s="326" t="s">
        <v>25</v>
      </c>
      <c r="E55" s="184" t="s">
        <v>19</v>
      </c>
      <c r="F55" s="184"/>
      <c r="G55" s="184" t="s">
        <v>20</v>
      </c>
      <c r="H55" s="184"/>
      <c r="I55" s="156" t="s">
        <v>21</v>
      </c>
      <c r="J55" s="327">
        <v>600</v>
      </c>
      <c r="K55" s="327">
        <v>0.74</v>
      </c>
      <c r="L55" s="229"/>
      <c r="M55" s="229"/>
      <c r="N55" s="297"/>
      <c r="O55" s="166"/>
      <c r="P55" s="336"/>
      <c r="Q55" s="334"/>
      <c r="R55" s="334"/>
      <c r="S55" s="334"/>
      <c r="T55" s="334"/>
      <c r="U55" s="334"/>
      <c r="V55" s="334"/>
    </row>
    <row r="56" spans="1:23" ht="21" customHeight="1">
      <c r="A56" s="246" t="s">
        <v>67</v>
      </c>
      <c r="B56" s="247"/>
      <c r="C56" s="248"/>
      <c r="D56" s="19"/>
      <c r="E56" s="249">
        <f>E54*4.1</f>
        <v>122.89856848484847</v>
      </c>
      <c r="F56" s="250"/>
      <c r="G56" s="249">
        <f>G54*9</f>
        <v>188.67320000000001</v>
      </c>
      <c r="H56" s="250"/>
      <c r="I56" s="68">
        <f>I53*4.1</f>
        <v>405.87745414141415</v>
      </c>
      <c r="J56" s="251"/>
      <c r="K56" s="251"/>
      <c r="L56" s="229"/>
      <c r="M56" s="229"/>
      <c r="N56" s="297"/>
      <c r="O56" s="166"/>
      <c r="P56" s="338"/>
      <c r="Q56" s="339"/>
      <c r="R56" s="339"/>
      <c r="S56" s="339"/>
      <c r="T56" s="333"/>
      <c r="U56" s="333"/>
      <c r="V56" s="333"/>
    </row>
    <row r="57" spans="1:23" ht="21" customHeight="1">
      <c r="A57" s="254" t="s">
        <v>68</v>
      </c>
      <c r="B57" s="255"/>
      <c r="C57" s="246" t="s">
        <v>56</v>
      </c>
      <c r="D57" s="248"/>
      <c r="E57" s="258">
        <f>E56*100/D53</f>
        <v>17.134136598080783</v>
      </c>
      <c r="F57" s="259"/>
      <c r="G57" s="258">
        <f>G56*100/D53</f>
        <v>26.304231375937988</v>
      </c>
      <c r="H57" s="259"/>
      <c r="I57" s="85">
        <f>I56*100/D53</f>
        <v>56.586173680270534</v>
      </c>
      <c r="J57" s="252"/>
      <c r="K57" s="252"/>
      <c r="L57" s="229"/>
      <c r="M57" s="229"/>
      <c r="N57" s="297"/>
      <c r="O57" s="166"/>
      <c r="P57" s="333"/>
      <c r="Q57" s="340"/>
      <c r="R57" s="333"/>
      <c r="S57" s="333"/>
      <c r="T57" s="333"/>
      <c r="U57" s="333"/>
      <c r="V57" s="333"/>
    </row>
    <row r="58" spans="1:23" ht="21" customHeight="1">
      <c r="A58" s="256"/>
      <c r="B58" s="257"/>
      <c r="C58" s="246" t="s">
        <v>69</v>
      </c>
      <c r="D58" s="248"/>
      <c r="E58" s="246" t="s">
        <v>70</v>
      </c>
      <c r="F58" s="248"/>
      <c r="G58" s="246" t="s">
        <v>71</v>
      </c>
      <c r="H58" s="248"/>
      <c r="I58" s="326" t="s">
        <v>72</v>
      </c>
      <c r="J58" s="253"/>
      <c r="K58" s="253"/>
      <c r="L58" s="229"/>
      <c r="M58" s="229"/>
      <c r="N58" s="297"/>
      <c r="O58" s="166"/>
      <c r="P58" s="84"/>
    </row>
    <row r="59" spans="1:23" ht="21" customHeight="1">
      <c r="A59" s="319"/>
      <c r="B59" s="319"/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166"/>
    </row>
    <row r="60" spans="1:23" ht="21" customHeight="1">
      <c r="A60" s="70"/>
      <c r="B60" s="71"/>
      <c r="C60" s="70"/>
      <c r="D60" s="70"/>
      <c r="E60" s="70"/>
      <c r="F60" s="70"/>
      <c r="G60" s="70"/>
      <c r="H60" s="70"/>
      <c r="I60" s="70"/>
      <c r="J60" s="70"/>
      <c r="K60" s="70"/>
      <c r="L60" s="72"/>
      <c r="M60" s="72"/>
      <c r="N60" s="73"/>
      <c r="O60" s="166"/>
    </row>
    <row r="61" spans="1:23" ht="21" customHeight="1">
      <c r="A61" s="243" t="s">
        <v>94</v>
      </c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166"/>
    </row>
    <row r="62" spans="1:23" ht="21" customHeight="1">
      <c r="A62" s="87" t="s">
        <v>95</v>
      </c>
      <c r="B62" s="244" t="s">
        <v>96</v>
      </c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166"/>
    </row>
    <row r="63" spans="1:23" ht="21" customHeight="1">
      <c r="A63" s="88"/>
      <c r="B63" s="245" t="s">
        <v>200</v>
      </c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166"/>
    </row>
    <row r="64" spans="1:23" ht="21" customHeight="1">
      <c r="A64" s="88"/>
      <c r="B64" s="245" t="s">
        <v>202</v>
      </c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166"/>
    </row>
    <row r="65" spans="1:15" ht="21" customHeight="1">
      <c r="A65" s="88"/>
      <c r="B65" s="245" t="s">
        <v>201</v>
      </c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166"/>
    </row>
    <row r="66" spans="1:15" ht="21" customHeight="1">
      <c r="A66" s="70"/>
      <c r="B66" s="260" t="s">
        <v>103</v>
      </c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166"/>
    </row>
    <row r="67" spans="1:15" ht="2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89"/>
      <c r="M67" s="89"/>
      <c r="N67" s="90"/>
      <c r="O67" s="166"/>
    </row>
    <row r="68" spans="1:15" ht="21" customHeight="1">
      <c r="A68" s="261" t="s">
        <v>58</v>
      </c>
      <c r="B68" s="261"/>
      <c r="C68" s="261"/>
      <c r="D68" s="261"/>
      <c r="E68" s="328"/>
      <c r="F68" s="328"/>
      <c r="G68" s="328"/>
      <c r="H68" s="328"/>
      <c r="I68" s="328"/>
      <c r="J68" s="329" t="s">
        <v>34</v>
      </c>
      <c r="K68" s="329"/>
      <c r="L68" s="329"/>
      <c r="M68" s="329"/>
      <c r="N68" s="329"/>
      <c r="O68" s="166"/>
    </row>
    <row r="69" spans="1:15" ht="21" customHeight="1">
      <c r="A69" s="152"/>
      <c r="B69" s="152"/>
      <c r="C69" s="152"/>
      <c r="D69" s="328"/>
      <c r="E69" s="328"/>
      <c r="F69" s="328"/>
      <c r="G69" s="328"/>
      <c r="H69" s="330"/>
      <c r="I69" s="330"/>
      <c r="J69" s="330"/>
      <c r="K69" s="330"/>
      <c r="L69" s="330"/>
      <c r="M69" s="330"/>
      <c r="N69" s="330"/>
      <c r="O69" s="166"/>
    </row>
    <row r="70" spans="1:15" ht="21" customHeight="1">
      <c r="A70" s="152"/>
      <c r="B70" s="152"/>
      <c r="C70" s="152"/>
      <c r="D70" s="328"/>
      <c r="E70" s="328"/>
      <c r="F70" s="328"/>
      <c r="G70" s="328"/>
      <c r="H70" s="330"/>
      <c r="I70" s="330"/>
      <c r="J70" s="330"/>
      <c r="K70" s="330"/>
      <c r="L70" s="330"/>
      <c r="M70" s="330"/>
      <c r="N70" s="330"/>
      <c r="O70" s="166"/>
    </row>
    <row r="71" spans="1:15" ht="21" customHeight="1">
      <c r="A71" s="152"/>
      <c r="B71" s="152"/>
      <c r="C71" s="152"/>
      <c r="D71" s="328"/>
      <c r="E71" s="328"/>
      <c r="F71" s="328"/>
      <c r="G71" s="328"/>
      <c r="H71" s="330"/>
      <c r="I71" s="330"/>
      <c r="J71" s="331" t="s">
        <v>97</v>
      </c>
      <c r="K71" s="331"/>
      <c r="L71" s="331"/>
      <c r="M71" s="331"/>
      <c r="N71" s="331"/>
      <c r="O71" s="166"/>
    </row>
    <row r="72" spans="1:15" ht="21" customHeight="1">
      <c r="A72" s="262" t="s">
        <v>82</v>
      </c>
      <c r="B72" s="262"/>
      <c r="C72" s="262"/>
      <c r="D72" s="262"/>
      <c r="E72" s="328"/>
      <c r="F72" s="328"/>
      <c r="G72" s="328"/>
      <c r="H72" s="330"/>
      <c r="I72" s="330"/>
      <c r="O72" s="166"/>
    </row>
    <row r="73" spans="1:15" ht="21" customHeight="1">
      <c r="A73" s="152"/>
      <c r="B73" s="152"/>
      <c r="C73" s="152"/>
      <c r="D73" s="328"/>
      <c r="E73" s="328"/>
      <c r="F73" s="328"/>
      <c r="G73" s="328"/>
      <c r="H73" s="330"/>
      <c r="I73" s="330"/>
      <c r="J73" s="330"/>
      <c r="K73" s="330"/>
      <c r="L73" s="330"/>
      <c r="M73" s="330"/>
      <c r="N73" s="330"/>
      <c r="O73" s="166"/>
    </row>
    <row r="74" spans="1:15" ht="21" customHeight="1">
      <c r="A74" s="152"/>
      <c r="B74" s="152"/>
      <c r="C74" s="152"/>
      <c r="D74" s="328"/>
      <c r="E74" s="328"/>
      <c r="F74" s="328"/>
      <c r="G74" s="328"/>
      <c r="H74" s="330"/>
      <c r="I74" s="330"/>
      <c r="J74" s="331" t="s">
        <v>108</v>
      </c>
      <c r="K74" s="331"/>
      <c r="L74" s="331"/>
      <c r="M74" s="331"/>
      <c r="N74" s="331"/>
      <c r="O74" s="166"/>
    </row>
    <row r="75" spans="1:15" ht="21" customHeight="1">
      <c r="A75" s="152"/>
      <c r="B75" s="152"/>
      <c r="C75" s="152"/>
      <c r="D75" s="328"/>
      <c r="E75" s="328"/>
      <c r="F75" s="328"/>
      <c r="G75" s="328"/>
      <c r="H75" s="330"/>
      <c r="I75" s="330"/>
      <c r="J75" s="330"/>
      <c r="K75" s="330"/>
      <c r="L75" s="330"/>
      <c r="M75" s="330"/>
      <c r="N75" s="330"/>
      <c r="O75" s="166"/>
    </row>
    <row r="76" spans="1:15" ht="21" customHeight="1">
      <c r="A76" s="152"/>
      <c r="B76" s="152"/>
      <c r="C76" s="152"/>
      <c r="D76" s="328"/>
      <c r="E76" s="328"/>
      <c r="F76" s="328"/>
      <c r="G76" s="328"/>
      <c r="H76" s="330"/>
      <c r="I76" s="330"/>
      <c r="J76" s="330"/>
      <c r="K76" s="330"/>
      <c r="L76" s="330"/>
      <c r="M76" s="330"/>
      <c r="N76" s="330"/>
      <c r="O76" s="166"/>
    </row>
    <row r="77" spans="1:15" ht="21" customHeight="1">
      <c r="A77" s="152"/>
      <c r="B77" s="152"/>
      <c r="C77" s="152"/>
      <c r="D77" s="328"/>
      <c r="E77" s="328"/>
      <c r="F77" s="328"/>
      <c r="G77" s="328"/>
      <c r="H77" s="330"/>
      <c r="I77" s="330"/>
      <c r="J77" s="330"/>
      <c r="K77" s="330"/>
      <c r="L77" s="330"/>
      <c r="M77" s="330"/>
      <c r="N77" s="330"/>
      <c r="O77" s="166"/>
    </row>
    <row r="78" spans="1:15" ht="21" customHeight="1">
      <c r="A78" s="152"/>
      <c r="B78" s="152"/>
      <c r="C78" s="152"/>
      <c r="D78" s="328"/>
      <c r="E78" s="328"/>
      <c r="F78" s="328"/>
      <c r="G78" s="328"/>
      <c r="H78" s="330"/>
      <c r="I78" s="330"/>
      <c r="J78" s="330"/>
      <c r="K78" s="330"/>
      <c r="L78" s="330"/>
      <c r="M78" s="330"/>
      <c r="N78" s="330"/>
      <c r="O78" s="166"/>
    </row>
    <row r="79" spans="1:15" ht="21" customHeight="1">
      <c r="A79" s="152"/>
      <c r="B79" s="152"/>
      <c r="C79" s="152"/>
      <c r="D79" s="328"/>
      <c r="E79" s="328"/>
      <c r="F79" s="328"/>
      <c r="G79" s="328"/>
      <c r="H79" s="330"/>
      <c r="I79" s="330"/>
      <c r="J79" s="330"/>
      <c r="K79" s="330"/>
      <c r="L79" s="330"/>
      <c r="M79" s="330"/>
      <c r="N79" s="330"/>
      <c r="O79" s="166"/>
    </row>
    <row r="80" spans="1:15" ht="19.8" customHeight="1">
      <c r="A80" s="152"/>
      <c r="B80" s="152"/>
      <c r="C80" s="152"/>
      <c r="D80" s="328"/>
      <c r="E80" s="328"/>
      <c r="F80" s="328"/>
      <c r="G80" s="328"/>
      <c r="H80" s="330"/>
      <c r="I80" s="330"/>
      <c r="J80" s="330"/>
      <c r="K80" s="330"/>
      <c r="L80" s="330"/>
      <c r="M80" s="330"/>
      <c r="N80" s="330"/>
      <c r="O80" s="166"/>
    </row>
    <row r="81" spans="1:20" ht="19.8" customHeight="1">
      <c r="A81" s="152"/>
      <c r="B81" s="152"/>
      <c r="C81" s="152"/>
      <c r="D81" s="328"/>
      <c r="E81" s="328"/>
      <c r="F81" s="328"/>
      <c r="G81" s="328"/>
      <c r="H81" s="330"/>
      <c r="I81" s="330"/>
      <c r="J81" s="330"/>
      <c r="K81" s="330"/>
      <c r="L81" s="330"/>
      <c r="M81" s="330"/>
      <c r="N81" s="330"/>
      <c r="O81" s="166"/>
    </row>
    <row r="82" spans="1:20" ht="19.8" customHeight="1">
      <c r="A82" s="10" t="s">
        <v>57</v>
      </c>
      <c r="B82" s="7"/>
      <c r="C82" s="7"/>
      <c r="D82" s="7"/>
      <c r="E82" s="7"/>
      <c r="F82" s="183" t="s">
        <v>29</v>
      </c>
      <c r="G82" s="183"/>
      <c r="H82" s="183"/>
      <c r="I82" s="183"/>
      <c r="J82" s="183"/>
      <c r="K82" s="183"/>
      <c r="L82" s="183"/>
      <c r="M82" s="183"/>
      <c r="N82" s="183"/>
      <c r="O82" s="159"/>
      <c r="P82" s="159"/>
      <c r="T82" s="2"/>
    </row>
    <row r="83" spans="1:20" ht="19.8" customHeight="1">
      <c r="A83" s="7" t="s">
        <v>199</v>
      </c>
      <c r="B83" s="7"/>
      <c r="C83" s="7"/>
      <c r="D83" s="7"/>
      <c r="E83" s="7"/>
      <c r="F83" s="155"/>
      <c r="G83" s="155"/>
      <c r="H83" s="155"/>
      <c r="I83" s="155"/>
      <c r="J83" s="155"/>
      <c r="K83" s="155"/>
      <c r="L83" s="155"/>
      <c r="M83" s="155"/>
      <c r="N83" s="155"/>
      <c r="O83" s="159"/>
      <c r="P83" s="159"/>
      <c r="T83" s="2"/>
    </row>
    <row r="84" spans="1:20" s="2" customFormat="1" ht="19.8" customHeight="1">
      <c r="A84" s="184" t="s">
        <v>89</v>
      </c>
      <c r="B84" s="184"/>
      <c r="C84" s="184"/>
      <c r="D84" s="184"/>
      <c r="E84" s="184" t="s">
        <v>80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60"/>
    </row>
    <row r="85" spans="1:20" s="2" customFormat="1" ht="19.8" customHeight="1">
      <c r="A85" s="184"/>
      <c r="B85" s="184"/>
      <c r="C85" s="184"/>
      <c r="D85" s="184"/>
      <c r="E85" s="184" t="s">
        <v>88</v>
      </c>
      <c r="F85" s="184"/>
      <c r="G85" s="184"/>
      <c r="H85" s="184"/>
      <c r="I85" s="184"/>
      <c r="J85" s="184" t="s">
        <v>90</v>
      </c>
      <c r="K85" s="184"/>
      <c r="L85" s="184"/>
      <c r="M85" s="184"/>
      <c r="N85" s="184"/>
      <c r="O85" s="160"/>
    </row>
    <row r="86" spans="1:20" s="2" customFormat="1" ht="19.8" customHeight="1">
      <c r="A86" s="185" t="s">
        <v>81</v>
      </c>
      <c r="B86" s="185"/>
      <c r="C86" s="185"/>
      <c r="D86" s="185"/>
      <c r="E86" s="186" t="s">
        <v>124</v>
      </c>
      <c r="F86" s="186"/>
      <c r="G86" s="186"/>
      <c r="H86" s="186"/>
      <c r="I86" s="186"/>
      <c r="J86" s="187" t="s">
        <v>133</v>
      </c>
      <c r="K86" s="188"/>
      <c r="L86" s="188"/>
      <c r="M86" s="188"/>
      <c r="N86" s="189"/>
      <c r="O86" s="160"/>
    </row>
    <row r="87" spans="1:20" s="2" customFormat="1" ht="19.8" customHeight="1">
      <c r="A87" s="289" t="s">
        <v>196</v>
      </c>
      <c r="B87" s="289"/>
      <c r="C87" s="289"/>
      <c r="D87" s="289"/>
      <c r="E87" s="186"/>
      <c r="F87" s="186"/>
      <c r="G87" s="186"/>
      <c r="H87" s="186"/>
      <c r="I87" s="186"/>
      <c r="J87" s="190"/>
      <c r="K87" s="191"/>
      <c r="L87" s="191"/>
      <c r="M87" s="191"/>
      <c r="N87" s="192"/>
      <c r="O87" s="160"/>
    </row>
    <row r="88" spans="1:20" s="2" customFormat="1" ht="19.8" customHeight="1">
      <c r="A88" s="197" t="s">
        <v>197</v>
      </c>
      <c r="B88" s="197"/>
      <c r="C88" s="197"/>
      <c r="D88" s="197"/>
      <c r="E88" s="186"/>
      <c r="F88" s="186"/>
      <c r="G88" s="186"/>
      <c r="H88" s="186"/>
      <c r="I88" s="186"/>
      <c r="J88" s="193"/>
      <c r="K88" s="194"/>
      <c r="L88" s="194"/>
      <c r="M88" s="194"/>
      <c r="N88" s="195"/>
      <c r="O88" s="160"/>
    </row>
    <row r="89" spans="1:20" ht="19.8" customHeight="1">
      <c r="A89" s="290" t="s">
        <v>104</v>
      </c>
      <c r="B89" s="290"/>
      <c r="C89" s="288">
        <v>32</v>
      </c>
      <c r="D89" s="288"/>
      <c r="E89" s="7"/>
      <c r="F89" s="155"/>
      <c r="G89" s="155"/>
      <c r="H89" s="155"/>
      <c r="I89" s="155"/>
      <c r="J89" s="155"/>
      <c r="K89" s="155"/>
      <c r="L89" s="155"/>
      <c r="M89" s="155"/>
      <c r="N89" s="155"/>
      <c r="O89" s="159"/>
      <c r="P89" s="159"/>
      <c r="T89" s="2"/>
    </row>
    <row r="90" spans="1:20" ht="19.8" customHeight="1">
      <c r="A90" s="170" t="s">
        <v>0</v>
      </c>
      <c r="B90" s="173" t="s">
        <v>18</v>
      </c>
      <c r="C90" s="176" t="s">
        <v>7</v>
      </c>
      <c r="D90" s="176" t="s">
        <v>8</v>
      </c>
      <c r="E90" s="179" t="s">
        <v>10</v>
      </c>
      <c r="F90" s="180"/>
      <c r="G90" s="179" t="s">
        <v>12</v>
      </c>
      <c r="H90" s="180"/>
      <c r="I90" s="198" t="s">
        <v>15</v>
      </c>
      <c r="J90" s="198" t="s">
        <v>30</v>
      </c>
      <c r="K90" s="198" t="s">
        <v>31</v>
      </c>
      <c r="L90" s="198" t="s">
        <v>16</v>
      </c>
      <c r="M90" s="198" t="s">
        <v>32</v>
      </c>
      <c r="N90" s="170" t="s">
        <v>17</v>
      </c>
      <c r="O90" s="161"/>
    </row>
    <row r="91" spans="1:20" ht="19.8" customHeight="1">
      <c r="A91" s="171"/>
      <c r="B91" s="174"/>
      <c r="C91" s="177"/>
      <c r="D91" s="177"/>
      <c r="E91" s="181"/>
      <c r="F91" s="182"/>
      <c r="G91" s="181"/>
      <c r="H91" s="182"/>
      <c r="I91" s="206"/>
      <c r="J91" s="206"/>
      <c r="K91" s="206"/>
      <c r="L91" s="206"/>
      <c r="M91" s="206"/>
      <c r="N91" s="171"/>
      <c r="O91" s="152"/>
    </row>
    <row r="92" spans="1:20" ht="19.2" customHeight="1">
      <c r="A92" s="171"/>
      <c r="B92" s="174"/>
      <c r="C92" s="177"/>
      <c r="D92" s="177"/>
      <c r="E92" s="198" t="s">
        <v>9</v>
      </c>
      <c r="F92" s="198" t="s">
        <v>11</v>
      </c>
      <c r="G92" s="198" t="s">
        <v>13</v>
      </c>
      <c r="H92" s="198" t="s">
        <v>14</v>
      </c>
      <c r="I92" s="206"/>
      <c r="J92" s="206"/>
      <c r="K92" s="206"/>
      <c r="L92" s="206"/>
      <c r="M92" s="206"/>
      <c r="N92" s="171"/>
      <c r="O92" s="152"/>
    </row>
    <row r="93" spans="1:20" ht="18.600000000000001" customHeight="1">
      <c r="A93" s="172"/>
      <c r="B93" s="175"/>
      <c r="C93" s="178"/>
      <c r="D93" s="178"/>
      <c r="E93" s="199"/>
      <c r="F93" s="199"/>
      <c r="G93" s="199"/>
      <c r="H93" s="199"/>
      <c r="I93" s="199"/>
      <c r="J93" s="199"/>
      <c r="K93" s="199"/>
      <c r="L93" s="199"/>
      <c r="M93" s="199"/>
      <c r="N93" s="172"/>
      <c r="O93" s="152"/>
    </row>
    <row r="94" spans="1:20" ht="18.600000000000001" customHeight="1">
      <c r="A94" s="203" t="s">
        <v>40</v>
      </c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5"/>
      <c r="O94" s="152"/>
    </row>
    <row r="95" spans="1:20" s="2" customFormat="1" ht="18.600000000000001" customHeight="1">
      <c r="A95" s="8">
        <v>1</v>
      </c>
      <c r="B95" s="9" t="s">
        <v>2</v>
      </c>
      <c r="C95" s="12">
        <f>L95/100*100</f>
        <v>40</v>
      </c>
      <c r="D95" s="13">
        <f>C95/100*60</f>
        <v>24</v>
      </c>
      <c r="E95" s="14">
        <f>C95/100*15</f>
        <v>6</v>
      </c>
      <c r="F95" s="14"/>
      <c r="G95" s="14"/>
      <c r="H95" s="14"/>
      <c r="I95" s="14"/>
      <c r="J95" s="22">
        <f>C95/100*387</f>
        <v>154.80000000000001</v>
      </c>
      <c r="K95" s="22">
        <f>C95/100*0.09</f>
        <v>3.5999999999999997E-2</v>
      </c>
      <c r="L95" s="111">
        <v>40</v>
      </c>
      <c r="M95" s="20">
        <v>20</v>
      </c>
      <c r="N95" s="16">
        <f>L95*M95</f>
        <v>800</v>
      </c>
      <c r="O95" s="162"/>
    </row>
    <row r="96" spans="1:20" s="2" customFormat="1" ht="18.600000000000001" customHeight="1">
      <c r="A96" s="8">
        <v>2</v>
      </c>
      <c r="B96" s="130" t="s">
        <v>114</v>
      </c>
      <c r="C96" s="12">
        <f>L96/100*100</f>
        <v>70</v>
      </c>
      <c r="D96" s="13">
        <f>C96/100*899</f>
        <v>629.29999999999995</v>
      </c>
      <c r="E96" s="14"/>
      <c r="F96" s="14"/>
      <c r="G96" s="14">
        <f>C96/100*100</f>
        <v>70</v>
      </c>
      <c r="H96" s="14"/>
      <c r="I96" s="14"/>
      <c r="J96" s="22"/>
      <c r="K96" s="22"/>
      <c r="L96" s="111">
        <v>70</v>
      </c>
      <c r="M96" s="110">
        <v>69</v>
      </c>
      <c r="N96" s="113">
        <f t="shared" ref="N96:N104" si="4">L96*M96</f>
        <v>4830</v>
      </c>
      <c r="O96" s="162"/>
    </row>
    <row r="97" spans="1:23" s="2" customFormat="1" ht="18.600000000000001" customHeight="1">
      <c r="A97" s="8">
        <v>3</v>
      </c>
      <c r="B97" s="128" t="s">
        <v>118</v>
      </c>
      <c r="C97" s="12">
        <f t="shared" ref="C97" si="5">L97/100*100</f>
        <v>80</v>
      </c>
      <c r="D97" s="65">
        <f>C97/100*900</f>
        <v>720</v>
      </c>
      <c r="E97" s="14"/>
      <c r="F97" s="14"/>
      <c r="G97" s="91"/>
      <c r="H97" s="14">
        <f>C97/100*100</f>
        <v>80</v>
      </c>
      <c r="I97" s="14"/>
      <c r="J97" s="14"/>
      <c r="K97" s="14"/>
      <c r="L97" s="111">
        <v>80</v>
      </c>
      <c r="M97" s="65">
        <v>65</v>
      </c>
      <c r="N97" s="93">
        <f t="shared" si="4"/>
        <v>5200</v>
      </c>
      <c r="O97" s="163"/>
    </row>
    <row r="98" spans="1:23" s="2" customFormat="1" ht="18.600000000000001" customHeight="1">
      <c r="A98" s="8">
        <v>4</v>
      </c>
      <c r="B98" s="5" t="s">
        <v>1</v>
      </c>
      <c r="C98" s="12">
        <f>L98/100*100</f>
        <v>1376</v>
      </c>
      <c r="D98" s="13">
        <f>C98/100*355.6</f>
        <v>4893.0560000000005</v>
      </c>
      <c r="E98" s="14"/>
      <c r="F98" s="14">
        <f>C98/100*7.9</f>
        <v>108.70400000000001</v>
      </c>
      <c r="G98" s="14"/>
      <c r="H98" s="14">
        <f>C98/100*1</f>
        <v>13.76</v>
      </c>
      <c r="I98" s="14">
        <f>C98/100*75.9</f>
        <v>1044.384</v>
      </c>
      <c r="J98" s="22">
        <f>C98/100*30</f>
        <v>412.8</v>
      </c>
      <c r="K98" s="22">
        <f>C98/100*0.1</f>
        <v>1.3760000000000001</v>
      </c>
      <c r="L98" s="111">
        <v>1376</v>
      </c>
      <c r="M98" s="20">
        <v>18</v>
      </c>
      <c r="N98" s="16">
        <f t="shared" si="4"/>
        <v>24768</v>
      </c>
      <c r="O98" s="162"/>
    </row>
    <row r="99" spans="1:23" s="2" customFormat="1" ht="18.600000000000001" customHeight="1">
      <c r="A99" s="8">
        <v>5</v>
      </c>
      <c r="B99" s="5" t="s">
        <v>85</v>
      </c>
      <c r="C99" s="12">
        <f>L99/100*88</f>
        <v>1126.4000000000001</v>
      </c>
      <c r="D99" s="13">
        <f>C99/100*184</f>
        <v>2072.576</v>
      </c>
      <c r="E99" s="14">
        <f>C99/100*13</f>
        <v>146.43200000000002</v>
      </c>
      <c r="F99" s="14"/>
      <c r="G99" s="14">
        <f>C99/100*14.2</f>
        <v>159.94880000000001</v>
      </c>
      <c r="H99" s="14"/>
      <c r="I99" s="14">
        <f>C99/100*1</f>
        <v>11.264000000000001</v>
      </c>
      <c r="J99" s="22">
        <f>C99/100*71</f>
        <v>799.74400000000003</v>
      </c>
      <c r="K99" s="22">
        <f>C99/100*0.15</f>
        <v>1.6896000000000002</v>
      </c>
      <c r="L99" s="111">
        <v>1280</v>
      </c>
      <c r="M99" s="20">
        <v>57</v>
      </c>
      <c r="N99" s="16">
        <f t="shared" si="4"/>
        <v>72960</v>
      </c>
      <c r="O99" s="162"/>
      <c r="Q99" s="3"/>
      <c r="R99" s="3"/>
      <c r="S99" s="4"/>
    </row>
    <row r="100" spans="1:23" s="118" customFormat="1" ht="18.600000000000001" customHeight="1">
      <c r="A100" s="133">
        <v>6</v>
      </c>
      <c r="B100" s="128" t="s">
        <v>65</v>
      </c>
      <c r="C100" s="134">
        <f>L100/100*98</f>
        <v>813.40000000000009</v>
      </c>
      <c r="D100" s="135">
        <f>C100/100*139</f>
        <v>1130.626</v>
      </c>
      <c r="E100" s="104">
        <f>C100/100*19</f>
        <v>154.54599999999999</v>
      </c>
      <c r="F100" s="104"/>
      <c r="G100" s="104">
        <f>C100/100*7</f>
        <v>56.938000000000002</v>
      </c>
      <c r="H100" s="104"/>
      <c r="I100" s="104"/>
      <c r="J100" s="136">
        <f>C100/100*7</f>
        <v>56.938000000000002</v>
      </c>
      <c r="K100" s="136">
        <f>C100/100*0.9</f>
        <v>7.3206000000000007</v>
      </c>
      <c r="L100" s="111">
        <v>830</v>
      </c>
      <c r="M100" s="137">
        <v>133</v>
      </c>
      <c r="N100" s="114">
        <f t="shared" si="4"/>
        <v>110390</v>
      </c>
      <c r="O100" s="164"/>
    </row>
    <row r="101" spans="1:23" s="2" customFormat="1" ht="18.600000000000001" customHeight="1">
      <c r="A101" s="8">
        <v>7</v>
      </c>
      <c r="B101" s="5" t="s">
        <v>198</v>
      </c>
      <c r="C101" s="12">
        <f>L101/100*95</f>
        <v>456</v>
      </c>
      <c r="D101" s="13">
        <f>C101/100*20</f>
        <v>91.199999999999989</v>
      </c>
      <c r="E101" s="14"/>
      <c r="F101" s="14">
        <f>C101/100*0.6</f>
        <v>2.7359999999999998</v>
      </c>
      <c r="G101" s="14"/>
      <c r="H101" s="14">
        <f>C101/100*0.2</f>
        <v>0.91199999999999992</v>
      </c>
      <c r="I101" s="14">
        <f>C101/100*4</f>
        <v>18.239999999999998</v>
      </c>
      <c r="J101" s="21">
        <f>C101/100*12</f>
        <v>54.72</v>
      </c>
      <c r="K101" s="21">
        <f>C101/100*0.04</f>
        <v>0.18239999999999998</v>
      </c>
      <c r="L101" s="320">
        <v>480</v>
      </c>
      <c r="M101" s="15">
        <v>22</v>
      </c>
      <c r="N101" s="16">
        <f t="shared" si="4"/>
        <v>10560</v>
      </c>
      <c r="O101" s="162"/>
      <c r="Q101" s="3"/>
      <c r="R101" s="3"/>
    </row>
    <row r="102" spans="1:23" s="2" customFormat="1" ht="18.600000000000001" customHeight="1">
      <c r="A102" s="8">
        <v>8</v>
      </c>
      <c r="B102" s="5" t="s">
        <v>110</v>
      </c>
      <c r="C102" s="12">
        <f>L102/100*100</f>
        <v>25</v>
      </c>
      <c r="D102" s="13">
        <f>C102/100*247</f>
        <v>61.75</v>
      </c>
      <c r="E102" s="17"/>
      <c r="F102" s="17">
        <f>C102/100*17.5</f>
        <v>4.375</v>
      </c>
      <c r="G102" s="17"/>
      <c r="H102" s="17">
        <f>C102/100*1.6</f>
        <v>0.4</v>
      </c>
      <c r="I102" s="17">
        <f>C102/100*39.2</f>
        <v>9.8000000000000007</v>
      </c>
      <c r="J102" s="21"/>
      <c r="K102" s="21"/>
      <c r="L102" s="320">
        <v>25</v>
      </c>
      <c r="M102" s="20">
        <v>50</v>
      </c>
      <c r="N102" s="113">
        <f t="shared" si="4"/>
        <v>1250</v>
      </c>
      <c r="O102" s="162"/>
      <c r="Q102" s="3"/>
      <c r="R102" s="3"/>
      <c r="S102" s="4"/>
      <c r="T102" s="3"/>
    </row>
    <row r="103" spans="1:23" s="2" customFormat="1" ht="18" customHeight="1">
      <c r="A103" s="8">
        <v>9</v>
      </c>
      <c r="B103" s="5" t="s">
        <v>140</v>
      </c>
      <c r="C103" s="12">
        <f>L103/100*77</f>
        <v>492.8</v>
      </c>
      <c r="D103" s="13">
        <f>C103/100*35</f>
        <v>172.48</v>
      </c>
      <c r="E103" s="17"/>
      <c r="F103" s="17">
        <f>C103/100*5.3</f>
        <v>26.118399999999998</v>
      </c>
      <c r="G103" s="17"/>
      <c r="H103" s="17"/>
      <c r="I103" s="17">
        <f>C103/100*3.4</f>
        <v>16.755199999999999</v>
      </c>
      <c r="J103" s="17">
        <f>C103/100*169</f>
        <v>832.83199999999999</v>
      </c>
      <c r="K103" s="17">
        <f>C103/100*0.07</f>
        <v>0.34496000000000004</v>
      </c>
      <c r="L103" s="321">
        <v>640</v>
      </c>
      <c r="M103" s="15">
        <v>35</v>
      </c>
      <c r="N103" s="16">
        <f t="shared" si="4"/>
        <v>22400</v>
      </c>
      <c r="O103" s="162"/>
      <c r="Q103" s="3"/>
      <c r="R103" s="3"/>
      <c r="S103" s="4"/>
    </row>
    <row r="104" spans="1:23" s="2" customFormat="1" ht="18" customHeight="1">
      <c r="A104" s="133">
        <v>10</v>
      </c>
      <c r="B104" s="5" t="s">
        <v>136</v>
      </c>
      <c r="C104" s="12">
        <f>L104/100*81</f>
        <v>105.3</v>
      </c>
      <c r="D104" s="13">
        <f>C104/100*17</f>
        <v>17.901</v>
      </c>
      <c r="E104" s="14"/>
      <c r="F104" s="14">
        <f>C104/100*0.9</f>
        <v>0.94769999999999999</v>
      </c>
      <c r="G104" s="14"/>
      <c r="H104" s="14">
        <f>C104/100*0.2</f>
        <v>0.21060000000000001</v>
      </c>
      <c r="I104" s="14">
        <f>C104/100*2.8</f>
        <v>2.9483999999999995</v>
      </c>
      <c r="J104" s="64">
        <f>C104/100*28</f>
        <v>29.483999999999998</v>
      </c>
      <c r="K104" s="22">
        <f>C104/100*0.04</f>
        <v>4.2119999999999998E-2</v>
      </c>
      <c r="L104" s="111">
        <v>130</v>
      </c>
      <c r="M104" s="15">
        <v>25</v>
      </c>
      <c r="N104" s="113">
        <f t="shared" si="4"/>
        <v>3250</v>
      </c>
      <c r="O104" s="162"/>
    </row>
    <row r="105" spans="1:23" s="2" customFormat="1" ht="18.600000000000001" customHeight="1">
      <c r="A105" s="8">
        <v>11</v>
      </c>
      <c r="B105" s="9" t="s">
        <v>105</v>
      </c>
      <c r="C105" s="12"/>
      <c r="D105" s="13"/>
      <c r="E105" s="14"/>
      <c r="F105" s="14"/>
      <c r="G105" s="14"/>
      <c r="H105" s="14"/>
      <c r="I105" s="14"/>
      <c r="J105" s="14"/>
      <c r="K105" s="14"/>
      <c r="L105" s="15"/>
      <c r="M105" s="15"/>
      <c r="N105" s="16">
        <v>2280</v>
      </c>
      <c r="O105" s="162"/>
      <c r="Q105" s="3"/>
      <c r="R105" s="3"/>
      <c r="S105" s="4"/>
      <c r="T105" s="3"/>
    </row>
    <row r="106" spans="1:23" s="2" customFormat="1" ht="18.600000000000001" customHeight="1">
      <c r="A106" s="23" t="s">
        <v>98</v>
      </c>
      <c r="B106" s="24"/>
      <c r="C106" s="25"/>
      <c r="D106" s="26">
        <f>SUM(D95:D105)</f>
        <v>9812.889000000001</v>
      </c>
      <c r="E106" s="31"/>
      <c r="F106" s="31"/>
      <c r="G106" s="31"/>
      <c r="H106" s="31"/>
      <c r="I106" s="31"/>
      <c r="J106" s="31"/>
      <c r="K106" s="31"/>
      <c r="L106" s="32"/>
      <c r="M106" s="32"/>
      <c r="N106" s="295">
        <f>SUM(N95:N105)</f>
        <v>258688</v>
      </c>
      <c r="O106" s="162"/>
    </row>
    <row r="107" spans="1:23" ht="18.600000000000001" customHeight="1">
      <c r="A107" s="23" t="s">
        <v>41</v>
      </c>
      <c r="B107" s="24"/>
      <c r="C107" s="33"/>
      <c r="D107" s="34">
        <f>D106/C89</f>
        <v>306.65278125000003</v>
      </c>
      <c r="E107" s="34"/>
      <c r="F107" s="34"/>
      <c r="G107" s="34"/>
      <c r="H107" s="34"/>
      <c r="I107" s="34"/>
      <c r="J107" s="34"/>
      <c r="K107" s="34"/>
      <c r="L107" s="35"/>
      <c r="M107" s="35"/>
      <c r="N107" s="296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98" t="s">
        <v>50</v>
      </c>
      <c r="B108" s="210"/>
      <c r="C108" s="322" t="s">
        <v>125</v>
      </c>
      <c r="D108" s="29" t="s">
        <v>36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8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8.600000000000001" customHeight="1">
      <c r="A109" s="211"/>
      <c r="B109" s="212"/>
      <c r="C109" s="62" t="s">
        <v>56</v>
      </c>
      <c r="D109" s="29">
        <f>D107*100/930</f>
        <v>32.97341733870968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8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8.600000000000001" customHeight="1">
      <c r="A110" s="213" t="s">
        <v>43</v>
      </c>
      <c r="B110" s="213"/>
      <c r="C110" s="45"/>
      <c r="D110" s="46"/>
      <c r="E110" s="47"/>
      <c r="F110" s="47"/>
      <c r="G110" s="47"/>
      <c r="H110" s="47"/>
      <c r="I110" s="47"/>
      <c r="J110" s="47"/>
      <c r="K110" s="47"/>
      <c r="L110" s="48"/>
      <c r="M110" s="48"/>
      <c r="N110" s="51"/>
      <c r="O110" s="162"/>
    </row>
    <row r="111" spans="1:23" s="2" customFormat="1" ht="18.600000000000001" customHeight="1">
      <c r="A111" s="8">
        <v>1</v>
      </c>
      <c r="B111" s="9" t="s">
        <v>2</v>
      </c>
      <c r="C111" s="12">
        <f>L111/100*100</f>
        <v>40</v>
      </c>
      <c r="D111" s="13">
        <f>C111/100*60</f>
        <v>24</v>
      </c>
      <c r="E111" s="14">
        <f>C111/100*15</f>
        <v>6</v>
      </c>
      <c r="F111" s="14"/>
      <c r="G111" s="14"/>
      <c r="H111" s="14"/>
      <c r="I111" s="14"/>
      <c r="J111" s="22">
        <f>C111/100*387</f>
        <v>154.80000000000001</v>
      </c>
      <c r="K111" s="22">
        <f>C111/100*0.09</f>
        <v>3.5999999999999997E-2</v>
      </c>
      <c r="L111" s="15">
        <v>40</v>
      </c>
      <c r="M111" s="20">
        <v>20</v>
      </c>
      <c r="N111" s="16">
        <f>L111*M111</f>
        <v>800</v>
      </c>
      <c r="O111" s="162"/>
    </row>
    <row r="112" spans="1:23" s="2" customFormat="1" ht="18.600000000000001" customHeight="1">
      <c r="A112" s="8">
        <v>2</v>
      </c>
      <c r="B112" s="130" t="s">
        <v>114</v>
      </c>
      <c r="C112" s="12">
        <f>L112/100*100</f>
        <v>190</v>
      </c>
      <c r="D112" s="13">
        <f>C112/100*899</f>
        <v>1708.1</v>
      </c>
      <c r="E112" s="14"/>
      <c r="F112" s="14"/>
      <c r="G112" s="14">
        <f>C112/100*100</f>
        <v>190</v>
      </c>
      <c r="H112" s="14"/>
      <c r="I112" s="14"/>
      <c r="J112" s="22"/>
      <c r="K112" s="22"/>
      <c r="L112" s="111">
        <v>190</v>
      </c>
      <c r="M112" s="110">
        <v>69</v>
      </c>
      <c r="N112" s="113">
        <f t="shared" ref="N112:N118" si="6">L112*M112</f>
        <v>13110</v>
      </c>
      <c r="O112" s="162"/>
    </row>
    <row r="113" spans="1:23" s="2" customFormat="1" ht="18.600000000000001" customHeight="1">
      <c r="A113" s="8">
        <v>3</v>
      </c>
      <c r="B113" s="5" t="s">
        <v>1</v>
      </c>
      <c r="C113" s="12">
        <f>L113/100*100</f>
        <v>800</v>
      </c>
      <c r="D113" s="13">
        <f>C113/100*355.6</f>
        <v>2844.8</v>
      </c>
      <c r="E113" s="14"/>
      <c r="F113" s="14">
        <f>C113/100*7.9</f>
        <v>63.2</v>
      </c>
      <c r="G113" s="14"/>
      <c r="H113" s="14">
        <f>C113/100*1</f>
        <v>8</v>
      </c>
      <c r="I113" s="14">
        <f>C113/100*75.9</f>
        <v>607.20000000000005</v>
      </c>
      <c r="J113" s="22">
        <f>C113/100*30</f>
        <v>240</v>
      </c>
      <c r="K113" s="22">
        <f>C113/100*0.1</f>
        <v>0.8</v>
      </c>
      <c r="L113" s="15">
        <v>800</v>
      </c>
      <c r="M113" s="20">
        <v>18</v>
      </c>
      <c r="N113" s="16">
        <f t="shared" si="6"/>
        <v>14400</v>
      </c>
      <c r="O113" s="162"/>
    </row>
    <row r="114" spans="1:23" s="2" customFormat="1" ht="18.600000000000001" customHeight="1">
      <c r="A114" s="8">
        <v>4</v>
      </c>
      <c r="B114" s="5" t="s">
        <v>63</v>
      </c>
      <c r="C114" s="12">
        <f>L114/100*100</f>
        <v>480</v>
      </c>
      <c r="D114" s="13">
        <f>C114/100*344</f>
        <v>1651.2</v>
      </c>
      <c r="E114" s="14"/>
      <c r="F114" s="14">
        <f>C114/100*8.6</f>
        <v>41.279999999999994</v>
      </c>
      <c r="G114" s="14"/>
      <c r="H114" s="14">
        <f>C114/100*1.5</f>
        <v>7.1999999999999993</v>
      </c>
      <c r="I114" s="14">
        <f>C114/100*74.5</f>
        <v>357.59999999999997</v>
      </c>
      <c r="J114" s="14">
        <f>C114/100*32</f>
        <v>153.6</v>
      </c>
      <c r="K114" s="22">
        <f>C114/100*0.14</f>
        <v>0.67200000000000004</v>
      </c>
      <c r="L114" s="15">
        <v>480</v>
      </c>
      <c r="M114" s="20">
        <v>30</v>
      </c>
      <c r="N114" s="16">
        <f t="shared" si="6"/>
        <v>14400</v>
      </c>
      <c r="O114" s="162"/>
      <c r="P114" s="165"/>
    </row>
    <row r="115" spans="1:23" s="2" customFormat="1" ht="18.600000000000001" customHeight="1">
      <c r="A115" s="8">
        <v>5</v>
      </c>
      <c r="B115" s="5" t="s">
        <v>4</v>
      </c>
      <c r="C115" s="12">
        <f>L115/100*98</f>
        <v>588</v>
      </c>
      <c r="D115" s="13">
        <f>C115/100*118</f>
        <v>693.84</v>
      </c>
      <c r="E115" s="14">
        <f>C115/100*21</f>
        <v>123.48</v>
      </c>
      <c r="F115" s="14"/>
      <c r="G115" s="14">
        <f>C115/100*3.8</f>
        <v>22.343999999999998</v>
      </c>
      <c r="H115" s="14"/>
      <c r="I115" s="14"/>
      <c r="J115" s="22">
        <f>C115/100*12</f>
        <v>70.56</v>
      </c>
      <c r="K115" s="22">
        <f>C115/100*0.1</f>
        <v>0.58799999999999997</v>
      </c>
      <c r="L115" s="111">
        <v>600</v>
      </c>
      <c r="M115" s="15">
        <v>270</v>
      </c>
      <c r="N115" s="93">
        <f t="shared" si="6"/>
        <v>162000</v>
      </c>
      <c r="O115" s="164"/>
      <c r="Q115" s="3"/>
      <c r="R115" s="3"/>
      <c r="S115" s="4"/>
    </row>
    <row r="116" spans="1:23" s="2" customFormat="1" ht="17.399999999999999" customHeight="1">
      <c r="A116" s="8">
        <v>6</v>
      </c>
      <c r="B116" s="5" t="s">
        <v>3</v>
      </c>
      <c r="C116" s="12">
        <f>L116/100*48</f>
        <v>460.79999999999995</v>
      </c>
      <c r="D116" s="13">
        <f>C116/100*199</f>
        <v>916.99199999999996</v>
      </c>
      <c r="E116" s="14">
        <f>C116/100*20.3</f>
        <v>93.542400000000001</v>
      </c>
      <c r="F116" s="14"/>
      <c r="G116" s="14">
        <f>C116/100*13.1</f>
        <v>60.364799999999995</v>
      </c>
      <c r="H116" s="14"/>
      <c r="I116" s="14"/>
      <c r="J116" s="22">
        <f>C116/100*12</f>
        <v>55.295999999999992</v>
      </c>
      <c r="K116" s="22">
        <f>C116/100*0.15</f>
        <v>0.69119999999999993</v>
      </c>
      <c r="L116" s="111">
        <v>960</v>
      </c>
      <c r="M116" s="15">
        <v>84</v>
      </c>
      <c r="N116" s="16">
        <f t="shared" si="6"/>
        <v>80640</v>
      </c>
      <c r="O116" s="162"/>
      <c r="Q116" s="3"/>
      <c r="R116" s="3"/>
      <c r="S116" s="4"/>
    </row>
    <row r="117" spans="1:23" s="2" customFormat="1" ht="18.600000000000001" customHeight="1">
      <c r="A117" s="8">
        <v>7</v>
      </c>
      <c r="B117" s="5" t="s">
        <v>78</v>
      </c>
      <c r="C117" s="12">
        <f>L117/100*82</f>
        <v>524.80000000000007</v>
      </c>
      <c r="D117" s="13">
        <f>C117/100*27</f>
        <v>141.69600000000003</v>
      </c>
      <c r="E117" s="17"/>
      <c r="F117" s="17">
        <f>C117/100*0.3</f>
        <v>1.5744000000000002</v>
      </c>
      <c r="G117" s="17"/>
      <c r="H117" s="17">
        <f>C117/100*0.1</f>
        <v>0.52480000000000016</v>
      </c>
      <c r="I117" s="17">
        <f>C117/100*6.1</f>
        <v>32.012800000000006</v>
      </c>
      <c r="J117" s="21">
        <f>C117/100*24</f>
        <v>125.95200000000003</v>
      </c>
      <c r="K117" s="21">
        <f>C117/100*0.03</f>
        <v>0.15744000000000002</v>
      </c>
      <c r="L117" s="321">
        <v>640</v>
      </c>
      <c r="M117" s="15">
        <v>22</v>
      </c>
      <c r="N117" s="16">
        <f t="shared" si="6"/>
        <v>14080</v>
      </c>
      <c r="O117" s="162"/>
      <c r="Q117" s="3"/>
      <c r="R117" s="3"/>
      <c r="S117" s="4"/>
    </row>
    <row r="118" spans="1:23" s="2" customFormat="1" ht="18.600000000000001" customHeight="1">
      <c r="A118" s="8">
        <v>8</v>
      </c>
      <c r="B118" s="5" t="s">
        <v>110</v>
      </c>
      <c r="C118" s="12">
        <f>L118/100*100</f>
        <v>25</v>
      </c>
      <c r="D118" s="13">
        <f>C118/100*247</f>
        <v>61.75</v>
      </c>
      <c r="E118" s="17"/>
      <c r="F118" s="17">
        <f>C118/100*17.5</f>
        <v>4.375</v>
      </c>
      <c r="G118" s="17"/>
      <c r="H118" s="17">
        <f>C118/100*1.6</f>
        <v>0.4</v>
      </c>
      <c r="I118" s="17">
        <f>C118/100*39.2</f>
        <v>9.8000000000000007</v>
      </c>
      <c r="J118" s="21"/>
      <c r="K118" s="21"/>
      <c r="L118" s="320">
        <v>25</v>
      </c>
      <c r="M118" s="20">
        <v>50</v>
      </c>
      <c r="N118" s="113">
        <f t="shared" si="6"/>
        <v>1250</v>
      </c>
      <c r="O118" s="162"/>
      <c r="Q118" s="3"/>
      <c r="R118" s="3"/>
      <c r="S118" s="4"/>
      <c r="T118" s="3"/>
    </row>
    <row r="119" spans="1:23" s="2" customFormat="1" ht="18.600000000000001" customHeight="1">
      <c r="A119" s="8">
        <v>9</v>
      </c>
      <c r="B119" s="9" t="s">
        <v>105</v>
      </c>
      <c r="C119" s="12"/>
      <c r="D119" s="13"/>
      <c r="E119" s="14"/>
      <c r="F119" s="14"/>
      <c r="G119" s="14"/>
      <c r="H119" s="14"/>
      <c r="I119" s="14"/>
      <c r="J119" s="14"/>
      <c r="K119" s="14"/>
      <c r="L119" s="15"/>
      <c r="M119" s="15"/>
      <c r="N119" s="16">
        <v>2280</v>
      </c>
      <c r="O119" s="162"/>
      <c r="Q119" s="3"/>
      <c r="R119" s="3"/>
      <c r="S119" s="4"/>
      <c r="T119" s="3"/>
    </row>
    <row r="120" spans="1:23" s="2" customFormat="1" ht="18.600000000000001" customHeight="1">
      <c r="A120" s="23" t="s">
        <v>99</v>
      </c>
      <c r="B120" s="24"/>
      <c r="C120" s="25"/>
      <c r="D120" s="26">
        <f>SUM(D111:D119)</f>
        <v>8042.3779999999997</v>
      </c>
      <c r="E120" s="31"/>
      <c r="F120" s="31"/>
      <c r="G120" s="31"/>
      <c r="H120" s="31"/>
      <c r="I120" s="31"/>
      <c r="J120" s="31"/>
      <c r="K120" s="31"/>
      <c r="L120" s="32"/>
      <c r="M120" s="32"/>
      <c r="N120" s="295">
        <f>SUM(N111:N119)</f>
        <v>302960</v>
      </c>
      <c r="O120" s="162"/>
    </row>
    <row r="121" spans="1:23" ht="18.600000000000001" customHeight="1">
      <c r="A121" s="23" t="s">
        <v>44</v>
      </c>
      <c r="B121" s="24"/>
      <c r="C121" s="52"/>
      <c r="D121" s="36">
        <f>D120/C89</f>
        <v>251.32431249999999</v>
      </c>
      <c r="E121" s="36"/>
      <c r="F121" s="36"/>
      <c r="G121" s="36"/>
      <c r="H121" s="36"/>
      <c r="I121" s="36"/>
      <c r="J121" s="36"/>
      <c r="K121" s="36"/>
      <c r="L121" s="53"/>
      <c r="M121" s="35"/>
      <c r="N121" s="296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98" t="s">
        <v>51</v>
      </c>
      <c r="B122" s="210"/>
      <c r="C122" s="322" t="s">
        <v>125</v>
      </c>
      <c r="D122" s="29" t="s">
        <v>46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8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11"/>
      <c r="B123" s="212"/>
      <c r="C123" s="62" t="s">
        <v>56</v>
      </c>
      <c r="D123" s="29">
        <f>D121*100/930</f>
        <v>27.024119623655913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58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.600000000000001" customHeight="1">
      <c r="A124" s="213" t="s">
        <v>37</v>
      </c>
      <c r="B124" s="213"/>
      <c r="C124" s="54"/>
      <c r="D124" s="55"/>
      <c r="E124" s="55"/>
      <c r="F124" s="55"/>
      <c r="G124" s="55"/>
      <c r="H124" s="55"/>
      <c r="I124" s="55"/>
      <c r="J124" s="55"/>
      <c r="K124" s="55"/>
      <c r="L124" s="56"/>
      <c r="M124" s="56"/>
      <c r="N124" s="5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s="2" customFormat="1" ht="18.600000000000001" customHeight="1">
      <c r="A125" s="119">
        <v>1</v>
      </c>
      <c r="B125" s="140" t="s">
        <v>123</v>
      </c>
      <c r="C125" s="25">
        <f>L125/100*100</f>
        <v>550</v>
      </c>
      <c r="D125" s="120">
        <f>C125/100*487</f>
        <v>2678.5</v>
      </c>
      <c r="E125" s="27"/>
      <c r="F125" s="27">
        <f>C125/100*19.5</f>
        <v>107.25</v>
      </c>
      <c r="G125" s="27"/>
      <c r="H125" s="27">
        <f>C125/100*23.2</f>
        <v>127.6</v>
      </c>
      <c r="I125" s="27">
        <f>C125/100*46</f>
        <v>253</v>
      </c>
      <c r="J125" s="121">
        <f>C125/100*680</f>
        <v>3740</v>
      </c>
      <c r="K125" s="27">
        <f>C125/100*0.55</f>
        <v>3.0250000000000004</v>
      </c>
      <c r="L125" s="28">
        <v>550</v>
      </c>
      <c r="M125" s="141">
        <v>260</v>
      </c>
      <c r="N125" s="122">
        <f t="shared" ref="N125" si="7">L125*M125</f>
        <v>143000</v>
      </c>
      <c r="O125" s="162"/>
      <c r="P125" s="3"/>
    </row>
    <row r="126" spans="1:23" ht="20.399999999999999" customHeight="1">
      <c r="A126" s="170" t="s">
        <v>0</v>
      </c>
      <c r="B126" s="173" t="s">
        <v>18</v>
      </c>
      <c r="C126" s="176" t="s">
        <v>7</v>
      </c>
      <c r="D126" s="176" t="s">
        <v>8</v>
      </c>
      <c r="E126" s="179" t="s">
        <v>10</v>
      </c>
      <c r="F126" s="180"/>
      <c r="G126" s="179" t="s">
        <v>12</v>
      </c>
      <c r="H126" s="180"/>
      <c r="I126" s="198" t="s">
        <v>15</v>
      </c>
      <c r="J126" s="198" t="s">
        <v>30</v>
      </c>
      <c r="K126" s="198" t="s">
        <v>31</v>
      </c>
      <c r="L126" s="198" t="s">
        <v>16</v>
      </c>
      <c r="M126" s="198" t="s">
        <v>32</v>
      </c>
      <c r="N126" s="170" t="s">
        <v>17</v>
      </c>
      <c r="O126" s="161"/>
    </row>
    <row r="127" spans="1:23" ht="20.399999999999999" customHeight="1">
      <c r="A127" s="171"/>
      <c r="B127" s="174"/>
      <c r="C127" s="177"/>
      <c r="D127" s="177"/>
      <c r="E127" s="181"/>
      <c r="F127" s="182"/>
      <c r="G127" s="181"/>
      <c r="H127" s="182"/>
      <c r="I127" s="206"/>
      <c r="J127" s="206"/>
      <c r="K127" s="206"/>
      <c r="L127" s="206"/>
      <c r="M127" s="206"/>
      <c r="N127" s="171"/>
      <c r="O127" s="152"/>
    </row>
    <row r="128" spans="1:23" ht="20.399999999999999" customHeight="1">
      <c r="A128" s="171"/>
      <c r="B128" s="174"/>
      <c r="C128" s="177"/>
      <c r="D128" s="177"/>
      <c r="E128" s="198" t="s">
        <v>9</v>
      </c>
      <c r="F128" s="198" t="s">
        <v>11</v>
      </c>
      <c r="G128" s="198" t="s">
        <v>13</v>
      </c>
      <c r="H128" s="198" t="s">
        <v>14</v>
      </c>
      <c r="I128" s="206"/>
      <c r="J128" s="206"/>
      <c r="K128" s="206"/>
      <c r="L128" s="206"/>
      <c r="M128" s="206"/>
      <c r="N128" s="171"/>
      <c r="O128" s="152"/>
    </row>
    <row r="129" spans="1:23" ht="20.399999999999999" customHeight="1">
      <c r="A129" s="172"/>
      <c r="B129" s="175"/>
      <c r="C129" s="178"/>
      <c r="D129" s="178"/>
      <c r="E129" s="199"/>
      <c r="F129" s="199"/>
      <c r="G129" s="199"/>
      <c r="H129" s="199"/>
      <c r="I129" s="199"/>
      <c r="J129" s="199"/>
      <c r="K129" s="199"/>
      <c r="L129" s="199"/>
      <c r="M129" s="199"/>
      <c r="N129" s="172"/>
      <c r="O129" s="152"/>
    </row>
    <row r="130" spans="1:23" s="2" customFormat="1" ht="21" customHeight="1">
      <c r="A130" s="23" t="s">
        <v>92</v>
      </c>
      <c r="B130" s="24"/>
      <c r="C130" s="25"/>
      <c r="D130" s="26">
        <f>SUM(D124:D125)</f>
        <v>2678.5</v>
      </c>
      <c r="E130" s="31"/>
      <c r="F130" s="31"/>
      <c r="G130" s="31"/>
      <c r="H130" s="31"/>
      <c r="I130" s="31"/>
      <c r="J130" s="31"/>
      <c r="K130" s="31"/>
      <c r="L130" s="32"/>
      <c r="M130" s="58"/>
      <c r="N130" s="295">
        <f>SUM(N124:N125)</f>
        <v>143000</v>
      </c>
      <c r="O130" s="162"/>
    </row>
    <row r="131" spans="1:23" ht="21" customHeight="1">
      <c r="A131" s="23" t="s">
        <v>6</v>
      </c>
      <c r="B131" s="24"/>
      <c r="C131" s="33"/>
      <c r="D131" s="34">
        <f>D130/C89</f>
        <v>83.703125</v>
      </c>
      <c r="E131" s="34"/>
      <c r="F131" s="34"/>
      <c r="G131" s="34"/>
      <c r="H131" s="34"/>
      <c r="I131" s="34"/>
      <c r="J131" s="34"/>
      <c r="K131" s="34"/>
      <c r="L131" s="35"/>
      <c r="M131" s="18"/>
      <c r="N131" s="296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98" t="s">
        <v>49</v>
      </c>
      <c r="B132" s="210"/>
      <c r="C132" s="61" t="s">
        <v>55</v>
      </c>
      <c r="D132" s="29" t="s">
        <v>47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8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1"/>
      <c r="B133" s="212"/>
      <c r="C133" s="62" t="s">
        <v>56</v>
      </c>
      <c r="D133" s="29">
        <f>D131*100/930</f>
        <v>9.000336021505376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58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15" t="s">
        <v>93</v>
      </c>
      <c r="B134" s="216"/>
      <c r="C134" s="219"/>
      <c r="D134" s="280">
        <f>D106+D120+D130</f>
        <v>20533.767</v>
      </c>
      <c r="E134" s="6">
        <f t="shared" ref="E134:I134" si="8">SUM(E95:E125)</f>
        <v>530.00040000000001</v>
      </c>
      <c r="F134" s="6">
        <f t="shared" si="8"/>
        <v>360.56049999999999</v>
      </c>
      <c r="G134" s="6">
        <f t="shared" si="8"/>
        <v>559.59559999999999</v>
      </c>
      <c r="H134" s="6">
        <f t="shared" si="8"/>
        <v>239.00740000000002</v>
      </c>
      <c r="I134" s="227">
        <f t="shared" si="8"/>
        <v>2363.0044000000003</v>
      </c>
      <c r="J134" s="223">
        <f>SUM(J95:J125)</f>
        <v>6881.5259999999998</v>
      </c>
      <c r="K134" s="227">
        <f>SUM(K95:K125)</f>
        <v>16.961320000000001</v>
      </c>
      <c r="L134" s="229"/>
      <c r="M134" s="229"/>
      <c r="N134" s="297">
        <f>N106+N120+N125</f>
        <v>704648</v>
      </c>
      <c r="P134" s="2"/>
      <c r="Q134" s="2"/>
      <c r="R134" s="2"/>
      <c r="S134" s="2"/>
      <c r="T134" s="2"/>
      <c r="U134" s="2"/>
      <c r="V134" s="2"/>
    </row>
    <row r="135" spans="1:23" ht="21" customHeight="1">
      <c r="A135" s="217"/>
      <c r="B135" s="218"/>
      <c r="C135" s="220"/>
      <c r="D135" s="281"/>
      <c r="E135" s="231">
        <f>E134+F134</f>
        <v>890.56089999999995</v>
      </c>
      <c r="F135" s="232"/>
      <c r="G135" s="231">
        <f>G134+H134</f>
        <v>798.60300000000007</v>
      </c>
      <c r="H135" s="232"/>
      <c r="I135" s="228"/>
      <c r="J135" s="224"/>
      <c r="K135" s="228"/>
      <c r="L135" s="229"/>
      <c r="M135" s="229"/>
      <c r="N135" s="297"/>
      <c r="U135" s="11"/>
      <c r="V135" s="11"/>
    </row>
    <row r="136" spans="1:23" ht="21" customHeight="1">
      <c r="A136" s="271" t="s">
        <v>73</v>
      </c>
      <c r="B136" s="272"/>
      <c r="C136" s="273"/>
      <c r="D136" s="101">
        <f>D134/C89</f>
        <v>641.68021874999999</v>
      </c>
      <c r="E136" s="108">
        <f>E134/C89</f>
        <v>16.5625125</v>
      </c>
      <c r="F136" s="107">
        <f>F134/C89</f>
        <v>11.267515625</v>
      </c>
      <c r="G136" s="108">
        <f>G134/C89</f>
        <v>17.4873625</v>
      </c>
      <c r="H136" s="107">
        <f>H134/C89</f>
        <v>7.4689812500000006</v>
      </c>
      <c r="I136" s="241">
        <f>I134/C89</f>
        <v>73.843887500000008</v>
      </c>
      <c r="J136" s="241">
        <f>J134/C89</f>
        <v>215.04768749999999</v>
      </c>
      <c r="K136" s="241">
        <f>K134/C89</f>
        <v>0.53004125000000002</v>
      </c>
      <c r="L136" s="229"/>
      <c r="M136" s="229"/>
      <c r="N136" s="297"/>
      <c r="U136" s="11"/>
      <c r="V136" s="11"/>
    </row>
    <row r="137" spans="1:23" ht="21" customHeight="1">
      <c r="A137" s="274"/>
      <c r="B137" s="275"/>
      <c r="C137" s="276"/>
      <c r="D137" s="98"/>
      <c r="E137" s="302">
        <f>E136+F136</f>
        <v>27.830028124999998</v>
      </c>
      <c r="F137" s="301"/>
      <c r="G137" s="302">
        <f>G136+H136</f>
        <v>24.956343750000002</v>
      </c>
      <c r="H137" s="301"/>
      <c r="I137" s="242"/>
      <c r="J137" s="242"/>
      <c r="K137" s="242"/>
      <c r="L137" s="229"/>
      <c r="M137" s="229"/>
      <c r="N137" s="297"/>
      <c r="P137" s="333"/>
      <c r="Q137" s="334"/>
      <c r="R137" s="334"/>
      <c r="S137" s="334"/>
      <c r="T137" s="334"/>
      <c r="U137" s="335"/>
      <c r="V137" s="335"/>
    </row>
    <row r="138" spans="1:23" ht="21" customHeight="1">
      <c r="A138" s="323" t="s">
        <v>74</v>
      </c>
      <c r="B138" s="324"/>
      <c r="C138" s="325"/>
      <c r="D138" s="326" t="s">
        <v>26</v>
      </c>
      <c r="E138" s="332" t="s">
        <v>22</v>
      </c>
      <c r="F138" s="332"/>
      <c r="G138" s="332" t="s">
        <v>23</v>
      </c>
      <c r="H138" s="332"/>
      <c r="I138" s="326" t="s">
        <v>24</v>
      </c>
      <c r="J138" s="153">
        <v>500</v>
      </c>
      <c r="K138" s="153">
        <v>0.59</v>
      </c>
      <c r="L138" s="229"/>
      <c r="M138" s="229"/>
      <c r="N138" s="297"/>
      <c r="O138" s="166"/>
      <c r="P138" s="336"/>
      <c r="Q138" s="334"/>
      <c r="R138" s="334"/>
      <c r="S138" s="337"/>
      <c r="T138" s="337"/>
      <c r="U138" s="334"/>
      <c r="V138" s="334"/>
    </row>
    <row r="139" spans="1:23" ht="21" customHeight="1">
      <c r="A139" s="246" t="s">
        <v>67</v>
      </c>
      <c r="B139" s="247"/>
      <c r="C139" s="248"/>
      <c r="D139" s="19"/>
      <c r="E139" s="249">
        <f>E137*4.1</f>
        <v>114.10311531249998</v>
      </c>
      <c r="F139" s="250"/>
      <c r="G139" s="249">
        <f>G137*9</f>
        <v>224.60709375000002</v>
      </c>
      <c r="H139" s="250"/>
      <c r="I139" s="68">
        <f>I136*4.1</f>
        <v>302.75993875</v>
      </c>
      <c r="J139" s="251"/>
      <c r="K139" s="251"/>
      <c r="L139" s="229"/>
      <c r="M139" s="229"/>
      <c r="N139" s="297"/>
      <c r="O139" s="166"/>
      <c r="P139" s="338"/>
      <c r="Q139" s="339"/>
      <c r="R139" s="339"/>
      <c r="S139" s="339"/>
      <c r="T139" s="333"/>
      <c r="U139" s="333"/>
      <c r="V139" s="333"/>
    </row>
    <row r="140" spans="1:23" ht="21" customHeight="1">
      <c r="A140" s="254" t="s">
        <v>75</v>
      </c>
      <c r="B140" s="255"/>
      <c r="C140" s="246" t="s">
        <v>56</v>
      </c>
      <c r="D140" s="248"/>
      <c r="E140" s="258">
        <f>E139*100/D136</f>
        <v>17.781928128433517</v>
      </c>
      <c r="F140" s="259"/>
      <c r="G140" s="258">
        <f>G139*100/D136</f>
        <v>35.002963654939691</v>
      </c>
      <c r="H140" s="259"/>
      <c r="I140" s="85">
        <f>I139*100/D136</f>
        <v>47.182370580127845</v>
      </c>
      <c r="J140" s="252"/>
      <c r="K140" s="252"/>
      <c r="L140" s="229"/>
      <c r="M140" s="229"/>
      <c r="N140" s="297"/>
      <c r="O140" s="166"/>
      <c r="P140" s="333"/>
      <c r="Q140" s="340"/>
      <c r="R140" s="333"/>
      <c r="S140" s="333"/>
      <c r="T140" s="333"/>
      <c r="U140" s="333"/>
      <c r="V140" s="333"/>
    </row>
    <row r="141" spans="1:23" ht="21" customHeight="1">
      <c r="A141" s="256"/>
      <c r="B141" s="257"/>
      <c r="C141" s="246" t="s">
        <v>69</v>
      </c>
      <c r="D141" s="248"/>
      <c r="E141" s="246" t="s">
        <v>70</v>
      </c>
      <c r="F141" s="248"/>
      <c r="G141" s="246" t="s">
        <v>76</v>
      </c>
      <c r="H141" s="248"/>
      <c r="I141" s="326" t="s">
        <v>77</v>
      </c>
      <c r="J141" s="253"/>
      <c r="K141" s="253"/>
      <c r="L141" s="229"/>
      <c r="M141" s="229"/>
      <c r="N141" s="297"/>
      <c r="O141" s="166"/>
      <c r="P141" s="84"/>
    </row>
    <row r="142" spans="1:23" ht="21" customHeight="1">
      <c r="A142" s="70"/>
      <c r="B142" s="71"/>
      <c r="C142" s="70"/>
      <c r="D142" s="70"/>
      <c r="E142" s="70"/>
      <c r="F142" s="70"/>
      <c r="G142" s="70"/>
      <c r="H142" s="70"/>
      <c r="I142" s="70"/>
      <c r="J142" s="70"/>
      <c r="K142" s="70"/>
      <c r="L142" s="72"/>
      <c r="M142" s="72"/>
      <c r="N142" s="73"/>
      <c r="O142" s="166"/>
    </row>
    <row r="143" spans="1:23" ht="21" customHeight="1">
      <c r="A143" s="243" t="s">
        <v>94</v>
      </c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166"/>
    </row>
    <row r="144" spans="1:23" ht="21" customHeight="1">
      <c r="A144" s="87" t="s">
        <v>95</v>
      </c>
      <c r="B144" s="244" t="s">
        <v>96</v>
      </c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166"/>
    </row>
    <row r="145" spans="1:15" ht="21" customHeight="1">
      <c r="A145" s="88"/>
      <c r="B145" s="245" t="s">
        <v>203</v>
      </c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66"/>
    </row>
    <row r="146" spans="1:15" ht="21" customHeight="1">
      <c r="A146" s="88"/>
      <c r="B146" s="245" t="s">
        <v>204</v>
      </c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166"/>
    </row>
    <row r="147" spans="1:15" ht="21" customHeight="1">
      <c r="A147" s="88"/>
      <c r="B147" s="245" t="s">
        <v>183</v>
      </c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166"/>
    </row>
    <row r="148" spans="1:15" ht="21" customHeight="1">
      <c r="A148" s="70"/>
      <c r="B148" s="260" t="s">
        <v>103</v>
      </c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166"/>
    </row>
    <row r="149" spans="1:15" ht="2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89"/>
      <c r="M149" s="89"/>
      <c r="N149" s="90"/>
      <c r="O149" s="166"/>
    </row>
    <row r="150" spans="1:15" ht="21" customHeight="1">
      <c r="A150" s="261" t="s">
        <v>58</v>
      </c>
      <c r="B150" s="261"/>
      <c r="C150" s="261"/>
      <c r="D150" s="261"/>
      <c r="E150" s="328"/>
      <c r="F150" s="328"/>
      <c r="G150" s="328"/>
      <c r="H150" s="328"/>
      <c r="I150" s="328"/>
      <c r="J150" s="329" t="s">
        <v>34</v>
      </c>
      <c r="K150" s="329"/>
      <c r="L150" s="329"/>
      <c r="M150" s="329"/>
      <c r="N150" s="329"/>
      <c r="O150" s="166"/>
    </row>
    <row r="151" spans="1:15" ht="21" customHeight="1">
      <c r="A151" s="152"/>
      <c r="B151" s="152"/>
      <c r="C151" s="152"/>
      <c r="D151" s="328"/>
      <c r="E151" s="328"/>
      <c r="F151" s="328"/>
      <c r="G151" s="328"/>
      <c r="H151" s="330"/>
      <c r="I151" s="330"/>
      <c r="J151" s="330"/>
      <c r="K151" s="330"/>
      <c r="L151" s="330"/>
      <c r="M151" s="330"/>
      <c r="N151" s="330"/>
      <c r="O151" s="166"/>
    </row>
    <row r="152" spans="1:15" ht="21" customHeight="1">
      <c r="A152" s="152"/>
      <c r="B152" s="152"/>
      <c r="C152" s="152"/>
      <c r="D152" s="328"/>
      <c r="E152" s="328"/>
      <c r="F152" s="328"/>
      <c r="G152" s="328"/>
      <c r="H152" s="330"/>
      <c r="I152" s="330"/>
      <c r="J152" s="330"/>
      <c r="K152" s="330"/>
      <c r="L152" s="330"/>
      <c r="M152" s="330"/>
      <c r="N152" s="330"/>
      <c r="O152" s="166"/>
    </row>
    <row r="153" spans="1:15" ht="21" customHeight="1">
      <c r="A153" s="152"/>
      <c r="B153" s="152"/>
      <c r="C153" s="152"/>
      <c r="D153" s="328"/>
      <c r="E153" s="328"/>
      <c r="F153" s="328"/>
      <c r="G153" s="328"/>
      <c r="H153" s="330"/>
      <c r="I153" s="330"/>
      <c r="J153" s="331" t="s">
        <v>97</v>
      </c>
      <c r="K153" s="331"/>
      <c r="L153" s="331"/>
      <c r="M153" s="331"/>
      <c r="N153" s="331"/>
      <c r="O153" s="166"/>
    </row>
    <row r="154" spans="1:15" ht="21" customHeight="1">
      <c r="A154" s="262" t="s">
        <v>82</v>
      </c>
      <c r="B154" s="262"/>
      <c r="C154" s="262"/>
      <c r="D154" s="262"/>
      <c r="E154" s="328"/>
      <c r="F154" s="328"/>
      <c r="G154" s="328"/>
      <c r="H154" s="330"/>
      <c r="I154" s="330"/>
      <c r="O154" s="166"/>
    </row>
    <row r="155" spans="1:15" ht="21" customHeight="1">
      <c r="J155" s="330"/>
      <c r="K155" s="330"/>
      <c r="L155" s="330"/>
      <c r="M155" s="330"/>
      <c r="N155" s="330"/>
    </row>
    <row r="156" spans="1:15" ht="21" customHeight="1">
      <c r="J156" s="331" t="s">
        <v>108</v>
      </c>
      <c r="K156" s="331"/>
      <c r="L156" s="331"/>
      <c r="M156" s="331"/>
      <c r="N156" s="331"/>
    </row>
  </sheetData>
  <mergeCells count="201">
    <mergeCell ref="E135:F135"/>
    <mergeCell ref="G135:H135"/>
    <mergeCell ref="G137:H137"/>
    <mergeCell ref="F1:N1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8:D8"/>
    <mergeCell ref="L11:L14"/>
    <mergeCell ref="N11:N14"/>
    <mergeCell ref="A5:D5"/>
    <mergeCell ref="I11:I14"/>
    <mergeCell ref="A59:N59"/>
    <mergeCell ref="E54:F54"/>
    <mergeCell ref="G54:H54"/>
    <mergeCell ref="A86:D86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A15:N15"/>
    <mergeCell ref="B62:N62"/>
    <mergeCell ref="B63:N63"/>
    <mergeCell ref="B64:N64"/>
    <mergeCell ref="J51:J52"/>
    <mergeCell ref="K51:K52"/>
    <mergeCell ref="N28:N29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N47:N48"/>
    <mergeCell ref="A51:B52"/>
    <mergeCell ref="C51:C52"/>
    <mergeCell ref="D51:D52"/>
    <mergeCell ref="L51:L58"/>
    <mergeCell ref="M51:M58"/>
    <mergeCell ref="N51:N58"/>
    <mergeCell ref="A53:C54"/>
    <mergeCell ref="I53:I54"/>
    <mergeCell ref="J53:J54"/>
    <mergeCell ref="K53:K54"/>
    <mergeCell ref="I51:I52"/>
    <mergeCell ref="E55:F55"/>
    <mergeCell ref="G55:H55"/>
    <mergeCell ref="E56:F56"/>
    <mergeCell ref="G56:H56"/>
    <mergeCell ref="E52:F52"/>
    <mergeCell ref="G52:H52"/>
    <mergeCell ref="A49:B50"/>
    <mergeCell ref="Q54:R54"/>
    <mergeCell ref="S54:T54"/>
    <mergeCell ref="U54:V54"/>
    <mergeCell ref="A55:C55"/>
    <mergeCell ref="Q55:R55"/>
    <mergeCell ref="S55:T55"/>
    <mergeCell ref="U55:V55"/>
    <mergeCell ref="A56:C56"/>
    <mergeCell ref="J56:J58"/>
    <mergeCell ref="K56:K58"/>
    <mergeCell ref="A57:B58"/>
    <mergeCell ref="C57:D57"/>
    <mergeCell ref="E57:F57"/>
    <mergeCell ref="G57:H57"/>
    <mergeCell ref="C58:D58"/>
    <mergeCell ref="E58:F58"/>
    <mergeCell ref="G58:H58"/>
    <mergeCell ref="A61:N61"/>
    <mergeCell ref="B65:N65"/>
    <mergeCell ref="B66:N66"/>
    <mergeCell ref="A68:D68"/>
    <mergeCell ref="J68:N68"/>
    <mergeCell ref="J71:N71"/>
    <mergeCell ref="A72:D72"/>
    <mergeCell ref="J74:N74"/>
    <mergeCell ref="F82:N82"/>
    <mergeCell ref="A84:D85"/>
    <mergeCell ref="E84:N84"/>
    <mergeCell ref="E85:I85"/>
    <mergeCell ref="J85:N85"/>
    <mergeCell ref="E86:I88"/>
    <mergeCell ref="J86:N88"/>
    <mergeCell ref="A87:D87"/>
    <mergeCell ref="A88:D88"/>
    <mergeCell ref="A89:B89"/>
    <mergeCell ref="C89:D89"/>
    <mergeCell ref="L90:L93"/>
    <mergeCell ref="M90:M93"/>
    <mergeCell ref="N90:N93"/>
    <mergeCell ref="E92:E93"/>
    <mergeCell ref="F92:F93"/>
    <mergeCell ref="G92:G93"/>
    <mergeCell ref="H92:H93"/>
    <mergeCell ref="A94:N94"/>
    <mergeCell ref="N106:N107"/>
    <mergeCell ref="A90:A93"/>
    <mergeCell ref="B90:B93"/>
    <mergeCell ref="C90:C93"/>
    <mergeCell ref="D90:D93"/>
    <mergeCell ref="E90:F91"/>
    <mergeCell ref="G90:H91"/>
    <mergeCell ref="I90:I93"/>
    <mergeCell ref="J90:J93"/>
    <mergeCell ref="K90:K93"/>
    <mergeCell ref="A108:B109"/>
    <mergeCell ref="A110:B110"/>
    <mergeCell ref="N120:N121"/>
    <mergeCell ref="A122:B123"/>
    <mergeCell ref="A124:B124"/>
    <mergeCell ref="A126:A129"/>
    <mergeCell ref="B126:B129"/>
    <mergeCell ref="C126:C129"/>
    <mergeCell ref="D126:D129"/>
    <mergeCell ref="E126:F127"/>
    <mergeCell ref="G126:H127"/>
    <mergeCell ref="I126:I129"/>
    <mergeCell ref="J126:J129"/>
    <mergeCell ref="K126:K129"/>
    <mergeCell ref="L126:L129"/>
    <mergeCell ref="M126:M129"/>
    <mergeCell ref="N126:N129"/>
    <mergeCell ref="E128:E129"/>
    <mergeCell ref="F128:F129"/>
    <mergeCell ref="G128:G129"/>
    <mergeCell ref="H128:H129"/>
    <mergeCell ref="N130:N131"/>
    <mergeCell ref="A132:B133"/>
    <mergeCell ref="A134:B135"/>
    <mergeCell ref="C134:C135"/>
    <mergeCell ref="D134:D135"/>
    <mergeCell ref="I134:I135"/>
    <mergeCell ref="J134:J135"/>
    <mergeCell ref="K134:K135"/>
    <mergeCell ref="L134:L141"/>
    <mergeCell ref="M134:M141"/>
    <mergeCell ref="N134:N141"/>
    <mergeCell ref="A136:C137"/>
    <mergeCell ref="I136:I137"/>
    <mergeCell ref="J136:J137"/>
    <mergeCell ref="K136:K137"/>
    <mergeCell ref="A139:C139"/>
    <mergeCell ref="E139:F139"/>
    <mergeCell ref="G139:H139"/>
    <mergeCell ref="J139:J141"/>
    <mergeCell ref="K139:K141"/>
    <mergeCell ref="A140:B141"/>
    <mergeCell ref="C140:D140"/>
    <mergeCell ref="E140:F140"/>
    <mergeCell ref="G140:H140"/>
    <mergeCell ref="Q137:R137"/>
    <mergeCell ref="S137:T137"/>
    <mergeCell ref="U137:V137"/>
    <mergeCell ref="A138:C138"/>
    <mergeCell ref="E138:F138"/>
    <mergeCell ref="G138:H138"/>
    <mergeCell ref="Q138:R138"/>
    <mergeCell ref="S138:T138"/>
    <mergeCell ref="U138:V138"/>
    <mergeCell ref="E137:F137"/>
    <mergeCell ref="J153:N153"/>
    <mergeCell ref="A154:D154"/>
    <mergeCell ref="J156:N156"/>
    <mergeCell ref="C141:D141"/>
    <mergeCell ref="E141:F141"/>
    <mergeCell ref="G141:H141"/>
    <mergeCell ref="A143:N143"/>
    <mergeCell ref="B145:N145"/>
    <mergeCell ref="B146:N146"/>
    <mergeCell ref="B147:N147"/>
    <mergeCell ref="B148:N148"/>
    <mergeCell ref="J150:N150"/>
    <mergeCell ref="A150:D150"/>
    <mergeCell ref="B144:N144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2026-05-15T02:51:07Z</cp:lastPrinted>
  <dcterms:created xsi:type="dcterms:W3CDTF">2015-10-28T22:11:29Z</dcterms:created>
  <dcterms:modified xsi:type="dcterms:W3CDTF">2026-05-16T05:10:45Z</dcterms:modified>
</cp:coreProperties>
</file>