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</sheets>
  <calcPr calcId="124519"/>
</workbook>
</file>

<file path=xl/calcChain.xml><?xml version="1.0" encoding="utf-8"?>
<calcChain xmlns="http://schemas.openxmlformats.org/spreadsheetml/2006/main">
  <c r="I34" i="18"/>
  <c r="I18"/>
  <c r="I34" i="16"/>
  <c r="I21"/>
  <c r="D114" i="15"/>
  <c r="D101"/>
  <c r="I118" i="12"/>
  <c r="I100"/>
  <c r="E20"/>
  <c r="D18"/>
  <c r="N102" i="19"/>
  <c r="C102"/>
  <c r="D102" s="1"/>
  <c r="N22"/>
  <c r="C22"/>
  <c r="F22" s="1"/>
  <c r="K102" l="1"/>
  <c r="J102"/>
  <c r="I102"/>
  <c r="F102"/>
  <c r="D22"/>
  <c r="K22"/>
  <c r="J22"/>
  <c r="I22"/>
  <c r="N102" i="16" l="1"/>
  <c r="K102"/>
  <c r="I102"/>
  <c r="C102"/>
  <c r="H102" s="1"/>
  <c r="N25"/>
  <c r="K25"/>
  <c r="J25"/>
  <c r="I25"/>
  <c r="H25"/>
  <c r="F25"/>
  <c r="C25"/>
  <c r="D25" s="1"/>
  <c r="N124" i="12"/>
  <c r="C124"/>
  <c r="F124" s="1"/>
  <c r="N107"/>
  <c r="C107"/>
  <c r="D107" s="1"/>
  <c r="N23"/>
  <c r="C23"/>
  <c r="D23" s="1"/>
  <c r="N39"/>
  <c r="C39"/>
  <c r="D39" s="1"/>
  <c r="N108" i="18"/>
  <c r="J108"/>
  <c r="I108"/>
  <c r="F108"/>
  <c r="C108"/>
  <c r="H108" s="1"/>
  <c r="I24"/>
  <c r="C24"/>
  <c r="J24" s="1"/>
  <c r="K21"/>
  <c r="J21"/>
  <c r="H21"/>
  <c r="C21"/>
  <c r="F21" s="1"/>
  <c r="D108" l="1"/>
  <c r="K108"/>
  <c r="I21"/>
  <c r="D21"/>
  <c r="F24"/>
  <c r="D24"/>
  <c r="H24"/>
  <c r="K24"/>
  <c r="F102" i="16"/>
  <c r="D102"/>
  <c r="J102"/>
  <c r="D124" i="12"/>
  <c r="K124"/>
  <c r="J124"/>
  <c r="I124"/>
  <c r="K107"/>
  <c r="J107"/>
  <c r="I107"/>
  <c r="H107"/>
  <c r="F107"/>
  <c r="K39"/>
  <c r="J39"/>
  <c r="I39"/>
  <c r="F39"/>
  <c r="K23"/>
  <c r="J23"/>
  <c r="I23"/>
  <c r="H23"/>
  <c r="F23"/>
  <c r="N105" i="17"/>
  <c r="C105"/>
  <c r="F105" s="1"/>
  <c r="N104"/>
  <c r="C104"/>
  <c r="F104" s="1"/>
  <c r="N103"/>
  <c r="C103"/>
  <c r="G103" s="1"/>
  <c r="C40"/>
  <c r="H40" s="1"/>
  <c r="C39"/>
  <c r="H39" s="1"/>
  <c r="C38"/>
  <c r="E38" s="1"/>
  <c r="J24"/>
  <c r="I24"/>
  <c r="C24"/>
  <c r="D24" s="1"/>
  <c r="C23"/>
  <c r="F23" s="1"/>
  <c r="C20"/>
  <c r="D20" s="1"/>
  <c r="N40"/>
  <c r="N39"/>
  <c r="N37"/>
  <c r="C37"/>
  <c r="J37" s="1"/>
  <c r="J105" l="1"/>
  <c r="D40"/>
  <c r="K40"/>
  <c r="J40"/>
  <c r="I40"/>
  <c r="F40"/>
  <c r="F39"/>
  <c r="I37"/>
  <c r="F37"/>
  <c r="D37"/>
  <c r="K37"/>
  <c r="F24"/>
  <c r="J103"/>
  <c r="D105"/>
  <c r="I104"/>
  <c r="D104"/>
  <c r="K104"/>
  <c r="J104"/>
  <c r="K105"/>
  <c r="H104"/>
  <c r="I105"/>
  <c r="I103"/>
  <c r="E103"/>
  <c r="D103"/>
  <c r="K103"/>
  <c r="D39"/>
  <c r="K39"/>
  <c r="J39"/>
  <c r="I39"/>
  <c r="K38"/>
  <c r="J38"/>
  <c r="G38"/>
  <c r="D38"/>
  <c r="K23"/>
  <c r="J23"/>
  <c r="I23"/>
  <c r="D23"/>
  <c r="H23"/>
  <c r="K20"/>
  <c r="J20"/>
  <c r="I20"/>
  <c r="G20"/>
  <c r="E20"/>
  <c r="N38" l="1"/>
  <c r="N101" i="12" l="1"/>
  <c r="C101"/>
  <c r="D101" s="1"/>
  <c r="N19"/>
  <c r="K19"/>
  <c r="J19"/>
  <c r="I19"/>
  <c r="C19"/>
  <c r="D19" s="1"/>
  <c r="J101" l="1"/>
  <c r="K101"/>
  <c r="I101"/>
  <c r="N24" i="18"/>
  <c r="C130"/>
  <c r="J130" s="1"/>
  <c r="N130"/>
  <c r="C131"/>
  <c r="I131" s="1"/>
  <c r="N131"/>
  <c r="C132"/>
  <c r="F132" s="1"/>
  <c r="N132"/>
  <c r="C133"/>
  <c r="E133" s="1"/>
  <c r="N133"/>
  <c r="C134"/>
  <c r="I134" s="1"/>
  <c r="N134"/>
  <c r="N117" i="19"/>
  <c r="C117"/>
  <c r="D117" s="1"/>
  <c r="N116"/>
  <c r="C116"/>
  <c r="D116" s="1"/>
  <c r="N115"/>
  <c r="C115"/>
  <c r="D115" s="1"/>
  <c r="N101"/>
  <c r="C101"/>
  <c r="F101" s="1"/>
  <c r="N37"/>
  <c r="C37"/>
  <c r="F37" s="1"/>
  <c r="N39"/>
  <c r="C39"/>
  <c r="N38"/>
  <c r="C38"/>
  <c r="N21"/>
  <c r="C21"/>
  <c r="F21" s="1"/>
  <c r="H115" l="1"/>
  <c r="F115"/>
  <c r="D39"/>
  <c r="E39"/>
  <c r="D38"/>
  <c r="E38"/>
  <c r="E116"/>
  <c r="H130" i="18"/>
  <c r="K130"/>
  <c r="D130"/>
  <c r="F130"/>
  <c r="I130"/>
  <c r="G133"/>
  <c r="I132"/>
  <c r="J133"/>
  <c r="K133"/>
  <c r="J132"/>
  <c r="K132"/>
  <c r="H132"/>
  <c r="F131"/>
  <c r="D131"/>
  <c r="D134"/>
  <c r="F134"/>
  <c r="D133"/>
  <c r="D132"/>
  <c r="G116" i="19"/>
  <c r="J115"/>
  <c r="K115"/>
  <c r="I115"/>
  <c r="K117"/>
  <c r="J117"/>
  <c r="G117"/>
  <c r="K116"/>
  <c r="J116"/>
  <c r="E117"/>
  <c r="D101"/>
  <c r="J101"/>
  <c r="H101"/>
  <c r="K101"/>
  <c r="I101"/>
  <c r="J38"/>
  <c r="D37"/>
  <c r="K38"/>
  <c r="H37"/>
  <c r="K37"/>
  <c r="J37"/>
  <c r="I37"/>
  <c r="J39"/>
  <c r="K39"/>
  <c r="G39"/>
  <c r="G38"/>
  <c r="D21"/>
  <c r="K21"/>
  <c r="J21"/>
  <c r="I21"/>
  <c r="H21"/>
  <c r="N107" i="18"/>
  <c r="C107"/>
  <c r="D107" s="1"/>
  <c r="N106"/>
  <c r="F106"/>
  <c r="C106"/>
  <c r="D106" s="1"/>
  <c r="N39"/>
  <c r="C39"/>
  <c r="D39" s="1"/>
  <c r="N44"/>
  <c r="C44"/>
  <c r="F44" s="1"/>
  <c r="N41"/>
  <c r="C41"/>
  <c r="F41" s="1"/>
  <c r="N42"/>
  <c r="C42"/>
  <c r="E42" s="1"/>
  <c r="N38"/>
  <c r="C38"/>
  <c r="D38" s="1"/>
  <c r="D139" l="1"/>
  <c r="F107"/>
  <c r="F39"/>
  <c r="I107"/>
  <c r="I44"/>
  <c r="I106"/>
  <c r="K106"/>
  <c r="K107"/>
  <c r="J106"/>
  <c r="J107"/>
  <c r="H106"/>
  <c r="H107"/>
  <c r="D44"/>
  <c r="I39"/>
  <c r="K41"/>
  <c r="J41"/>
  <c r="I41"/>
  <c r="D41"/>
  <c r="H41"/>
  <c r="D42"/>
  <c r="K42"/>
  <c r="J42"/>
  <c r="G42"/>
  <c r="K38"/>
  <c r="J38"/>
  <c r="I38"/>
  <c r="H38"/>
  <c r="F38"/>
  <c r="N23" l="1"/>
  <c r="C23"/>
  <c r="D23" s="1"/>
  <c r="N22"/>
  <c r="C22"/>
  <c r="F22" s="1"/>
  <c r="N24" i="17"/>
  <c r="N23"/>
  <c r="N20"/>
  <c r="D22" i="18" l="1"/>
  <c r="K23"/>
  <c r="J23"/>
  <c r="F23"/>
  <c r="K22"/>
  <c r="I23"/>
  <c r="H23"/>
  <c r="J22"/>
  <c r="I22"/>
  <c r="H22"/>
  <c r="K24" i="17"/>
  <c r="N124" i="16" l="1"/>
  <c r="C124"/>
  <c r="D124" s="1"/>
  <c r="N41"/>
  <c r="C41"/>
  <c r="F41" s="1"/>
  <c r="N103" i="15"/>
  <c r="C103"/>
  <c r="D103" s="1"/>
  <c r="N21"/>
  <c r="I21"/>
  <c r="C21"/>
  <c r="J21" s="1"/>
  <c r="N20"/>
  <c r="C20"/>
  <c r="F20" s="1"/>
  <c r="N24"/>
  <c r="C24"/>
  <c r="D24" s="1"/>
  <c r="N102" i="12"/>
  <c r="C102"/>
  <c r="D102" s="1"/>
  <c r="N104"/>
  <c r="C104"/>
  <c r="J104" s="1"/>
  <c r="N103"/>
  <c r="C103"/>
  <c r="E103" s="1"/>
  <c r="N108"/>
  <c r="C108"/>
  <c r="H108" s="1"/>
  <c r="N20"/>
  <c r="C20"/>
  <c r="N22"/>
  <c r="C22"/>
  <c r="E22" s="1"/>
  <c r="N24"/>
  <c r="C24"/>
  <c r="H24" s="1"/>
  <c r="I124" i="16" l="1"/>
  <c r="H124"/>
  <c r="J20" i="15"/>
  <c r="H20"/>
  <c r="D20"/>
  <c r="F21"/>
  <c r="D20" i="12"/>
  <c r="J24" i="15"/>
  <c r="G24"/>
  <c r="K24"/>
  <c r="E24"/>
  <c r="D21"/>
  <c r="K21"/>
  <c r="K103" i="12"/>
  <c r="E104"/>
  <c r="D104"/>
  <c r="J103"/>
  <c r="K104"/>
  <c r="G104"/>
  <c r="J124" i="16"/>
  <c r="K41"/>
  <c r="J41"/>
  <c r="H41"/>
  <c r="D41"/>
  <c r="K124"/>
  <c r="F124"/>
  <c r="I41"/>
  <c r="K103" i="15"/>
  <c r="I103"/>
  <c r="H103"/>
  <c r="J103"/>
  <c r="F103"/>
  <c r="K20"/>
  <c r="I20"/>
  <c r="J108" i="12"/>
  <c r="F108"/>
  <c r="D108"/>
  <c r="E102"/>
  <c r="G102"/>
  <c r="K102"/>
  <c r="J102"/>
  <c r="D103"/>
  <c r="G103"/>
  <c r="K108"/>
  <c r="I108"/>
  <c r="K20"/>
  <c r="J20"/>
  <c r="G20"/>
  <c r="D22"/>
  <c r="K22"/>
  <c r="J22"/>
  <c r="G22"/>
  <c r="F24"/>
  <c r="D24"/>
  <c r="K24"/>
  <c r="J24"/>
  <c r="I24"/>
  <c r="N139" i="18" l="1"/>
  <c r="N125" i="19" l="1"/>
  <c r="C125"/>
  <c r="J125" s="1"/>
  <c r="N40"/>
  <c r="C40"/>
  <c r="K40" s="1"/>
  <c r="K125" l="1"/>
  <c r="D125"/>
  <c r="I125"/>
  <c r="D40"/>
  <c r="I40"/>
  <c r="F125"/>
  <c r="H125"/>
  <c r="J40"/>
  <c r="H40"/>
  <c r="F40"/>
  <c r="N127" i="15"/>
  <c r="K127"/>
  <c r="J127"/>
  <c r="C127"/>
  <c r="N42"/>
  <c r="C42"/>
  <c r="N131" i="12"/>
  <c r="C131"/>
  <c r="N36"/>
  <c r="C36"/>
  <c r="D36" s="1"/>
  <c r="N41"/>
  <c r="C41"/>
  <c r="D41" s="1"/>
  <c r="D127" i="15" l="1"/>
  <c r="I127"/>
  <c r="D42"/>
  <c r="I42"/>
  <c r="D131" i="12"/>
  <c r="I131"/>
  <c r="K42" i="15"/>
  <c r="H127"/>
  <c r="J42"/>
  <c r="H42"/>
  <c r="F127"/>
  <c r="F42"/>
  <c r="K131" i="12"/>
  <c r="J131"/>
  <c r="H131"/>
  <c r="F131"/>
  <c r="H36"/>
  <c r="K41"/>
  <c r="J41"/>
  <c r="I41"/>
  <c r="H41"/>
  <c r="F41"/>
  <c r="N99" i="19" l="1"/>
  <c r="C99"/>
  <c r="G99" s="1"/>
  <c r="N19"/>
  <c r="C19"/>
  <c r="I19" s="1"/>
  <c r="D99" l="1"/>
  <c r="E99"/>
  <c r="J19"/>
  <c r="D19"/>
  <c r="E19"/>
  <c r="K99"/>
  <c r="J99"/>
  <c r="I99"/>
  <c r="K19"/>
  <c r="G19"/>
  <c r="C116" i="15" l="1"/>
  <c r="H116" s="1"/>
  <c r="N116"/>
  <c r="N111" i="19"/>
  <c r="C111"/>
  <c r="H111" s="1"/>
  <c r="N32"/>
  <c r="C32"/>
  <c r="D32" s="1"/>
  <c r="H32" l="1"/>
  <c r="D116" i="15"/>
  <c r="G116"/>
  <c r="D111" i="19"/>
  <c r="N102" i="18" l="1"/>
  <c r="C102"/>
  <c r="D102" s="1"/>
  <c r="N17"/>
  <c r="C17"/>
  <c r="H17" s="1"/>
  <c r="N35" i="17"/>
  <c r="C35"/>
  <c r="H35" s="1"/>
  <c r="N115"/>
  <c r="C115"/>
  <c r="D115" s="1"/>
  <c r="H102" i="18" l="1"/>
  <c r="D17"/>
  <c r="D35" i="17"/>
  <c r="H115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N39" i="15"/>
  <c r="C39"/>
  <c r="D39" s="1"/>
  <c r="N117" i="12"/>
  <c r="C117"/>
  <c r="H117" s="1"/>
  <c r="C118"/>
  <c r="N118"/>
  <c r="J118" l="1"/>
  <c r="K118"/>
  <c r="E101" i="16"/>
  <c r="D101"/>
  <c r="J101"/>
  <c r="K101"/>
  <c r="J24"/>
  <c r="D24"/>
  <c r="K24"/>
  <c r="G24"/>
  <c r="G111"/>
  <c r="H95"/>
  <c r="H39" i="15"/>
  <c r="D117" i="12"/>
  <c r="D118"/>
  <c r="F118"/>
  <c r="H118"/>
  <c r="N23" i="19" l="1"/>
  <c r="C23"/>
  <c r="K23" l="1"/>
  <c r="F23"/>
  <c r="D23"/>
  <c r="J23"/>
  <c r="I23"/>
  <c r="N118" i="17" l="1"/>
  <c r="C118"/>
  <c r="N115" i="16"/>
  <c r="C115"/>
  <c r="F115" s="1"/>
  <c r="N40"/>
  <c r="C40"/>
  <c r="F40" s="1"/>
  <c r="N35"/>
  <c r="C35"/>
  <c r="H35" s="1"/>
  <c r="N34"/>
  <c r="C34"/>
  <c r="N41" i="15"/>
  <c r="C41"/>
  <c r="E41" s="1"/>
  <c r="F118" i="17" l="1"/>
  <c r="K118"/>
  <c r="D118"/>
  <c r="I118"/>
  <c r="J118"/>
  <c r="H34" i="16"/>
  <c r="K35"/>
  <c r="K34"/>
  <c r="F35"/>
  <c r="J115"/>
  <c r="D115"/>
  <c r="D40"/>
  <c r="K41" i="15"/>
  <c r="J41"/>
  <c r="G41"/>
  <c r="D41"/>
  <c r="K115" i="16"/>
  <c r="I115"/>
  <c r="J40"/>
  <c r="F34"/>
  <c r="D34"/>
  <c r="D35"/>
  <c r="K40"/>
  <c r="I40"/>
  <c r="J34"/>
  <c r="J35"/>
  <c r="I35"/>
  <c r="N119" i="12" l="1"/>
  <c r="C119"/>
  <c r="D119" s="1"/>
  <c r="N109"/>
  <c r="C109"/>
  <c r="F109" s="1"/>
  <c r="N38"/>
  <c r="C38"/>
  <c r="D38" s="1"/>
  <c r="N34"/>
  <c r="C34"/>
  <c r="D34" s="1"/>
  <c r="N27"/>
  <c r="C27"/>
  <c r="D27" s="1"/>
  <c r="H109" l="1"/>
  <c r="D109"/>
  <c r="I109"/>
  <c r="F38"/>
  <c r="I38"/>
  <c r="H38"/>
  <c r="I119"/>
  <c r="H119"/>
  <c r="F119"/>
  <c r="I34"/>
  <c r="H34"/>
  <c r="F34"/>
  <c r="H27"/>
  <c r="I27"/>
  <c r="F27"/>
  <c r="N121" i="15" l="1"/>
  <c r="C121"/>
  <c r="D121" s="1"/>
  <c r="N104"/>
  <c r="C104"/>
  <c r="D104" s="1"/>
  <c r="N17"/>
  <c r="C17"/>
  <c r="N38"/>
  <c r="C38"/>
  <c r="D38" s="1"/>
  <c r="N37"/>
  <c r="C37"/>
  <c r="D37" s="1"/>
  <c r="N22"/>
  <c r="C22"/>
  <c r="D22" s="1"/>
  <c r="F37" l="1"/>
  <c r="G17"/>
  <c r="D17"/>
  <c r="I121"/>
  <c r="H121"/>
  <c r="F121"/>
  <c r="I104"/>
  <c r="H104"/>
  <c r="F104"/>
  <c r="G38"/>
  <c r="H22"/>
  <c r="F22"/>
  <c r="I37"/>
  <c r="H37"/>
  <c r="I22"/>
  <c r="N127" i="17"/>
  <c r="C127"/>
  <c r="D127" s="1"/>
  <c r="N41"/>
  <c r="C41"/>
  <c r="I41" s="1"/>
  <c r="D41" l="1"/>
  <c r="J127"/>
  <c r="I127"/>
  <c r="F127"/>
  <c r="J41"/>
  <c r="F41"/>
  <c r="N132" l="1"/>
  <c r="N120"/>
  <c r="C120"/>
  <c r="D120" s="1"/>
  <c r="N119"/>
  <c r="C119"/>
  <c r="F119" s="1"/>
  <c r="N117"/>
  <c r="C117"/>
  <c r="I117" s="1"/>
  <c r="N116"/>
  <c r="C116"/>
  <c r="K116" s="1"/>
  <c r="N114"/>
  <c r="C114"/>
  <c r="N113"/>
  <c r="C113"/>
  <c r="J113" s="1"/>
  <c r="N106"/>
  <c r="C106"/>
  <c r="I106" s="1"/>
  <c r="N102"/>
  <c r="C102"/>
  <c r="G102" s="1"/>
  <c r="N101"/>
  <c r="C101"/>
  <c r="E101" s="1"/>
  <c r="N100"/>
  <c r="C100"/>
  <c r="I100" s="1"/>
  <c r="N99"/>
  <c r="C99"/>
  <c r="N98"/>
  <c r="C98"/>
  <c r="E98" s="1"/>
  <c r="N36"/>
  <c r="C36"/>
  <c r="D36" s="1"/>
  <c r="N34"/>
  <c r="C34"/>
  <c r="N33"/>
  <c r="C33"/>
  <c r="D33" s="1"/>
  <c r="N26"/>
  <c r="C26"/>
  <c r="H26" s="1"/>
  <c r="N25"/>
  <c r="C25"/>
  <c r="F25" s="1"/>
  <c r="N22"/>
  <c r="C22"/>
  <c r="D22" s="1"/>
  <c r="N21"/>
  <c r="C21"/>
  <c r="K21" s="1"/>
  <c r="N19"/>
  <c r="C19"/>
  <c r="J19" s="1"/>
  <c r="N18"/>
  <c r="C18"/>
  <c r="D18" s="1"/>
  <c r="N17"/>
  <c r="C17"/>
  <c r="N16"/>
  <c r="C16"/>
  <c r="D16" s="1"/>
  <c r="C110" i="19"/>
  <c r="N110"/>
  <c r="C96"/>
  <c r="N96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7"/>
  <c r="D96" i="19"/>
  <c r="G96"/>
  <c r="F100" i="17"/>
  <c r="D99"/>
  <c r="G99"/>
  <c r="D17"/>
  <c r="G17"/>
  <c r="G101"/>
  <c r="G110" i="19"/>
  <c r="D110"/>
  <c r="D34" i="17"/>
  <c r="G34"/>
  <c r="D114"/>
  <c r="G114"/>
  <c r="D94" i="16"/>
  <c r="G94"/>
  <c r="K18" i="17"/>
  <c r="G21"/>
  <c r="J25"/>
  <c r="J33"/>
  <c r="D19"/>
  <c r="J101"/>
  <c r="D113"/>
  <c r="I25"/>
  <c r="D25"/>
  <c r="D98"/>
  <c r="G22"/>
  <c r="I26"/>
  <c r="J16"/>
  <c r="F26"/>
  <c r="H100"/>
  <c r="H119"/>
  <c r="D26"/>
  <c r="D119"/>
  <c r="K120"/>
  <c r="H36"/>
  <c r="K98"/>
  <c r="K100"/>
  <c r="K113"/>
  <c r="F36"/>
  <c r="J98"/>
  <c r="E113"/>
  <c r="H117"/>
  <c r="I119"/>
  <c r="G120"/>
  <c r="E120"/>
  <c r="N108"/>
  <c r="D106"/>
  <c r="N122"/>
  <c r="H116"/>
  <c r="N28"/>
  <c r="N47"/>
  <c r="K19"/>
  <c r="H18"/>
  <c r="G19"/>
  <c r="J21"/>
  <c r="K22"/>
  <c r="D100"/>
  <c r="D101"/>
  <c r="E102"/>
  <c r="H106"/>
  <c r="J116"/>
  <c r="J117"/>
  <c r="J18"/>
  <c r="I102"/>
  <c r="K16"/>
  <c r="F18"/>
  <c r="E19"/>
  <c r="I21"/>
  <c r="J22"/>
  <c r="K25"/>
  <c r="K33"/>
  <c r="D102"/>
  <c r="F106"/>
  <c r="I116"/>
  <c r="E16"/>
  <c r="E21"/>
  <c r="E22"/>
  <c r="E33"/>
  <c r="F116"/>
  <c r="F117"/>
  <c r="D21"/>
  <c r="I36"/>
  <c r="J100"/>
  <c r="K101"/>
  <c r="K102"/>
  <c r="D116"/>
  <c r="D117"/>
  <c r="J120"/>
  <c r="D132"/>
  <c r="D133" s="1"/>
  <c r="D135" s="1"/>
  <c r="J102"/>
  <c r="I113" i="16"/>
  <c r="F113"/>
  <c r="H113"/>
  <c r="F103"/>
  <c r="I103"/>
  <c r="H103"/>
  <c r="I39"/>
  <c r="H39"/>
  <c r="F39"/>
  <c r="I27"/>
  <c r="H27"/>
  <c r="F27"/>
  <c r="G136" i="17" l="1"/>
  <c r="G138" s="1"/>
  <c r="I136"/>
  <c r="I138" s="1"/>
  <c r="D28"/>
  <c r="D29" s="1"/>
  <c r="D31" s="1"/>
  <c r="E136"/>
  <c r="E138" s="1"/>
  <c r="I51"/>
  <c r="I53" s="1"/>
  <c r="K136"/>
  <c r="K138" s="1"/>
  <c r="D122"/>
  <c r="D123" s="1"/>
  <c r="D125" s="1"/>
  <c r="J136"/>
  <c r="J138" s="1"/>
  <c r="N136"/>
  <c r="F136"/>
  <c r="F138" s="1"/>
  <c r="D108"/>
  <c r="D109" s="1"/>
  <c r="D111" s="1"/>
  <c r="D47"/>
  <c r="D48" s="1"/>
  <c r="D50" s="1"/>
  <c r="E51"/>
  <c r="E53" s="1"/>
  <c r="H51"/>
  <c r="H53" s="1"/>
  <c r="N51"/>
  <c r="J51"/>
  <c r="J53" s="1"/>
  <c r="H136"/>
  <c r="H138" s="1"/>
  <c r="K51"/>
  <c r="K53" s="1"/>
  <c r="G51"/>
  <c r="F51"/>
  <c r="F53" s="1"/>
  <c r="I56" l="1"/>
  <c r="I141"/>
  <c r="D136"/>
  <c r="D138" s="1"/>
  <c r="E137"/>
  <c r="D51"/>
  <c r="D53" s="1"/>
  <c r="E54"/>
  <c r="E52"/>
  <c r="G53"/>
  <c r="G52"/>
  <c r="G139"/>
  <c r="E139"/>
  <c r="G137"/>
  <c r="N123" i="18"/>
  <c r="C123"/>
  <c r="D123" s="1"/>
  <c r="N109"/>
  <c r="C109"/>
  <c r="D109" s="1"/>
  <c r="N40"/>
  <c r="C40"/>
  <c r="D40" s="1"/>
  <c r="N37"/>
  <c r="C37"/>
  <c r="D37" s="1"/>
  <c r="N35"/>
  <c r="C35"/>
  <c r="K35" s="1"/>
  <c r="N34"/>
  <c r="C34"/>
  <c r="N25"/>
  <c r="C25"/>
  <c r="H25" s="1"/>
  <c r="N118" i="19"/>
  <c r="C118"/>
  <c r="D118" s="1"/>
  <c r="N100"/>
  <c r="C100"/>
  <c r="D100" s="1"/>
  <c r="N36"/>
  <c r="C36"/>
  <c r="I36" s="1"/>
  <c r="C20"/>
  <c r="D20" s="1"/>
  <c r="I57" i="17" l="1"/>
  <c r="F36" i="19"/>
  <c r="D34" i="18"/>
  <c r="D35"/>
  <c r="I35"/>
  <c r="F109"/>
  <c r="J35"/>
  <c r="J40"/>
  <c r="H35"/>
  <c r="I40"/>
  <c r="H109"/>
  <c r="I109"/>
  <c r="I37"/>
  <c r="K34"/>
  <c r="I123"/>
  <c r="J34"/>
  <c r="H123"/>
  <c r="K40"/>
  <c r="I142" i="17"/>
  <c r="G54"/>
  <c r="E141"/>
  <c r="E56"/>
  <c r="G141"/>
  <c r="G142" s="1"/>
  <c r="D36" i="19"/>
  <c r="H36"/>
  <c r="I100"/>
  <c r="H100"/>
  <c r="F100"/>
  <c r="I118"/>
  <c r="H20"/>
  <c r="H118"/>
  <c r="F20"/>
  <c r="F118"/>
  <c r="I20"/>
  <c r="H37" i="18"/>
  <c r="F37"/>
  <c r="F123"/>
  <c r="H40"/>
  <c r="F40"/>
  <c r="F34"/>
  <c r="F35"/>
  <c r="H34"/>
  <c r="I25"/>
  <c r="F25"/>
  <c r="D25"/>
  <c r="G56" i="17" l="1"/>
  <c r="G57" s="1"/>
  <c r="E142"/>
  <c r="E57"/>
  <c r="N122" i="18"/>
  <c r="C122"/>
  <c r="D122" s="1"/>
  <c r="N120"/>
  <c r="C120"/>
  <c r="G120" s="1"/>
  <c r="N118"/>
  <c r="C118"/>
  <c r="I118" s="1"/>
  <c r="N121"/>
  <c r="C121"/>
  <c r="D121" s="1"/>
  <c r="N119"/>
  <c r="C119"/>
  <c r="D119" s="1"/>
  <c r="N117"/>
  <c r="C117"/>
  <c r="N116"/>
  <c r="C116"/>
  <c r="D116" s="1"/>
  <c r="N105"/>
  <c r="C105"/>
  <c r="D105" s="1"/>
  <c r="N104"/>
  <c r="C104"/>
  <c r="D104" s="1"/>
  <c r="N103"/>
  <c r="C103"/>
  <c r="I103" s="1"/>
  <c r="N101"/>
  <c r="C101"/>
  <c r="N100"/>
  <c r="C100"/>
  <c r="D100" s="1"/>
  <c r="N43"/>
  <c r="C43"/>
  <c r="D43" s="1"/>
  <c r="N36"/>
  <c r="C36"/>
  <c r="N33"/>
  <c r="C33"/>
  <c r="E33" s="1"/>
  <c r="N21"/>
  <c r="N20"/>
  <c r="C20"/>
  <c r="E20" s="1"/>
  <c r="N19"/>
  <c r="C19"/>
  <c r="E19" s="1"/>
  <c r="N18"/>
  <c r="C18"/>
  <c r="N16"/>
  <c r="C16"/>
  <c r="D16" s="1"/>
  <c r="D103" l="1"/>
  <c r="K118"/>
  <c r="D118"/>
  <c r="F18"/>
  <c r="E105"/>
  <c r="H118"/>
  <c r="F118"/>
  <c r="J100"/>
  <c r="J121"/>
  <c r="K100"/>
  <c r="E116"/>
  <c r="J116"/>
  <c r="J20"/>
  <c r="D36"/>
  <c r="G36"/>
  <c r="E100"/>
  <c r="K116"/>
  <c r="H121"/>
  <c r="F121"/>
  <c r="D18"/>
  <c r="E120"/>
  <c r="I120"/>
  <c r="G117"/>
  <c r="D117"/>
  <c r="D101"/>
  <c r="G101"/>
  <c r="D33"/>
  <c r="J43"/>
  <c r="N111"/>
  <c r="N27"/>
  <c r="K122"/>
  <c r="J122"/>
  <c r="I122"/>
  <c r="H122"/>
  <c r="F122"/>
  <c r="I121"/>
  <c r="K121"/>
  <c r="J120"/>
  <c r="D120"/>
  <c r="K120"/>
  <c r="J118"/>
  <c r="D140"/>
  <c r="D142" s="1"/>
  <c r="K119"/>
  <c r="J119"/>
  <c r="G119"/>
  <c r="E119"/>
  <c r="N125"/>
  <c r="N49"/>
  <c r="G20"/>
  <c r="D20"/>
  <c r="D19"/>
  <c r="K16"/>
  <c r="K43"/>
  <c r="K103"/>
  <c r="J16"/>
  <c r="K18"/>
  <c r="J103"/>
  <c r="K104"/>
  <c r="E16"/>
  <c r="J18"/>
  <c r="K19"/>
  <c r="G43"/>
  <c r="J104"/>
  <c r="K105"/>
  <c r="J19"/>
  <c r="K20"/>
  <c r="K33"/>
  <c r="E43"/>
  <c r="H103"/>
  <c r="G104"/>
  <c r="J105"/>
  <c r="H18"/>
  <c r="G19"/>
  <c r="J33"/>
  <c r="F103"/>
  <c r="E104"/>
  <c r="G105"/>
  <c r="N143" l="1"/>
  <c r="D125"/>
  <c r="D111"/>
  <c r="D112" s="1"/>
  <c r="D114" s="1"/>
  <c r="D49"/>
  <c r="D50" s="1"/>
  <c r="D52" s="1"/>
  <c r="F143"/>
  <c r="F145" s="1"/>
  <c r="E143"/>
  <c r="E145" s="1"/>
  <c r="N53"/>
  <c r="I143"/>
  <c r="I145" s="1"/>
  <c r="J143"/>
  <c r="J145" s="1"/>
  <c r="F53"/>
  <c r="F55" s="1"/>
  <c r="D27"/>
  <c r="G53"/>
  <c r="H53"/>
  <c r="H55" s="1"/>
  <c r="G143"/>
  <c r="I53"/>
  <c r="I55" s="1"/>
  <c r="H143"/>
  <c r="H145" s="1"/>
  <c r="K143"/>
  <c r="K145" s="1"/>
  <c r="E53"/>
  <c r="J53"/>
  <c r="J55" s="1"/>
  <c r="K53"/>
  <c r="K55" s="1"/>
  <c r="D126" l="1"/>
  <c r="D128" s="1"/>
  <c r="D143"/>
  <c r="D145" s="1"/>
  <c r="D53"/>
  <c r="D55" s="1"/>
  <c r="E144"/>
  <c r="I148"/>
  <c r="D28"/>
  <c r="D30" s="1"/>
  <c r="G55"/>
  <c r="G54"/>
  <c r="E146"/>
  <c r="E55"/>
  <c r="E54"/>
  <c r="G144"/>
  <c r="G145"/>
  <c r="I58"/>
  <c r="I149" l="1"/>
  <c r="I59"/>
  <c r="G56"/>
  <c r="E148"/>
  <c r="E56"/>
  <c r="G146"/>
  <c r="G58" l="1"/>
  <c r="G59" s="1"/>
  <c r="E149"/>
  <c r="E58"/>
  <c r="G148"/>
  <c r="G149" s="1"/>
  <c r="E59" l="1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D96" s="1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N20"/>
  <c r="C20"/>
  <c r="H20" s="1"/>
  <c r="N19"/>
  <c r="C19"/>
  <c r="H19" s="1"/>
  <c r="N17"/>
  <c r="C17"/>
  <c r="K17" s="1"/>
  <c r="H112" l="1"/>
  <c r="D112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  <c r="N132" i="15" l="1"/>
  <c r="D132"/>
  <c r="D133" s="1"/>
  <c r="D135" s="1"/>
  <c r="N120"/>
  <c r="C120"/>
  <c r="G120" s="1"/>
  <c r="N119"/>
  <c r="C119"/>
  <c r="I119" s="1"/>
  <c r="N118"/>
  <c r="C118"/>
  <c r="K118" s="1"/>
  <c r="N117"/>
  <c r="C117"/>
  <c r="K117" s="1"/>
  <c r="N115"/>
  <c r="C115"/>
  <c r="K115" s="1"/>
  <c r="N114"/>
  <c r="C114"/>
  <c r="N107"/>
  <c r="C107"/>
  <c r="I107" s="1"/>
  <c r="N106"/>
  <c r="C106"/>
  <c r="N105"/>
  <c r="C105"/>
  <c r="E105" s="1"/>
  <c r="N102"/>
  <c r="C102"/>
  <c r="D102" s="1"/>
  <c r="N101"/>
  <c r="C101"/>
  <c r="N100"/>
  <c r="C100"/>
  <c r="N99"/>
  <c r="C99"/>
  <c r="E99" s="1"/>
  <c r="N40"/>
  <c r="C40"/>
  <c r="H40" s="1"/>
  <c r="N36"/>
  <c r="C36"/>
  <c r="J36" s="1"/>
  <c r="N35"/>
  <c r="C35"/>
  <c r="H35" s="1"/>
  <c r="N34"/>
  <c r="C34"/>
  <c r="D34" s="1"/>
  <c r="N26"/>
  <c r="C26"/>
  <c r="E26" s="1"/>
  <c r="N25"/>
  <c r="C25"/>
  <c r="K25" s="1"/>
  <c r="N23"/>
  <c r="C23"/>
  <c r="J23" s="1"/>
  <c r="N19"/>
  <c r="C19"/>
  <c r="I19" s="1"/>
  <c r="N18"/>
  <c r="C18"/>
  <c r="I18" s="1"/>
  <c r="N16"/>
  <c r="C16"/>
  <c r="D16" s="1"/>
  <c r="I114" l="1"/>
  <c r="D99"/>
  <c r="I101"/>
  <c r="D35"/>
  <c r="H34"/>
  <c r="I34"/>
  <c r="G25"/>
  <c r="H19"/>
  <c r="E36"/>
  <c r="H119"/>
  <c r="F19"/>
  <c r="D19"/>
  <c r="J25"/>
  <c r="I118"/>
  <c r="F34"/>
  <c r="E118"/>
  <c r="D26"/>
  <c r="D115"/>
  <c r="H117"/>
  <c r="F119"/>
  <c r="G106"/>
  <c r="D106"/>
  <c r="J115"/>
  <c r="J118"/>
  <c r="G100"/>
  <c r="D100"/>
  <c r="E120"/>
  <c r="E25"/>
  <c r="D25"/>
  <c r="K119"/>
  <c r="J119"/>
  <c r="D119"/>
  <c r="D120"/>
  <c r="E106"/>
  <c r="D36"/>
  <c r="F18"/>
  <c r="H114"/>
  <c r="D18"/>
  <c r="F114"/>
  <c r="E115"/>
  <c r="F117"/>
  <c r="D117"/>
  <c r="D118"/>
  <c r="K99"/>
  <c r="D105"/>
  <c r="H107"/>
  <c r="K114"/>
  <c r="J99"/>
  <c r="F107"/>
  <c r="J114"/>
  <c r="J117"/>
  <c r="H18"/>
  <c r="F23"/>
  <c r="F35"/>
  <c r="D107"/>
  <c r="I117"/>
  <c r="F40"/>
  <c r="D40"/>
  <c r="I23"/>
  <c r="D23"/>
  <c r="H23"/>
  <c r="N28"/>
  <c r="K120"/>
  <c r="J120"/>
  <c r="N122"/>
  <c r="N108"/>
  <c r="N47"/>
  <c r="K26"/>
  <c r="J26"/>
  <c r="G26"/>
  <c r="K101"/>
  <c r="J102"/>
  <c r="K34"/>
  <c r="I102"/>
  <c r="J16"/>
  <c r="K18"/>
  <c r="K19"/>
  <c r="J34"/>
  <c r="J35"/>
  <c r="J40"/>
  <c r="H101"/>
  <c r="H102"/>
  <c r="J105"/>
  <c r="K106"/>
  <c r="K107"/>
  <c r="K35"/>
  <c r="E16"/>
  <c r="J18"/>
  <c r="J19"/>
  <c r="K23"/>
  <c r="I35"/>
  <c r="K36"/>
  <c r="I40"/>
  <c r="F101"/>
  <c r="F102"/>
  <c r="G105"/>
  <c r="J106"/>
  <c r="J107"/>
  <c r="K102"/>
  <c r="J101"/>
  <c r="K16"/>
  <c r="K40"/>
  <c r="K105"/>
  <c r="G51" l="1"/>
  <c r="G53" s="1"/>
  <c r="D28"/>
  <c r="D29" s="1"/>
  <c r="D31" s="1"/>
  <c r="G136"/>
  <c r="G138" s="1"/>
  <c r="D122"/>
  <c r="D123" s="1"/>
  <c r="D125" s="1"/>
  <c r="E136"/>
  <c r="E138" s="1"/>
  <c r="N136"/>
  <c r="I136"/>
  <c r="I138" s="1"/>
  <c r="F51"/>
  <c r="F53" s="1"/>
  <c r="D108"/>
  <c r="D109" s="1"/>
  <c r="D111" s="1"/>
  <c r="E51"/>
  <c r="D47"/>
  <c r="D48" s="1"/>
  <c r="D50" s="1"/>
  <c r="H51"/>
  <c r="H53" s="1"/>
  <c r="N51"/>
  <c r="J136"/>
  <c r="J138" s="1"/>
  <c r="K136"/>
  <c r="K138" s="1"/>
  <c r="H136"/>
  <c r="H138" s="1"/>
  <c r="I51"/>
  <c r="I53" s="1"/>
  <c r="K51"/>
  <c r="K53" s="1"/>
  <c r="F136"/>
  <c r="F138" s="1"/>
  <c r="J51"/>
  <c r="J53" s="1"/>
  <c r="G54" l="1"/>
  <c r="I141"/>
  <c r="E52"/>
  <c r="E53"/>
  <c r="E54" s="1"/>
  <c r="D136"/>
  <c r="D138" s="1"/>
  <c r="D51"/>
  <c r="D53" s="1"/>
  <c r="G52"/>
  <c r="G137"/>
  <c r="I56"/>
  <c r="G139"/>
  <c r="E139"/>
  <c r="E137"/>
  <c r="G56" l="1"/>
  <c r="G57" s="1"/>
  <c r="I142"/>
  <c r="I57"/>
  <c r="E56"/>
  <c r="G141"/>
  <c r="G142" s="1"/>
  <c r="E141"/>
  <c r="E57" l="1"/>
  <c r="E142"/>
  <c r="N123" i="12" l="1"/>
  <c r="C123"/>
  <c r="D123" s="1"/>
  <c r="K123" l="1"/>
  <c r="J123"/>
  <c r="G123"/>
  <c r="E123"/>
  <c r="N116" l="1"/>
  <c r="N98"/>
  <c r="N16"/>
  <c r="N17"/>
  <c r="N130" i="19" l="1"/>
  <c r="N114"/>
  <c r="C114"/>
  <c r="I114" s="1"/>
  <c r="N113"/>
  <c r="C113"/>
  <c r="I113" s="1"/>
  <c r="N112"/>
  <c r="C112"/>
  <c r="N109"/>
  <c r="C109"/>
  <c r="D109" s="1"/>
  <c r="N98"/>
  <c r="C98"/>
  <c r="G98" s="1"/>
  <c r="N97"/>
  <c r="C97"/>
  <c r="D97" s="1"/>
  <c r="N95"/>
  <c r="C95"/>
  <c r="E95" s="1"/>
  <c r="N35"/>
  <c r="C35"/>
  <c r="J35" s="1"/>
  <c r="N34"/>
  <c r="C34"/>
  <c r="J34" s="1"/>
  <c r="N33"/>
  <c r="C33"/>
  <c r="N31"/>
  <c r="C31"/>
  <c r="N30"/>
  <c r="C30"/>
  <c r="E30" s="1"/>
  <c r="N20"/>
  <c r="N18"/>
  <c r="C18"/>
  <c r="E18" s="1"/>
  <c r="N17"/>
  <c r="C17"/>
  <c r="E17" s="1"/>
  <c r="N16"/>
  <c r="C16"/>
  <c r="N15"/>
  <c r="C15"/>
  <c r="N14"/>
  <c r="C14"/>
  <c r="J14" s="1"/>
  <c r="I112" l="1"/>
  <c r="D112"/>
  <c r="I33"/>
  <c r="D33"/>
  <c r="D16"/>
  <c r="I16"/>
  <c r="H97"/>
  <c r="I97"/>
  <c r="J33"/>
  <c r="D15"/>
  <c r="G15"/>
  <c r="G18"/>
  <c r="D31"/>
  <c r="G31"/>
  <c r="I34"/>
  <c r="H114"/>
  <c r="K95"/>
  <c r="J95"/>
  <c r="I35"/>
  <c r="D130"/>
  <c r="D131" s="1"/>
  <c r="D133" s="1"/>
  <c r="E98"/>
  <c r="D98"/>
  <c r="N120"/>
  <c r="N104"/>
  <c r="D95"/>
  <c r="H113"/>
  <c r="H112"/>
  <c r="K97"/>
  <c r="F97"/>
  <c r="H35"/>
  <c r="D35"/>
  <c r="D18"/>
  <c r="D17"/>
  <c r="D30"/>
  <c r="E14"/>
  <c r="D14"/>
  <c r="H34"/>
  <c r="D34"/>
  <c r="N46"/>
  <c r="H33"/>
  <c r="N25"/>
  <c r="F112"/>
  <c r="F113"/>
  <c r="F114"/>
  <c r="K16"/>
  <c r="F33"/>
  <c r="F34"/>
  <c r="F35"/>
  <c r="D113"/>
  <c r="D114"/>
  <c r="J16"/>
  <c r="K17"/>
  <c r="K109"/>
  <c r="H16"/>
  <c r="J17"/>
  <c r="K18"/>
  <c r="K30"/>
  <c r="J97"/>
  <c r="K98"/>
  <c r="J109"/>
  <c r="K112"/>
  <c r="K113"/>
  <c r="K114"/>
  <c r="K14"/>
  <c r="F16"/>
  <c r="G17"/>
  <c r="J18"/>
  <c r="J30"/>
  <c r="K33"/>
  <c r="K34"/>
  <c r="K35"/>
  <c r="J98"/>
  <c r="E109"/>
  <c r="J112"/>
  <c r="J113"/>
  <c r="J114"/>
  <c r="G134" l="1"/>
  <c r="G136" s="1"/>
  <c r="D120"/>
  <c r="D121" s="1"/>
  <c r="D123" s="1"/>
  <c r="E134"/>
  <c r="E136" s="1"/>
  <c r="N134"/>
  <c r="H134"/>
  <c r="H136" s="1"/>
  <c r="K134"/>
  <c r="K136" s="1"/>
  <c r="J134"/>
  <c r="J136" s="1"/>
  <c r="D104"/>
  <c r="D105" s="1"/>
  <c r="D107" s="1"/>
  <c r="F134"/>
  <c r="F136" s="1"/>
  <c r="J50"/>
  <c r="J52" s="1"/>
  <c r="E50"/>
  <c r="E52" s="1"/>
  <c r="D25"/>
  <c r="D26" s="1"/>
  <c r="D28" s="1"/>
  <c r="D46"/>
  <c r="D47" s="1"/>
  <c r="D49" s="1"/>
  <c r="H50"/>
  <c r="H52" s="1"/>
  <c r="N50"/>
  <c r="K50"/>
  <c r="K52" s="1"/>
  <c r="F50"/>
  <c r="F52" s="1"/>
  <c r="I134"/>
  <c r="I136" s="1"/>
  <c r="I139" s="1"/>
  <c r="G50"/>
  <c r="I50"/>
  <c r="I52" s="1"/>
  <c r="I55" s="1"/>
  <c r="G137" l="1"/>
  <c r="G135"/>
  <c r="D134"/>
  <c r="D136" s="1"/>
  <c r="I140" s="1"/>
  <c r="E135"/>
  <c r="D50"/>
  <c r="D52" s="1"/>
  <c r="E137"/>
  <c r="E53"/>
  <c r="E55" s="1"/>
  <c r="G52"/>
  <c r="G51"/>
  <c r="E51"/>
  <c r="E139" l="1"/>
  <c r="E140" s="1"/>
  <c r="E56"/>
  <c r="I56"/>
  <c r="G139"/>
  <c r="G140" s="1"/>
  <c r="G53"/>
  <c r="G55" l="1"/>
  <c r="G56" s="1"/>
  <c r="N136" i="12" l="1"/>
  <c r="N122"/>
  <c r="C122"/>
  <c r="I122" s="1"/>
  <c r="N121"/>
  <c r="F121"/>
  <c r="C121"/>
  <c r="I121" s="1"/>
  <c r="N120"/>
  <c r="C120"/>
  <c r="J120" s="1"/>
  <c r="C116"/>
  <c r="J116" s="1"/>
  <c r="N106"/>
  <c r="C106"/>
  <c r="D106" s="1"/>
  <c r="N105"/>
  <c r="C105"/>
  <c r="K105" s="1"/>
  <c r="N100"/>
  <c r="C100"/>
  <c r="N99"/>
  <c r="C99"/>
  <c r="C98"/>
  <c r="J98" s="1"/>
  <c r="N40"/>
  <c r="C40"/>
  <c r="E40" s="1"/>
  <c r="N37"/>
  <c r="C37"/>
  <c r="E37" s="1"/>
  <c r="N35"/>
  <c r="C35"/>
  <c r="N26"/>
  <c r="C26"/>
  <c r="J26" s="1"/>
  <c r="N25"/>
  <c r="C25"/>
  <c r="I25" s="1"/>
  <c r="N21"/>
  <c r="C21"/>
  <c r="E21" s="1"/>
  <c r="N18"/>
  <c r="C18"/>
  <c r="C17"/>
  <c r="K16"/>
  <c r="J16"/>
  <c r="E16"/>
  <c r="D16"/>
  <c r="K100" l="1"/>
  <c r="D99"/>
  <c r="G99"/>
  <c r="G35"/>
  <c r="D35"/>
  <c r="D17"/>
  <c r="G17"/>
  <c r="H121"/>
  <c r="D40"/>
  <c r="G40"/>
  <c r="J40"/>
  <c r="K40"/>
  <c r="G122"/>
  <c r="D121"/>
  <c r="D136"/>
  <c r="D137" s="1"/>
  <c r="D139" s="1"/>
  <c r="J105"/>
  <c r="I105"/>
  <c r="H105"/>
  <c r="F105"/>
  <c r="D105"/>
  <c r="H120"/>
  <c r="F120"/>
  <c r="D120"/>
  <c r="I120" s="1"/>
  <c r="E122"/>
  <c r="D122"/>
  <c r="K106"/>
  <c r="J106"/>
  <c r="I106"/>
  <c r="F106"/>
  <c r="E116"/>
  <c r="D116"/>
  <c r="N126"/>
  <c r="H100"/>
  <c r="F100"/>
  <c r="D100"/>
  <c r="J100"/>
  <c r="I26"/>
  <c r="F26"/>
  <c r="D37"/>
  <c r="K116"/>
  <c r="E98"/>
  <c r="D98"/>
  <c r="N111"/>
  <c r="D21"/>
  <c r="H25"/>
  <c r="F25"/>
  <c r="D25"/>
  <c r="D26"/>
  <c r="K37"/>
  <c r="N47"/>
  <c r="J37"/>
  <c r="N29"/>
  <c r="K120"/>
  <c r="K121"/>
  <c r="K122"/>
  <c r="K18"/>
  <c r="K21"/>
  <c r="K98"/>
  <c r="J121"/>
  <c r="J122"/>
  <c r="J18"/>
  <c r="I18"/>
  <c r="H18"/>
  <c r="J21"/>
  <c r="K25"/>
  <c r="F18"/>
  <c r="G21"/>
  <c r="J25"/>
  <c r="K26"/>
  <c r="D47" l="1"/>
  <c r="D48" s="1"/>
  <c r="F140"/>
  <c r="F142" s="1"/>
  <c r="E51"/>
  <c r="E53" s="1"/>
  <c r="N140"/>
  <c r="D111"/>
  <c r="D126"/>
  <c r="H140"/>
  <c r="H142" s="1"/>
  <c r="I140"/>
  <c r="I142" s="1"/>
  <c r="G140"/>
  <c r="G142" s="1"/>
  <c r="E140"/>
  <c r="E142" s="1"/>
  <c r="J140"/>
  <c r="J142" s="1"/>
  <c r="G51"/>
  <c r="G53" s="1"/>
  <c r="H51"/>
  <c r="H53" s="1"/>
  <c r="D29"/>
  <c r="D30" s="1"/>
  <c r="F51"/>
  <c r="F53" s="1"/>
  <c r="I51"/>
  <c r="I53" s="1"/>
  <c r="I56" s="1"/>
  <c r="K51"/>
  <c r="K53" s="1"/>
  <c r="N51"/>
  <c r="J51"/>
  <c r="J53" s="1"/>
  <c r="K140"/>
  <c r="K142" s="1"/>
  <c r="I145" l="1"/>
  <c r="D127"/>
  <c r="D129" s="1"/>
  <c r="D112"/>
  <c r="D114" s="1"/>
  <c r="D140"/>
  <c r="D142" s="1"/>
  <c r="G141"/>
  <c r="D50"/>
  <c r="D32"/>
  <c r="G143"/>
  <c r="E141"/>
  <c r="G52"/>
  <c r="E52"/>
  <c r="D51"/>
  <c r="D53" s="1"/>
  <c r="E54"/>
  <c r="E143"/>
  <c r="E145" s="1"/>
  <c r="G54"/>
  <c r="I57" l="1"/>
  <c r="E146"/>
  <c r="I146"/>
  <c r="E56"/>
  <c r="E57" s="1"/>
  <c r="G56"/>
  <c r="G57" s="1"/>
  <c r="G145"/>
  <c r="G146" s="1"/>
</calcChain>
</file>

<file path=xl/sharedStrings.xml><?xml version="1.0" encoding="utf-8"?>
<sst xmlns="http://schemas.openxmlformats.org/spreadsheetml/2006/main" count="1335" uniqueCount="225">
  <si>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</si>
  <si>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</si>
  <si>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</si>
  <si>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</si>
  <si>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</si>
  <si>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</si>
  <si>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</si>
  <si>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</si>
  <si>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</si>
  <si>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</si>
  <si>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</si>
  <si>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</si>
  <si>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</si>
  <si>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</si>
  <si>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</si>
  <si>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</si>
  <si>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</si>
  <si>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</si>
  <si>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</si>
  <si>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</si>
  <si>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</si>
  <si>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</si>
  <si>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</si>
  <si>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</si>
  <si>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</si>
  <si>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</si>
  <si>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</si>
  <si>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</si>
  <si>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</si>
  <si>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</si>
  <si>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</si>
  <si>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</si>
  <si>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</si>
  <si>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</si>
  <si>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</si>
  <si>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</si>
  <si>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</si>
  <si>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</si>
  <si>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</si>
  <si>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</si>
  <si>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</si>
  <si>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</si>
  <si>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</si>
  <si>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</si>
  <si>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</si>
  <si>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</si>
  <si>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</si>
  <si>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</si>
  <si>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</si>
  <si>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</si>
  <si>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</si>
  <si>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</si>
  <si>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</si>
  <si>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</si>
  <si>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</si>
  <si>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</si>
  <si>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</si>
  <si>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</si>
  <si>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</si>
  <si>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</si>
  <si>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</si>
  <si>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</si>
  <si>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</si>
  <si>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</si>
  <si>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</si>
  <si>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</si>
  <si>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</si>
  <si>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</si>
  <si>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</si>
  <si>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</si>
  <si>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</si>
  <si>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</si>
  <si>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</si>
  <si>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</si>
  <si>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</si>
  <si>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</si>
  <si>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</si>
  <si>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</si>
  <si>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</si>
  <si>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</si>
  <si>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</si>
  <si>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</si>
  <si>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</si>
  <si>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</si>
  <si>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</si>
  <si>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</si>
  <si>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</si>
  <si>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</si>
  <si>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</si>
  <si>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</si>
  <si>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</si>
  <si>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</si>
  <si>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</si>
  <si>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</si>
  <si>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</si>
  <si>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</si>
  <si>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</si>
  <si>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</si>
  <si>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</si>
  <si>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</si>
  <si>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</si>
  <si>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</si>
  <si>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</si>
  <si>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</si>
  <si>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</si>
  <si>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</si>
  <si>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</si>
  <si>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</si>
  <si>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</si>
  <si>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</si>
  <si>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</si>
  <si>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</si>
  <si>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</si>
  <si>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</si>
  <si>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</si>
  <si>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</si>
  <si>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</si>
  <si>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</si>
  <si>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</si>
  <si>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</si>
  <si>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</si>
  <si>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</si>
  <si>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</si>
  <si>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</si>
  <si>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</si>
  <si>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</si>
  <si>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</si>
  <si>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</si>
  <si>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</si>
  <si>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</si>
  <si>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</si>
  <si>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</si>
  <si>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</si>
  <si>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</si>
  <si>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</si>
  <si>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</si>
  <si>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</si>
  <si>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</si>
  <si>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</si>
  <si>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</si>
  <si>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</si>
  <si>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</si>
  <si>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</si>
  <si>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</si>
  <si>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</si>
  <si>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</si>
  <si>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</si>
  <si>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</si>
  <si>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</si>
  <si>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</si>
  <si>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</si>
  <si>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</si>
  <si>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</si>
  <si>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</si>
  <si>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</si>
  <si>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</si>
  <si>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</si>
  <si>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</si>
  <si>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</si>
  <si>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</si>
  <si>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</si>
  <si>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Súp gà ngô</t>
  </si>
  <si>
    <t>Ngô ngọt</t>
  </si>
  <si>
    <t>Rau thơm</t>
  </si>
  <si>
    <t>Cháo thịt bò, thịt gà - cà rốt, hạt sen</t>
  </si>
  <si>
    <t>Tỷ lệ L động vật đạt 70.1%; so với khẩu phần khuyến nghị đảm bảo đạt</t>
  </si>
  <si>
    <t>Tỷ lệ L động vật đạt 70.2%; so với khẩu phần khuyến nghị đảm bảo đạt</t>
  </si>
  <si>
    <t>Bí đỏ xào thịt lợn</t>
  </si>
  <si>
    <t>Đường kính</t>
  </si>
  <si>
    <t>Tỷ lệ L động vật đạt 70%; so với khẩu phần khuyến nghị đảm bảo đạt</t>
  </si>
  <si>
    <t>Rau ngót</t>
  </si>
  <si>
    <t>Tỷ lệ P động vật đạt 53.8%; so với khẩu phần khuyến nghị tương đối đạt</t>
  </si>
  <si>
    <t>Rau đay</t>
  </si>
  <si>
    <t>Mồng tơi</t>
  </si>
  <si>
    <t>Canh rau đay, mồng tơi nấu cua</t>
  </si>
  <si>
    <t>Bún</t>
  </si>
  <si>
    <t xml:space="preserve">Canh rau đay, mồng tơi nấu cua </t>
  </si>
  <si>
    <t>Bún thịt vịt, cà chua, cà rốt</t>
  </si>
  <si>
    <t>Cua</t>
  </si>
  <si>
    <t>Bầu xào thịt lợn</t>
  </si>
  <si>
    <t>Canh rau muống nấu tôm</t>
  </si>
  <si>
    <t>Rau muống</t>
  </si>
  <si>
    <t>Bầu</t>
  </si>
  <si>
    <t>Bí đao xào thịt lợn</t>
  </si>
  <si>
    <t>Canh rau dền nấu thịt gà</t>
  </si>
  <si>
    <t>Rau dền</t>
  </si>
  <si>
    <t>Bánh đa - thịt lợn rau ngót</t>
  </si>
  <si>
    <t>Canh rau ngót nấu thịt lợn</t>
  </si>
  <si>
    <t>Canh bầu nấu tôm</t>
  </si>
  <si>
    <t>Tỷ lệ P động vật đạt 50.4%; so với khẩu phần khuyến nghị tương đối đạt</t>
  </si>
  <si>
    <t>Tỷ lệ P động vật đạt 54%; so với khẩu phần khuyến nghị tương đối đạt</t>
  </si>
  <si>
    <t>Tỷ lệ P động vật đạt 61.1%; Cao hơn so với khẩu phần khuyến nghị 1.1%</t>
  </si>
  <si>
    <t>Canh rau ngót nấu thịt gà</t>
  </si>
  <si>
    <t>Tỷ lệ P động vật đạt 50%; so với khẩu phần khuyến tương đối đạt</t>
  </si>
  <si>
    <t>Thứ hai, ngày 4 tháng 5 năm 2026</t>
  </si>
  <si>
    <t>Kcal đạt 665.64. So với khẩu phần khuyến nghị đảm bảo đạt</t>
  </si>
  <si>
    <t>Tỷ lệ P động vật đạt 50.1%; so với khẩu phần khuyến nghị tương đối đạt</t>
  </si>
  <si>
    <t>Kcal đạt 623.9 So với khẩu phần khuyến nghị đảm bảo đạt</t>
  </si>
  <si>
    <t>Tỷ lệ P động vật đạt 57.2%; so với khẩu phần khuyến nghị đảm bảo đạt</t>
  </si>
  <si>
    <t>Thứ ba, ngày 5 tháng 5 năm 2026</t>
  </si>
  <si>
    <t>Kcal đạt 708.43. So với khẩu phần khuyến nghị đảm bảo đạt</t>
  </si>
  <si>
    <t>Kcal đạt 620.62. So với khẩu phần khuyến nghị đảm bảo đạt</t>
  </si>
  <si>
    <t>Tỷ lệ L động vật đạt 71.2%; so với khẩu phần khuyến nghị cao hơn 1,2%</t>
  </si>
  <si>
    <t>Thứ tư, ngày 6 tháng 5 năm 2026</t>
  </si>
  <si>
    <t>Kcal đạt 718.41. So với khẩu phần khuyến nghị đảm bảo đạt</t>
  </si>
  <si>
    <t>Kcal đạt 641.01. So với khẩu phần khuyến nghị đảm bảo đạt</t>
  </si>
  <si>
    <t>Thứ năm, ngày 7 tháng 5 năm 2026</t>
  </si>
  <si>
    <t>Kcal đạt 704.09. So với khẩu phần khuyến nghị đảm bảo đạt</t>
  </si>
  <si>
    <t>Kcal đạt 635.38. So với khẩu phần khuyến nghị đảm bảo đạt đạt</t>
  </si>
  <si>
    <t>Tỷ lệ P động vật đạt 60%; so với khẩu phần khuyến đảm bảo đạt</t>
  </si>
  <si>
    <t>Tỷ lệ L động vật đạt 69.6%; so với khẩu phần khuyến nghị đảm bảo đạt</t>
  </si>
  <si>
    <t>Thứ sáu, ngày 8 tháng 5 năm 2026</t>
  </si>
  <si>
    <t>Tôm, thịt lợn sốt dứa</t>
  </si>
  <si>
    <t>Kcal đạt 693.17. So với khẩu phần khuyến nghị đảm bảo đạt</t>
  </si>
  <si>
    <t>Tỷ lệ P động vật đạt 59.8%; so với khẩu phần khuyến nghị đảm bảo đạt</t>
  </si>
  <si>
    <t>Trứng vịt chiên</t>
  </si>
  <si>
    <t>Kcal đạt 638.24 So với khẩu phần khuyến nghị đảm bảo đạt</t>
  </si>
  <si>
    <t>Tỷ lệ P động vật đạt 69.1%; so với khẩu phần khuyến nghị cao hơn 9,1%</t>
  </si>
  <si>
    <t>Thứ bẩy, ngày 9 tháng 5 năm 2026</t>
  </si>
  <si>
    <t>Kcal đạt 715.83 So với khẩu phần khuyến nghị đảm bảo đạt</t>
  </si>
  <si>
    <t>Tỷ lệ L động vật đạt 70,9%; so với khẩu phần khuyến nghị đảm bảo đạt</t>
  </si>
  <si>
    <t>Thịt gà, trứng chim cút rim</t>
  </si>
  <si>
    <t>Kcal đạt 641.26. So với khẩu phần khuyến nghị đảm bảo đạt</t>
  </si>
  <si>
    <t>Tỷ lệ P động vật đạt 56.6%; so với khẩu phần khuyến nghị đảm bảo đạt</t>
  </si>
  <si>
    <t>Tỷ lệ L động vật đạt 70.7%; so với khẩu phần khuyến nghị đảm bảo đạt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</si>
</sst>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8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425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7" fillId="0" borderId="14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7" fontId="3" fillId="0" borderId="0" xfId="0" applyNumberFormat="1" applyFont="1" applyFill="1"/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12" fillId="2" borderId="16" xfId="0" applyFont="1" applyFill="1" applyBorder="1" applyAlignment="1">
      <alignment vertical="center"/>
    </xf>
    <xf numFmtId="2" fontId="3" fillId="0" borderId="0" xfId="0" applyNumberFormat="1" applyFont="1"/>
    <xf numFmtId="0" fontId="6" fillId="0" borderId="16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167" fontId="6" fillId="0" borderId="2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4" fontId="3" fillId="2" borderId="0" xfId="0" applyNumberFormat="1" applyFont="1" applyFill="1"/>
    <xf numFmtId="3" fontId="11" fillId="2" borderId="20" xfId="0" applyNumberFormat="1" applyFont="1" applyFill="1" applyBorder="1" applyAlignment="1"/>
    <xf numFmtId="4" fontId="11" fillId="2" borderId="6" xfId="0" applyNumberFormat="1" applyFont="1" applyFill="1" applyBorder="1"/>
    <xf numFmtId="2" fontId="3" fillId="2" borderId="0" xfId="0" applyNumberFormat="1" applyFont="1" applyFill="1"/>
    <xf numFmtId="4" fontId="13" fillId="0" borderId="6" xfId="0" applyNumberFormat="1" applyFont="1" applyFill="1" applyBorder="1"/>
    <xf numFmtId="2" fontId="10" fillId="0" borderId="2" xfId="0" applyNumberFormat="1" applyFont="1" applyFill="1" applyBorder="1"/>
    <xf numFmtId="3" fontId="13" fillId="0" borderId="20" xfId="0" applyNumberFormat="1" applyFont="1" applyFill="1" applyBorder="1" applyAlignment="1"/>
    <xf numFmtId="2" fontId="13" fillId="0" borderId="20" xfId="0" applyNumberFormat="1" applyFont="1" applyFill="1" applyBorder="1"/>
    <xf numFmtId="3" fontId="13" fillId="2" borderId="5" xfId="0" applyNumberFormat="1" applyFont="1" applyFill="1" applyBorder="1" applyAlignment="1"/>
    <xf numFmtId="3" fontId="9" fillId="0" borderId="5" xfId="0" applyNumberFormat="1" applyFont="1" applyFill="1" applyBorder="1" applyAlignment="1"/>
    <xf numFmtId="0" fontId="1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4" fontId="13" fillId="2" borderId="6" xfId="0" applyNumberFormat="1" applyFont="1" applyFill="1" applyBorder="1"/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0" fontId="16" fillId="0" borderId="3" xfId="0" applyFont="1" applyBorder="1"/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3" fontId="12" fillId="0" borderId="17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 textRotation="45"/>
    </xf>
    <xf numFmtId="3" fontId="10" fillId="0" borderId="3" xfId="0" applyNumberFormat="1" applyFont="1" applyFill="1" applyBorder="1" applyAlignment="1">
      <alignment horizontal="center" vertical="center" textRotation="45"/>
    </xf>
    <xf numFmtId="3" fontId="14" fillId="0" borderId="16" xfId="0" applyNumberFormat="1" applyFont="1" applyFill="1" applyBorder="1" applyAlignment="1">
      <alignment horizontal="center" vertical="center" textRotation="90"/>
    </xf>
    <xf numFmtId="3" fontId="14" fillId="0" borderId="3" xfId="0" applyNumberFormat="1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1" fillId="2" borderId="6" xfId="0" applyNumberFormat="1" applyFont="1" applyFill="1" applyBorder="1"/>
    <xf numFmtId="167" fontId="3" fillId="0" borderId="0" xfId="0" applyNumberFormat="1" applyFont="1" applyFill="1" applyBorder="1"/>
    <xf numFmtId="4" fontId="3" fillId="2" borderId="0" xfId="0" applyNumberFormat="1" applyFont="1" applyFill="1" applyBorder="1"/>
    <xf numFmtId="3" fontId="17" fillId="0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0" fontId="11" fillId="2" borderId="0" xfId="0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2" fontId="3" fillId="2" borderId="0" xfId="0" applyNumberFormat="1" applyFont="1" applyFill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" fontId="13" fillId="2" borderId="5" xfId="0" applyNumberFormat="1" applyFont="1" applyFill="1" applyBorder="1"/>
    <xf numFmtId="1" fontId="11" fillId="2" borderId="20" xfId="0" applyNumberFormat="1" applyFont="1" applyFill="1" applyBorder="1"/>
    <xf numFmtId="164" fontId="6" fillId="2" borderId="7" xfId="0" applyNumberFormat="1" applyFont="1" applyFill="1" applyBorder="1" applyAlignment="1"/>
    <xf numFmtId="164" fontId="6" fillId="2" borderId="2" xfId="0" applyNumberFormat="1" applyFont="1" applyFill="1" applyBorder="1" applyAlignment="1"/>
    <xf numFmtId="1" fontId="13" fillId="2" borderId="20" xfId="0" applyNumberFormat="1" applyFont="1" applyFill="1" applyBorder="1"/>
    <xf numFmtId="0" fontId="1" fillId="0" borderId="3" xfId="0" applyFont="1" applyBorder="1"/>
    <xf numFmtId="1" fontId="13" fillId="0" borderId="5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" fontId="11" fillId="2" borderId="14" xfId="0" applyNumberFormat="1" applyFont="1" applyFill="1" applyBorder="1"/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2" fontId="11" fillId="2" borderId="20" xfId="0" applyNumberFormat="1" applyFont="1" applyFill="1" applyBorder="1"/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3"/>
  <sheetViews>
    <sheetView tabSelected="1" workbookViewId="0">
      <selection activeCell="O1" sqref="O1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189" t="s">
        <v>31</v>
      </c>
      <c r="G1" s="189"/>
      <c r="H1" s="189"/>
      <c r="I1" s="189"/>
      <c r="J1" s="189"/>
      <c r="K1" s="189"/>
      <c r="L1" s="189"/>
      <c r="M1" s="189"/>
      <c r="N1" s="189"/>
      <c r="O1" s="376"/>
      <c r="P1" s="376"/>
      <c r="T1" s="2"/>
    </row>
    <row r="2" spans="1:20" ht="22.2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6"/>
      <c r="P2" s="376"/>
      <c r="T2" s="2"/>
    </row>
    <row r="3" spans="1:20" ht="21" customHeight="1">
      <c r="A3" s="88" t="s">
        <v>194</v>
      </c>
      <c r="B3" s="88"/>
      <c r="C3" s="88"/>
      <c r="D3" s="88"/>
      <c r="E3" s="88"/>
      <c r="F3" s="89"/>
      <c r="G3" s="89"/>
      <c r="H3" s="89"/>
      <c r="I3" s="182"/>
      <c r="J3" s="182"/>
      <c r="K3" s="182"/>
      <c r="L3" s="182"/>
      <c r="M3" s="182"/>
      <c r="N3" s="182"/>
      <c r="O3" s="376"/>
      <c r="P3" s="376"/>
      <c r="T3" s="2"/>
    </row>
    <row r="4" spans="1:20" s="2" customFormat="1" ht="19.2" customHeight="1">
      <c r="A4" s="190" t="s">
        <v>88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377"/>
    </row>
    <row r="5" spans="1:20" s="2" customFormat="1" ht="19.2" customHeight="1">
      <c r="A5" s="236" t="s">
        <v>99</v>
      </c>
      <c r="B5" s="236"/>
      <c r="C5" s="236"/>
      <c r="D5" s="236"/>
      <c r="E5" s="236" t="s">
        <v>98</v>
      </c>
      <c r="F5" s="236"/>
      <c r="G5" s="236"/>
      <c r="H5" s="236"/>
      <c r="I5" s="236"/>
      <c r="J5" s="236"/>
      <c r="K5" s="236"/>
      <c r="L5" s="236"/>
      <c r="M5" s="236"/>
      <c r="N5" s="236"/>
      <c r="O5" s="377"/>
    </row>
    <row r="6" spans="1:20" s="2" customFormat="1" ht="19.2" customHeight="1">
      <c r="A6" s="266" t="s">
        <v>90</v>
      </c>
      <c r="B6" s="266"/>
      <c r="C6" s="266"/>
      <c r="D6" s="266"/>
      <c r="E6" s="267" t="s">
        <v>144</v>
      </c>
      <c r="F6" s="267"/>
      <c r="G6" s="267"/>
      <c r="H6" s="267"/>
      <c r="I6" s="267"/>
      <c r="J6" s="282" t="s">
        <v>186</v>
      </c>
      <c r="K6" s="283"/>
      <c r="L6" s="283"/>
      <c r="M6" s="283"/>
      <c r="N6" s="284"/>
      <c r="O6" s="377"/>
    </row>
    <row r="7" spans="1:20" s="2" customFormat="1" ht="19.2" customHeight="1">
      <c r="A7" s="188" t="s">
        <v>148</v>
      </c>
      <c r="B7" s="188"/>
      <c r="C7" s="188"/>
      <c r="D7" s="188"/>
      <c r="E7" s="267"/>
      <c r="F7" s="267"/>
      <c r="G7" s="267"/>
      <c r="H7" s="267"/>
      <c r="I7" s="267"/>
      <c r="J7" s="285"/>
      <c r="K7" s="286"/>
      <c r="L7" s="286"/>
      <c r="M7" s="286"/>
      <c r="N7" s="287"/>
      <c r="O7" s="377"/>
    </row>
    <row r="8" spans="1:20" s="2" customFormat="1" ht="19.2" customHeight="1">
      <c r="A8" s="185" t="s">
        <v>149</v>
      </c>
      <c r="B8" s="186"/>
      <c r="C8" s="186"/>
      <c r="D8" s="187"/>
      <c r="E8" s="267"/>
      <c r="F8" s="267"/>
      <c r="G8" s="267"/>
      <c r="H8" s="267"/>
      <c r="I8" s="267"/>
      <c r="J8" s="285"/>
      <c r="K8" s="286"/>
      <c r="L8" s="286"/>
      <c r="M8" s="286"/>
      <c r="N8" s="287"/>
      <c r="O8" s="377"/>
    </row>
    <row r="9" spans="1:20" s="2" customFormat="1" ht="19.2" customHeight="1">
      <c r="A9" s="275" t="s">
        <v>184</v>
      </c>
      <c r="B9" s="275"/>
      <c r="C9" s="275"/>
      <c r="D9" s="275"/>
      <c r="E9" s="267"/>
      <c r="F9" s="267"/>
      <c r="G9" s="267"/>
      <c r="H9" s="267"/>
      <c r="I9" s="267"/>
      <c r="J9" s="288"/>
      <c r="K9" s="289"/>
      <c r="L9" s="289"/>
      <c r="M9" s="289"/>
      <c r="N9" s="290"/>
      <c r="O9" s="377"/>
    </row>
    <row r="10" spans="1:20" s="2" customFormat="1" ht="19.2" customHeight="1">
      <c r="A10" s="276" t="s">
        <v>122</v>
      </c>
      <c r="B10" s="277"/>
      <c r="C10" s="278"/>
      <c r="D10" s="125">
        <v>212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7"/>
    </row>
    <row r="11" spans="1:20" ht="19.2" customHeight="1">
      <c r="A11" s="191" t="s">
        <v>0</v>
      </c>
      <c r="B11" s="201" t="s">
        <v>19</v>
      </c>
      <c r="C11" s="204" t="s">
        <v>8</v>
      </c>
      <c r="D11" s="204" t="s">
        <v>9</v>
      </c>
      <c r="E11" s="194" t="s">
        <v>11</v>
      </c>
      <c r="F11" s="195"/>
      <c r="G11" s="194" t="s">
        <v>43</v>
      </c>
      <c r="H11" s="195"/>
      <c r="I11" s="198" t="s">
        <v>16</v>
      </c>
      <c r="J11" s="198" t="s">
        <v>41</v>
      </c>
      <c r="K11" s="198" t="s">
        <v>42</v>
      </c>
      <c r="L11" s="198" t="s">
        <v>17</v>
      </c>
      <c r="M11" s="198" t="s">
        <v>40</v>
      </c>
      <c r="N11" s="191" t="s">
        <v>18</v>
      </c>
      <c r="O11" s="378"/>
    </row>
    <row r="12" spans="1:20" ht="19.2" customHeight="1">
      <c r="A12" s="192"/>
      <c r="B12" s="202"/>
      <c r="C12" s="205"/>
      <c r="D12" s="205"/>
      <c r="E12" s="196"/>
      <c r="F12" s="197"/>
      <c r="G12" s="196"/>
      <c r="H12" s="197"/>
      <c r="I12" s="199"/>
      <c r="J12" s="199"/>
      <c r="K12" s="199"/>
      <c r="L12" s="199"/>
      <c r="M12" s="199"/>
      <c r="N12" s="192"/>
      <c r="O12" s="178"/>
    </row>
    <row r="13" spans="1:20" ht="19.2" customHeight="1">
      <c r="A13" s="192"/>
      <c r="B13" s="202"/>
      <c r="C13" s="205"/>
      <c r="D13" s="205"/>
      <c r="E13" s="198" t="s">
        <v>10</v>
      </c>
      <c r="F13" s="198" t="s">
        <v>12</v>
      </c>
      <c r="G13" s="198" t="s">
        <v>14</v>
      </c>
      <c r="H13" s="198" t="s">
        <v>15</v>
      </c>
      <c r="I13" s="199"/>
      <c r="J13" s="199"/>
      <c r="K13" s="199"/>
      <c r="L13" s="199"/>
      <c r="M13" s="199"/>
      <c r="N13" s="192"/>
      <c r="O13" s="178"/>
    </row>
    <row r="14" spans="1:20" ht="19.2" customHeight="1">
      <c r="A14" s="193"/>
      <c r="B14" s="203"/>
      <c r="C14" s="206"/>
      <c r="D14" s="206"/>
      <c r="E14" s="200"/>
      <c r="F14" s="200"/>
      <c r="G14" s="200"/>
      <c r="H14" s="200"/>
      <c r="I14" s="200"/>
      <c r="J14" s="200"/>
      <c r="K14" s="200"/>
      <c r="L14" s="200"/>
      <c r="M14" s="200"/>
      <c r="N14" s="193"/>
      <c r="O14" s="178"/>
    </row>
    <row r="15" spans="1:20" ht="19.8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8"/>
    </row>
    <row r="16" spans="1:20" s="2" customFormat="1" ht="19.8" customHeight="1">
      <c r="A16" s="15">
        <v>1</v>
      </c>
      <c r="B16" s="16" t="s">
        <v>2</v>
      </c>
      <c r="C16" s="51">
        <v>12</v>
      </c>
      <c r="D16" s="52">
        <f>C16/100*60</f>
        <v>7.1999999999999993</v>
      </c>
      <c r="E16" s="53">
        <f>C16/100*15</f>
        <v>1.7999999999999998</v>
      </c>
      <c r="F16" s="53"/>
      <c r="G16" s="53"/>
      <c r="H16" s="53"/>
      <c r="I16" s="53"/>
      <c r="J16" s="53">
        <f>C16/100*387</f>
        <v>46.44</v>
      </c>
      <c r="K16" s="53">
        <f>C16/100*0.09</f>
        <v>1.0799999999999999E-2</v>
      </c>
      <c r="L16" s="410">
        <v>280</v>
      </c>
      <c r="M16" s="77">
        <v>20</v>
      </c>
      <c r="N16" s="28">
        <f t="shared" ref="N16:N27" si="0">L16*M16</f>
        <v>5600</v>
      </c>
      <c r="O16" s="383"/>
    </row>
    <row r="17" spans="1:20" s="2" customFormat="1" ht="19.8" customHeight="1">
      <c r="A17" s="9">
        <v>2</v>
      </c>
      <c r="B17" s="10" t="s">
        <v>139</v>
      </c>
      <c r="C17" s="23">
        <f>L17/100*100</f>
        <v>1120</v>
      </c>
      <c r="D17" s="24">
        <f>C17/100*899</f>
        <v>10068.799999999999</v>
      </c>
      <c r="E17" s="25"/>
      <c r="F17" s="25"/>
      <c r="G17" s="119">
        <f>C17/100*100</f>
        <v>1120</v>
      </c>
      <c r="H17" s="25"/>
      <c r="I17" s="25"/>
      <c r="J17" s="25"/>
      <c r="K17" s="25"/>
      <c r="L17" s="137">
        <v>1120</v>
      </c>
      <c r="M17" s="24">
        <v>69</v>
      </c>
      <c r="N17" s="28">
        <f t="shared" si="0"/>
        <v>77280</v>
      </c>
      <c r="O17" s="383"/>
    </row>
    <row r="18" spans="1:20" s="2" customFormat="1" ht="19.8" customHeight="1">
      <c r="A18" s="9">
        <v>3</v>
      </c>
      <c r="B18" s="5" t="s">
        <v>1</v>
      </c>
      <c r="C18" s="23">
        <f>L18/100*100</f>
        <v>20140</v>
      </c>
      <c r="D18" s="24">
        <f>C18/100*320.3</f>
        <v>64508.420000000006</v>
      </c>
      <c r="E18" s="25"/>
      <c r="F18" s="119">
        <f>C18/100*7.9</f>
        <v>1591.0600000000002</v>
      </c>
      <c r="G18" s="25"/>
      <c r="H18" s="25">
        <f>C18/100*1</f>
        <v>201.4</v>
      </c>
      <c r="I18" s="119">
        <f>C18/100*75.9</f>
        <v>15286.260000000002</v>
      </c>
      <c r="J18" s="25">
        <f>C18/100*30</f>
        <v>6042</v>
      </c>
      <c r="K18" s="25">
        <f>C18/100*0.1</f>
        <v>20.14</v>
      </c>
      <c r="L18" s="137">
        <v>20140</v>
      </c>
      <c r="M18" s="75">
        <v>18</v>
      </c>
      <c r="N18" s="28">
        <f t="shared" si="0"/>
        <v>362520</v>
      </c>
      <c r="O18" s="153"/>
      <c r="P18" s="18"/>
    </row>
    <row r="19" spans="1:20" s="2" customFormat="1" ht="19.8" customHeight="1">
      <c r="A19" s="9">
        <v>4</v>
      </c>
      <c r="B19" s="10" t="s">
        <v>168</v>
      </c>
      <c r="C19" s="23">
        <f>L19/100*100</f>
        <v>180</v>
      </c>
      <c r="D19" s="24">
        <f>C19/100*390</f>
        <v>702</v>
      </c>
      <c r="E19" s="25"/>
      <c r="F19" s="25"/>
      <c r="G19" s="25"/>
      <c r="H19" s="25"/>
      <c r="I19" s="25">
        <f>C19/100*97.4</f>
        <v>175.32000000000002</v>
      </c>
      <c r="J19" s="27">
        <f>C19/100*178</f>
        <v>320.40000000000003</v>
      </c>
      <c r="K19" s="27">
        <f>C19/100*0.05</f>
        <v>9.0000000000000011E-2</v>
      </c>
      <c r="L19" s="137">
        <v>180</v>
      </c>
      <c r="M19" s="75">
        <v>25</v>
      </c>
      <c r="N19" s="28">
        <f t="shared" si="0"/>
        <v>4500</v>
      </c>
      <c r="O19" s="380"/>
    </row>
    <row r="20" spans="1:20" s="2" customFormat="1" ht="19.8" customHeight="1">
      <c r="A20" s="9">
        <v>5</v>
      </c>
      <c r="B20" s="10" t="s">
        <v>151</v>
      </c>
      <c r="C20" s="23">
        <f>L20/100*60</f>
        <v>8526</v>
      </c>
      <c r="D20" s="24">
        <f>C20/100*97</f>
        <v>8270.2200000000012</v>
      </c>
      <c r="E20" s="119">
        <f>C20/100*20.8</f>
        <v>1773.4080000000001</v>
      </c>
      <c r="F20" s="25"/>
      <c r="G20" s="25">
        <f>C20/100*2.7</f>
        <v>230.20200000000003</v>
      </c>
      <c r="H20" s="25"/>
      <c r="I20" s="25"/>
      <c r="J20" s="81">
        <f>C20/100*90</f>
        <v>7673.4000000000005</v>
      </c>
      <c r="K20" s="27">
        <f>C20/100*0.04</f>
        <v>3.4104000000000001</v>
      </c>
      <c r="L20" s="137">
        <v>14210</v>
      </c>
      <c r="M20" s="75">
        <v>95</v>
      </c>
      <c r="N20" s="124">
        <f t="shared" si="0"/>
        <v>1349950</v>
      </c>
      <c r="O20" s="153"/>
    </row>
    <row r="21" spans="1:20" s="2" customFormat="1" ht="19.8" customHeight="1">
      <c r="A21" s="9">
        <v>6</v>
      </c>
      <c r="B21" s="5" t="s">
        <v>69</v>
      </c>
      <c r="C21" s="23">
        <f>L21/100*48</f>
        <v>1545.6000000000001</v>
      </c>
      <c r="D21" s="24">
        <f>C21/100*199</f>
        <v>3075.7440000000001</v>
      </c>
      <c r="E21" s="25">
        <f>C21/100*20.3</f>
        <v>313.75680000000006</v>
      </c>
      <c r="F21" s="25"/>
      <c r="G21" s="25">
        <f>C21/100*13.1</f>
        <v>202.4736</v>
      </c>
      <c r="H21" s="25"/>
      <c r="I21" s="25"/>
      <c r="J21" s="27">
        <f>C21/100*12</f>
        <v>185.47200000000001</v>
      </c>
      <c r="K21" s="27">
        <f>C21/100*0.15</f>
        <v>2.3184</v>
      </c>
      <c r="L21" s="137">
        <v>3220</v>
      </c>
      <c r="M21" s="26">
        <v>84</v>
      </c>
      <c r="N21" s="28">
        <f t="shared" si="0"/>
        <v>270480</v>
      </c>
      <c r="O21" s="153"/>
      <c r="Q21" s="3"/>
      <c r="R21" s="3"/>
      <c r="S21" s="4"/>
    </row>
    <row r="22" spans="1:20" s="2" customFormat="1" ht="19.8" customHeight="1">
      <c r="A22" s="9">
        <v>7</v>
      </c>
      <c r="B22" s="5" t="s">
        <v>3</v>
      </c>
      <c r="C22" s="23">
        <f>L22/100*98</f>
        <v>2224.6</v>
      </c>
      <c r="D22" s="24">
        <f>C22/100*118</f>
        <v>2625.0279999999998</v>
      </c>
      <c r="E22" s="25">
        <f>C22/100*21</f>
        <v>467.166</v>
      </c>
      <c r="F22" s="25"/>
      <c r="G22" s="25">
        <f>C22/100*3.8</f>
        <v>84.53479999999999</v>
      </c>
      <c r="H22" s="25"/>
      <c r="I22" s="25"/>
      <c r="J22" s="27">
        <f>C22/100*12</f>
        <v>266.952</v>
      </c>
      <c r="K22" s="27">
        <f>C22/100*0.1</f>
        <v>2.2246000000000001</v>
      </c>
      <c r="L22" s="137">
        <v>2270</v>
      </c>
      <c r="M22" s="26">
        <v>270</v>
      </c>
      <c r="N22" s="124">
        <f t="shared" si="0"/>
        <v>612900</v>
      </c>
      <c r="O22" s="153"/>
      <c r="Q22" s="3"/>
      <c r="R22" s="3"/>
      <c r="S22" s="4"/>
    </row>
    <row r="23" spans="1:20" s="2" customFormat="1" ht="19.8" customHeight="1">
      <c r="A23" s="9">
        <v>8</v>
      </c>
      <c r="B23" s="149" t="s">
        <v>185</v>
      </c>
      <c r="C23" s="23">
        <f>L23/100*86</f>
        <v>6389.8</v>
      </c>
      <c r="D23" s="24">
        <f>C23/100*42</f>
        <v>2683.7160000000003</v>
      </c>
      <c r="E23" s="25"/>
      <c r="F23" s="25">
        <f>C23/100*3.2</f>
        <v>204.47360000000003</v>
      </c>
      <c r="G23" s="25"/>
      <c r="H23" s="25">
        <f>C23/100*0.4</f>
        <v>25.559200000000004</v>
      </c>
      <c r="I23" s="25">
        <f>C23/100*6.3</f>
        <v>402.55740000000003</v>
      </c>
      <c r="J23" s="119">
        <f>C23/100*288</f>
        <v>18402.624</v>
      </c>
      <c r="K23" s="25">
        <f>C23/100*0.08</f>
        <v>5.1118399999999999</v>
      </c>
      <c r="L23" s="137">
        <v>7430</v>
      </c>
      <c r="M23" s="75">
        <v>15</v>
      </c>
      <c r="N23" s="28">
        <f t="shared" si="0"/>
        <v>111450</v>
      </c>
      <c r="O23" s="153"/>
    </row>
    <row r="24" spans="1:20" s="2" customFormat="1" ht="19.8" customHeight="1">
      <c r="A24" s="9">
        <v>9</v>
      </c>
      <c r="B24" s="5" t="s">
        <v>150</v>
      </c>
      <c r="C24" s="23">
        <f>L24/100*81</f>
        <v>4301.1000000000004</v>
      </c>
      <c r="D24" s="24">
        <f>C24/100*17</f>
        <v>731.18700000000001</v>
      </c>
      <c r="E24" s="29"/>
      <c r="F24" s="29">
        <f>C24/100*0.9</f>
        <v>38.709900000000005</v>
      </c>
      <c r="G24" s="29"/>
      <c r="H24" s="29">
        <f>C24/100*0.2</f>
        <v>8.6022000000000016</v>
      </c>
      <c r="I24" s="29">
        <f>C24/100*2.8</f>
        <v>120.4308</v>
      </c>
      <c r="J24" s="25">
        <f>C24/100*28</f>
        <v>1204.308</v>
      </c>
      <c r="K24" s="27">
        <f>C24/100*0.04</f>
        <v>1.7204400000000002</v>
      </c>
      <c r="L24" s="379">
        <v>5310</v>
      </c>
      <c r="M24" s="75">
        <v>20</v>
      </c>
      <c r="N24" s="28">
        <f t="shared" si="0"/>
        <v>106200</v>
      </c>
      <c r="O24" s="153"/>
      <c r="P24" s="3"/>
    </row>
    <row r="25" spans="1:20" s="2" customFormat="1" ht="19.8" customHeight="1">
      <c r="A25" s="9">
        <v>10</v>
      </c>
      <c r="B25" s="5" t="s">
        <v>20</v>
      </c>
      <c r="C25" s="23">
        <f>L25/100*95</f>
        <v>3030.5</v>
      </c>
      <c r="D25" s="24">
        <f>C25/100*20</f>
        <v>606.1</v>
      </c>
      <c r="E25" s="25"/>
      <c r="F25" s="25">
        <f>C25/100*0.6</f>
        <v>18.183</v>
      </c>
      <c r="G25" s="25"/>
      <c r="H25" s="25">
        <f>C25/100*0.2</f>
        <v>6.0609999999999999</v>
      </c>
      <c r="I25" s="25">
        <f>C25/100*4</f>
        <v>121.22</v>
      </c>
      <c r="J25" s="27">
        <f>C25/100*12</f>
        <v>363.65999999999997</v>
      </c>
      <c r="K25" s="24">
        <f>C25/100*0.04</f>
        <v>1.2121999999999999</v>
      </c>
      <c r="L25" s="137">
        <v>3190</v>
      </c>
      <c r="M25" s="77">
        <v>22</v>
      </c>
      <c r="N25" s="28">
        <f t="shared" si="0"/>
        <v>70180</v>
      </c>
      <c r="O25" s="380"/>
      <c r="Q25" s="3"/>
      <c r="R25" s="3"/>
      <c r="S25" s="4"/>
    </row>
    <row r="26" spans="1:20" s="2" customFormat="1" ht="19.8" customHeight="1">
      <c r="A26" s="9">
        <v>11</v>
      </c>
      <c r="B26" s="5" t="s">
        <v>72</v>
      </c>
      <c r="C26" s="23">
        <f>L26/100*75</f>
        <v>315</v>
      </c>
      <c r="D26" s="24">
        <f>C26/100*17</f>
        <v>53.55</v>
      </c>
      <c r="E26" s="29"/>
      <c r="F26" s="29">
        <f>C26/100*1.9</f>
        <v>5.9849999999999994</v>
      </c>
      <c r="G26" s="29"/>
      <c r="H26" s="29"/>
      <c r="I26" s="29">
        <f>C26/100*2.2</f>
        <v>6.9300000000000006</v>
      </c>
      <c r="J26" s="27">
        <f>C26/100*150</f>
        <v>472.5</v>
      </c>
      <c r="K26" s="24">
        <f>C26/100*0.04</f>
        <v>0.126</v>
      </c>
      <c r="L26" s="379">
        <v>420</v>
      </c>
      <c r="M26" s="77">
        <v>30</v>
      </c>
      <c r="N26" s="28">
        <f t="shared" si="0"/>
        <v>12600</v>
      </c>
      <c r="O26" s="380"/>
      <c r="Q26" s="3"/>
      <c r="R26" s="3"/>
      <c r="S26" s="4"/>
    </row>
    <row r="27" spans="1:20" s="2" customFormat="1" ht="19.8" customHeight="1">
      <c r="A27" s="9">
        <v>12</v>
      </c>
      <c r="B27" s="5" t="s">
        <v>134</v>
      </c>
      <c r="C27" s="23">
        <f>L27/100*100</f>
        <v>210</v>
      </c>
      <c r="D27" s="24">
        <f>C27/100*247</f>
        <v>518.70000000000005</v>
      </c>
      <c r="E27" s="29"/>
      <c r="F27" s="29">
        <f>C27/100*17.5</f>
        <v>36.75</v>
      </c>
      <c r="G27" s="29"/>
      <c r="H27" s="29">
        <f>C27/100*1.6</f>
        <v>3.3600000000000003</v>
      </c>
      <c r="I27" s="29">
        <f>C27/100*39.2</f>
        <v>82.320000000000007</v>
      </c>
      <c r="J27" s="71"/>
      <c r="K27" s="71"/>
      <c r="L27" s="379">
        <v>210</v>
      </c>
      <c r="M27" s="75">
        <v>50</v>
      </c>
      <c r="N27" s="28">
        <f t="shared" si="0"/>
        <v>10500</v>
      </c>
      <c r="O27" s="153"/>
      <c r="Q27" s="3"/>
      <c r="R27" s="3"/>
      <c r="S27" s="4"/>
      <c r="T27" s="3"/>
    </row>
    <row r="28" spans="1:20" s="2" customFormat="1" ht="19.8" customHeight="1">
      <c r="A28" s="13">
        <v>13</v>
      </c>
      <c r="B28" s="6" t="s">
        <v>123</v>
      </c>
      <c r="C28" s="31"/>
      <c r="D28" s="32"/>
      <c r="E28" s="29"/>
      <c r="F28" s="29"/>
      <c r="G28" s="29"/>
      <c r="H28" s="29"/>
      <c r="I28" s="29"/>
      <c r="J28" s="25"/>
      <c r="K28" s="25"/>
      <c r="L28" s="30"/>
      <c r="M28" s="27"/>
      <c r="N28" s="33">
        <v>15960</v>
      </c>
      <c r="O28" s="153"/>
    </row>
    <row r="29" spans="1:20" s="2" customFormat="1" ht="19.8" customHeight="1">
      <c r="A29" s="21" t="s">
        <v>105</v>
      </c>
      <c r="B29" s="22"/>
      <c r="C29" s="34"/>
      <c r="D29" s="35">
        <f>SUM(D16:D28)</f>
        <v>93850.665000000037</v>
      </c>
      <c r="E29" s="36"/>
      <c r="F29" s="36"/>
      <c r="G29" s="36"/>
      <c r="H29" s="36"/>
      <c r="I29" s="36"/>
      <c r="J29" s="36"/>
      <c r="K29" s="36"/>
      <c r="L29" s="37"/>
      <c r="M29" s="37"/>
      <c r="N29" s="264">
        <f>SUM(N16:N28)</f>
        <v>3010120</v>
      </c>
      <c r="O29" s="153"/>
    </row>
    <row r="30" spans="1:20" s="2" customFormat="1" ht="19.8" customHeight="1">
      <c r="A30" s="21" t="s">
        <v>6</v>
      </c>
      <c r="B30" s="22"/>
      <c r="C30" s="34"/>
      <c r="D30" s="35">
        <f>D29/D10</f>
        <v>442.69181603773603</v>
      </c>
      <c r="E30" s="36"/>
      <c r="F30" s="36"/>
      <c r="G30" s="36"/>
      <c r="H30" s="36"/>
      <c r="I30" s="36"/>
      <c r="J30" s="36"/>
      <c r="K30" s="36"/>
      <c r="L30" s="37"/>
      <c r="M30" s="37"/>
      <c r="N30" s="265"/>
      <c r="O30" s="153"/>
    </row>
    <row r="31" spans="1:20" s="2" customFormat="1" ht="19.8" customHeight="1">
      <c r="A31" s="211" t="s">
        <v>48</v>
      </c>
      <c r="B31" s="212"/>
      <c r="C31" s="413" t="s">
        <v>147</v>
      </c>
      <c r="D31" s="20" t="s">
        <v>45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13"/>
      <c r="B32" s="214"/>
      <c r="C32" s="19" t="s">
        <v>59</v>
      </c>
      <c r="D32" s="20">
        <f>D30*100/1320</f>
        <v>33.537258790737582</v>
      </c>
      <c r="E32" s="36"/>
      <c r="F32" s="36"/>
      <c r="G32" s="36"/>
      <c r="H32" s="36"/>
      <c r="I32" s="36"/>
      <c r="J32" s="36"/>
      <c r="K32" s="36"/>
      <c r="L32" s="37"/>
      <c r="M32" s="37"/>
      <c r="N32" s="38"/>
      <c r="O32" s="153"/>
    </row>
    <row r="33" spans="1:22" s="2" customFormat="1" ht="19.8" customHeight="1">
      <c r="A33" s="274" t="s">
        <v>35</v>
      </c>
      <c r="B33" s="274"/>
      <c r="C33" s="56"/>
      <c r="D33" s="57"/>
      <c r="E33" s="58"/>
      <c r="F33" s="58"/>
      <c r="G33" s="58"/>
      <c r="H33" s="58"/>
      <c r="I33" s="58"/>
      <c r="J33" s="58"/>
      <c r="K33" s="58"/>
      <c r="L33" s="59"/>
      <c r="M33" s="59"/>
      <c r="N33" s="69"/>
      <c r="O33" s="153"/>
    </row>
    <row r="34" spans="1:22" s="2" customFormat="1" ht="19.8" customHeight="1">
      <c r="A34" s="9">
        <v>1</v>
      </c>
      <c r="B34" s="5" t="s">
        <v>138</v>
      </c>
      <c r="C34" s="23">
        <f>L34/100*100</f>
        <v>5080</v>
      </c>
      <c r="D34" s="24">
        <f>C34/100*295</f>
        <v>14986</v>
      </c>
      <c r="E34" s="25"/>
      <c r="F34" s="25">
        <f>C34/100*6</f>
        <v>304.79999999999995</v>
      </c>
      <c r="G34" s="25"/>
      <c r="H34" s="25">
        <f>C34/100*0.8</f>
        <v>40.64</v>
      </c>
      <c r="I34" s="119">
        <f>C34/100*28.8</f>
        <v>1463.04</v>
      </c>
      <c r="J34" s="27"/>
      <c r="K34" s="27"/>
      <c r="L34" s="137">
        <v>5080</v>
      </c>
      <c r="M34" s="77">
        <v>32</v>
      </c>
      <c r="N34" s="28">
        <f>L34*M34</f>
        <v>162560</v>
      </c>
      <c r="O34" s="153"/>
    </row>
    <row r="35" spans="1:22" s="2" customFormat="1" ht="19.8" customHeight="1">
      <c r="A35" s="9">
        <v>2</v>
      </c>
      <c r="B35" s="148" t="s">
        <v>139</v>
      </c>
      <c r="C35" s="23">
        <f>L35/100*100</f>
        <v>1019.9999999999999</v>
      </c>
      <c r="D35" s="24">
        <f>C35/100*899</f>
        <v>9169.7999999999993</v>
      </c>
      <c r="E35" s="25"/>
      <c r="F35" s="25"/>
      <c r="G35" s="119">
        <f>C35/100*100</f>
        <v>1019.9999999999999</v>
      </c>
      <c r="H35" s="25"/>
      <c r="I35" s="25"/>
      <c r="J35" s="27"/>
      <c r="K35" s="27"/>
      <c r="L35" s="137">
        <v>1020</v>
      </c>
      <c r="M35" s="75">
        <v>69</v>
      </c>
      <c r="N35" s="28">
        <f t="shared" ref="N35:N36" si="1">L35*M35</f>
        <v>70380</v>
      </c>
      <c r="O35" s="153"/>
    </row>
    <row r="36" spans="1:22" s="2" customFormat="1" ht="19.8" customHeight="1">
      <c r="A36" s="9">
        <v>3</v>
      </c>
      <c r="B36" s="148" t="s">
        <v>142</v>
      </c>
      <c r="C36" s="23">
        <f>L36/100*100</f>
        <v>80</v>
      </c>
      <c r="D36" s="120">
        <f>C36/100*900</f>
        <v>720</v>
      </c>
      <c r="E36" s="25"/>
      <c r="F36" s="25"/>
      <c r="G36" s="119"/>
      <c r="H36" s="25">
        <f>C36/100*100</f>
        <v>80</v>
      </c>
      <c r="I36" s="25"/>
      <c r="J36" s="25"/>
      <c r="K36" s="25"/>
      <c r="L36" s="137">
        <v>80</v>
      </c>
      <c r="M36" s="75">
        <v>65</v>
      </c>
      <c r="N36" s="28">
        <f t="shared" si="1"/>
        <v>5200</v>
      </c>
      <c r="O36" s="383"/>
    </row>
    <row r="37" spans="1:22" s="2" customFormat="1" ht="19.8" customHeight="1">
      <c r="A37" s="9">
        <v>3</v>
      </c>
      <c r="B37" s="148" t="s">
        <v>2</v>
      </c>
      <c r="C37" s="23">
        <f>L37/100*100</f>
        <v>260</v>
      </c>
      <c r="D37" s="24">
        <f>C37/100*60</f>
        <v>156</v>
      </c>
      <c r="E37" s="25">
        <f>C37/100*15</f>
        <v>39</v>
      </c>
      <c r="F37" s="25"/>
      <c r="G37" s="25"/>
      <c r="H37" s="25"/>
      <c r="I37" s="25"/>
      <c r="J37" s="25">
        <f>C37/100*387</f>
        <v>1006.2</v>
      </c>
      <c r="K37" s="25">
        <f>C37/100*0.09</f>
        <v>0.23399999999999999</v>
      </c>
      <c r="L37" s="137">
        <v>260</v>
      </c>
      <c r="M37" s="75">
        <v>20</v>
      </c>
      <c r="N37" s="28">
        <f>L37*M37</f>
        <v>5200</v>
      </c>
      <c r="O37" s="153"/>
    </row>
    <row r="38" spans="1:22" s="2" customFormat="1" ht="19.8" customHeight="1">
      <c r="A38" s="9">
        <v>4</v>
      </c>
      <c r="B38" s="149" t="s">
        <v>134</v>
      </c>
      <c r="C38" s="23">
        <f>L38/100*100</f>
        <v>130</v>
      </c>
      <c r="D38" s="24">
        <f>C38/100*247</f>
        <v>321.10000000000002</v>
      </c>
      <c r="E38" s="29"/>
      <c r="F38" s="29">
        <f>C38/100*17.5</f>
        <v>22.75</v>
      </c>
      <c r="G38" s="29"/>
      <c r="H38" s="29">
        <f>C38/100*1.6</f>
        <v>2.08</v>
      </c>
      <c r="I38" s="29">
        <f>C38/100*39.2</f>
        <v>50.960000000000008</v>
      </c>
      <c r="J38" s="71"/>
      <c r="K38" s="71"/>
      <c r="L38" s="379">
        <v>130</v>
      </c>
      <c r="M38" s="75">
        <v>50</v>
      </c>
      <c r="N38" s="28">
        <f t="shared" ref="N38:N39" si="2">L38*M38</f>
        <v>6500</v>
      </c>
      <c r="O38" s="153"/>
      <c r="Q38" s="3"/>
      <c r="R38" s="3"/>
      <c r="S38" s="4"/>
      <c r="T38" s="3"/>
    </row>
    <row r="39" spans="1:22" s="141" customFormat="1" ht="19.8" customHeight="1">
      <c r="A39" s="164">
        <v>5</v>
      </c>
      <c r="B39" s="149" t="s">
        <v>170</v>
      </c>
      <c r="C39" s="165">
        <f>L39/100*77</f>
        <v>2456.2999999999997</v>
      </c>
      <c r="D39" s="139">
        <f>C39/100*35</f>
        <v>859.70499999999993</v>
      </c>
      <c r="E39" s="169"/>
      <c r="F39" s="169">
        <f>C39/100*5.3</f>
        <v>130.18389999999999</v>
      </c>
      <c r="G39" s="169"/>
      <c r="H39" s="169"/>
      <c r="I39" s="169">
        <f>C39/100*3.4</f>
        <v>83.514199999999988</v>
      </c>
      <c r="J39" s="169">
        <f>C39/100*169</f>
        <v>4151.1469999999999</v>
      </c>
      <c r="K39" s="169">
        <f>C39/100*0.07</f>
        <v>1.7194100000000001</v>
      </c>
      <c r="L39" s="379">
        <v>3190</v>
      </c>
      <c r="M39" s="137">
        <v>35</v>
      </c>
      <c r="N39" s="135">
        <f t="shared" si="2"/>
        <v>111650</v>
      </c>
      <c r="O39" s="381"/>
      <c r="Q39" s="170"/>
      <c r="R39" s="170"/>
      <c r="S39" s="167"/>
    </row>
    <row r="40" spans="1:22" s="2" customFormat="1" ht="19.8" customHeight="1">
      <c r="A40" s="9">
        <v>6</v>
      </c>
      <c r="B40" s="148" t="s">
        <v>74</v>
      </c>
      <c r="C40" s="23">
        <f>L40/100*98</f>
        <v>2499</v>
      </c>
      <c r="D40" s="24">
        <f>C40/100*139</f>
        <v>3473.6099999999997</v>
      </c>
      <c r="E40" s="25">
        <f>C40/100*19</f>
        <v>474.80999999999995</v>
      </c>
      <c r="F40" s="25"/>
      <c r="G40" s="25">
        <f>C40/100*7</f>
        <v>174.92999999999998</v>
      </c>
      <c r="H40" s="25"/>
      <c r="I40" s="25"/>
      <c r="J40" s="25">
        <f>C40/100*7</f>
        <v>174.92999999999998</v>
      </c>
      <c r="K40" s="25">
        <f>C40/100*0.9</f>
        <v>22.491</v>
      </c>
      <c r="L40" s="137">
        <v>2550</v>
      </c>
      <c r="M40" s="75">
        <v>133</v>
      </c>
      <c r="N40" s="28">
        <f t="shared" ref="N40:N41" si="3">L40*M40</f>
        <v>339150</v>
      </c>
      <c r="O40" s="153"/>
      <c r="P40" s="141"/>
    </row>
    <row r="41" spans="1:22" s="2" customFormat="1" ht="19.8" customHeight="1">
      <c r="A41" s="9">
        <v>7</v>
      </c>
      <c r="B41" s="152" t="s">
        <v>145</v>
      </c>
      <c r="C41" s="23">
        <f>L41/100*100</f>
        <v>3610</v>
      </c>
      <c r="D41" s="24">
        <f>C41/100*487</f>
        <v>17580.7</v>
      </c>
      <c r="E41" s="29"/>
      <c r="F41" s="29">
        <f>C41/100*19.5</f>
        <v>703.95</v>
      </c>
      <c r="G41" s="29"/>
      <c r="H41" s="29">
        <f>C41/100*23.2</f>
        <v>837.52</v>
      </c>
      <c r="I41" s="171">
        <f>C41/100*46</f>
        <v>1660.6000000000001</v>
      </c>
      <c r="J41" s="119">
        <f>C41/100*680</f>
        <v>24548</v>
      </c>
      <c r="K41" s="25">
        <f>C41/100*0.55</f>
        <v>19.855000000000004</v>
      </c>
      <c r="L41" s="30">
        <v>3610</v>
      </c>
      <c r="M41" s="143">
        <v>260</v>
      </c>
      <c r="N41" s="28">
        <f t="shared" si="3"/>
        <v>938600</v>
      </c>
      <c r="O41" s="153"/>
      <c r="P41" s="3"/>
    </row>
    <row r="42" spans="1:22" s="2" customFormat="1" ht="19.8" customHeight="1">
      <c r="A42" s="103">
        <v>8</v>
      </c>
      <c r="B42" s="112" t="s">
        <v>123</v>
      </c>
      <c r="C42" s="104"/>
      <c r="D42" s="414"/>
      <c r="E42" s="106"/>
      <c r="F42" s="106"/>
      <c r="G42" s="106"/>
      <c r="H42" s="106"/>
      <c r="I42" s="106"/>
      <c r="J42" s="106"/>
      <c r="K42" s="106"/>
      <c r="L42" s="107"/>
      <c r="M42" s="107"/>
      <c r="N42" s="108">
        <v>14280</v>
      </c>
      <c r="O42" s="153"/>
    </row>
    <row r="43" spans="1:22" ht="21.6" customHeight="1">
      <c r="A43" s="191" t="s">
        <v>0</v>
      </c>
      <c r="B43" s="201" t="s">
        <v>19</v>
      </c>
      <c r="C43" s="204" t="s">
        <v>8</v>
      </c>
      <c r="D43" s="204" t="s">
        <v>9</v>
      </c>
      <c r="E43" s="194" t="s">
        <v>11</v>
      </c>
      <c r="F43" s="195"/>
      <c r="G43" s="194" t="s">
        <v>43</v>
      </c>
      <c r="H43" s="195"/>
      <c r="I43" s="198" t="s">
        <v>16</v>
      </c>
      <c r="J43" s="198" t="s">
        <v>41</v>
      </c>
      <c r="K43" s="198" t="s">
        <v>42</v>
      </c>
      <c r="L43" s="198" t="s">
        <v>17</v>
      </c>
      <c r="M43" s="198" t="s">
        <v>40</v>
      </c>
      <c r="N43" s="191" t="s">
        <v>18</v>
      </c>
      <c r="O43" s="378"/>
    </row>
    <row r="44" spans="1:22" ht="21.6" customHeight="1">
      <c r="A44" s="192"/>
      <c r="B44" s="202"/>
      <c r="C44" s="205"/>
      <c r="D44" s="205"/>
      <c r="E44" s="196"/>
      <c r="F44" s="197"/>
      <c r="G44" s="196"/>
      <c r="H44" s="197"/>
      <c r="I44" s="199"/>
      <c r="J44" s="199"/>
      <c r="K44" s="199"/>
      <c r="L44" s="199"/>
      <c r="M44" s="199"/>
      <c r="N44" s="192"/>
      <c r="O44" s="178"/>
    </row>
    <row r="45" spans="1:22" ht="21.6" customHeight="1">
      <c r="A45" s="192"/>
      <c r="B45" s="202"/>
      <c r="C45" s="205"/>
      <c r="D45" s="205"/>
      <c r="E45" s="198" t="s">
        <v>10</v>
      </c>
      <c r="F45" s="198" t="s">
        <v>12</v>
      </c>
      <c r="G45" s="198" t="s">
        <v>14</v>
      </c>
      <c r="H45" s="198" t="s">
        <v>15</v>
      </c>
      <c r="I45" s="199"/>
      <c r="J45" s="199"/>
      <c r="K45" s="199"/>
      <c r="L45" s="199"/>
      <c r="M45" s="199"/>
      <c r="N45" s="192"/>
      <c r="O45" s="178"/>
    </row>
    <row r="46" spans="1:22" ht="21.6" customHeight="1">
      <c r="A46" s="193"/>
      <c r="B46" s="203"/>
      <c r="C46" s="206"/>
      <c r="D46" s="206"/>
      <c r="E46" s="200"/>
      <c r="F46" s="200"/>
      <c r="G46" s="200"/>
      <c r="H46" s="200"/>
      <c r="I46" s="200"/>
      <c r="J46" s="200"/>
      <c r="K46" s="200"/>
      <c r="L46" s="200"/>
      <c r="M46" s="200"/>
      <c r="N46" s="193"/>
      <c r="O46" s="178"/>
    </row>
    <row r="47" spans="1:22" s="2" customFormat="1" ht="21.6" customHeight="1">
      <c r="A47" s="237" t="s">
        <v>106</v>
      </c>
      <c r="B47" s="237"/>
      <c r="C47" s="34"/>
      <c r="D47" s="35">
        <f>SUM(D34:D42)</f>
        <v>47266.914999999994</v>
      </c>
      <c r="E47" s="43"/>
      <c r="F47" s="43"/>
      <c r="G47" s="43"/>
      <c r="H47" s="43"/>
      <c r="I47" s="43"/>
      <c r="J47" s="43"/>
      <c r="K47" s="43"/>
      <c r="L47" s="44"/>
      <c r="M47" s="44"/>
      <c r="N47" s="264">
        <f>SUM(N34:N42)</f>
        <v>1653520</v>
      </c>
      <c r="O47" s="153"/>
    </row>
    <row r="48" spans="1:22" ht="21.6" customHeight="1">
      <c r="A48" s="237" t="s">
        <v>7</v>
      </c>
      <c r="B48" s="237"/>
      <c r="C48" s="45"/>
      <c r="D48" s="46">
        <f>D47/D10</f>
        <v>222.95714622641506</v>
      </c>
      <c r="E48" s="46"/>
      <c r="F48" s="46"/>
      <c r="G48" s="46"/>
      <c r="H48" s="46"/>
      <c r="I48" s="46"/>
      <c r="J48" s="46"/>
      <c r="K48" s="46"/>
      <c r="L48" s="47"/>
      <c r="M48" s="47"/>
      <c r="N48" s="265"/>
      <c r="O48" s="167"/>
      <c r="P48" s="2"/>
      <c r="Q48" s="2"/>
      <c r="R48" s="2"/>
      <c r="S48" s="2"/>
      <c r="T48" s="2"/>
      <c r="U48" s="2"/>
      <c r="V48" s="2"/>
    </row>
    <row r="49" spans="1:22" ht="21.6" customHeight="1">
      <c r="A49" s="211" t="s">
        <v>47</v>
      </c>
      <c r="B49" s="212"/>
      <c r="C49" s="413" t="s">
        <v>147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</row>
    <row r="50" spans="1:22" ht="21.6" customHeight="1">
      <c r="A50" s="213"/>
      <c r="B50" s="214"/>
      <c r="C50" s="19" t="s">
        <v>59</v>
      </c>
      <c r="D50" s="20">
        <f>D48*100/1320</f>
        <v>16.890692895940536</v>
      </c>
      <c r="E50" s="46"/>
      <c r="F50" s="46"/>
      <c r="G50" s="46"/>
      <c r="H50" s="46"/>
      <c r="I50" s="46"/>
      <c r="J50" s="48"/>
      <c r="K50" s="48"/>
      <c r="L50" s="47"/>
      <c r="M50" s="47"/>
      <c r="N50" s="179"/>
      <c r="O50" s="4"/>
      <c r="P50" s="2"/>
      <c r="Q50" s="2"/>
      <c r="R50" s="2"/>
      <c r="S50" s="2"/>
      <c r="T50" s="2"/>
      <c r="U50" s="2"/>
      <c r="V50" s="2"/>
    </row>
    <row r="51" spans="1:22" ht="21.6" customHeight="1">
      <c r="A51" s="243" t="s">
        <v>107</v>
      </c>
      <c r="B51" s="243"/>
      <c r="C51" s="241"/>
      <c r="D51" s="292">
        <f>D29+D47</f>
        <v>141117.58000000002</v>
      </c>
      <c r="E51" s="123">
        <f t="shared" ref="E51:K51" si="4">SUM(E16:E42)</f>
        <v>3069.9408000000003</v>
      </c>
      <c r="F51" s="123">
        <f t="shared" si="4"/>
        <v>3056.8454000000002</v>
      </c>
      <c r="G51" s="123">
        <f t="shared" si="4"/>
        <v>2832.1403999999998</v>
      </c>
      <c r="H51" s="123">
        <f t="shared" si="4"/>
        <v>1205.2224000000001</v>
      </c>
      <c r="I51" s="263">
        <f t="shared" si="4"/>
        <v>19453.152399999999</v>
      </c>
      <c r="J51" s="217">
        <f t="shared" si="4"/>
        <v>64858.032999999996</v>
      </c>
      <c r="K51" s="217">
        <f t="shared" si="4"/>
        <v>80.664090000000016</v>
      </c>
      <c r="L51" s="217"/>
      <c r="M51" s="217"/>
      <c r="N51" s="245">
        <f>N29+N47</f>
        <v>4663640</v>
      </c>
      <c r="P51" s="415"/>
      <c r="U51" s="12"/>
      <c r="V51" s="12"/>
    </row>
    <row r="52" spans="1:22" ht="21.6" customHeight="1">
      <c r="A52" s="243"/>
      <c r="B52" s="243"/>
      <c r="C52" s="241"/>
      <c r="D52" s="293"/>
      <c r="E52" s="242">
        <f>E51+F51</f>
        <v>6126.7862000000005</v>
      </c>
      <c r="F52" s="242"/>
      <c r="G52" s="242">
        <f>G51+H51</f>
        <v>4037.3627999999999</v>
      </c>
      <c r="H52" s="242"/>
      <c r="I52" s="263"/>
      <c r="J52" s="218"/>
      <c r="K52" s="218"/>
      <c r="L52" s="258"/>
      <c r="M52" s="258"/>
      <c r="N52" s="246"/>
      <c r="U52" s="12"/>
      <c r="V52" s="12"/>
    </row>
    <row r="53" spans="1:22" ht="21.6" customHeight="1">
      <c r="A53" s="268" t="s">
        <v>77</v>
      </c>
      <c r="B53" s="269"/>
      <c r="C53" s="270"/>
      <c r="D53" s="131">
        <f>D51/D10</f>
        <v>665.64896226415101</v>
      </c>
      <c r="E53" s="384">
        <f>E51/D10</f>
        <v>14.480852830188681</v>
      </c>
      <c r="F53" s="384">
        <f>F51/D10</f>
        <v>14.4190820754717</v>
      </c>
      <c r="G53" s="384">
        <f>G51/D10</f>
        <v>13.359152830188679</v>
      </c>
      <c r="H53" s="384">
        <f>H51/D10</f>
        <v>5.6850113207547173</v>
      </c>
      <c r="I53" s="291">
        <f>I51/D10</f>
        <v>91.760152830188673</v>
      </c>
      <c r="J53" s="209">
        <f>J51/D10</f>
        <v>305.93411792452827</v>
      </c>
      <c r="K53" s="209">
        <f>K51/D10</f>
        <v>0.3804909905660378</v>
      </c>
      <c r="L53" s="258"/>
      <c r="M53" s="258"/>
      <c r="N53" s="246"/>
      <c r="P53" s="373"/>
      <c r="Q53" s="375"/>
      <c r="R53" s="375"/>
      <c r="S53" s="375"/>
      <c r="T53" s="375"/>
      <c r="U53" s="386"/>
      <c r="V53" s="386"/>
    </row>
    <row r="54" spans="1:22" ht="21.6" customHeight="1">
      <c r="A54" s="271"/>
      <c r="B54" s="272"/>
      <c r="C54" s="273"/>
      <c r="D54" s="126"/>
      <c r="E54" s="416">
        <f>E53+F53</f>
        <v>28.89993490566038</v>
      </c>
      <c r="F54" s="416"/>
      <c r="G54" s="416">
        <f>G53+H53</f>
        <v>19.044164150943395</v>
      </c>
      <c r="H54" s="416"/>
      <c r="I54" s="291"/>
      <c r="J54" s="210"/>
      <c r="K54" s="210"/>
      <c r="L54" s="258"/>
      <c r="M54" s="258"/>
      <c r="N54" s="246"/>
      <c r="P54" s="389"/>
      <c r="Q54" s="375"/>
      <c r="R54" s="375"/>
      <c r="S54" s="375"/>
      <c r="T54" s="375"/>
      <c r="U54" s="375"/>
      <c r="V54" s="375"/>
    </row>
    <row r="55" spans="1:22" ht="21.6" customHeight="1">
      <c r="A55" s="219" t="s">
        <v>80</v>
      </c>
      <c r="B55" s="220"/>
      <c r="C55" s="221"/>
      <c r="D55" s="177" t="s">
        <v>28</v>
      </c>
      <c r="E55" s="417" t="s">
        <v>21</v>
      </c>
      <c r="F55" s="417"/>
      <c r="G55" s="417" t="s">
        <v>22</v>
      </c>
      <c r="H55" s="417"/>
      <c r="I55" s="418" t="s">
        <v>23</v>
      </c>
      <c r="J55" s="418">
        <v>600</v>
      </c>
      <c r="K55" s="418">
        <v>0.7</v>
      </c>
      <c r="L55" s="258"/>
      <c r="M55" s="258"/>
      <c r="N55" s="246"/>
      <c r="O55" s="391"/>
      <c r="P55" s="373"/>
      <c r="Q55" s="374"/>
      <c r="R55" s="374"/>
      <c r="S55" s="374"/>
      <c r="T55" s="374"/>
      <c r="U55" s="373"/>
      <c r="V55" s="373"/>
    </row>
    <row r="56" spans="1:22" ht="21.6" customHeight="1">
      <c r="A56" s="219" t="s">
        <v>78</v>
      </c>
      <c r="B56" s="220"/>
      <c r="C56" s="221"/>
      <c r="D56" s="49"/>
      <c r="E56" s="207">
        <f>E54*4.1</f>
        <v>118.48973311320755</v>
      </c>
      <c r="F56" s="208"/>
      <c r="G56" s="207">
        <f>G54*9</f>
        <v>171.39747735849056</v>
      </c>
      <c r="H56" s="208"/>
      <c r="I56" s="122">
        <f>I53*4.1</f>
        <v>376.21662660377353</v>
      </c>
      <c r="J56" s="254"/>
      <c r="K56" s="254"/>
      <c r="L56" s="258"/>
      <c r="M56" s="258"/>
      <c r="N56" s="246"/>
      <c r="O56" s="391"/>
      <c r="P56" s="392"/>
      <c r="Q56" s="373"/>
      <c r="R56" s="373"/>
      <c r="S56" s="373"/>
      <c r="T56" s="373"/>
      <c r="U56" s="373"/>
      <c r="V56" s="373"/>
    </row>
    <row r="57" spans="1:22" ht="21.6" customHeight="1">
      <c r="A57" s="222" t="s">
        <v>81</v>
      </c>
      <c r="B57" s="223"/>
      <c r="C57" s="219" t="s">
        <v>59</v>
      </c>
      <c r="D57" s="221"/>
      <c r="E57" s="419">
        <f>E56*100/D53</f>
        <v>17.800633641818404</v>
      </c>
      <c r="F57" s="420"/>
      <c r="G57" s="207">
        <f>G56*100/D53</f>
        <v>25.74892880107496</v>
      </c>
      <c r="H57" s="208"/>
      <c r="I57" s="85">
        <f>I56*100/D53</f>
        <v>56.518773096874241</v>
      </c>
      <c r="J57" s="255"/>
      <c r="K57" s="255"/>
      <c r="L57" s="258"/>
      <c r="M57" s="258"/>
      <c r="N57" s="246"/>
      <c r="O57" s="391"/>
    </row>
    <row r="58" spans="1:22" ht="21.6" customHeight="1">
      <c r="A58" s="224"/>
      <c r="B58" s="225"/>
      <c r="C58" s="219" t="s">
        <v>79</v>
      </c>
      <c r="D58" s="221"/>
      <c r="E58" s="219" t="s">
        <v>82</v>
      </c>
      <c r="F58" s="221"/>
      <c r="G58" s="219" t="s">
        <v>83</v>
      </c>
      <c r="H58" s="221"/>
      <c r="I58" s="183" t="s">
        <v>84</v>
      </c>
      <c r="J58" s="235"/>
      <c r="K58" s="235"/>
      <c r="L58" s="218"/>
      <c r="M58" s="218"/>
      <c r="N58" s="247"/>
      <c r="O58" s="391"/>
      <c r="P58" s="132"/>
    </row>
    <row r="59" spans="1:22" ht="21.6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91"/>
      <c r="Q59" s="132"/>
    </row>
    <row r="60" spans="1:22" ht="21" customHeight="1">
      <c r="A60" s="294" t="s">
        <v>114</v>
      </c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391"/>
    </row>
    <row r="61" spans="1:22" ht="21" customHeight="1">
      <c r="A61" s="117" t="s">
        <v>115</v>
      </c>
      <c r="B61" s="295" t="s">
        <v>116</v>
      </c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391"/>
    </row>
    <row r="62" spans="1:22" ht="21" customHeight="1">
      <c r="A62" s="118"/>
      <c r="B62" s="259" t="s">
        <v>195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391"/>
    </row>
    <row r="63" spans="1:22" ht="21" customHeight="1">
      <c r="A63" s="118"/>
      <c r="B63" s="259" t="s">
        <v>196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391"/>
    </row>
    <row r="64" spans="1:22" ht="21" customHeight="1">
      <c r="A64" s="118"/>
      <c r="B64" s="259" t="s">
        <v>165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391"/>
    </row>
    <row r="65" spans="1:15" ht="21" customHeight="1">
      <c r="A65" s="90"/>
      <c r="B65" s="260" t="s">
        <v>117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391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91"/>
    </row>
    <row r="67" spans="1:15" ht="21" customHeight="1">
      <c r="A67" s="261" t="s">
        <v>62</v>
      </c>
      <c r="B67" s="261"/>
      <c r="C67" s="261"/>
      <c r="D67" s="261"/>
      <c r="E67" s="393"/>
      <c r="F67" s="393"/>
      <c r="G67" s="393"/>
      <c r="H67" s="393"/>
      <c r="I67" s="393"/>
      <c r="J67" s="394" t="s">
        <v>33</v>
      </c>
      <c r="K67" s="394"/>
      <c r="L67" s="394"/>
      <c r="M67" s="394"/>
      <c r="N67" s="394"/>
      <c r="O67" s="391"/>
    </row>
    <row r="68" spans="1:15" ht="21" customHeight="1">
      <c r="A68" s="178"/>
      <c r="B68" s="178"/>
      <c r="C68" s="178"/>
      <c r="D68" s="393"/>
      <c r="E68" s="393"/>
      <c r="F68" s="393"/>
      <c r="G68" s="393"/>
      <c r="H68" s="395"/>
      <c r="I68" s="395"/>
      <c r="J68" s="395"/>
      <c r="K68" s="395"/>
      <c r="L68" s="395"/>
      <c r="M68" s="395"/>
      <c r="N68" s="395"/>
      <c r="O68" s="391"/>
    </row>
    <row r="69" spans="1:15" ht="21" customHeight="1">
      <c r="A69" s="178"/>
      <c r="B69" s="178"/>
      <c r="C69" s="178"/>
      <c r="D69" s="393"/>
      <c r="E69" s="393"/>
      <c r="F69" s="393"/>
      <c r="G69" s="393"/>
      <c r="H69" s="395"/>
      <c r="I69" s="395"/>
      <c r="J69" s="395"/>
      <c r="K69" s="395"/>
      <c r="L69" s="395"/>
      <c r="M69" s="395"/>
      <c r="N69" s="395"/>
      <c r="O69" s="391"/>
    </row>
    <row r="70" spans="1:15" ht="21" customHeight="1">
      <c r="A70" s="178"/>
      <c r="B70" s="178"/>
      <c r="C70" s="178"/>
      <c r="D70" s="393"/>
      <c r="E70" s="393"/>
      <c r="F70" s="393"/>
      <c r="G70" s="393"/>
      <c r="H70" s="395"/>
      <c r="I70" s="395"/>
      <c r="J70" s="396" t="s">
        <v>124</v>
      </c>
      <c r="K70" s="396"/>
      <c r="L70" s="396"/>
      <c r="M70" s="396"/>
      <c r="N70" s="396"/>
      <c r="O70" s="391"/>
    </row>
    <row r="71" spans="1:15" ht="21" customHeight="1">
      <c r="A71" s="262" t="s">
        <v>91</v>
      </c>
      <c r="B71" s="262"/>
      <c r="C71" s="262"/>
      <c r="D71" s="262"/>
      <c r="E71" s="393"/>
      <c r="F71" s="393"/>
      <c r="G71" s="393"/>
      <c r="H71" s="395"/>
      <c r="I71" s="395"/>
      <c r="J71" s="396"/>
      <c r="K71" s="396"/>
      <c r="L71" s="396"/>
      <c r="M71" s="396"/>
      <c r="N71" s="396"/>
      <c r="O71" s="391"/>
    </row>
    <row r="72" spans="1:15" ht="21.6" customHeight="1">
      <c r="A72" s="178"/>
      <c r="B72" s="178"/>
      <c r="C72" s="178"/>
      <c r="D72" s="393"/>
      <c r="E72" s="393"/>
      <c r="F72" s="393"/>
      <c r="G72" s="393"/>
      <c r="H72" s="395"/>
      <c r="I72" s="395"/>
      <c r="J72" s="395"/>
      <c r="K72" s="395"/>
      <c r="L72" s="395"/>
      <c r="M72" s="395"/>
      <c r="N72" s="395"/>
      <c r="O72" s="391"/>
    </row>
    <row r="73" spans="1:15" ht="21.6" customHeight="1">
      <c r="A73" s="178"/>
      <c r="B73" s="178"/>
      <c r="C73" s="178"/>
      <c r="D73" s="393"/>
      <c r="E73" s="393"/>
      <c r="F73" s="393"/>
      <c r="G73" s="393"/>
      <c r="H73" s="395"/>
      <c r="I73" s="395"/>
      <c r="J73" s="395"/>
      <c r="K73" s="395"/>
      <c r="L73" s="395"/>
      <c r="M73" s="395"/>
      <c r="N73" s="395"/>
      <c r="O73" s="391"/>
    </row>
    <row r="74" spans="1:15" ht="21.6" customHeight="1">
      <c r="A74" s="178"/>
      <c r="B74" s="178"/>
      <c r="C74" s="178"/>
      <c r="D74" s="393"/>
      <c r="E74" s="393"/>
      <c r="F74" s="393"/>
      <c r="G74" s="393"/>
      <c r="H74" s="395"/>
      <c r="I74" s="395"/>
      <c r="J74" s="396" t="s">
        <v>127</v>
      </c>
      <c r="K74" s="396"/>
      <c r="L74" s="396"/>
      <c r="M74" s="396"/>
      <c r="N74" s="396"/>
      <c r="O74" s="391"/>
    </row>
    <row r="75" spans="1:15" ht="21.6" customHeight="1">
      <c r="A75" s="178"/>
      <c r="B75" s="178"/>
      <c r="C75" s="178"/>
      <c r="D75" s="393"/>
      <c r="E75" s="393"/>
      <c r="F75" s="393"/>
      <c r="G75" s="393"/>
      <c r="H75" s="395"/>
      <c r="I75" s="395"/>
      <c r="J75" s="395"/>
      <c r="K75" s="395"/>
      <c r="L75" s="395"/>
      <c r="M75" s="395"/>
      <c r="N75" s="395"/>
      <c r="O75" s="391"/>
    </row>
    <row r="76" spans="1:15" ht="21.6" customHeight="1">
      <c r="A76" s="178"/>
      <c r="B76" s="178"/>
      <c r="C76" s="178"/>
      <c r="D76" s="393"/>
      <c r="E76" s="393"/>
      <c r="F76" s="393"/>
      <c r="G76" s="393"/>
      <c r="H76" s="395"/>
      <c r="I76" s="395"/>
      <c r="J76" s="395"/>
      <c r="K76" s="395"/>
      <c r="L76" s="395"/>
      <c r="M76" s="395"/>
      <c r="N76" s="395"/>
      <c r="O76" s="391"/>
    </row>
    <row r="77" spans="1:15" ht="21.6" customHeight="1">
      <c r="A77" s="178"/>
      <c r="B77" s="178"/>
      <c r="C77" s="178"/>
      <c r="D77" s="393"/>
      <c r="E77" s="393"/>
      <c r="F77" s="393"/>
      <c r="G77" s="393"/>
      <c r="H77" s="395"/>
      <c r="I77" s="395"/>
      <c r="J77" s="395"/>
      <c r="K77" s="395"/>
      <c r="L77" s="395"/>
      <c r="M77" s="395"/>
      <c r="N77" s="395"/>
      <c r="O77" s="391"/>
    </row>
    <row r="78" spans="1:15" ht="21.6" customHeight="1">
      <c r="A78" s="178"/>
      <c r="B78" s="178"/>
      <c r="C78" s="178"/>
      <c r="D78" s="393"/>
      <c r="E78" s="393"/>
      <c r="F78" s="393"/>
      <c r="G78" s="393"/>
      <c r="H78" s="395"/>
      <c r="I78" s="395"/>
      <c r="J78" s="395"/>
      <c r="K78" s="395"/>
      <c r="L78" s="395"/>
      <c r="M78" s="395"/>
      <c r="N78" s="395"/>
      <c r="O78" s="391"/>
    </row>
    <row r="79" spans="1:15" ht="24" customHeight="1">
      <c r="A79" s="178"/>
      <c r="B79" s="178"/>
      <c r="C79" s="178"/>
      <c r="D79" s="393"/>
      <c r="E79" s="393"/>
      <c r="F79" s="393"/>
      <c r="G79" s="393"/>
      <c r="H79" s="395"/>
      <c r="I79" s="395"/>
      <c r="J79" s="395"/>
      <c r="K79" s="395"/>
      <c r="L79" s="395"/>
      <c r="M79" s="395"/>
      <c r="N79" s="395"/>
      <c r="O79" s="391"/>
    </row>
    <row r="80" spans="1:15" ht="26.4" customHeight="1">
      <c r="A80" s="178"/>
      <c r="B80" s="178"/>
      <c r="C80" s="178"/>
      <c r="D80" s="393"/>
      <c r="E80" s="393"/>
      <c r="F80" s="393"/>
      <c r="G80" s="393"/>
      <c r="H80" s="395"/>
      <c r="I80" s="395"/>
      <c r="J80" s="395"/>
      <c r="K80" s="395"/>
      <c r="L80" s="395"/>
      <c r="M80" s="395"/>
      <c r="N80" s="395"/>
      <c r="O80" s="391"/>
    </row>
    <row r="81" spans="1:20" ht="17.399999999999999" customHeight="1">
      <c r="A81" s="11" t="s">
        <v>61</v>
      </c>
      <c r="B81" s="8"/>
      <c r="C81" s="8"/>
      <c r="D81" s="8"/>
      <c r="E81" s="8"/>
      <c r="F81" s="189" t="s">
        <v>32</v>
      </c>
      <c r="G81" s="189"/>
      <c r="H81" s="189"/>
      <c r="I81" s="189"/>
      <c r="J81" s="189"/>
      <c r="K81" s="189"/>
      <c r="L81" s="189"/>
      <c r="M81" s="189"/>
      <c r="N81" s="189"/>
      <c r="O81" s="376"/>
      <c r="P81" s="376"/>
      <c r="T81" s="2"/>
    </row>
    <row r="82" spans="1:20" ht="8.4" customHeight="1">
      <c r="A82" s="8"/>
      <c r="B82" s="8"/>
      <c r="C82" s="8"/>
      <c r="D82" s="8"/>
      <c r="E82" s="8"/>
      <c r="F82" s="182"/>
      <c r="G82" s="182"/>
      <c r="H82" s="182"/>
      <c r="I82" s="182"/>
      <c r="J82" s="182"/>
      <c r="K82" s="182"/>
      <c r="L82" s="182"/>
      <c r="M82" s="182"/>
      <c r="N82" s="182"/>
      <c r="O82" s="376"/>
      <c r="P82" s="376"/>
      <c r="T82" s="2"/>
    </row>
    <row r="83" spans="1:20" ht="17.399999999999999" customHeight="1">
      <c r="A83" s="8" t="s">
        <v>194</v>
      </c>
      <c r="B83" s="8"/>
      <c r="C83" s="8"/>
      <c r="D83" s="8"/>
      <c r="E83" s="8"/>
      <c r="F83" s="182"/>
      <c r="G83" s="182"/>
      <c r="H83" s="182"/>
      <c r="I83" s="182"/>
      <c r="J83" s="182"/>
      <c r="K83" s="182"/>
      <c r="L83" s="182"/>
      <c r="M83" s="182"/>
      <c r="N83" s="182"/>
      <c r="O83" s="376"/>
      <c r="P83" s="376"/>
      <c r="T83" s="2"/>
    </row>
    <row r="84" spans="1:20" s="2" customFormat="1" ht="7.8" customHeight="1">
      <c r="A84" s="296"/>
      <c r="B84" s="296"/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377"/>
    </row>
    <row r="85" spans="1:20" s="2" customFormat="1" ht="16.2" customHeight="1">
      <c r="A85" s="190" t="s">
        <v>88</v>
      </c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377"/>
    </row>
    <row r="86" spans="1:20" s="2" customFormat="1" ht="16.2" customHeight="1">
      <c r="A86" s="236" t="s">
        <v>97</v>
      </c>
      <c r="B86" s="236"/>
      <c r="C86" s="236"/>
      <c r="D86" s="236"/>
      <c r="E86" s="236" t="s">
        <v>89</v>
      </c>
      <c r="F86" s="236"/>
      <c r="G86" s="236"/>
      <c r="H86" s="236"/>
      <c r="I86" s="236"/>
      <c r="J86" s="236"/>
      <c r="K86" s="236"/>
      <c r="L86" s="236"/>
      <c r="M86" s="236"/>
      <c r="N86" s="236"/>
      <c r="O86" s="377"/>
    </row>
    <row r="87" spans="1:20" s="2" customFormat="1" ht="16.2" customHeight="1">
      <c r="A87" s="236"/>
      <c r="B87" s="236"/>
      <c r="C87" s="236"/>
      <c r="D87" s="236"/>
      <c r="E87" s="236" t="s">
        <v>100</v>
      </c>
      <c r="F87" s="236"/>
      <c r="G87" s="236"/>
      <c r="H87" s="236"/>
      <c r="I87" s="236"/>
      <c r="J87" s="236" t="s">
        <v>101</v>
      </c>
      <c r="K87" s="236"/>
      <c r="L87" s="236"/>
      <c r="M87" s="236"/>
      <c r="N87" s="236"/>
      <c r="O87" s="377"/>
    </row>
    <row r="88" spans="1:20" s="2" customFormat="1" ht="17.399999999999999" customHeight="1">
      <c r="A88" s="266" t="s">
        <v>90</v>
      </c>
      <c r="B88" s="266"/>
      <c r="C88" s="266"/>
      <c r="D88" s="266"/>
      <c r="E88" s="267" t="s">
        <v>144</v>
      </c>
      <c r="F88" s="267"/>
      <c r="G88" s="267"/>
      <c r="H88" s="267"/>
      <c r="I88" s="267"/>
      <c r="J88" s="266" t="s">
        <v>90</v>
      </c>
      <c r="K88" s="266"/>
      <c r="L88" s="266"/>
      <c r="M88" s="266"/>
      <c r="N88" s="266"/>
      <c r="O88" s="377"/>
    </row>
    <row r="89" spans="1:20" s="2" customFormat="1" ht="17.399999999999999" customHeight="1">
      <c r="A89" s="188" t="s">
        <v>148</v>
      </c>
      <c r="B89" s="188"/>
      <c r="C89" s="188"/>
      <c r="D89" s="188"/>
      <c r="E89" s="267"/>
      <c r="F89" s="267"/>
      <c r="G89" s="267"/>
      <c r="H89" s="267"/>
      <c r="I89" s="267"/>
      <c r="J89" s="188" t="s">
        <v>112</v>
      </c>
      <c r="K89" s="188"/>
      <c r="L89" s="188"/>
      <c r="M89" s="188"/>
      <c r="N89" s="188"/>
      <c r="O89" s="377"/>
    </row>
    <row r="90" spans="1:20" s="2" customFormat="1" ht="17.399999999999999" customHeight="1">
      <c r="A90" s="185" t="s">
        <v>149</v>
      </c>
      <c r="B90" s="186"/>
      <c r="C90" s="186"/>
      <c r="D90" s="187"/>
      <c r="E90" s="267"/>
      <c r="F90" s="267"/>
      <c r="G90" s="267"/>
      <c r="H90" s="267"/>
      <c r="I90" s="267"/>
      <c r="J90" s="188" t="s">
        <v>187</v>
      </c>
      <c r="K90" s="188"/>
      <c r="L90" s="188"/>
      <c r="M90" s="188"/>
      <c r="N90" s="188"/>
      <c r="O90" s="377"/>
    </row>
    <row r="91" spans="1:20" s="2" customFormat="1" ht="17.399999999999999" customHeight="1">
      <c r="A91" s="275" t="s">
        <v>184</v>
      </c>
      <c r="B91" s="275"/>
      <c r="C91" s="275"/>
      <c r="D91" s="275"/>
      <c r="E91" s="267"/>
      <c r="F91" s="267"/>
      <c r="G91" s="267"/>
      <c r="H91" s="267"/>
      <c r="I91" s="267"/>
      <c r="J91" s="275"/>
      <c r="K91" s="275"/>
      <c r="L91" s="275"/>
      <c r="M91" s="275"/>
      <c r="N91" s="275"/>
      <c r="O91" s="377"/>
    </row>
    <row r="92" spans="1:20" s="2" customFormat="1" ht="17.399999999999999" customHeight="1">
      <c r="A92" s="276" t="s">
        <v>122</v>
      </c>
      <c r="B92" s="277"/>
      <c r="C92" s="278"/>
      <c r="D92" s="125">
        <v>55</v>
      </c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377"/>
    </row>
    <row r="93" spans="1:20" ht="17.399999999999999" customHeight="1">
      <c r="A93" s="191" t="s">
        <v>0</v>
      </c>
      <c r="B93" s="201" t="s">
        <v>19</v>
      </c>
      <c r="C93" s="204" t="s">
        <v>8</v>
      </c>
      <c r="D93" s="204" t="s">
        <v>9</v>
      </c>
      <c r="E93" s="194" t="s">
        <v>11</v>
      </c>
      <c r="F93" s="195"/>
      <c r="G93" s="194" t="s">
        <v>43</v>
      </c>
      <c r="H93" s="195"/>
      <c r="I93" s="198" t="s">
        <v>16</v>
      </c>
      <c r="J93" s="198" t="s">
        <v>41</v>
      </c>
      <c r="K93" s="198" t="s">
        <v>42</v>
      </c>
      <c r="L93" s="198" t="s">
        <v>17</v>
      </c>
      <c r="M93" s="198" t="s">
        <v>40</v>
      </c>
      <c r="N93" s="191" t="s">
        <v>18</v>
      </c>
      <c r="O93" s="378"/>
    </row>
    <row r="94" spans="1:20" ht="17.399999999999999" customHeight="1">
      <c r="A94" s="192"/>
      <c r="B94" s="202"/>
      <c r="C94" s="205"/>
      <c r="D94" s="205"/>
      <c r="E94" s="196"/>
      <c r="F94" s="197"/>
      <c r="G94" s="196"/>
      <c r="H94" s="197"/>
      <c r="I94" s="199"/>
      <c r="J94" s="199"/>
      <c r="K94" s="199"/>
      <c r="L94" s="199"/>
      <c r="M94" s="199"/>
      <c r="N94" s="192"/>
      <c r="O94" s="178"/>
    </row>
    <row r="95" spans="1:20" ht="17.399999999999999" customHeight="1">
      <c r="A95" s="192"/>
      <c r="B95" s="202"/>
      <c r="C95" s="205"/>
      <c r="D95" s="205"/>
      <c r="E95" s="198" t="s">
        <v>10</v>
      </c>
      <c r="F95" s="198" t="s">
        <v>12</v>
      </c>
      <c r="G95" s="198" t="s">
        <v>14</v>
      </c>
      <c r="H95" s="198" t="s">
        <v>15</v>
      </c>
      <c r="I95" s="199"/>
      <c r="J95" s="199"/>
      <c r="K95" s="199"/>
      <c r="L95" s="199"/>
      <c r="M95" s="199"/>
      <c r="N95" s="192"/>
      <c r="O95" s="178"/>
    </row>
    <row r="96" spans="1:20" ht="17.399999999999999" customHeight="1">
      <c r="A96" s="193"/>
      <c r="B96" s="203"/>
      <c r="C96" s="206"/>
      <c r="D96" s="206"/>
      <c r="E96" s="200"/>
      <c r="F96" s="200"/>
      <c r="G96" s="200"/>
      <c r="H96" s="200"/>
      <c r="I96" s="200"/>
      <c r="J96" s="200"/>
      <c r="K96" s="200"/>
      <c r="L96" s="200"/>
      <c r="M96" s="200"/>
      <c r="N96" s="193"/>
      <c r="O96" s="178"/>
    </row>
    <row r="97" spans="1:22" ht="16.2" customHeight="1">
      <c r="A97" s="238" t="s">
        <v>39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40"/>
      <c r="O97" s="178"/>
    </row>
    <row r="98" spans="1:22" s="2" customFormat="1" ht="16.2" customHeight="1">
      <c r="A98" s="15">
        <v>1</v>
      </c>
      <c r="B98" s="16" t="s">
        <v>2</v>
      </c>
      <c r="C98" s="51">
        <f>L98/100*100</f>
        <v>80</v>
      </c>
      <c r="D98" s="52">
        <f>C98/100*60</f>
        <v>48</v>
      </c>
      <c r="E98" s="53">
        <f>C98/100*15</f>
        <v>12</v>
      </c>
      <c r="F98" s="53"/>
      <c r="G98" s="53"/>
      <c r="H98" s="53"/>
      <c r="I98" s="53"/>
      <c r="J98" s="25">
        <f>C98/100*387</f>
        <v>309.60000000000002</v>
      </c>
      <c r="K98" s="25">
        <f>C98/100*0.09</f>
        <v>7.1999999999999995E-2</v>
      </c>
      <c r="L98" s="410">
        <v>80</v>
      </c>
      <c r="M98" s="77">
        <v>20</v>
      </c>
      <c r="N98" s="28">
        <f t="shared" ref="N98:N109" si="5">L98*M98</f>
        <v>1600</v>
      </c>
      <c r="O98" s="153"/>
    </row>
    <row r="99" spans="1:22" s="2" customFormat="1" ht="16.2" customHeight="1">
      <c r="A99" s="9">
        <v>2</v>
      </c>
      <c r="B99" s="10" t="s">
        <v>139</v>
      </c>
      <c r="C99" s="23">
        <f>L99/100*100</f>
        <v>480</v>
      </c>
      <c r="D99" s="24">
        <f>C99/100*899</f>
        <v>4315.2</v>
      </c>
      <c r="E99" s="25"/>
      <c r="F99" s="25"/>
      <c r="G99" s="25">
        <f>C99/100*100</f>
        <v>480</v>
      </c>
      <c r="H99" s="25"/>
      <c r="I99" s="25"/>
      <c r="J99" s="25"/>
      <c r="K99" s="25"/>
      <c r="L99" s="137">
        <v>480</v>
      </c>
      <c r="M99" s="24">
        <v>69</v>
      </c>
      <c r="N99" s="28">
        <f t="shared" si="5"/>
        <v>33120</v>
      </c>
      <c r="O99" s="383"/>
    </row>
    <row r="100" spans="1:22" s="2" customFormat="1" ht="16.2" customHeight="1">
      <c r="A100" s="9">
        <v>3</v>
      </c>
      <c r="B100" s="5" t="s">
        <v>1</v>
      </c>
      <c r="C100" s="23">
        <f>L100/100*100</f>
        <v>2365</v>
      </c>
      <c r="D100" s="24">
        <f>C100/100*344</f>
        <v>8135.5999999999995</v>
      </c>
      <c r="E100" s="25"/>
      <c r="F100" s="25">
        <f>C100/100*7.9</f>
        <v>186.83500000000001</v>
      </c>
      <c r="G100" s="25"/>
      <c r="H100" s="25">
        <f>C100/100*1</f>
        <v>23.65</v>
      </c>
      <c r="I100" s="119">
        <f>C100/100*72.2</f>
        <v>1707.53</v>
      </c>
      <c r="J100" s="25">
        <f>C100/100*30</f>
        <v>709.5</v>
      </c>
      <c r="K100" s="25">
        <f>C100/100*0.1</f>
        <v>2.3649999999999998</v>
      </c>
      <c r="L100" s="137">
        <v>2365</v>
      </c>
      <c r="M100" s="77">
        <v>18</v>
      </c>
      <c r="N100" s="28">
        <f t="shared" si="5"/>
        <v>42570</v>
      </c>
      <c r="O100" s="153"/>
    </row>
    <row r="101" spans="1:22" s="2" customFormat="1" ht="19.8" customHeight="1">
      <c r="A101" s="9">
        <v>4</v>
      </c>
      <c r="B101" s="10" t="s">
        <v>168</v>
      </c>
      <c r="C101" s="23">
        <f>L101/100*100</f>
        <v>40</v>
      </c>
      <c r="D101" s="24">
        <f>C101/100*390</f>
        <v>156</v>
      </c>
      <c r="E101" s="25"/>
      <c r="F101" s="25"/>
      <c r="G101" s="25"/>
      <c r="H101" s="25"/>
      <c r="I101" s="25">
        <f>C101/100*97.4</f>
        <v>38.960000000000008</v>
      </c>
      <c r="J101" s="27">
        <f>C101/100*178</f>
        <v>71.2</v>
      </c>
      <c r="K101" s="27">
        <f>C101/100*0.05</f>
        <v>2.0000000000000004E-2</v>
      </c>
      <c r="L101" s="137">
        <v>40</v>
      </c>
      <c r="M101" s="75">
        <v>25</v>
      </c>
      <c r="N101" s="28">
        <f t="shared" si="5"/>
        <v>1000</v>
      </c>
      <c r="O101" s="380"/>
    </row>
    <row r="102" spans="1:22" s="2" customFormat="1" ht="16.2" customHeight="1">
      <c r="A102" s="9">
        <v>5</v>
      </c>
      <c r="B102" s="10" t="s">
        <v>151</v>
      </c>
      <c r="C102" s="23">
        <f>L102/100*60</f>
        <v>1980</v>
      </c>
      <c r="D102" s="24">
        <f>C102/100*97</f>
        <v>1920.6000000000001</v>
      </c>
      <c r="E102" s="119">
        <f>C102/100*18.2</f>
        <v>360.36</v>
      </c>
      <c r="F102" s="25"/>
      <c r="G102" s="25">
        <f>C102/100*2.7</f>
        <v>53.460000000000008</v>
      </c>
      <c r="H102" s="25"/>
      <c r="I102" s="25"/>
      <c r="J102" s="81">
        <f>C102/100*90</f>
        <v>1782</v>
      </c>
      <c r="K102" s="27">
        <f>C102/100*0.04</f>
        <v>0.79200000000000004</v>
      </c>
      <c r="L102" s="137">
        <v>3300</v>
      </c>
      <c r="M102" s="75">
        <v>95</v>
      </c>
      <c r="N102" s="28">
        <f t="shared" si="5"/>
        <v>313500</v>
      </c>
      <c r="O102" s="153"/>
    </row>
    <row r="103" spans="1:22" s="2" customFormat="1" ht="16.2" customHeight="1">
      <c r="A103" s="9">
        <v>6</v>
      </c>
      <c r="B103" s="5" t="s">
        <v>69</v>
      </c>
      <c r="C103" s="23">
        <f>L103/100*48</f>
        <v>398.40000000000003</v>
      </c>
      <c r="D103" s="24">
        <f>C103/100*199</f>
        <v>792.81600000000003</v>
      </c>
      <c r="E103" s="25">
        <f>C103/100*20.3</f>
        <v>80.875200000000007</v>
      </c>
      <c r="F103" s="25"/>
      <c r="G103" s="25">
        <f>C103/100*13.1</f>
        <v>52.190400000000004</v>
      </c>
      <c r="H103" s="25"/>
      <c r="I103" s="25"/>
      <c r="J103" s="27">
        <f>C103/100*12</f>
        <v>47.808000000000007</v>
      </c>
      <c r="K103" s="27">
        <f>C103/100*0.15</f>
        <v>0.59760000000000002</v>
      </c>
      <c r="L103" s="137">
        <v>830</v>
      </c>
      <c r="M103" s="26">
        <v>84</v>
      </c>
      <c r="N103" s="28">
        <f t="shared" si="5"/>
        <v>69720</v>
      </c>
      <c r="O103" s="153"/>
      <c r="Q103" s="3"/>
      <c r="R103" s="3"/>
      <c r="S103" s="4"/>
    </row>
    <row r="104" spans="1:22" s="2" customFormat="1" ht="16.2" customHeight="1">
      <c r="A104" s="9">
        <v>7</v>
      </c>
      <c r="B104" s="5" t="s">
        <v>3</v>
      </c>
      <c r="C104" s="23">
        <f>L104/100*98</f>
        <v>539</v>
      </c>
      <c r="D104" s="24">
        <f>C104/100*118</f>
        <v>636.02</v>
      </c>
      <c r="E104" s="25">
        <f>C104/100*21</f>
        <v>113.19</v>
      </c>
      <c r="F104" s="25"/>
      <c r="G104" s="25">
        <f>C104/100*3.8</f>
        <v>20.481999999999999</v>
      </c>
      <c r="H104" s="25"/>
      <c r="I104" s="25"/>
      <c r="J104" s="27">
        <f>C104/100*12</f>
        <v>64.679999999999993</v>
      </c>
      <c r="K104" s="27">
        <f>C104/100*0.1</f>
        <v>0.53900000000000003</v>
      </c>
      <c r="L104" s="137">
        <v>550</v>
      </c>
      <c r="M104" s="26">
        <v>270</v>
      </c>
      <c r="N104" s="124">
        <f t="shared" si="5"/>
        <v>148500</v>
      </c>
      <c r="O104" s="153"/>
      <c r="Q104" s="3"/>
      <c r="R104" s="3"/>
      <c r="S104" s="4"/>
    </row>
    <row r="105" spans="1:22" s="2" customFormat="1" ht="16.2" customHeight="1">
      <c r="A105" s="9">
        <v>8</v>
      </c>
      <c r="B105" s="5" t="s">
        <v>20</v>
      </c>
      <c r="C105" s="23">
        <f>L105/100*95</f>
        <v>522.5</v>
      </c>
      <c r="D105" s="24">
        <f>C105/100*20</f>
        <v>104.5</v>
      </c>
      <c r="E105" s="25"/>
      <c r="F105" s="25">
        <f>C105/100*0.6</f>
        <v>3.1349999999999998</v>
      </c>
      <c r="G105" s="25"/>
      <c r="H105" s="25">
        <f>C105/100*0.2</f>
        <v>1.0449999999999999</v>
      </c>
      <c r="I105" s="25">
        <f>C105/100*4</f>
        <v>20.9</v>
      </c>
      <c r="J105" s="27">
        <f>C105/100*12</f>
        <v>62.699999999999996</v>
      </c>
      <c r="K105" s="24">
        <f>C105/100*0.04</f>
        <v>0.20899999999999999</v>
      </c>
      <c r="L105" s="137">
        <v>550</v>
      </c>
      <c r="M105" s="77">
        <v>22</v>
      </c>
      <c r="N105" s="28">
        <f t="shared" si="5"/>
        <v>12100</v>
      </c>
      <c r="O105" s="380"/>
      <c r="Q105" s="3"/>
      <c r="R105" s="3"/>
      <c r="S105" s="4"/>
    </row>
    <row r="106" spans="1:22" s="2" customFormat="1" ht="16.2" customHeight="1">
      <c r="A106" s="9">
        <v>9</v>
      </c>
      <c r="B106" s="5" t="s">
        <v>72</v>
      </c>
      <c r="C106" s="23">
        <f>L106/100*75</f>
        <v>82.5</v>
      </c>
      <c r="D106" s="24">
        <f>C106/100*17</f>
        <v>14.024999999999999</v>
      </c>
      <c r="E106" s="29"/>
      <c r="F106" s="29">
        <f>C106/100*1.9</f>
        <v>1.5674999999999999</v>
      </c>
      <c r="G106" s="29"/>
      <c r="H106" s="29"/>
      <c r="I106" s="29">
        <f>C106/100*2.2</f>
        <v>1.8149999999999999</v>
      </c>
      <c r="J106" s="27">
        <f>C106/100*150</f>
        <v>123.75</v>
      </c>
      <c r="K106" s="24">
        <f>C106/100*0.04</f>
        <v>3.3000000000000002E-2</v>
      </c>
      <c r="L106" s="379">
        <v>110</v>
      </c>
      <c r="M106" s="77">
        <v>30</v>
      </c>
      <c r="N106" s="28">
        <f t="shared" si="5"/>
        <v>3300</v>
      </c>
      <c r="O106" s="380"/>
      <c r="Q106" s="3"/>
      <c r="R106" s="3"/>
      <c r="S106" s="4"/>
    </row>
    <row r="107" spans="1:22" s="2" customFormat="1" ht="16.8" customHeight="1">
      <c r="A107" s="9">
        <v>10</v>
      </c>
      <c r="B107" s="149" t="s">
        <v>185</v>
      </c>
      <c r="C107" s="23">
        <f>L107/100*86</f>
        <v>1324.4</v>
      </c>
      <c r="D107" s="24">
        <f>C107/100*42</f>
        <v>556.24800000000005</v>
      </c>
      <c r="E107" s="25"/>
      <c r="F107" s="25">
        <f>C107/100*3.2</f>
        <v>42.380800000000008</v>
      </c>
      <c r="G107" s="25"/>
      <c r="H107" s="25">
        <f>C107/100*0.4</f>
        <v>5.297600000000001</v>
      </c>
      <c r="I107" s="25">
        <f>C107/100*6.3</f>
        <v>83.437200000000004</v>
      </c>
      <c r="J107" s="119">
        <f>C107/100*288</f>
        <v>3814.2720000000004</v>
      </c>
      <c r="K107" s="25">
        <f>C107/100*0.08</f>
        <v>1.0595200000000002</v>
      </c>
      <c r="L107" s="137">
        <v>1540</v>
      </c>
      <c r="M107" s="75">
        <v>15</v>
      </c>
      <c r="N107" s="28">
        <f t="shared" si="5"/>
        <v>23100</v>
      </c>
      <c r="O107" s="153"/>
    </row>
    <row r="108" spans="1:22" s="2" customFormat="1" ht="16.2" customHeight="1">
      <c r="A108" s="9">
        <v>11</v>
      </c>
      <c r="B108" s="5" t="s">
        <v>150</v>
      </c>
      <c r="C108" s="23">
        <f>L108/100*81</f>
        <v>891</v>
      </c>
      <c r="D108" s="24">
        <f>C108/100*17</f>
        <v>151.47</v>
      </c>
      <c r="E108" s="29"/>
      <c r="F108" s="29">
        <f>C108/100*0.9</f>
        <v>8.0190000000000001</v>
      </c>
      <c r="G108" s="29"/>
      <c r="H108" s="29">
        <f>C108/100*0.2</f>
        <v>1.782</v>
      </c>
      <c r="I108" s="29">
        <f>C108/100*2.8</f>
        <v>24.948</v>
      </c>
      <c r="J108" s="25">
        <f>C108/100*28</f>
        <v>249.48000000000002</v>
      </c>
      <c r="K108" s="27">
        <f>C108/100*0.04</f>
        <v>0.35639999999999999</v>
      </c>
      <c r="L108" s="379">
        <v>1100</v>
      </c>
      <c r="M108" s="75">
        <v>20</v>
      </c>
      <c r="N108" s="28">
        <f t="shared" si="5"/>
        <v>22000</v>
      </c>
      <c r="O108" s="153"/>
      <c r="P108" s="3"/>
    </row>
    <row r="109" spans="1:22" s="2" customFormat="1" ht="16.2" customHeight="1">
      <c r="A109" s="9">
        <v>12</v>
      </c>
      <c r="B109" s="5" t="s">
        <v>134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9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13</v>
      </c>
      <c r="B110" s="6" t="s">
        <v>123</v>
      </c>
      <c r="C110" s="23"/>
      <c r="D110" s="24"/>
      <c r="E110" s="29"/>
      <c r="F110" s="29"/>
      <c r="G110" s="29"/>
      <c r="H110" s="29"/>
      <c r="I110" s="29"/>
      <c r="J110" s="29"/>
      <c r="K110" s="29"/>
      <c r="L110" s="30"/>
      <c r="M110" s="77"/>
      <c r="N110" s="28">
        <v>3800</v>
      </c>
      <c r="O110" s="153"/>
    </row>
    <row r="111" spans="1:22" s="2" customFormat="1" ht="16.2" customHeight="1">
      <c r="A111" s="237" t="s">
        <v>108</v>
      </c>
      <c r="B111" s="237"/>
      <c r="C111" s="34"/>
      <c r="D111" s="35">
        <f>SUM(D98:D110)</f>
        <v>16929.279000000002</v>
      </c>
      <c r="E111" s="43"/>
      <c r="F111" s="43"/>
      <c r="G111" s="43"/>
      <c r="H111" s="43"/>
      <c r="I111" s="43"/>
      <c r="J111" s="43"/>
      <c r="K111" s="43"/>
      <c r="L111" s="44"/>
      <c r="M111" s="44"/>
      <c r="N111" s="279">
        <f>SUM(N98:N110)</f>
        <v>676310</v>
      </c>
      <c r="O111" s="153"/>
    </row>
    <row r="112" spans="1:22" ht="16.2" customHeight="1">
      <c r="A112" s="237" t="s">
        <v>37</v>
      </c>
      <c r="B112" s="237"/>
      <c r="C112" s="45"/>
      <c r="D112" s="46">
        <f>D111/D92</f>
        <v>307.80507272727277</v>
      </c>
      <c r="E112" s="46"/>
      <c r="F112" s="46"/>
      <c r="G112" s="46"/>
      <c r="H112" s="46"/>
      <c r="I112" s="46"/>
      <c r="J112" s="46"/>
      <c r="K112" s="46"/>
      <c r="L112" s="47"/>
      <c r="M112" s="47"/>
      <c r="N112" s="281"/>
      <c r="O112" s="4"/>
      <c r="P112" s="2"/>
      <c r="Q112" s="2"/>
      <c r="R112" s="2"/>
      <c r="S112" s="2"/>
      <c r="T112" s="2"/>
      <c r="U112" s="2"/>
      <c r="V112" s="2"/>
    </row>
    <row r="113" spans="1:22" ht="16.2" customHeight="1">
      <c r="A113" s="211" t="s">
        <v>44</v>
      </c>
      <c r="B113" s="212"/>
      <c r="C113" s="382" t="s">
        <v>147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9"/>
      <c r="O113" s="4"/>
      <c r="P113" s="2"/>
      <c r="Q113" s="2"/>
      <c r="R113" s="2"/>
      <c r="S113" s="2"/>
      <c r="T113" s="2"/>
      <c r="U113" s="2"/>
      <c r="V113" s="2"/>
    </row>
    <row r="114" spans="1:22" ht="16.2" customHeight="1">
      <c r="A114" s="213"/>
      <c r="B114" s="214"/>
      <c r="C114" s="19" t="s">
        <v>59</v>
      </c>
      <c r="D114" s="78">
        <f>D112*100/930</f>
        <v>33.097319648093844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9"/>
      <c r="O114" s="4"/>
      <c r="P114" s="2"/>
      <c r="Q114" s="2"/>
      <c r="R114" s="2"/>
      <c r="S114" s="2"/>
      <c r="T114" s="2"/>
      <c r="U114" s="2"/>
      <c r="V114" s="2"/>
    </row>
    <row r="115" spans="1:22" s="2" customFormat="1" ht="16.2" customHeight="1">
      <c r="A115" s="274" t="s">
        <v>38</v>
      </c>
      <c r="B115" s="274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2" s="2" customFormat="1" ht="16.2" customHeight="1">
      <c r="A116" s="15">
        <v>1</v>
      </c>
      <c r="B116" s="16" t="s">
        <v>2</v>
      </c>
      <c r="C116" s="51">
        <f>L116/100*100</f>
        <v>70</v>
      </c>
      <c r="D116" s="52">
        <f>C116/100*60</f>
        <v>42</v>
      </c>
      <c r="E116" s="53">
        <f>C116/100*15</f>
        <v>10.5</v>
      </c>
      <c r="F116" s="53"/>
      <c r="G116" s="53"/>
      <c r="H116" s="53"/>
      <c r="I116" s="53"/>
      <c r="J116" s="25">
        <f>C116/100*387</f>
        <v>270.89999999999998</v>
      </c>
      <c r="K116" s="25">
        <f>C116/100*0.09</f>
        <v>6.3E-2</v>
      </c>
      <c r="L116" s="410">
        <v>70</v>
      </c>
      <c r="M116" s="77">
        <v>20</v>
      </c>
      <c r="N116" s="28">
        <f>L116*M116</f>
        <v>1400</v>
      </c>
      <c r="O116" s="153"/>
    </row>
    <row r="117" spans="1:22" s="2" customFormat="1" ht="16.2" customHeight="1">
      <c r="A117" s="9">
        <v>2</v>
      </c>
      <c r="B117" s="148" t="s">
        <v>142</v>
      </c>
      <c r="C117" s="23">
        <f>L117/100*100</f>
        <v>80</v>
      </c>
      <c r="D117" s="120">
        <f>C117/100*900</f>
        <v>720</v>
      </c>
      <c r="E117" s="25"/>
      <c r="F117" s="25"/>
      <c r="G117" s="119"/>
      <c r="H117" s="25">
        <f>C117/100*100</f>
        <v>80</v>
      </c>
      <c r="I117" s="25"/>
      <c r="J117" s="25"/>
      <c r="K117" s="25"/>
      <c r="L117" s="137">
        <v>80</v>
      </c>
      <c r="M117" s="75">
        <v>65</v>
      </c>
      <c r="N117" s="28">
        <f t="shared" ref="N117" si="6">L117*M117</f>
        <v>5200</v>
      </c>
      <c r="O117" s="383"/>
    </row>
    <row r="118" spans="1:22" s="2" customFormat="1" ht="16.2" customHeight="1">
      <c r="A118" s="9">
        <v>3</v>
      </c>
      <c r="B118" s="5" t="s">
        <v>1</v>
      </c>
      <c r="C118" s="23">
        <f>L118/100*100</f>
        <v>2310</v>
      </c>
      <c r="D118" s="24">
        <f>C118/100*344</f>
        <v>7946.4000000000005</v>
      </c>
      <c r="E118" s="25"/>
      <c r="F118" s="25">
        <f>C118/100*7.9</f>
        <v>182.49</v>
      </c>
      <c r="G118" s="25"/>
      <c r="H118" s="25">
        <f>C118/100*1</f>
        <v>23.1</v>
      </c>
      <c r="I118" s="119">
        <f>C118/100*72.2</f>
        <v>1667.8200000000002</v>
      </c>
      <c r="J118" s="25">
        <f>C118/100*30</f>
        <v>693</v>
      </c>
      <c r="K118" s="25">
        <f>C118/100*0.1</f>
        <v>2.31</v>
      </c>
      <c r="L118" s="137">
        <v>2310</v>
      </c>
      <c r="M118" s="77">
        <v>18</v>
      </c>
      <c r="N118" s="28">
        <f t="shared" ref="N118:N124" si="7">L118*M118</f>
        <v>41580</v>
      </c>
      <c r="O118" s="153"/>
    </row>
    <row r="119" spans="1:22" s="2" customFormat="1" ht="16.2" customHeight="1">
      <c r="A119" s="9">
        <v>4</v>
      </c>
      <c r="B119" s="5" t="s">
        <v>134</v>
      </c>
      <c r="C119" s="23">
        <f>L119/100*100</f>
        <v>40</v>
      </c>
      <c r="D119" s="24">
        <f>C119/100*247</f>
        <v>98.800000000000011</v>
      </c>
      <c r="E119" s="29"/>
      <c r="F119" s="29">
        <f>C119/100*17.5</f>
        <v>7</v>
      </c>
      <c r="G119" s="29"/>
      <c r="H119" s="29">
        <f>C119/100*1.6</f>
        <v>0.64000000000000012</v>
      </c>
      <c r="I119" s="29">
        <f>C119/100*39.2</f>
        <v>15.680000000000001</v>
      </c>
      <c r="J119" s="71"/>
      <c r="K119" s="71"/>
      <c r="L119" s="379">
        <v>40</v>
      </c>
      <c r="M119" s="75">
        <v>50</v>
      </c>
      <c r="N119" s="28">
        <f t="shared" si="7"/>
        <v>2000</v>
      </c>
      <c r="O119" s="153"/>
      <c r="Q119" s="3"/>
      <c r="R119" s="3"/>
      <c r="S119" s="4"/>
      <c r="T119" s="3"/>
    </row>
    <row r="120" spans="1:22" s="2" customFormat="1" ht="16.2" customHeight="1">
      <c r="A120" s="9">
        <v>5</v>
      </c>
      <c r="B120" s="10" t="s">
        <v>5</v>
      </c>
      <c r="C120" s="23">
        <f>L120/100*90</f>
        <v>72</v>
      </c>
      <c r="D120" s="24">
        <f>C120/100*281</f>
        <v>202.32</v>
      </c>
      <c r="E120" s="25"/>
      <c r="F120" s="25">
        <f>C120/100*9.5</f>
        <v>6.84</v>
      </c>
      <c r="G120" s="25"/>
      <c r="H120" s="25">
        <f>C120/100*0.2</f>
        <v>0.14399999999999999</v>
      </c>
      <c r="I120" s="25">
        <f>D120/100*58.5</f>
        <v>118.35720000000001</v>
      </c>
      <c r="J120" s="27">
        <f>C120/100*321</f>
        <v>231.12</v>
      </c>
      <c r="K120" s="27">
        <f>C120/100*0.14</f>
        <v>0.1008</v>
      </c>
      <c r="L120" s="137">
        <v>80</v>
      </c>
      <c r="M120" s="77">
        <v>120</v>
      </c>
      <c r="N120" s="28">
        <f t="shared" si="7"/>
        <v>9600</v>
      </c>
      <c r="O120" s="380"/>
    </row>
    <row r="121" spans="1:22" s="2" customFormat="1" ht="16.2" customHeight="1">
      <c r="A121" s="9">
        <v>6</v>
      </c>
      <c r="B121" s="10" t="s">
        <v>27</v>
      </c>
      <c r="C121" s="23">
        <f>L121/100*90</f>
        <v>45</v>
      </c>
      <c r="D121" s="24">
        <f>C121/100*253</f>
        <v>113.85000000000001</v>
      </c>
      <c r="E121" s="25"/>
      <c r="F121" s="25">
        <f>C121/100*32.4</f>
        <v>14.58</v>
      </c>
      <c r="G121" s="25"/>
      <c r="H121" s="25">
        <f>C121/100*3.6</f>
        <v>1.62</v>
      </c>
      <c r="I121" s="25">
        <f>C121/100*21.1</f>
        <v>9.495000000000001</v>
      </c>
      <c r="J121" s="27">
        <f>C121/100*165</f>
        <v>74.25</v>
      </c>
      <c r="K121" s="27">
        <f>C121/100*0.14</f>
        <v>6.3000000000000014E-2</v>
      </c>
      <c r="L121" s="137">
        <v>50</v>
      </c>
      <c r="M121" s="77">
        <v>275</v>
      </c>
      <c r="N121" s="28">
        <f t="shared" si="7"/>
        <v>13750</v>
      </c>
      <c r="O121" s="380"/>
    </row>
    <row r="122" spans="1:22" s="2" customFormat="1" ht="16.2" customHeight="1">
      <c r="A122" s="9">
        <v>7</v>
      </c>
      <c r="B122" s="10" t="s">
        <v>63</v>
      </c>
      <c r="C122" s="23">
        <f>L122/100*86</f>
        <v>1659.8</v>
      </c>
      <c r="D122" s="24">
        <f>C122/100*166</f>
        <v>2755.268</v>
      </c>
      <c r="E122" s="25">
        <f>C122/100*14.8</f>
        <v>245.65039999999999</v>
      </c>
      <c r="F122" s="25"/>
      <c r="G122" s="25">
        <f>C122/100*11.6</f>
        <v>192.53679999999997</v>
      </c>
      <c r="H122" s="25"/>
      <c r="I122" s="25">
        <f>C122/100*0.5</f>
        <v>8.2989999999999995</v>
      </c>
      <c r="J122" s="25">
        <f>C122/100*55</f>
        <v>912.89</v>
      </c>
      <c r="K122" s="25">
        <f>C122/100*0.16</f>
        <v>2.6556799999999998</v>
      </c>
      <c r="L122" s="137">
        <v>1930</v>
      </c>
      <c r="M122" s="77">
        <v>57</v>
      </c>
      <c r="N122" s="28">
        <f t="shared" si="7"/>
        <v>110010</v>
      </c>
      <c r="O122" s="153"/>
      <c r="Q122" s="3"/>
      <c r="R122" s="3"/>
      <c r="S122" s="4"/>
      <c r="T122" s="3"/>
    </row>
    <row r="123" spans="1:22" s="2" customFormat="1" ht="16.2" customHeight="1">
      <c r="A123" s="9">
        <v>8</v>
      </c>
      <c r="B123" s="148" t="s">
        <v>74</v>
      </c>
      <c r="C123" s="23">
        <f>L123/100*98</f>
        <v>490</v>
      </c>
      <c r="D123" s="24">
        <f>C123/100*139</f>
        <v>681.1</v>
      </c>
      <c r="E123" s="25">
        <f>C123/100*19</f>
        <v>93.100000000000009</v>
      </c>
      <c r="F123" s="25"/>
      <c r="G123" s="25">
        <f>C123/100*7</f>
        <v>34.300000000000004</v>
      </c>
      <c r="H123" s="25"/>
      <c r="I123" s="25"/>
      <c r="J123" s="25">
        <f>C123/100*7</f>
        <v>34.300000000000004</v>
      </c>
      <c r="K123" s="25">
        <f>C123/100*0.9</f>
        <v>4.41</v>
      </c>
      <c r="L123" s="137">
        <v>500</v>
      </c>
      <c r="M123" s="75">
        <v>133</v>
      </c>
      <c r="N123" s="28">
        <f t="shared" si="7"/>
        <v>66500</v>
      </c>
      <c r="O123" s="153"/>
    </row>
    <row r="124" spans="1:22" s="141" customFormat="1" ht="16.8" customHeight="1">
      <c r="A124" s="164">
        <v>9</v>
      </c>
      <c r="B124" s="149" t="s">
        <v>170</v>
      </c>
      <c r="C124" s="165">
        <f>L124/100*77</f>
        <v>847</v>
      </c>
      <c r="D124" s="139">
        <f>C124/100*35</f>
        <v>296.45000000000005</v>
      </c>
      <c r="E124" s="169"/>
      <c r="F124" s="169">
        <f>C124/100*5.3</f>
        <v>44.891000000000005</v>
      </c>
      <c r="G124" s="169"/>
      <c r="H124" s="169"/>
      <c r="I124" s="169">
        <f>C124/100*3.4</f>
        <v>28.798000000000002</v>
      </c>
      <c r="J124" s="169">
        <f>C124/100*169</f>
        <v>1431.43</v>
      </c>
      <c r="K124" s="169">
        <f>C124/100*0.07</f>
        <v>0.59290000000000009</v>
      </c>
      <c r="L124" s="379">
        <v>1100</v>
      </c>
      <c r="M124" s="137">
        <v>35</v>
      </c>
      <c r="N124" s="135">
        <f t="shared" si="7"/>
        <v>38500</v>
      </c>
      <c r="O124" s="381"/>
      <c r="Q124" s="170"/>
      <c r="R124" s="170"/>
      <c r="S124" s="167"/>
    </row>
    <row r="125" spans="1:22" s="2" customFormat="1" ht="16.2" customHeight="1">
      <c r="A125" s="9">
        <v>10</v>
      </c>
      <c r="B125" s="6" t="s">
        <v>123</v>
      </c>
      <c r="C125" s="23"/>
      <c r="D125" s="24"/>
      <c r="E125" s="25"/>
      <c r="F125" s="25"/>
      <c r="G125" s="25"/>
      <c r="H125" s="25"/>
      <c r="I125" s="25"/>
      <c r="J125" s="25"/>
      <c r="K125" s="25"/>
      <c r="L125" s="26"/>
      <c r="M125" s="26"/>
      <c r="N125" s="28">
        <v>3800</v>
      </c>
      <c r="O125" s="153"/>
    </row>
    <row r="126" spans="1:22" s="2" customFormat="1" ht="16.2" customHeight="1">
      <c r="A126" s="21" t="s">
        <v>109</v>
      </c>
      <c r="B126" s="22"/>
      <c r="C126" s="34"/>
      <c r="D126" s="35">
        <f>SUM(D116:D125)</f>
        <v>12856.188000000002</v>
      </c>
      <c r="E126" s="43"/>
      <c r="F126" s="43"/>
      <c r="G126" s="43"/>
      <c r="H126" s="43"/>
      <c r="I126" s="43"/>
      <c r="J126" s="43"/>
      <c r="K126" s="43"/>
      <c r="L126" s="44"/>
      <c r="M126" s="44"/>
      <c r="N126" s="279">
        <f>SUM(N116:N125)</f>
        <v>292340</v>
      </c>
      <c r="O126" s="153"/>
    </row>
    <row r="127" spans="1:22" ht="16.2" customHeight="1">
      <c r="A127" s="21" t="s">
        <v>36</v>
      </c>
      <c r="B127" s="22"/>
      <c r="C127" s="61"/>
      <c r="D127" s="48">
        <f>D126/D92</f>
        <v>233.74887272727275</v>
      </c>
      <c r="E127" s="48"/>
      <c r="F127" s="48"/>
      <c r="G127" s="48"/>
      <c r="H127" s="48"/>
      <c r="I127" s="48"/>
      <c r="J127" s="48"/>
      <c r="K127" s="48"/>
      <c r="L127" s="62"/>
      <c r="M127" s="47"/>
      <c r="N127" s="280"/>
      <c r="O127" s="4"/>
      <c r="P127" s="421"/>
      <c r="Q127" s="2"/>
      <c r="R127" s="2"/>
      <c r="S127" s="2"/>
      <c r="T127" s="2"/>
      <c r="U127" s="2"/>
      <c r="V127" s="2"/>
    </row>
    <row r="128" spans="1:22" ht="16.2" customHeight="1">
      <c r="A128" s="211" t="s">
        <v>49</v>
      </c>
      <c r="B128" s="212"/>
      <c r="C128" s="382" t="s">
        <v>147</v>
      </c>
      <c r="D128" s="20" t="s">
        <v>46</v>
      </c>
      <c r="E128" s="46"/>
      <c r="F128" s="46"/>
      <c r="G128" s="46"/>
      <c r="H128" s="46"/>
      <c r="I128" s="46"/>
      <c r="J128" s="48"/>
      <c r="K128" s="48"/>
      <c r="L128" s="47"/>
      <c r="M128" s="47"/>
      <c r="N128" s="179"/>
      <c r="O128" s="4"/>
      <c r="P128" s="2"/>
      <c r="Q128" s="2"/>
      <c r="R128" s="2"/>
      <c r="S128" s="2"/>
      <c r="T128" s="2"/>
      <c r="U128" s="2"/>
      <c r="V128" s="2"/>
    </row>
    <row r="129" spans="1:22" ht="16.2" customHeight="1">
      <c r="A129" s="213"/>
      <c r="B129" s="214"/>
      <c r="C129" s="19" t="s">
        <v>60</v>
      </c>
      <c r="D129" s="78">
        <f>D127*100/930</f>
        <v>25.134287390029328</v>
      </c>
      <c r="E129" s="46"/>
      <c r="F129" s="46"/>
      <c r="G129" s="46"/>
      <c r="H129" s="46"/>
      <c r="I129" s="46"/>
      <c r="J129" s="48"/>
      <c r="K129" s="48"/>
      <c r="L129" s="47"/>
      <c r="M129" s="47"/>
      <c r="N129" s="179"/>
      <c r="O129" s="4"/>
      <c r="P129" s="2"/>
      <c r="Q129" s="2"/>
      <c r="R129" s="2"/>
      <c r="S129" s="2"/>
      <c r="T129" s="2"/>
      <c r="U129" s="2"/>
      <c r="V129" s="2"/>
    </row>
    <row r="130" spans="1:22" ht="16.2" customHeight="1">
      <c r="A130" s="274" t="s">
        <v>35</v>
      </c>
      <c r="B130" s="274"/>
      <c r="C130" s="63"/>
      <c r="D130" s="64"/>
      <c r="E130" s="64"/>
      <c r="F130" s="64"/>
      <c r="G130" s="64"/>
      <c r="H130" s="64"/>
      <c r="I130" s="64"/>
      <c r="J130" s="64"/>
      <c r="K130" s="64"/>
      <c r="L130" s="65"/>
      <c r="M130" s="65"/>
      <c r="N130" s="66"/>
      <c r="O130" s="4"/>
      <c r="P130" s="2"/>
      <c r="Q130" s="2"/>
      <c r="R130" s="2"/>
      <c r="S130" s="2"/>
      <c r="T130" s="2"/>
      <c r="U130" s="2"/>
      <c r="V130" s="2"/>
    </row>
    <row r="131" spans="1:22" s="2" customFormat="1" ht="16.2" customHeight="1">
      <c r="A131" s="109">
        <v>1</v>
      </c>
      <c r="B131" s="154" t="s">
        <v>145</v>
      </c>
      <c r="C131" s="34">
        <f>L131/100*100</f>
        <v>930.00000000000011</v>
      </c>
      <c r="D131" s="110">
        <f>C131/100*487</f>
        <v>4529.1000000000004</v>
      </c>
      <c r="E131" s="36"/>
      <c r="F131" s="36">
        <f>C131/100*19.5</f>
        <v>181.35000000000002</v>
      </c>
      <c r="G131" s="36"/>
      <c r="H131" s="36">
        <f>C131/100*23.2</f>
        <v>215.76000000000002</v>
      </c>
      <c r="I131" s="36">
        <f>C131/100*46</f>
        <v>427.8</v>
      </c>
      <c r="J131" s="129">
        <f>C131/100*680</f>
        <v>6324.0000000000009</v>
      </c>
      <c r="K131" s="36">
        <f>C131/100*0.55</f>
        <v>5.1150000000000011</v>
      </c>
      <c r="L131" s="37">
        <v>930</v>
      </c>
      <c r="M131" s="155">
        <v>260</v>
      </c>
      <c r="N131" s="111">
        <f t="shared" ref="N131" si="8">L131*M131</f>
        <v>241800</v>
      </c>
      <c r="O131" s="153"/>
      <c r="P131" s="3"/>
    </row>
    <row r="132" spans="1:22" ht="17.399999999999999" customHeight="1">
      <c r="A132" s="191" t="s">
        <v>0</v>
      </c>
      <c r="B132" s="201" t="s">
        <v>19</v>
      </c>
      <c r="C132" s="204" t="s">
        <v>8</v>
      </c>
      <c r="D132" s="204" t="s">
        <v>9</v>
      </c>
      <c r="E132" s="194" t="s">
        <v>11</v>
      </c>
      <c r="F132" s="195"/>
      <c r="G132" s="194" t="s">
        <v>43</v>
      </c>
      <c r="H132" s="195"/>
      <c r="I132" s="198" t="s">
        <v>16</v>
      </c>
      <c r="J132" s="198" t="s">
        <v>41</v>
      </c>
      <c r="K132" s="198" t="s">
        <v>42</v>
      </c>
      <c r="L132" s="198" t="s">
        <v>17</v>
      </c>
      <c r="M132" s="198" t="s">
        <v>40</v>
      </c>
      <c r="N132" s="191" t="s">
        <v>18</v>
      </c>
      <c r="O132" s="378"/>
    </row>
    <row r="133" spans="1:22" ht="17.399999999999999" customHeight="1">
      <c r="A133" s="192"/>
      <c r="B133" s="202"/>
      <c r="C133" s="205"/>
      <c r="D133" s="205"/>
      <c r="E133" s="196"/>
      <c r="F133" s="197"/>
      <c r="G133" s="196"/>
      <c r="H133" s="197"/>
      <c r="I133" s="199"/>
      <c r="J133" s="199"/>
      <c r="K133" s="199"/>
      <c r="L133" s="199"/>
      <c r="M133" s="199"/>
      <c r="N133" s="192"/>
      <c r="O133" s="178"/>
    </row>
    <row r="134" spans="1:22" ht="17.399999999999999" customHeight="1">
      <c r="A134" s="192"/>
      <c r="B134" s="202"/>
      <c r="C134" s="205"/>
      <c r="D134" s="205"/>
      <c r="E134" s="198" t="s">
        <v>10</v>
      </c>
      <c r="F134" s="198" t="s">
        <v>12</v>
      </c>
      <c r="G134" s="198" t="s">
        <v>14</v>
      </c>
      <c r="H134" s="198" t="s">
        <v>15</v>
      </c>
      <c r="I134" s="199"/>
      <c r="J134" s="199"/>
      <c r="K134" s="199"/>
      <c r="L134" s="199"/>
      <c r="M134" s="199"/>
      <c r="N134" s="192"/>
      <c r="O134" s="178"/>
    </row>
    <row r="135" spans="1:22" ht="17.399999999999999" customHeight="1">
      <c r="A135" s="193"/>
      <c r="B135" s="203"/>
      <c r="C135" s="206"/>
      <c r="D135" s="206"/>
      <c r="E135" s="200"/>
      <c r="F135" s="200"/>
      <c r="G135" s="200"/>
      <c r="H135" s="200"/>
      <c r="I135" s="200"/>
      <c r="J135" s="200"/>
      <c r="K135" s="200"/>
      <c r="L135" s="200"/>
      <c r="M135" s="200"/>
      <c r="N135" s="193"/>
      <c r="O135" s="178"/>
    </row>
    <row r="136" spans="1:22" s="2" customFormat="1" ht="21.6" customHeight="1">
      <c r="A136" s="237" t="s">
        <v>110</v>
      </c>
      <c r="B136" s="237"/>
      <c r="C136" s="34"/>
      <c r="D136" s="35">
        <f>SUM(D131:D131)</f>
        <v>4529.1000000000004</v>
      </c>
      <c r="E136" s="43"/>
      <c r="F136" s="43"/>
      <c r="G136" s="43"/>
      <c r="H136" s="43"/>
      <c r="I136" s="43"/>
      <c r="J136" s="43"/>
      <c r="K136" s="43"/>
      <c r="L136" s="44"/>
      <c r="M136" s="67"/>
      <c r="N136" s="279">
        <f>SUM(N131:N131)</f>
        <v>241800</v>
      </c>
      <c r="O136" s="153"/>
    </row>
    <row r="137" spans="1:22" ht="21.6" customHeight="1">
      <c r="A137" s="237" t="s">
        <v>7</v>
      </c>
      <c r="B137" s="237"/>
      <c r="C137" s="45"/>
      <c r="D137" s="46">
        <f>D136/D92</f>
        <v>82.347272727272738</v>
      </c>
      <c r="E137" s="46"/>
      <c r="F137" s="46"/>
      <c r="G137" s="46"/>
      <c r="H137" s="46"/>
      <c r="I137" s="46"/>
      <c r="J137" s="46"/>
      <c r="K137" s="46"/>
      <c r="L137" s="47"/>
      <c r="M137" s="68"/>
      <c r="N137" s="281"/>
      <c r="O137" s="4"/>
      <c r="P137" s="2"/>
      <c r="Q137" s="2"/>
      <c r="R137" s="2"/>
      <c r="S137" s="2"/>
      <c r="T137" s="2"/>
      <c r="U137" s="2"/>
      <c r="V137" s="2"/>
    </row>
    <row r="138" spans="1:22" ht="21.6" customHeight="1">
      <c r="A138" s="211" t="s">
        <v>47</v>
      </c>
      <c r="B138" s="212"/>
      <c r="C138" s="382" t="s">
        <v>147</v>
      </c>
      <c r="D138" s="20" t="s">
        <v>50</v>
      </c>
      <c r="E138" s="46"/>
      <c r="F138" s="46"/>
      <c r="G138" s="46"/>
      <c r="H138" s="46"/>
      <c r="I138" s="46"/>
      <c r="J138" s="48"/>
      <c r="K138" s="48"/>
      <c r="L138" s="47"/>
      <c r="M138" s="47"/>
      <c r="N138" s="179"/>
      <c r="O138" s="4"/>
      <c r="P138" s="2"/>
      <c r="Q138" s="2"/>
      <c r="R138" s="2"/>
      <c r="S138" s="2"/>
      <c r="T138" s="2"/>
      <c r="U138" s="2"/>
      <c r="V138" s="2"/>
    </row>
    <row r="139" spans="1:22" ht="21.6" customHeight="1">
      <c r="A139" s="213"/>
      <c r="B139" s="214"/>
      <c r="C139" s="19" t="s">
        <v>59</v>
      </c>
      <c r="D139" s="20">
        <f>D137*100/930</f>
        <v>8.8545454545454554</v>
      </c>
      <c r="E139" s="46"/>
      <c r="F139" s="46"/>
      <c r="G139" s="46"/>
      <c r="H139" s="46"/>
      <c r="I139" s="46"/>
      <c r="J139" s="48"/>
      <c r="K139" s="48"/>
      <c r="L139" s="47"/>
      <c r="M139" s="47"/>
      <c r="N139" s="179"/>
      <c r="O139" s="4"/>
      <c r="P139" s="2"/>
      <c r="Q139" s="2"/>
      <c r="R139" s="2"/>
      <c r="S139" s="2"/>
      <c r="T139" s="2"/>
      <c r="U139" s="2"/>
      <c r="V139" s="2"/>
    </row>
    <row r="140" spans="1:22" ht="21.6" customHeight="1">
      <c r="A140" s="228" t="s">
        <v>111</v>
      </c>
      <c r="B140" s="229"/>
      <c r="C140" s="232"/>
      <c r="D140" s="234">
        <f>D111+D126+D136</f>
        <v>34314.567000000003</v>
      </c>
      <c r="E140" s="7">
        <f t="shared" ref="E140:K140" si="9">SUM(E98:E131)</f>
        <v>915.67560000000003</v>
      </c>
      <c r="F140" s="7">
        <f t="shared" si="9"/>
        <v>686.0883</v>
      </c>
      <c r="G140" s="7">
        <f t="shared" si="9"/>
        <v>832.96919999999989</v>
      </c>
      <c r="H140" s="7">
        <f t="shared" si="9"/>
        <v>353.67860000000002</v>
      </c>
      <c r="I140" s="217">
        <f t="shared" si="9"/>
        <v>4169.5194000000001</v>
      </c>
      <c r="J140" s="217">
        <f t="shared" si="9"/>
        <v>17206.88</v>
      </c>
      <c r="K140" s="215">
        <f t="shared" si="9"/>
        <v>21.353899999999999</v>
      </c>
      <c r="L140" s="244"/>
      <c r="M140" s="244"/>
      <c r="N140" s="245">
        <f>N111+N126+N136</f>
        <v>1210450</v>
      </c>
      <c r="U140" s="12"/>
      <c r="V140" s="12"/>
    </row>
    <row r="141" spans="1:22" ht="21.6" customHeight="1">
      <c r="A141" s="230"/>
      <c r="B141" s="231"/>
      <c r="C141" s="233"/>
      <c r="D141" s="235"/>
      <c r="E141" s="226">
        <f>E140+F140</f>
        <v>1601.7638999999999</v>
      </c>
      <c r="F141" s="227"/>
      <c r="G141" s="226">
        <f>G140+H140</f>
        <v>1186.6478</v>
      </c>
      <c r="H141" s="227"/>
      <c r="I141" s="218"/>
      <c r="J141" s="218"/>
      <c r="K141" s="216"/>
      <c r="L141" s="244"/>
      <c r="M141" s="244"/>
      <c r="N141" s="246"/>
      <c r="U141" s="12"/>
      <c r="V141" s="12"/>
    </row>
    <row r="142" spans="1:22" ht="21.6" customHeight="1">
      <c r="A142" s="248" t="s">
        <v>77</v>
      </c>
      <c r="B142" s="249"/>
      <c r="C142" s="250"/>
      <c r="D142" s="133">
        <f>D140/D92</f>
        <v>623.90121818181819</v>
      </c>
      <c r="E142" s="404">
        <f>E140/D92</f>
        <v>16.648647272727274</v>
      </c>
      <c r="F142" s="403">
        <f>F140/D92</f>
        <v>12.474332727272728</v>
      </c>
      <c r="G142" s="404">
        <f>G140/D92</f>
        <v>15.144894545454543</v>
      </c>
      <c r="H142" s="403">
        <f>H140/D92</f>
        <v>6.4305200000000005</v>
      </c>
      <c r="I142" s="209">
        <f>I140/D92</f>
        <v>75.809443636363639</v>
      </c>
      <c r="J142" s="302">
        <f>J140/D92</f>
        <v>312.85236363636363</v>
      </c>
      <c r="K142" s="302">
        <f>K140/D92</f>
        <v>0.38825272727272725</v>
      </c>
      <c r="L142" s="244"/>
      <c r="M142" s="244"/>
      <c r="N142" s="246"/>
      <c r="P142" s="373"/>
      <c r="Q142" s="422"/>
      <c r="R142" s="422"/>
      <c r="S142" s="422"/>
      <c r="T142" s="422"/>
      <c r="U142" s="423"/>
      <c r="V142" s="373"/>
    </row>
    <row r="143" spans="1:22" ht="21.6" customHeight="1">
      <c r="A143" s="251"/>
      <c r="B143" s="252"/>
      <c r="C143" s="253"/>
      <c r="D143" s="127"/>
      <c r="E143" s="387">
        <f>E142+F142</f>
        <v>29.122980000000002</v>
      </c>
      <c r="F143" s="388"/>
      <c r="G143" s="387">
        <f>G142+H142</f>
        <v>21.575414545454542</v>
      </c>
      <c r="H143" s="388"/>
      <c r="I143" s="210"/>
      <c r="J143" s="303"/>
      <c r="K143" s="303"/>
      <c r="L143" s="244"/>
      <c r="M143" s="244"/>
      <c r="N143" s="246"/>
      <c r="P143" s="389"/>
      <c r="Q143" s="422"/>
      <c r="R143" s="422"/>
      <c r="S143" s="424"/>
      <c r="T143" s="424"/>
      <c r="U143" s="374"/>
      <c r="V143" s="373"/>
    </row>
    <row r="144" spans="1:22" ht="21.6" customHeight="1">
      <c r="A144" s="219" t="s">
        <v>80</v>
      </c>
      <c r="B144" s="220"/>
      <c r="C144" s="221"/>
      <c r="D144" s="183" t="s">
        <v>29</v>
      </c>
      <c r="E144" s="363" t="s">
        <v>24</v>
      </c>
      <c r="F144" s="363"/>
      <c r="G144" s="363" t="s">
        <v>25</v>
      </c>
      <c r="H144" s="363"/>
      <c r="I144" s="400" t="s">
        <v>26</v>
      </c>
      <c r="J144" s="181">
        <v>500</v>
      </c>
      <c r="K144" s="181">
        <v>0.5</v>
      </c>
      <c r="L144" s="244"/>
      <c r="M144" s="244"/>
      <c r="N144" s="246"/>
      <c r="O144" s="391"/>
      <c r="P144" s="373"/>
      <c r="Q144" s="374"/>
      <c r="R144" s="374"/>
      <c r="S144" s="374"/>
      <c r="T144" s="374"/>
      <c r="U144" s="373"/>
      <c r="V144" s="373"/>
    </row>
    <row r="145" spans="1:22" ht="21.6" customHeight="1">
      <c r="A145" s="219" t="s">
        <v>78</v>
      </c>
      <c r="B145" s="220"/>
      <c r="C145" s="221"/>
      <c r="D145" s="49"/>
      <c r="E145" s="207">
        <f>E143*4.1</f>
        <v>119.404218</v>
      </c>
      <c r="F145" s="208"/>
      <c r="G145" s="207">
        <f>G143*9</f>
        <v>194.17873090909089</v>
      </c>
      <c r="H145" s="208"/>
      <c r="I145" s="85">
        <f>I142*4.1</f>
        <v>310.81871890909088</v>
      </c>
      <c r="J145" s="254"/>
      <c r="K145" s="254"/>
      <c r="L145" s="244"/>
      <c r="M145" s="244"/>
      <c r="N145" s="246"/>
      <c r="O145" s="391"/>
      <c r="P145" s="392"/>
      <c r="Q145" s="373"/>
      <c r="R145" s="373"/>
      <c r="S145" s="373"/>
      <c r="T145" s="373"/>
      <c r="U145" s="373"/>
      <c r="V145" s="373"/>
    </row>
    <row r="146" spans="1:22" ht="21.6" customHeight="1">
      <c r="A146" s="222" t="s">
        <v>81</v>
      </c>
      <c r="B146" s="223"/>
      <c r="C146" s="219" t="s">
        <v>59</v>
      </c>
      <c r="D146" s="221"/>
      <c r="E146" s="256">
        <f>E145*100/D142</f>
        <v>19.138321022672383</v>
      </c>
      <c r="F146" s="257"/>
      <c r="G146" s="256">
        <f>G145*100/D142</f>
        <v>31.123313314721408</v>
      </c>
      <c r="H146" s="257"/>
      <c r="I146" s="158">
        <f>I145*100/D142</f>
        <v>49.818578622892133</v>
      </c>
      <c r="J146" s="255"/>
      <c r="K146" s="255"/>
      <c r="L146" s="244"/>
      <c r="M146" s="244"/>
      <c r="N146" s="246"/>
      <c r="O146" s="391"/>
    </row>
    <row r="147" spans="1:22" ht="21.6" customHeight="1">
      <c r="A147" s="224"/>
      <c r="B147" s="225"/>
      <c r="C147" s="219" t="s">
        <v>79</v>
      </c>
      <c r="D147" s="221"/>
      <c r="E147" s="219" t="s">
        <v>82</v>
      </c>
      <c r="F147" s="221"/>
      <c r="G147" s="219" t="s">
        <v>85</v>
      </c>
      <c r="H147" s="221"/>
      <c r="I147" s="183" t="s">
        <v>86</v>
      </c>
      <c r="J147" s="235"/>
      <c r="K147" s="235"/>
      <c r="L147" s="244"/>
      <c r="M147" s="244"/>
      <c r="N147" s="247"/>
      <c r="O147" s="391"/>
      <c r="P147" s="132"/>
    </row>
    <row r="148" spans="1:22" ht="21.6" customHeight="1">
      <c r="A148" s="90"/>
      <c r="B148" s="93"/>
      <c r="C148" s="90"/>
      <c r="D148" s="90"/>
      <c r="E148" s="90"/>
      <c r="F148" s="90"/>
      <c r="G148" s="90"/>
      <c r="H148" s="90"/>
      <c r="I148" s="90"/>
      <c r="J148" s="90"/>
      <c r="K148" s="90"/>
      <c r="L148" s="91"/>
      <c r="M148" s="91"/>
      <c r="N148" s="92"/>
      <c r="O148" s="391"/>
      <c r="P148" s="132"/>
    </row>
    <row r="149" spans="1:22" ht="21" customHeight="1">
      <c r="A149" s="294" t="s">
        <v>114</v>
      </c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391"/>
    </row>
    <row r="150" spans="1:22" ht="21" customHeight="1">
      <c r="A150" s="117" t="s">
        <v>115</v>
      </c>
      <c r="B150" s="295" t="s">
        <v>116</v>
      </c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391"/>
    </row>
    <row r="151" spans="1:22" ht="21" customHeight="1">
      <c r="A151" s="118"/>
      <c r="B151" s="259" t="s">
        <v>197</v>
      </c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391"/>
    </row>
    <row r="152" spans="1:22" ht="21" customHeight="1">
      <c r="A152" s="118"/>
      <c r="B152" s="259" t="s">
        <v>198</v>
      </c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391"/>
    </row>
    <row r="153" spans="1:22" ht="21" customHeight="1">
      <c r="A153" s="118"/>
      <c r="B153" s="259" t="s">
        <v>166</v>
      </c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391"/>
    </row>
    <row r="154" spans="1:22" ht="21" customHeight="1">
      <c r="A154" s="90"/>
      <c r="B154" s="260" t="s">
        <v>133</v>
      </c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391"/>
    </row>
    <row r="155" spans="1:22" ht="21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4"/>
      <c r="M155" s="94"/>
      <c r="N155" s="95"/>
      <c r="O155" s="391"/>
    </row>
    <row r="156" spans="1:22" ht="21" customHeight="1">
      <c r="A156" s="261" t="s">
        <v>62</v>
      </c>
      <c r="B156" s="261"/>
      <c r="C156" s="261"/>
      <c r="D156" s="261"/>
      <c r="E156" s="393"/>
      <c r="F156" s="393"/>
      <c r="G156" s="393"/>
      <c r="H156" s="393"/>
      <c r="I156" s="393"/>
      <c r="J156" s="394" t="s">
        <v>33</v>
      </c>
      <c r="K156" s="394"/>
      <c r="L156" s="394"/>
      <c r="M156" s="394"/>
      <c r="N156" s="394"/>
      <c r="O156" s="391"/>
    </row>
    <row r="157" spans="1:22" ht="21" customHeight="1">
      <c r="A157" s="178"/>
      <c r="B157" s="178"/>
      <c r="C157" s="178"/>
      <c r="D157" s="393"/>
      <c r="E157" s="393"/>
      <c r="F157" s="393"/>
      <c r="G157" s="393"/>
      <c r="H157" s="395"/>
      <c r="I157" s="395"/>
      <c r="J157" s="395"/>
      <c r="K157" s="395"/>
      <c r="L157" s="395"/>
      <c r="M157" s="395"/>
      <c r="N157" s="395"/>
      <c r="O157" s="391"/>
    </row>
    <row r="158" spans="1:22" ht="21" customHeight="1">
      <c r="A158" s="178"/>
      <c r="B158" s="178"/>
      <c r="C158" s="178"/>
      <c r="D158" s="393"/>
      <c r="E158" s="393"/>
      <c r="F158" s="393"/>
      <c r="G158" s="393"/>
      <c r="H158" s="395"/>
      <c r="I158" s="395"/>
      <c r="J158" s="395"/>
      <c r="K158" s="395"/>
      <c r="L158" s="395"/>
      <c r="M158" s="395"/>
      <c r="N158" s="395"/>
      <c r="O158" s="391"/>
    </row>
    <row r="159" spans="1:22" ht="21" customHeight="1">
      <c r="A159" s="178"/>
      <c r="B159" s="178"/>
      <c r="C159" s="178"/>
      <c r="D159" s="393"/>
      <c r="E159" s="393"/>
      <c r="F159" s="393"/>
      <c r="G159" s="393"/>
      <c r="H159" s="395"/>
      <c r="I159" s="395"/>
      <c r="J159" s="396" t="s">
        <v>124</v>
      </c>
      <c r="K159" s="396"/>
      <c r="L159" s="396"/>
      <c r="M159" s="396"/>
      <c r="N159" s="396"/>
      <c r="O159" s="391"/>
    </row>
    <row r="160" spans="1:22" ht="21" customHeight="1">
      <c r="A160" s="262" t="s">
        <v>91</v>
      </c>
      <c r="B160" s="262"/>
      <c r="C160" s="262"/>
      <c r="D160" s="262"/>
      <c r="E160" s="393"/>
      <c r="F160" s="393"/>
      <c r="G160" s="393"/>
      <c r="H160" s="395"/>
      <c r="I160" s="395"/>
      <c r="J160" s="396"/>
      <c r="K160" s="396"/>
      <c r="L160" s="396"/>
      <c r="M160" s="396"/>
      <c r="N160" s="396"/>
      <c r="O160" s="391"/>
    </row>
    <row r="163" spans="10:14" ht="21.6" customHeight="1">
      <c r="J163" s="396" t="s">
        <v>127</v>
      </c>
      <c r="K163" s="396"/>
      <c r="L163" s="396"/>
      <c r="M163" s="396"/>
      <c r="N163" s="396"/>
    </row>
  </sheetData>
  <mergeCells count="207">
    <mergeCell ref="A160:D160"/>
    <mergeCell ref="J160:N160"/>
    <mergeCell ref="I53:I54"/>
    <mergeCell ref="D51:D52"/>
    <mergeCell ref="A149:N149"/>
    <mergeCell ref="B150:N150"/>
    <mergeCell ref="B151:N151"/>
    <mergeCell ref="B152:N152"/>
    <mergeCell ref="B153:N153"/>
    <mergeCell ref="B154:N154"/>
    <mergeCell ref="A156:D156"/>
    <mergeCell ref="J156:N156"/>
    <mergeCell ref="G58:H58"/>
    <mergeCell ref="A60:N60"/>
    <mergeCell ref="B61:N61"/>
    <mergeCell ref="B62:N62"/>
    <mergeCell ref="B63:N63"/>
    <mergeCell ref="G146:H146"/>
    <mergeCell ref="C147:D147"/>
    <mergeCell ref="E147:F147"/>
    <mergeCell ref="G147:H147"/>
    <mergeCell ref="A84:N84"/>
    <mergeCell ref="A85:N85"/>
    <mergeCell ref="N136:N137"/>
    <mergeCell ref="E5:N5"/>
    <mergeCell ref="A5:D5"/>
    <mergeCell ref="A6:D6"/>
    <mergeCell ref="A7:D7"/>
    <mergeCell ref="A9:D9"/>
    <mergeCell ref="E6:I9"/>
    <mergeCell ref="J6:N9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M11:M14"/>
    <mergeCell ref="J11:J14"/>
    <mergeCell ref="K11:K14"/>
    <mergeCell ref="A31:B32"/>
    <mergeCell ref="A10:C10"/>
    <mergeCell ref="L43:L46"/>
    <mergeCell ref="M43:M46"/>
    <mergeCell ref="A8:D8"/>
    <mergeCell ref="N43:N46"/>
    <mergeCell ref="A89:D89"/>
    <mergeCell ref="J89:N89"/>
    <mergeCell ref="A91:D91"/>
    <mergeCell ref="J91:N91"/>
    <mergeCell ref="I93:I96"/>
    <mergeCell ref="E132:F133"/>
    <mergeCell ref="G132:H133"/>
    <mergeCell ref="M93:M96"/>
    <mergeCell ref="A92:C92"/>
    <mergeCell ref="G95:G96"/>
    <mergeCell ref="H95:H96"/>
    <mergeCell ref="N126:N127"/>
    <mergeCell ref="A130:B130"/>
    <mergeCell ref="A112:B112"/>
    <mergeCell ref="A115:B115"/>
    <mergeCell ref="A93:A96"/>
    <mergeCell ref="B93:B96"/>
    <mergeCell ref="C93:C96"/>
    <mergeCell ref="L132:L135"/>
    <mergeCell ref="N111:N112"/>
    <mergeCell ref="N132:N135"/>
    <mergeCell ref="E134:E135"/>
    <mergeCell ref="D93:D96"/>
    <mergeCell ref="A15:N15"/>
    <mergeCell ref="E95:E96"/>
    <mergeCell ref="A47:B47"/>
    <mergeCell ref="A48:B48"/>
    <mergeCell ref="N29:N30"/>
    <mergeCell ref="N47:N48"/>
    <mergeCell ref="E45:E46"/>
    <mergeCell ref="F45:F46"/>
    <mergeCell ref="G45:G46"/>
    <mergeCell ref="H45:H46"/>
    <mergeCell ref="C57:D57"/>
    <mergeCell ref="C58:D58"/>
    <mergeCell ref="E57:F57"/>
    <mergeCell ref="G57:H57"/>
    <mergeCell ref="E58:F58"/>
    <mergeCell ref="G52:H52"/>
    <mergeCell ref="A88:D88"/>
    <mergeCell ref="A49:B50"/>
    <mergeCell ref="E88:I91"/>
    <mergeCell ref="J88:N88"/>
    <mergeCell ref="F95:F96"/>
    <mergeCell ref="A53:C54"/>
    <mergeCell ref="A55:C55"/>
    <mergeCell ref="A33:B33"/>
    <mergeCell ref="Q53:R53"/>
    <mergeCell ref="S53:T53"/>
    <mergeCell ref="Q54:R54"/>
    <mergeCell ref="S54:T54"/>
    <mergeCell ref="L93:L96"/>
    <mergeCell ref="N93:N96"/>
    <mergeCell ref="L51:L58"/>
    <mergeCell ref="M51:M58"/>
    <mergeCell ref="J56:J58"/>
    <mergeCell ref="K56:K58"/>
    <mergeCell ref="J51:J52"/>
    <mergeCell ref="J93:J96"/>
    <mergeCell ref="K93:K96"/>
    <mergeCell ref="K51:K52"/>
    <mergeCell ref="N51:N58"/>
    <mergeCell ref="B64:N64"/>
    <mergeCell ref="B65:N65"/>
    <mergeCell ref="A67:D67"/>
    <mergeCell ref="J67:N67"/>
    <mergeCell ref="A71:D71"/>
    <mergeCell ref="J71:N71"/>
    <mergeCell ref="I51:I52"/>
    <mergeCell ref="K53:K54"/>
    <mergeCell ref="A86:D87"/>
    <mergeCell ref="U53:V53"/>
    <mergeCell ref="U54:V54"/>
    <mergeCell ref="A138:B139"/>
    <mergeCell ref="J142:J143"/>
    <mergeCell ref="K142:K143"/>
    <mergeCell ref="J140:J141"/>
    <mergeCell ref="C51:C52"/>
    <mergeCell ref="E54:F54"/>
    <mergeCell ref="E52:F52"/>
    <mergeCell ref="A51:B52"/>
    <mergeCell ref="L140:L147"/>
    <mergeCell ref="M140:M147"/>
    <mergeCell ref="N140:N147"/>
    <mergeCell ref="A142:C143"/>
    <mergeCell ref="A144:C144"/>
    <mergeCell ref="A145:C145"/>
    <mergeCell ref="E145:F145"/>
    <mergeCell ref="G145:H145"/>
    <mergeCell ref="J145:J147"/>
    <mergeCell ref="K145:K147"/>
    <mergeCell ref="A146:B147"/>
    <mergeCell ref="C146:D146"/>
    <mergeCell ref="E146:F146"/>
    <mergeCell ref="E141:F141"/>
    <mergeCell ref="A137:B137"/>
    <mergeCell ref="A111:B111"/>
    <mergeCell ref="E93:F94"/>
    <mergeCell ref="G93:H94"/>
    <mergeCell ref="A97:N97"/>
    <mergeCell ref="I132:I135"/>
    <mergeCell ref="J132:J135"/>
    <mergeCell ref="K132:K135"/>
    <mergeCell ref="F134:F135"/>
    <mergeCell ref="G134:G135"/>
    <mergeCell ref="H134:H135"/>
    <mergeCell ref="B132:B135"/>
    <mergeCell ref="C132:C135"/>
    <mergeCell ref="D132:D135"/>
    <mergeCell ref="M132:M135"/>
    <mergeCell ref="J53:J54"/>
    <mergeCell ref="E144:F144"/>
    <mergeCell ref="G144:H144"/>
    <mergeCell ref="A113:B114"/>
    <mergeCell ref="A128:B129"/>
    <mergeCell ref="K140:K141"/>
    <mergeCell ref="G54:H54"/>
    <mergeCell ref="I140:I141"/>
    <mergeCell ref="I142:I143"/>
    <mergeCell ref="E143:F143"/>
    <mergeCell ref="G143:H143"/>
    <mergeCell ref="A56:C56"/>
    <mergeCell ref="A57:B58"/>
    <mergeCell ref="G141:H141"/>
    <mergeCell ref="A140:B141"/>
    <mergeCell ref="C140:C141"/>
    <mergeCell ref="D140:D141"/>
    <mergeCell ref="E86:N86"/>
    <mergeCell ref="E87:I87"/>
    <mergeCell ref="J87:N87"/>
    <mergeCell ref="A132:A135"/>
    <mergeCell ref="J70:N70"/>
    <mergeCell ref="J74:N74"/>
    <mergeCell ref="A136:B136"/>
    <mergeCell ref="A90:D90"/>
    <mergeCell ref="J90:N90"/>
    <mergeCell ref="J159:N159"/>
    <mergeCell ref="J163:N163"/>
    <mergeCell ref="F1:N1"/>
    <mergeCell ref="F81:N81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5:F55"/>
    <mergeCell ref="G55:H55"/>
    <mergeCell ref="F13:F14"/>
    <mergeCell ref="G13:G14"/>
    <mergeCell ref="H13:H14"/>
    <mergeCell ref="E56:F56"/>
    <mergeCell ref="G56:H56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189" t="s">
        <v>31</v>
      </c>
      <c r="G1" s="189"/>
      <c r="H1" s="189"/>
      <c r="I1" s="189"/>
      <c r="J1" s="189"/>
      <c r="K1" s="189"/>
      <c r="L1" s="189"/>
      <c r="M1" s="189"/>
      <c r="N1" s="189"/>
      <c r="O1" s="376"/>
      <c r="P1" s="376"/>
      <c r="T1" s="2"/>
    </row>
    <row r="2" spans="1:20" ht="12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6"/>
      <c r="P2" s="376"/>
      <c r="T2" s="2"/>
    </row>
    <row r="3" spans="1:20" ht="22.2" customHeight="1">
      <c r="A3" s="8" t="s">
        <v>199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6"/>
      <c r="P3" s="376"/>
      <c r="T3" s="2"/>
    </row>
    <row r="4" spans="1:20" ht="12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6"/>
      <c r="P4" s="376"/>
      <c r="T4" s="2"/>
    </row>
    <row r="5" spans="1:20" s="2" customFormat="1" ht="19.2" customHeight="1">
      <c r="A5" s="236" t="s">
        <v>97</v>
      </c>
      <c r="B5" s="236"/>
      <c r="C5" s="236"/>
      <c r="D5" s="236"/>
      <c r="E5" s="236" t="s">
        <v>98</v>
      </c>
      <c r="F5" s="236"/>
      <c r="G5" s="236"/>
      <c r="H5" s="236"/>
      <c r="I5" s="236"/>
      <c r="J5" s="236"/>
      <c r="K5" s="236"/>
      <c r="L5" s="236"/>
      <c r="M5" s="236"/>
      <c r="N5" s="236"/>
      <c r="O5" s="377"/>
    </row>
    <row r="6" spans="1:20" s="2" customFormat="1" ht="19.2" customHeight="1">
      <c r="A6" s="266" t="s">
        <v>90</v>
      </c>
      <c r="B6" s="266"/>
      <c r="C6" s="266"/>
      <c r="D6" s="266"/>
      <c r="E6" s="267" t="s">
        <v>144</v>
      </c>
      <c r="F6" s="267"/>
      <c r="G6" s="267"/>
      <c r="H6" s="267"/>
      <c r="I6" s="267"/>
      <c r="J6" s="282" t="s">
        <v>140</v>
      </c>
      <c r="K6" s="283"/>
      <c r="L6" s="283"/>
      <c r="M6" s="283"/>
      <c r="N6" s="284"/>
      <c r="O6" s="377"/>
    </row>
    <row r="7" spans="1:20" s="2" customFormat="1" ht="19.2" customHeight="1">
      <c r="A7" s="188" t="s">
        <v>132</v>
      </c>
      <c r="B7" s="188"/>
      <c r="C7" s="188"/>
      <c r="D7" s="188"/>
      <c r="E7" s="267"/>
      <c r="F7" s="267"/>
      <c r="G7" s="267"/>
      <c r="H7" s="267"/>
      <c r="I7" s="267"/>
      <c r="J7" s="285"/>
      <c r="K7" s="286"/>
      <c r="L7" s="286"/>
      <c r="M7" s="286"/>
      <c r="N7" s="287"/>
      <c r="O7" s="377"/>
    </row>
    <row r="8" spans="1:20" s="2" customFormat="1" ht="19.2" customHeight="1">
      <c r="A8" s="185" t="s">
        <v>152</v>
      </c>
      <c r="B8" s="186"/>
      <c r="C8" s="186"/>
      <c r="D8" s="187"/>
      <c r="E8" s="267"/>
      <c r="F8" s="267"/>
      <c r="G8" s="267"/>
      <c r="H8" s="267"/>
      <c r="I8" s="267"/>
      <c r="J8" s="285"/>
      <c r="K8" s="286"/>
      <c r="L8" s="286"/>
      <c r="M8" s="286"/>
      <c r="N8" s="287"/>
      <c r="O8" s="377"/>
    </row>
    <row r="9" spans="1:20" s="2" customFormat="1" ht="19.2" customHeight="1">
      <c r="A9" s="275" t="s">
        <v>160</v>
      </c>
      <c r="B9" s="275"/>
      <c r="C9" s="275"/>
      <c r="D9" s="275"/>
      <c r="E9" s="267"/>
      <c r="F9" s="267"/>
      <c r="G9" s="267"/>
      <c r="H9" s="267"/>
      <c r="I9" s="267"/>
      <c r="J9" s="288"/>
      <c r="K9" s="289"/>
      <c r="L9" s="289"/>
      <c r="M9" s="289"/>
      <c r="N9" s="290"/>
      <c r="O9" s="377"/>
    </row>
    <row r="10" spans="1:20" ht="19.2" customHeight="1">
      <c r="A10" s="276" t="s">
        <v>122</v>
      </c>
      <c r="B10" s="277"/>
      <c r="C10" s="278"/>
      <c r="D10" s="128">
        <v>229</v>
      </c>
      <c r="E10" s="8"/>
      <c r="F10" s="182"/>
      <c r="G10" s="182"/>
      <c r="H10" s="182"/>
      <c r="I10" s="182"/>
      <c r="J10" s="182"/>
      <c r="K10" s="182"/>
      <c r="L10" s="182"/>
      <c r="M10" s="182"/>
      <c r="N10" s="182"/>
      <c r="O10" s="376"/>
      <c r="P10" s="376"/>
      <c r="T10" s="2"/>
    </row>
    <row r="11" spans="1:20" ht="22.2" customHeight="1">
      <c r="A11" s="191" t="s">
        <v>0</v>
      </c>
      <c r="B11" s="201" t="s">
        <v>19</v>
      </c>
      <c r="C11" s="204" t="s">
        <v>8</v>
      </c>
      <c r="D11" s="204" t="s">
        <v>9</v>
      </c>
      <c r="E11" s="194" t="s">
        <v>11</v>
      </c>
      <c r="F11" s="195"/>
      <c r="G11" s="194" t="s">
        <v>13</v>
      </c>
      <c r="H11" s="195"/>
      <c r="I11" s="198" t="s">
        <v>16</v>
      </c>
      <c r="J11" s="198" t="s">
        <v>41</v>
      </c>
      <c r="K11" s="198" t="s">
        <v>42</v>
      </c>
      <c r="L11" s="198" t="s">
        <v>17</v>
      </c>
      <c r="M11" s="198" t="s">
        <v>40</v>
      </c>
      <c r="N11" s="191" t="s">
        <v>18</v>
      </c>
      <c r="O11" s="378"/>
    </row>
    <row r="12" spans="1:20" ht="22.2" customHeight="1">
      <c r="A12" s="192"/>
      <c r="B12" s="202"/>
      <c r="C12" s="205"/>
      <c r="D12" s="205"/>
      <c r="E12" s="196"/>
      <c r="F12" s="197"/>
      <c r="G12" s="196"/>
      <c r="H12" s="197"/>
      <c r="I12" s="199"/>
      <c r="J12" s="199"/>
      <c r="K12" s="199"/>
      <c r="L12" s="199"/>
      <c r="M12" s="199"/>
      <c r="N12" s="192"/>
      <c r="O12" s="178"/>
    </row>
    <row r="13" spans="1:20" ht="22.2" customHeight="1">
      <c r="A13" s="192"/>
      <c r="B13" s="202"/>
      <c r="C13" s="205"/>
      <c r="D13" s="205"/>
      <c r="E13" s="198" t="s">
        <v>10</v>
      </c>
      <c r="F13" s="198" t="s">
        <v>12</v>
      </c>
      <c r="G13" s="198" t="s">
        <v>14</v>
      </c>
      <c r="H13" s="198" t="s">
        <v>15</v>
      </c>
      <c r="I13" s="199"/>
      <c r="J13" s="199"/>
      <c r="K13" s="199"/>
      <c r="L13" s="199"/>
      <c r="M13" s="199"/>
      <c r="N13" s="192"/>
      <c r="O13" s="178"/>
    </row>
    <row r="14" spans="1:20" ht="22.2" customHeight="1">
      <c r="A14" s="193"/>
      <c r="B14" s="203"/>
      <c r="C14" s="206"/>
      <c r="D14" s="206"/>
      <c r="E14" s="200"/>
      <c r="F14" s="200"/>
      <c r="G14" s="200"/>
      <c r="H14" s="200"/>
      <c r="I14" s="200"/>
      <c r="J14" s="200"/>
      <c r="K14" s="200"/>
      <c r="L14" s="200"/>
      <c r="M14" s="200"/>
      <c r="N14" s="193"/>
      <c r="O14" s="178"/>
    </row>
    <row r="15" spans="1:20" ht="19.8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8"/>
    </row>
    <row r="16" spans="1:20" s="2" customFormat="1" ht="19.8" customHeight="1">
      <c r="A16" s="15">
        <v>1</v>
      </c>
      <c r="B16" s="16" t="s">
        <v>2</v>
      </c>
      <c r="C16" s="51">
        <f>L16/100*100</f>
        <v>300</v>
      </c>
      <c r="D16" s="52">
        <f>C16/100*60</f>
        <v>180</v>
      </c>
      <c r="E16" s="53">
        <f>C16/100*15</f>
        <v>45</v>
      </c>
      <c r="F16" s="53"/>
      <c r="G16" s="53"/>
      <c r="H16" s="53"/>
      <c r="I16" s="53"/>
      <c r="J16" s="96">
        <f>C16/100*387</f>
        <v>1161</v>
      </c>
      <c r="K16" s="96">
        <f>C16/100*0.09</f>
        <v>0.27</v>
      </c>
      <c r="L16" s="410">
        <v>300</v>
      </c>
      <c r="M16" s="77">
        <v>20</v>
      </c>
      <c r="N16" s="55">
        <f>L16*M16</f>
        <v>6000</v>
      </c>
      <c r="O16" s="380"/>
    </row>
    <row r="17" spans="1:20" s="2" customFormat="1" ht="19.8" customHeight="1">
      <c r="A17" s="9">
        <v>2</v>
      </c>
      <c r="B17" s="146" t="s">
        <v>139</v>
      </c>
      <c r="C17" s="23">
        <f>L17/100*100</f>
        <v>690</v>
      </c>
      <c r="D17" s="24">
        <f>C17/100*899</f>
        <v>6203.1</v>
      </c>
      <c r="E17" s="25"/>
      <c r="F17" s="25"/>
      <c r="G17" s="25">
        <f>C17/100*100</f>
        <v>690</v>
      </c>
      <c r="H17" s="25"/>
      <c r="I17" s="25"/>
      <c r="J17" s="27"/>
      <c r="K17" s="27"/>
      <c r="L17" s="137">
        <v>690</v>
      </c>
      <c r="M17" s="75">
        <v>69</v>
      </c>
      <c r="N17" s="28">
        <f t="shared" ref="N17" si="0">L17*M17</f>
        <v>47610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21755</v>
      </c>
      <c r="D18" s="120">
        <f>C18/100*344</f>
        <v>74837.2</v>
      </c>
      <c r="E18" s="136"/>
      <c r="F18" s="119">
        <f>C18/100*7.9</f>
        <v>1718.6450000000002</v>
      </c>
      <c r="G18" s="136"/>
      <c r="H18" s="25">
        <f>C18/100*1</f>
        <v>217.55</v>
      </c>
      <c r="I18" s="119">
        <f>C18/100*72</f>
        <v>15663.6</v>
      </c>
      <c r="J18" s="27">
        <f>C18/100*30</f>
        <v>6526.5</v>
      </c>
      <c r="K18" s="27">
        <f>C18/100*0.1</f>
        <v>21.755000000000003</v>
      </c>
      <c r="L18" s="137">
        <v>21755</v>
      </c>
      <c r="M18" s="77">
        <v>18</v>
      </c>
      <c r="N18" s="28">
        <f t="shared" ref="N18:N26" si="1">L18*M18</f>
        <v>391590</v>
      </c>
      <c r="O18" s="380"/>
    </row>
    <row r="19" spans="1:20" s="2" customFormat="1" ht="19.8" customHeight="1">
      <c r="A19" s="9">
        <v>4</v>
      </c>
      <c r="B19" s="5" t="s">
        <v>93</v>
      </c>
      <c r="C19" s="23">
        <f>L19/100*81.7</f>
        <v>6552.34</v>
      </c>
      <c r="D19" s="24">
        <f>C19/100*27</f>
        <v>1769.1317999999999</v>
      </c>
      <c r="E19" s="29"/>
      <c r="F19" s="29">
        <f>C19/100*0.3</f>
        <v>19.657019999999999</v>
      </c>
      <c r="G19" s="29"/>
      <c r="H19" s="29">
        <f>C19/100*0.1</f>
        <v>6.5523400000000001</v>
      </c>
      <c r="I19" s="29">
        <f>C19/100*6.1</f>
        <v>399.69273999999996</v>
      </c>
      <c r="J19" s="71">
        <f>C19/100*24</f>
        <v>1572.5616</v>
      </c>
      <c r="K19" s="71">
        <f>C19/100*0.06</f>
        <v>3.9314039999999997</v>
      </c>
      <c r="L19" s="379">
        <v>8020</v>
      </c>
      <c r="M19" s="26">
        <v>22</v>
      </c>
      <c r="N19" s="28">
        <f t="shared" si="1"/>
        <v>176440</v>
      </c>
      <c r="O19" s="153"/>
      <c r="Q19" s="3"/>
      <c r="R19" s="3"/>
      <c r="S19" s="4"/>
    </row>
    <row r="20" spans="1:20" s="2" customFormat="1" ht="19.8" customHeight="1">
      <c r="A20" s="9">
        <v>5</v>
      </c>
      <c r="B20" s="5" t="s">
        <v>4</v>
      </c>
      <c r="C20" s="23">
        <f>L20/100*98.5</f>
        <v>2255.6499999999996</v>
      </c>
      <c r="D20" s="24">
        <f>C20/100*39</f>
        <v>879.70349999999985</v>
      </c>
      <c r="E20" s="29"/>
      <c r="F20" s="29">
        <f>C20/100*1.5</f>
        <v>33.834749999999993</v>
      </c>
      <c r="G20" s="29"/>
      <c r="H20" s="29">
        <f>C20/100*0.2</f>
        <v>4.5112999999999994</v>
      </c>
      <c r="I20" s="29">
        <f>C20/100*7.8</f>
        <v>175.94069999999996</v>
      </c>
      <c r="J20" s="29">
        <f>C20/100*43</f>
        <v>969.92949999999985</v>
      </c>
      <c r="K20" s="29">
        <f>C20/100*0.06</f>
        <v>1.3533899999999996</v>
      </c>
      <c r="L20" s="379">
        <v>2290</v>
      </c>
      <c r="M20" s="26">
        <v>17</v>
      </c>
      <c r="N20" s="28">
        <f t="shared" si="1"/>
        <v>38930</v>
      </c>
      <c r="O20" s="153"/>
      <c r="Q20" s="3"/>
      <c r="R20" s="3"/>
      <c r="S20" s="4"/>
    </row>
    <row r="21" spans="1:20" s="2" customFormat="1" ht="19.8" customHeight="1">
      <c r="A21" s="9">
        <v>6</v>
      </c>
      <c r="B21" s="5" t="s">
        <v>75</v>
      </c>
      <c r="C21" s="23">
        <f>L21/100*75</f>
        <v>1725</v>
      </c>
      <c r="D21" s="24">
        <f>C21/100*12</f>
        <v>207</v>
      </c>
      <c r="E21" s="25"/>
      <c r="F21" s="25">
        <f>C21/100*0.6</f>
        <v>10.35</v>
      </c>
      <c r="G21" s="25"/>
      <c r="H21" s="25"/>
      <c r="I21" s="25">
        <f>C21/100*2.4</f>
        <v>41.4</v>
      </c>
      <c r="J21" s="25">
        <f>C21/100*26</f>
        <v>448.5</v>
      </c>
      <c r="K21" s="25">
        <f>C21/100*0.02</f>
        <v>0.34500000000000003</v>
      </c>
      <c r="L21" s="137">
        <v>2300</v>
      </c>
      <c r="M21" s="75">
        <v>20</v>
      </c>
      <c r="N21" s="28">
        <f t="shared" si="1"/>
        <v>46000</v>
      </c>
      <c r="O21" s="153"/>
    </row>
    <row r="22" spans="1:20" s="2" customFormat="1" ht="19.8" customHeight="1">
      <c r="A22" s="9">
        <v>7</v>
      </c>
      <c r="B22" s="5" t="s">
        <v>134</v>
      </c>
      <c r="C22" s="23">
        <f>L22/100*100</f>
        <v>229.99999999999997</v>
      </c>
      <c r="D22" s="24">
        <f>C22/100*247</f>
        <v>568.09999999999991</v>
      </c>
      <c r="E22" s="29"/>
      <c r="F22" s="29">
        <f>C22/100*17.5</f>
        <v>40.25</v>
      </c>
      <c r="G22" s="29"/>
      <c r="H22" s="29">
        <f>C22/100*1.6</f>
        <v>3.6799999999999997</v>
      </c>
      <c r="I22" s="29">
        <f>C22/100*39.2</f>
        <v>90.16</v>
      </c>
      <c r="J22" s="71"/>
      <c r="K22" s="71"/>
      <c r="L22" s="379">
        <v>230</v>
      </c>
      <c r="M22" s="75">
        <v>50</v>
      </c>
      <c r="N22" s="28">
        <f t="shared" si="1"/>
        <v>11500</v>
      </c>
      <c r="O22" s="153"/>
      <c r="Q22" s="3"/>
      <c r="R22" s="3"/>
      <c r="S22" s="4"/>
      <c r="T22" s="3"/>
    </row>
    <row r="23" spans="1:20" s="2" customFormat="1" ht="19.8" customHeight="1">
      <c r="A23" s="9">
        <v>8</v>
      </c>
      <c r="B23" s="5" t="s">
        <v>20</v>
      </c>
      <c r="C23" s="23">
        <f>L23/100*95</f>
        <v>2612.5</v>
      </c>
      <c r="D23" s="24">
        <f>C23/100*20</f>
        <v>522.5</v>
      </c>
      <c r="E23" s="25"/>
      <c r="F23" s="25">
        <f>C23/100*0.6</f>
        <v>15.674999999999999</v>
      </c>
      <c r="G23" s="25"/>
      <c r="H23" s="25">
        <f>C23/100*0.2</f>
        <v>5.2250000000000005</v>
      </c>
      <c r="I23" s="25">
        <f>C23/100*4</f>
        <v>104.5</v>
      </c>
      <c r="J23" s="71">
        <f>C23/100*12</f>
        <v>313.5</v>
      </c>
      <c r="K23" s="71">
        <f>C23/100*0.04</f>
        <v>1.0449999999999999</v>
      </c>
      <c r="L23" s="379">
        <v>2750</v>
      </c>
      <c r="M23" s="75">
        <v>22</v>
      </c>
      <c r="N23" s="28">
        <f t="shared" si="1"/>
        <v>60500</v>
      </c>
      <c r="O23" s="153"/>
      <c r="Q23" s="3"/>
      <c r="R23" s="3"/>
    </row>
    <row r="24" spans="1:20" s="2" customFormat="1" ht="19.8" customHeight="1">
      <c r="A24" s="9">
        <v>9</v>
      </c>
      <c r="B24" s="5" t="s">
        <v>69</v>
      </c>
      <c r="C24" s="23">
        <f>L24/100*48</f>
        <v>2011.1999999999998</v>
      </c>
      <c r="D24" s="24">
        <f>C24/100*199</f>
        <v>4002.2879999999996</v>
      </c>
      <c r="E24" s="25">
        <f>C24/100*20.3</f>
        <v>408.27359999999999</v>
      </c>
      <c r="F24" s="25"/>
      <c r="G24" s="25">
        <f>C24/100*13.1</f>
        <v>263.46719999999999</v>
      </c>
      <c r="H24" s="25"/>
      <c r="I24" s="25"/>
      <c r="J24" s="27">
        <f>C24/100*12</f>
        <v>241.34399999999999</v>
      </c>
      <c r="K24" s="27">
        <f>C24/100*0.15</f>
        <v>3.0167999999999995</v>
      </c>
      <c r="L24" s="137">
        <v>4190</v>
      </c>
      <c r="M24" s="26">
        <v>84</v>
      </c>
      <c r="N24" s="28">
        <f t="shared" si="1"/>
        <v>351960</v>
      </c>
      <c r="O24" s="153"/>
      <c r="Q24" s="3"/>
      <c r="R24" s="3"/>
      <c r="S24" s="4"/>
    </row>
    <row r="25" spans="1:20" s="2" customFormat="1" ht="19.8" customHeight="1">
      <c r="A25" s="9">
        <v>10</v>
      </c>
      <c r="B25" s="10" t="s">
        <v>74</v>
      </c>
      <c r="C25" s="23">
        <f>L25/100*98</f>
        <v>2244.1999999999998</v>
      </c>
      <c r="D25" s="24">
        <f>C25/100*139</f>
        <v>3119.4379999999996</v>
      </c>
      <c r="E25" s="25">
        <f>C25/100*19</f>
        <v>426.39799999999991</v>
      </c>
      <c r="F25" s="25"/>
      <c r="G25" s="25">
        <f>C25/100*7</f>
        <v>157.09399999999997</v>
      </c>
      <c r="H25" s="25"/>
      <c r="I25" s="25"/>
      <c r="J25" s="25">
        <f>C25/100*7</f>
        <v>157.09399999999997</v>
      </c>
      <c r="K25" s="25">
        <f>C25/100*0.9</f>
        <v>20.197799999999997</v>
      </c>
      <c r="L25" s="137">
        <v>2290</v>
      </c>
      <c r="M25" s="75">
        <v>133</v>
      </c>
      <c r="N25" s="28">
        <f t="shared" si="1"/>
        <v>304570</v>
      </c>
      <c r="O25" s="153"/>
    </row>
    <row r="26" spans="1:20" s="2" customFormat="1" ht="19.8" customHeight="1">
      <c r="A26" s="9">
        <v>11</v>
      </c>
      <c r="B26" s="5" t="s">
        <v>3</v>
      </c>
      <c r="C26" s="23">
        <f>L26/100*98</f>
        <v>7124.6</v>
      </c>
      <c r="D26" s="24">
        <f>C26/100*118</f>
        <v>8407.0280000000002</v>
      </c>
      <c r="E26" s="119">
        <f>C26/100*27</f>
        <v>1923.6420000000003</v>
      </c>
      <c r="F26" s="25"/>
      <c r="G26" s="25">
        <f>C26/100*3.8</f>
        <v>270.73480000000001</v>
      </c>
      <c r="H26" s="25"/>
      <c r="I26" s="25"/>
      <c r="J26" s="71">
        <f>C26/100*12</f>
        <v>854.95200000000011</v>
      </c>
      <c r="K26" s="71">
        <f>C26/100*0.1</f>
        <v>7.1246000000000009</v>
      </c>
      <c r="L26" s="379">
        <v>7270</v>
      </c>
      <c r="M26" s="77">
        <v>270</v>
      </c>
      <c r="N26" s="124">
        <f t="shared" si="1"/>
        <v>1962900</v>
      </c>
      <c r="O26" s="380"/>
      <c r="Q26" s="3"/>
      <c r="R26" s="3"/>
    </row>
    <row r="27" spans="1:20" s="2" customFormat="1" ht="19.8" customHeight="1">
      <c r="A27" s="9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5"/>
      <c r="K27" s="25"/>
      <c r="L27" s="26"/>
      <c r="M27" s="26"/>
      <c r="N27" s="28">
        <v>17480</v>
      </c>
      <c r="O27" s="153"/>
    </row>
    <row r="28" spans="1:20" s="2" customFormat="1" ht="19.8" customHeight="1">
      <c r="A28" s="21" t="s">
        <v>105</v>
      </c>
      <c r="B28" s="22"/>
      <c r="C28" s="34"/>
      <c r="D28" s="172">
        <f>SUM(D16:D26)</f>
        <v>100695.48930000002</v>
      </c>
      <c r="E28" s="36"/>
      <c r="F28" s="36"/>
      <c r="G28" s="36"/>
      <c r="H28" s="36"/>
      <c r="I28" s="36"/>
      <c r="J28" s="36"/>
      <c r="K28" s="36"/>
      <c r="L28" s="37"/>
      <c r="M28" s="37"/>
      <c r="N28" s="264">
        <f>SUM(N16:N27)</f>
        <v>3415480</v>
      </c>
      <c r="O28" s="153"/>
    </row>
    <row r="29" spans="1:20" s="2" customFormat="1" ht="19.8" customHeight="1">
      <c r="A29" s="21" t="s">
        <v>6</v>
      </c>
      <c r="B29" s="22"/>
      <c r="C29" s="34"/>
      <c r="D29" s="35">
        <f>D28/D10</f>
        <v>439.71829388646296</v>
      </c>
      <c r="E29" s="36"/>
      <c r="F29" s="36"/>
      <c r="G29" s="36"/>
      <c r="H29" s="36"/>
      <c r="I29" s="36"/>
      <c r="J29" s="36"/>
      <c r="K29" s="36"/>
      <c r="L29" s="37"/>
      <c r="M29" s="37"/>
      <c r="N29" s="265"/>
      <c r="O29" s="153"/>
    </row>
    <row r="30" spans="1:20" s="2" customFormat="1" ht="19.8" customHeight="1">
      <c r="A30" s="304" t="s">
        <v>51</v>
      </c>
      <c r="B30" s="212"/>
      <c r="C30" s="382" t="s">
        <v>147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9.8" customHeight="1">
      <c r="A31" s="213"/>
      <c r="B31" s="214"/>
      <c r="C31" s="76" t="s">
        <v>59</v>
      </c>
      <c r="D31" s="20">
        <f>D29*100/1320</f>
        <v>33.311991961095679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74" t="s">
        <v>35</v>
      </c>
      <c r="B32" s="274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19.8" customHeight="1">
      <c r="A33" s="15">
        <v>1</v>
      </c>
      <c r="B33" s="6" t="s">
        <v>123</v>
      </c>
      <c r="C33" s="51"/>
      <c r="D33" s="52"/>
      <c r="E33" s="53"/>
      <c r="F33" s="53"/>
      <c r="G33" s="53"/>
      <c r="H33" s="53"/>
      <c r="I33" s="53"/>
      <c r="J33" s="53"/>
      <c r="K33" s="53"/>
      <c r="L33" s="54"/>
      <c r="M33" s="54"/>
      <c r="N33" s="55">
        <v>14680</v>
      </c>
      <c r="O33" s="153"/>
    </row>
    <row r="34" spans="1:22" s="2" customFormat="1" ht="19.8" customHeight="1">
      <c r="A34" s="9">
        <v>2</v>
      </c>
      <c r="B34" s="5" t="s">
        <v>1</v>
      </c>
      <c r="C34" s="23">
        <f t="shared" ref="C34:C39" si="2">L34/100*100</f>
        <v>3435</v>
      </c>
      <c r="D34" s="120">
        <f>C34/100*344</f>
        <v>11816.4</v>
      </c>
      <c r="E34" s="25"/>
      <c r="F34" s="25">
        <f>C34/100*7.9</f>
        <v>271.36500000000001</v>
      </c>
      <c r="G34" s="25"/>
      <c r="H34" s="25">
        <f>C34/100*1</f>
        <v>34.35</v>
      </c>
      <c r="I34" s="25">
        <f>C34/100*72</f>
        <v>2473.2000000000003</v>
      </c>
      <c r="J34" s="27">
        <f>C34/100*30</f>
        <v>1030.5</v>
      </c>
      <c r="K34" s="27">
        <f>C34/100*0.1</f>
        <v>3.4350000000000005</v>
      </c>
      <c r="L34" s="137">
        <v>3435</v>
      </c>
      <c r="M34" s="77">
        <v>18</v>
      </c>
      <c r="N34" s="28">
        <f t="shared" ref="N34:N42" si="3">L34*M34</f>
        <v>61830</v>
      </c>
      <c r="O34" s="380"/>
    </row>
    <row r="35" spans="1:22" s="2" customFormat="1" ht="19.8" customHeight="1">
      <c r="A35" s="9">
        <v>3</v>
      </c>
      <c r="B35" s="5" t="s">
        <v>73</v>
      </c>
      <c r="C35" s="23">
        <f t="shared" si="2"/>
        <v>2290</v>
      </c>
      <c r="D35" s="24">
        <f>C35/100*344</f>
        <v>7877.5999999999995</v>
      </c>
      <c r="E35" s="25"/>
      <c r="F35" s="25">
        <f>C35/100*8.6</f>
        <v>196.93999999999997</v>
      </c>
      <c r="G35" s="25"/>
      <c r="H35" s="25">
        <f>C35/100*1.5</f>
        <v>34.349999999999994</v>
      </c>
      <c r="I35" s="25">
        <f>C35/100*74.5</f>
        <v>1706.05</v>
      </c>
      <c r="J35" s="25">
        <f>C35/100*32</f>
        <v>732.8</v>
      </c>
      <c r="K35" s="25">
        <f>C35/100*0.14</f>
        <v>3.206</v>
      </c>
      <c r="L35" s="137">
        <v>2290</v>
      </c>
      <c r="M35" s="75">
        <v>30</v>
      </c>
      <c r="N35" s="28">
        <f t="shared" si="3"/>
        <v>68700</v>
      </c>
      <c r="O35" s="153"/>
      <c r="P35" s="18"/>
    </row>
    <row r="36" spans="1:22" s="2" customFormat="1" ht="19.8" customHeight="1">
      <c r="A36" s="9">
        <v>4</v>
      </c>
      <c r="B36" s="16" t="s">
        <v>2</v>
      </c>
      <c r="C36" s="51">
        <f t="shared" si="2"/>
        <v>270</v>
      </c>
      <c r="D36" s="52">
        <f>C36/100*60</f>
        <v>162</v>
      </c>
      <c r="E36" s="53">
        <f>C36/100*15</f>
        <v>40.5</v>
      </c>
      <c r="F36" s="53"/>
      <c r="G36" s="53"/>
      <c r="H36" s="53"/>
      <c r="I36" s="53"/>
      <c r="J36" s="96">
        <f>C36/100*387</f>
        <v>1044.9000000000001</v>
      </c>
      <c r="K36" s="96">
        <f>C36/100*0.09</f>
        <v>0.24299999999999999</v>
      </c>
      <c r="L36" s="410">
        <v>270</v>
      </c>
      <c r="M36" s="77">
        <v>20</v>
      </c>
      <c r="N36" s="28">
        <f t="shared" si="3"/>
        <v>5400</v>
      </c>
      <c r="O36" s="153"/>
    </row>
    <row r="37" spans="1:22" s="2" customFormat="1" ht="19.8" customHeight="1">
      <c r="A37" s="9">
        <v>5</v>
      </c>
      <c r="B37" s="5" t="s">
        <v>134</v>
      </c>
      <c r="C37" s="23">
        <f t="shared" si="2"/>
        <v>140</v>
      </c>
      <c r="D37" s="24">
        <f>C37/100*247</f>
        <v>345.79999999999995</v>
      </c>
      <c r="E37" s="29"/>
      <c r="F37" s="29">
        <f>C37/100*17.5</f>
        <v>24.5</v>
      </c>
      <c r="G37" s="29"/>
      <c r="H37" s="29">
        <f>C37/100*1.6</f>
        <v>2.2399999999999998</v>
      </c>
      <c r="I37" s="29">
        <f>C37/100*39.2</f>
        <v>54.88</v>
      </c>
      <c r="J37" s="71"/>
      <c r="K37" s="71"/>
      <c r="L37" s="379">
        <v>140</v>
      </c>
      <c r="M37" s="75">
        <v>50</v>
      </c>
      <c r="N37" s="28">
        <f t="shared" si="3"/>
        <v>7000</v>
      </c>
      <c r="O37" s="153"/>
      <c r="Q37" s="3"/>
      <c r="R37" s="3"/>
      <c r="S37" s="4"/>
      <c r="T37" s="3"/>
    </row>
    <row r="38" spans="1:22" s="2" customFormat="1" ht="19.8" customHeight="1">
      <c r="A38" s="9">
        <v>6</v>
      </c>
      <c r="B38" s="79" t="s">
        <v>139</v>
      </c>
      <c r="C38" s="23">
        <f t="shared" si="2"/>
        <v>1600</v>
      </c>
      <c r="D38" s="120">
        <f>C38/100*899</f>
        <v>14384</v>
      </c>
      <c r="E38" s="25"/>
      <c r="F38" s="25"/>
      <c r="G38" s="119">
        <f>C38/100*99.6</f>
        <v>1593.6</v>
      </c>
      <c r="H38" s="25"/>
      <c r="I38" s="25"/>
      <c r="J38" s="25"/>
      <c r="K38" s="25"/>
      <c r="L38" s="137">
        <v>1600</v>
      </c>
      <c r="M38" s="24">
        <v>69</v>
      </c>
      <c r="N38" s="28">
        <f t="shared" si="3"/>
        <v>110400</v>
      </c>
      <c r="O38" s="383"/>
    </row>
    <row r="39" spans="1:22" s="2" customFormat="1" ht="19.8" customHeight="1">
      <c r="A39" s="9">
        <v>7</v>
      </c>
      <c r="B39" s="148" t="s">
        <v>142</v>
      </c>
      <c r="C39" s="23">
        <f t="shared" si="2"/>
        <v>229.99999999999997</v>
      </c>
      <c r="D39" s="120">
        <f>C39/100*900</f>
        <v>2070</v>
      </c>
      <c r="E39" s="25"/>
      <c r="F39" s="25"/>
      <c r="G39" s="119"/>
      <c r="H39" s="25">
        <f>C39/100*100</f>
        <v>229.99999999999997</v>
      </c>
      <c r="I39" s="25"/>
      <c r="J39" s="25"/>
      <c r="K39" s="25"/>
      <c r="L39" s="137">
        <v>230</v>
      </c>
      <c r="M39" s="75">
        <v>65</v>
      </c>
      <c r="N39" s="28">
        <f t="shared" si="3"/>
        <v>14950</v>
      </c>
      <c r="O39" s="383"/>
    </row>
    <row r="40" spans="1:22" s="2" customFormat="1" ht="19.8" customHeight="1">
      <c r="A40" s="9">
        <v>8</v>
      </c>
      <c r="B40" s="5" t="s">
        <v>4</v>
      </c>
      <c r="C40" s="23">
        <f>L40/100*98.5</f>
        <v>2255.6499999999996</v>
      </c>
      <c r="D40" s="24">
        <f>C40/100*39</f>
        <v>879.70349999999985</v>
      </c>
      <c r="E40" s="29"/>
      <c r="F40" s="29">
        <f>C40/100*1.5</f>
        <v>33.834749999999993</v>
      </c>
      <c r="G40" s="29"/>
      <c r="H40" s="29">
        <f>C40/100*0.2</f>
        <v>4.5112999999999994</v>
      </c>
      <c r="I40" s="29">
        <f>C40/100*7.8</f>
        <v>175.94069999999996</v>
      </c>
      <c r="J40" s="71">
        <f>C40/100*43</f>
        <v>969.92949999999985</v>
      </c>
      <c r="K40" s="71">
        <f>C40/100*0.06</f>
        <v>1.3533899999999996</v>
      </c>
      <c r="L40" s="379">
        <v>2290</v>
      </c>
      <c r="M40" s="26">
        <v>17</v>
      </c>
      <c r="N40" s="28">
        <f t="shared" si="3"/>
        <v>38930</v>
      </c>
      <c r="O40" s="153"/>
      <c r="Q40" s="3"/>
      <c r="R40" s="3"/>
      <c r="S40" s="4"/>
    </row>
    <row r="41" spans="1:22" s="2" customFormat="1" ht="19.8" customHeight="1">
      <c r="A41" s="9">
        <v>9</v>
      </c>
      <c r="B41" s="10" t="s">
        <v>64</v>
      </c>
      <c r="C41" s="23">
        <f>L41/100*40</f>
        <v>1832</v>
      </c>
      <c r="D41" s="24">
        <f>C41/100*276</f>
        <v>5056.32</v>
      </c>
      <c r="E41" s="25">
        <f>C41/100*17.8</f>
        <v>326.096</v>
      </c>
      <c r="F41" s="136"/>
      <c r="G41" s="25">
        <f>C41/100*21.8</f>
        <v>399.37600000000003</v>
      </c>
      <c r="H41" s="25"/>
      <c r="I41" s="25"/>
      <c r="J41" s="27">
        <f>C41/100*13</f>
        <v>238.16</v>
      </c>
      <c r="K41" s="27">
        <f>C41/100*0.07</f>
        <v>1.2824000000000002</v>
      </c>
      <c r="L41" s="137">
        <v>4580</v>
      </c>
      <c r="M41" s="75">
        <v>63</v>
      </c>
      <c r="N41" s="135">
        <f t="shared" si="3"/>
        <v>288540</v>
      </c>
      <c r="O41" s="153"/>
    </row>
    <row r="42" spans="1:22" s="2" customFormat="1" ht="19.8" customHeight="1">
      <c r="A42" s="103">
        <v>10</v>
      </c>
      <c r="B42" s="156" t="s">
        <v>145</v>
      </c>
      <c r="C42" s="104">
        <f>L42/100*100</f>
        <v>3890</v>
      </c>
      <c r="D42" s="174">
        <f>C42/100*487</f>
        <v>18944.3</v>
      </c>
      <c r="E42" s="106"/>
      <c r="F42" s="106">
        <f>C42/100*19.5</f>
        <v>758.55</v>
      </c>
      <c r="G42" s="106"/>
      <c r="H42" s="106">
        <f>C42/100*23.2</f>
        <v>902.4799999999999</v>
      </c>
      <c r="I42" s="106">
        <f>C42/100*46</f>
        <v>1789.3999999999999</v>
      </c>
      <c r="J42" s="147">
        <f>C42/100*680</f>
        <v>26452</v>
      </c>
      <c r="K42" s="106">
        <f>C42/100*0.55</f>
        <v>21.395</v>
      </c>
      <c r="L42" s="107">
        <v>3890</v>
      </c>
      <c r="M42" s="157">
        <v>260</v>
      </c>
      <c r="N42" s="173">
        <f t="shared" si="3"/>
        <v>1011400</v>
      </c>
      <c r="O42" s="153"/>
      <c r="P42" s="3"/>
    </row>
    <row r="43" spans="1:22" ht="21.6" customHeight="1">
      <c r="A43" s="191" t="s">
        <v>0</v>
      </c>
      <c r="B43" s="201" t="s">
        <v>19</v>
      </c>
      <c r="C43" s="204" t="s">
        <v>8</v>
      </c>
      <c r="D43" s="204" t="s">
        <v>9</v>
      </c>
      <c r="E43" s="194" t="s">
        <v>11</v>
      </c>
      <c r="F43" s="195"/>
      <c r="G43" s="194" t="s">
        <v>13</v>
      </c>
      <c r="H43" s="195"/>
      <c r="I43" s="198" t="s">
        <v>16</v>
      </c>
      <c r="J43" s="198" t="s">
        <v>41</v>
      </c>
      <c r="K43" s="198" t="s">
        <v>42</v>
      </c>
      <c r="L43" s="198" t="s">
        <v>17</v>
      </c>
      <c r="M43" s="198" t="s">
        <v>40</v>
      </c>
      <c r="N43" s="191" t="s">
        <v>18</v>
      </c>
      <c r="O43" s="378"/>
    </row>
    <row r="44" spans="1:22" ht="21.6" customHeight="1">
      <c r="A44" s="192"/>
      <c r="B44" s="202"/>
      <c r="C44" s="205"/>
      <c r="D44" s="205"/>
      <c r="E44" s="196"/>
      <c r="F44" s="197"/>
      <c r="G44" s="196"/>
      <c r="H44" s="197"/>
      <c r="I44" s="199"/>
      <c r="J44" s="199"/>
      <c r="K44" s="199"/>
      <c r="L44" s="199"/>
      <c r="M44" s="199"/>
      <c r="N44" s="192"/>
      <c r="O44" s="178"/>
    </row>
    <row r="45" spans="1:22" ht="21.6" customHeight="1">
      <c r="A45" s="192"/>
      <c r="B45" s="202"/>
      <c r="C45" s="205"/>
      <c r="D45" s="205"/>
      <c r="E45" s="198" t="s">
        <v>10</v>
      </c>
      <c r="F45" s="198" t="s">
        <v>12</v>
      </c>
      <c r="G45" s="198" t="s">
        <v>14</v>
      </c>
      <c r="H45" s="198" t="s">
        <v>15</v>
      </c>
      <c r="I45" s="199"/>
      <c r="J45" s="199"/>
      <c r="K45" s="199"/>
      <c r="L45" s="199"/>
      <c r="M45" s="199"/>
      <c r="N45" s="192"/>
      <c r="O45" s="178"/>
    </row>
    <row r="46" spans="1:22" ht="21.6" customHeight="1">
      <c r="A46" s="193"/>
      <c r="B46" s="203"/>
      <c r="C46" s="206"/>
      <c r="D46" s="206"/>
      <c r="E46" s="200"/>
      <c r="F46" s="200"/>
      <c r="G46" s="200"/>
      <c r="H46" s="200"/>
      <c r="I46" s="200"/>
      <c r="J46" s="200"/>
      <c r="K46" s="200"/>
      <c r="L46" s="200"/>
      <c r="M46" s="200"/>
      <c r="N46" s="193"/>
      <c r="O46" s="178"/>
    </row>
    <row r="47" spans="1:22" s="2" customFormat="1" ht="21.6" customHeight="1">
      <c r="A47" s="21" t="s">
        <v>106</v>
      </c>
      <c r="B47" s="22"/>
      <c r="C47" s="34"/>
      <c r="D47" s="121">
        <f>SUM(D33:D42)</f>
        <v>61536.123500000002</v>
      </c>
      <c r="E47" s="43"/>
      <c r="F47" s="43"/>
      <c r="G47" s="43"/>
      <c r="H47" s="43"/>
      <c r="I47" s="43"/>
      <c r="J47" s="43"/>
      <c r="K47" s="43"/>
      <c r="L47" s="44"/>
      <c r="M47" s="44"/>
      <c r="N47" s="264">
        <f>SUM(N33:N42)</f>
        <v>1621830</v>
      </c>
      <c r="O47" s="153"/>
    </row>
    <row r="48" spans="1:22" ht="21.6" customHeight="1">
      <c r="A48" s="21" t="s">
        <v>7</v>
      </c>
      <c r="B48" s="22"/>
      <c r="C48" s="45"/>
      <c r="D48" s="72">
        <f>D47/D10</f>
        <v>268.71669650655025</v>
      </c>
      <c r="E48" s="46"/>
      <c r="F48" s="46"/>
      <c r="G48" s="46"/>
      <c r="H48" s="46"/>
      <c r="I48" s="46"/>
      <c r="J48" s="46"/>
      <c r="K48" s="46"/>
      <c r="L48" s="47"/>
      <c r="M48" s="47"/>
      <c r="N48" s="265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304" t="s">
        <v>52</v>
      </c>
      <c r="B49" s="212"/>
      <c r="C49" s="382" t="s">
        <v>147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21.6" customHeight="1">
      <c r="A50" s="213"/>
      <c r="B50" s="214"/>
      <c r="C50" s="76" t="s">
        <v>60</v>
      </c>
      <c r="D50" s="20">
        <f>D48*100/1320</f>
        <v>20.357325492920474</v>
      </c>
      <c r="E50" s="46"/>
      <c r="F50" s="46"/>
      <c r="G50" s="46"/>
      <c r="H50" s="46"/>
      <c r="I50" s="46"/>
      <c r="J50" s="48"/>
      <c r="K50" s="48"/>
      <c r="L50" s="47"/>
      <c r="M50" s="47"/>
      <c r="N50" s="179"/>
      <c r="O50" s="4"/>
      <c r="P50" s="2"/>
      <c r="Q50" s="2"/>
      <c r="R50" s="2"/>
      <c r="S50" s="2"/>
      <c r="T50" s="2"/>
      <c r="U50" s="2"/>
      <c r="V50" s="2"/>
      <c r="W50" s="2"/>
    </row>
    <row r="51" spans="1:23" ht="21.6" customHeight="1">
      <c r="A51" s="228" t="s">
        <v>113</v>
      </c>
      <c r="B51" s="229"/>
      <c r="C51" s="232"/>
      <c r="D51" s="305">
        <f>D28+D47</f>
        <v>162231.6128</v>
      </c>
      <c r="E51" s="123">
        <f t="shared" ref="E51:K51" si="4">SUM(E16:E42)</f>
        <v>3169.9096000000004</v>
      </c>
      <c r="F51" s="123">
        <f t="shared" si="4"/>
        <v>3123.6015200000002</v>
      </c>
      <c r="G51" s="123">
        <f t="shared" si="4"/>
        <v>3374.2719999999999</v>
      </c>
      <c r="H51" s="123">
        <f t="shared" si="4"/>
        <v>1445.44994</v>
      </c>
      <c r="I51" s="217">
        <f t="shared" si="4"/>
        <v>22674.764140000003</v>
      </c>
      <c r="J51" s="215">
        <f t="shared" si="4"/>
        <v>42713.670599999998</v>
      </c>
      <c r="K51" s="215">
        <f t="shared" si="4"/>
        <v>89.953783999999999</v>
      </c>
      <c r="L51" s="215"/>
      <c r="M51" s="215"/>
      <c r="N51" s="245">
        <f>N28+N47</f>
        <v>5037310</v>
      </c>
      <c r="U51" s="12"/>
      <c r="V51" s="12"/>
    </row>
    <row r="52" spans="1:23" ht="21.6" customHeight="1">
      <c r="A52" s="230"/>
      <c r="B52" s="231"/>
      <c r="C52" s="233"/>
      <c r="D52" s="306"/>
      <c r="E52" s="226">
        <f>E51+F51</f>
        <v>6293.511120000001</v>
      </c>
      <c r="F52" s="227"/>
      <c r="G52" s="226">
        <f>G51+H51</f>
        <v>4819.7219399999994</v>
      </c>
      <c r="H52" s="227"/>
      <c r="I52" s="218"/>
      <c r="J52" s="216"/>
      <c r="K52" s="216"/>
      <c r="L52" s="307"/>
      <c r="M52" s="307"/>
      <c r="N52" s="246"/>
      <c r="P52" s="373"/>
      <c r="Q52" s="375"/>
      <c r="R52" s="375"/>
      <c r="S52" s="375"/>
      <c r="T52" s="375"/>
      <c r="U52" s="386"/>
      <c r="V52" s="386"/>
    </row>
    <row r="53" spans="1:23" ht="21.6" customHeight="1">
      <c r="A53" s="268" t="s">
        <v>77</v>
      </c>
      <c r="B53" s="269"/>
      <c r="C53" s="270"/>
      <c r="D53" s="134">
        <f>D51/D10</f>
        <v>708.43499039301309</v>
      </c>
      <c r="E53" s="384">
        <f>E51/D10</f>
        <v>13.842400000000001</v>
      </c>
      <c r="F53" s="385">
        <f>F51/D10</f>
        <v>13.640181310043669</v>
      </c>
      <c r="G53" s="384">
        <f>G51/D10</f>
        <v>14.734812227074235</v>
      </c>
      <c r="H53" s="403">
        <f>H51/D10</f>
        <v>6.3120084716157203</v>
      </c>
      <c r="I53" s="209">
        <f>I51/D10</f>
        <v>99.016437292576427</v>
      </c>
      <c r="J53" s="302">
        <f>J51/D10</f>
        <v>186.52257903930129</v>
      </c>
      <c r="K53" s="302">
        <f>K51/D10</f>
        <v>0.39281128384279473</v>
      </c>
      <c r="L53" s="307"/>
      <c r="M53" s="307"/>
      <c r="N53" s="246"/>
      <c r="P53" s="389"/>
      <c r="Q53" s="375"/>
      <c r="R53" s="375"/>
      <c r="S53" s="375"/>
      <c r="T53" s="375"/>
      <c r="U53" s="375"/>
      <c r="V53" s="375"/>
    </row>
    <row r="54" spans="1:23" ht="21.6" customHeight="1">
      <c r="A54" s="271"/>
      <c r="B54" s="272"/>
      <c r="C54" s="273"/>
      <c r="D54" s="127"/>
      <c r="E54" s="387">
        <f>E53+F53</f>
        <v>27.48258131004367</v>
      </c>
      <c r="F54" s="388"/>
      <c r="G54" s="387">
        <f>G53+H53</f>
        <v>21.046820698689956</v>
      </c>
      <c r="H54" s="388"/>
      <c r="I54" s="210"/>
      <c r="J54" s="303"/>
      <c r="K54" s="303"/>
      <c r="L54" s="307"/>
      <c r="M54" s="307"/>
      <c r="N54" s="246"/>
      <c r="P54" s="373"/>
      <c r="Q54" s="373"/>
      <c r="R54" s="373"/>
      <c r="S54" s="373"/>
      <c r="T54" s="373"/>
      <c r="U54" s="373"/>
      <c r="V54" s="373"/>
    </row>
    <row r="55" spans="1:23" ht="21.6" customHeight="1">
      <c r="A55" s="316" t="s">
        <v>80</v>
      </c>
      <c r="B55" s="317"/>
      <c r="C55" s="318"/>
      <c r="D55" s="183" t="s">
        <v>28</v>
      </c>
      <c r="E55" s="236" t="s">
        <v>21</v>
      </c>
      <c r="F55" s="236"/>
      <c r="G55" s="236" t="s">
        <v>22</v>
      </c>
      <c r="H55" s="236"/>
      <c r="I55" s="180" t="s">
        <v>23</v>
      </c>
      <c r="J55" s="390">
        <v>600</v>
      </c>
      <c r="K55" s="390">
        <v>0.7</v>
      </c>
      <c r="L55" s="307"/>
      <c r="M55" s="307"/>
      <c r="N55" s="246"/>
      <c r="O55" s="391"/>
      <c r="P55" s="373"/>
      <c r="Q55" s="373"/>
      <c r="R55" s="373"/>
      <c r="S55" s="373"/>
      <c r="T55" s="373"/>
      <c r="U55" s="373"/>
      <c r="V55" s="373"/>
    </row>
    <row r="56" spans="1:23" ht="21.6" customHeight="1">
      <c r="A56" s="219" t="s">
        <v>78</v>
      </c>
      <c r="B56" s="220"/>
      <c r="C56" s="221"/>
      <c r="D56" s="49"/>
      <c r="E56" s="207">
        <f>E54*4.1</f>
        <v>112.67858337117904</v>
      </c>
      <c r="F56" s="208"/>
      <c r="G56" s="207">
        <f>G54*9</f>
        <v>189.42138628820959</v>
      </c>
      <c r="H56" s="208"/>
      <c r="I56" s="85">
        <f>I53*4.1</f>
        <v>405.96739289956332</v>
      </c>
      <c r="J56" s="254"/>
      <c r="K56" s="254"/>
      <c r="L56" s="307"/>
      <c r="M56" s="307"/>
      <c r="N56" s="246"/>
      <c r="O56" s="391"/>
      <c r="P56" s="392"/>
      <c r="Q56" s="374"/>
      <c r="R56" s="374"/>
      <c r="S56" s="374"/>
      <c r="T56" s="374"/>
      <c r="U56" s="373"/>
      <c r="V56" s="373"/>
    </row>
    <row r="57" spans="1:23" ht="21.6" customHeight="1">
      <c r="A57" s="222" t="s">
        <v>81</v>
      </c>
      <c r="B57" s="223"/>
      <c r="C57" s="219" t="s">
        <v>59</v>
      </c>
      <c r="D57" s="221"/>
      <c r="E57" s="297">
        <f>E56*100/D53</f>
        <v>15.905282051168761</v>
      </c>
      <c r="F57" s="298"/>
      <c r="G57" s="297">
        <f>G56*100/D53</f>
        <v>26.7380054425496</v>
      </c>
      <c r="H57" s="298"/>
      <c r="I57" s="116">
        <f>I56*100/D53</f>
        <v>57.304819553640044</v>
      </c>
      <c r="J57" s="255"/>
      <c r="K57" s="255"/>
      <c r="L57" s="307"/>
      <c r="M57" s="307"/>
      <c r="N57" s="246"/>
      <c r="O57" s="391"/>
      <c r="P57" s="373"/>
      <c r="Q57" s="373"/>
      <c r="R57" s="373"/>
      <c r="S57" s="373"/>
      <c r="T57" s="373"/>
      <c r="U57" s="373"/>
      <c r="V57" s="373"/>
    </row>
    <row r="58" spans="1:23" ht="18" customHeight="1">
      <c r="A58" s="224"/>
      <c r="B58" s="225"/>
      <c r="C58" s="219" t="s">
        <v>79</v>
      </c>
      <c r="D58" s="221"/>
      <c r="E58" s="219" t="s">
        <v>82</v>
      </c>
      <c r="F58" s="221"/>
      <c r="G58" s="219" t="s">
        <v>83</v>
      </c>
      <c r="H58" s="221"/>
      <c r="I58" s="183" t="s">
        <v>84</v>
      </c>
      <c r="J58" s="235"/>
      <c r="K58" s="235"/>
      <c r="L58" s="216"/>
      <c r="M58" s="216"/>
      <c r="N58" s="247"/>
      <c r="O58" s="391"/>
    </row>
    <row r="59" spans="1:23" ht="21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91"/>
      <c r="P59" s="132"/>
    </row>
    <row r="60" spans="1:23" ht="21" customHeight="1">
      <c r="A60" s="294" t="s">
        <v>114</v>
      </c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391"/>
    </row>
    <row r="61" spans="1:23" ht="21" customHeight="1">
      <c r="A61" s="117" t="s">
        <v>115</v>
      </c>
      <c r="B61" s="295" t="s">
        <v>116</v>
      </c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391"/>
    </row>
    <row r="62" spans="1:23" ht="21" customHeight="1">
      <c r="A62" s="118"/>
      <c r="B62" s="259" t="s">
        <v>200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391"/>
    </row>
    <row r="63" spans="1:23" ht="21" customHeight="1">
      <c r="A63" s="118"/>
      <c r="B63" s="259" t="s">
        <v>189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391"/>
    </row>
    <row r="64" spans="1:23" ht="21" customHeight="1">
      <c r="A64" s="118"/>
      <c r="B64" s="259" t="s">
        <v>169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391"/>
    </row>
    <row r="65" spans="1:15" ht="21" customHeight="1">
      <c r="A65" s="90"/>
      <c r="B65" s="260" t="s">
        <v>117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391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91"/>
    </row>
    <row r="67" spans="1:15" ht="22.2" customHeight="1">
      <c r="A67" s="261" t="s">
        <v>62</v>
      </c>
      <c r="B67" s="261"/>
      <c r="C67" s="261"/>
      <c r="D67" s="261"/>
      <c r="E67" s="393"/>
      <c r="F67" s="393"/>
      <c r="G67" s="393"/>
      <c r="H67" s="393"/>
      <c r="I67" s="393"/>
      <c r="J67" s="394" t="s">
        <v>33</v>
      </c>
      <c r="K67" s="394"/>
      <c r="L67" s="394"/>
      <c r="M67" s="394"/>
      <c r="N67" s="394"/>
      <c r="O67" s="391"/>
    </row>
    <row r="68" spans="1:15" ht="22.2" customHeight="1">
      <c r="A68" s="178"/>
      <c r="B68" s="178"/>
      <c r="C68" s="178"/>
      <c r="D68" s="393"/>
      <c r="E68" s="393"/>
      <c r="F68" s="393"/>
      <c r="G68" s="393"/>
      <c r="H68" s="395"/>
      <c r="I68" s="395"/>
      <c r="J68" s="395"/>
      <c r="K68" s="395"/>
      <c r="L68" s="395"/>
      <c r="M68" s="395"/>
      <c r="N68" s="395"/>
      <c r="O68" s="391"/>
    </row>
    <row r="69" spans="1:15" ht="22.2" customHeight="1">
      <c r="A69" s="178"/>
      <c r="B69" s="178"/>
      <c r="C69" s="178"/>
      <c r="D69" s="393"/>
      <c r="E69" s="393"/>
      <c r="F69" s="393"/>
      <c r="G69" s="393"/>
      <c r="H69" s="395"/>
      <c r="I69" s="395"/>
      <c r="J69" s="395"/>
      <c r="K69" s="395"/>
      <c r="L69" s="395"/>
      <c r="M69" s="395"/>
      <c r="N69" s="395"/>
      <c r="O69" s="391"/>
    </row>
    <row r="70" spans="1:15" ht="22.2" customHeight="1">
      <c r="A70" s="178"/>
      <c r="B70" s="178"/>
      <c r="C70" s="178"/>
      <c r="D70" s="393"/>
      <c r="E70" s="393"/>
      <c r="F70" s="393"/>
      <c r="G70" s="393"/>
      <c r="H70" s="395"/>
      <c r="I70" s="395"/>
      <c r="J70" s="396" t="s">
        <v>124</v>
      </c>
      <c r="K70" s="396"/>
      <c r="L70" s="396"/>
      <c r="M70" s="396"/>
      <c r="N70" s="396"/>
      <c r="O70" s="391"/>
    </row>
    <row r="71" spans="1:15" ht="22.2" customHeight="1">
      <c r="A71" s="262" t="s">
        <v>91</v>
      </c>
      <c r="B71" s="262"/>
      <c r="C71" s="262"/>
      <c r="D71" s="262"/>
      <c r="E71" s="393"/>
      <c r="F71" s="393"/>
      <c r="G71" s="393"/>
      <c r="H71" s="395"/>
      <c r="I71" s="395"/>
      <c r="J71" s="396"/>
      <c r="K71" s="396"/>
      <c r="L71" s="396"/>
      <c r="M71" s="396"/>
      <c r="N71" s="396"/>
      <c r="O71" s="391"/>
    </row>
    <row r="72" spans="1:15" ht="22.2" customHeight="1">
      <c r="A72" s="178"/>
      <c r="B72" s="178"/>
      <c r="C72" s="178"/>
      <c r="D72" s="393"/>
      <c r="E72" s="393"/>
      <c r="F72" s="393"/>
      <c r="G72" s="393"/>
      <c r="H72" s="395"/>
      <c r="I72" s="395"/>
      <c r="J72" s="395"/>
      <c r="K72" s="395"/>
      <c r="L72" s="395"/>
      <c r="M72" s="395"/>
      <c r="N72" s="395"/>
      <c r="O72" s="391"/>
    </row>
    <row r="73" spans="1:15" ht="18" customHeight="1">
      <c r="A73" s="178"/>
      <c r="B73" s="178"/>
      <c r="C73" s="178"/>
      <c r="D73" s="393"/>
      <c r="E73" s="393"/>
      <c r="F73" s="393"/>
      <c r="G73" s="393"/>
      <c r="H73" s="395"/>
      <c r="I73" s="395"/>
      <c r="J73" s="396" t="s">
        <v>127</v>
      </c>
      <c r="K73" s="396"/>
      <c r="L73" s="396"/>
      <c r="M73" s="396"/>
      <c r="N73" s="396"/>
      <c r="O73" s="391"/>
    </row>
    <row r="74" spans="1:15" ht="18" customHeight="1">
      <c r="A74" s="178"/>
      <c r="B74" s="178"/>
      <c r="C74" s="178"/>
      <c r="D74" s="393"/>
      <c r="E74" s="393"/>
      <c r="F74" s="393"/>
      <c r="G74" s="393"/>
      <c r="H74" s="395"/>
      <c r="I74" s="395"/>
      <c r="J74" s="396"/>
      <c r="K74" s="396"/>
      <c r="L74" s="396"/>
      <c r="M74" s="396"/>
      <c r="N74" s="396"/>
      <c r="O74" s="391"/>
    </row>
    <row r="75" spans="1:15" ht="18" customHeight="1">
      <c r="A75" s="178"/>
      <c r="B75" s="178"/>
      <c r="C75" s="178"/>
      <c r="D75" s="393"/>
      <c r="E75" s="393"/>
      <c r="F75" s="393"/>
      <c r="G75" s="393"/>
      <c r="H75" s="395"/>
      <c r="I75" s="395"/>
      <c r="J75" s="395"/>
      <c r="K75" s="395"/>
      <c r="L75" s="395"/>
      <c r="M75" s="395"/>
      <c r="N75" s="395"/>
      <c r="O75" s="391"/>
    </row>
    <row r="76" spans="1:15" ht="18" customHeight="1">
      <c r="A76" s="178"/>
      <c r="B76" s="178"/>
      <c r="C76" s="178"/>
      <c r="D76" s="393"/>
      <c r="E76" s="393"/>
      <c r="F76" s="393"/>
      <c r="G76" s="393"/>
      <c r="H76" s="395"/>
      <c r="I76" s="395"/>
      <c r="J76" s="395"/>
      <c r="K76" s="395"/>
      <c r="L76" s="395"/>
      <c r="M76" s="395"/>
      <c r="N76" s="395"/>
      <c r="O76" s="391"/>
    </row>
    <row r="77" spans="1:15" ht="18" customHeight="1">
      <c r="A77" s="178"/>
      <c r="B77" s="178"/>
      <c r="C77" s="178"/>
      <c r="D77" s="393"/>
      <c r="E77" s="393"/>
      <c r="F77" s="393"/>
      <c r="G77" s="393"/>
      <c r="H77" s="395"/>
      <c r="I77" s="395"/>
      <c r="J77" s="395"/>
      <c r="K77" s="395"/>
      <c r="L77" s="395"/>
      <c r="M77" s="395"/>
      <c r="N77" s="395"/>
      <c r="O77" s="391"/>
    </row>
    <row r="78" spans="1:15" ht="18" customHeight="1">
      <c r="A78" s="178"/>
      <c r="B78" s="178"/>
      <c r="C78" s="178"/>
      <c r="D78" s="393"/>
      <c r="E78" s="393"/>
      <c r="F78" s="393"/>
      <c r="G78" s="393"/>
      <c r="H78" s="395"/>
      <c r="I78" s="395"/>
      <c r="J78" s="395"/>
      <c r="K78" s="395"/>
      <c r="L78" s="395"/>
      <c r="M78" s="395"/>
      <c r="N78" s="395"/>
      <c r="O78" s="391"/>
    </row>
    <row r="79" spans="1:15" ht="18" customHeight="1">
      <c r="A79" s="178"/>
      <c r="B79" s="178"/>
      <c r="C79" s="178"/>
      <c r="D79" s="393"/>
      <c r="E79" s="393"/>
      <c r="F79" s="393"/>
      <c r="G79" s="393"/>
      <c r="H79" s="395"/>
      <c r="I79" s="395"/>
      <c r="J79" s="395"/>
      <c r="K79" s="395"/>
      <c r="L79" s="395"/>
      <c r="M79" s="395"/>
      <c r="N79" s="395"/>
      <c r="O79" s="391"/>
    </row>
    <row r="80" spans="1:15" ht="18" customHeight="1">
      <c r="A80" s="178"/>
      <c r="B80" s="178"/>
      <c r="C80" s="178"/>
      <c r="D80" s="393"/>
      <c r="E80" s="393"/>
      <c r="F80" s="393"/>
      <c r="G80" s="393"/>
      <c r="H80" s="395"/>
      <c r="I80" s="395"/>
      <c r="J80" s="395"/>
      <c r="K80" s="395"/>
      <c r="L80" s="395"/>
      <c r="M80" s="395"/>
      <c r="N80" s="395"/>
      <c r="O80" s="391"/>
    </row>
    <row r="81" spans="1:20" ht="18" customHeight="1">
      <c r="A81" s="178"/>
      <c r="B81" s="178"/>
      <c r="C81" s="178"/>
      <c r="D81" s="393"/>
      <c r="E81" s="393"/>
      <c r="F81" s="393"/>
      <c r="G81" s="393"/>
      <c r="H81" s="395"/>
      <c r="I81" s="395"/>
      <c r="J81" s="395"/>
      <c r="K81" s="395"/>
      <c r="L81" s="395"/>
      <c r="M81" s="395"/>
      <c r="N81" s="395"/>
      <c r="O81" s="391"/>
    </row>
    <row r="82" spans="1:20" ht="19.2" customHeight="1">
      <c r="A82" s="178"/>
      <c r="B82" s="178"/>
      <c r="C82" s="178"/>
      <c r="D82" s="393"/>
      <c r="E82" s="393"/>
      <c r="F82" s="393"/>
      <c r="G82" s="393"/>
      <c r="H82" s="395"/>
      <c r="I82" s="395"/>
      <c r="J82" s="395"/>
      <c r="K82" s="395"/>
      <c r="L82" s="395"/>
      <c r="M82" s="395"/>
      <c r="N82" s="395"/>
      <c r="O82" s="391"/>
    </row>
    <row r="83" spans="1:20" ht="19.2" customHeight="1">
      <c r="A83" s="11" t="s">
        <v>61</v>
      </c>
      <c r="B83" s="8"/>
      <c r="C83" s="8"/>
      <c r="D83" s="8"/>
      <c r="E83" s="8"/>
      <c r="F83" s="189" t="s">
        <v>32</v>
      </c>
      <c r="G83" s="189"/>
      <c r="H83" s="189"/>
      <c r="I83" s="189"/>
      <c r="J83" s="189"/>
      <c r="K83" s="189"/>
      <c r="L83" s="189"/>
      <c r="M83" s="189"/>
      <c r="N83" s="189"/>
      <c r="O83" s="376"/>
      <c r="P83" s="376"/>
      <c r="T83" s="2"/>
    </row>
    <row r="84" spans="1:20" ht="11.4" customHeight="1">
      <c r="A84" s="11"/>
      <c r="B84" s="8"/>
      <c r="C84" s="8"/>
      <c r="D84" s="8"/>
      <c r="E84" s="8"/>
      <c r="F84" s="182"/>
      <c r="G84" s="182"/>
      <c r="H84" s="182"/>
      <c r="I84" s="182"/>
      <c r="J84" s="182"/>
      <c r="K84" s="182"/>
      <c r="L84" s="182"/>
      <c r="M84" s="182"/>
      <c r="N84" s="182"/>
      <c r="O84" s="376"/>
      <c r="P84" s="376"/>
      <c r="T84" s="2"/>
    </row>
    <row r="85" spans="1:20" ht="19.2" customHeight="1">
      <c r="A85" s="8" t="s">
        <v>199</v>
      </c>
      <c r="B85" s="8"/>
      <c r="C85" s="8"/>
      <c r="D85" s="8"/>
      <c r="E85" s="8"/>
      <c r="F85" s="182"/>
      <c r="G85" s="182"/>
      <c r="H85" s="182"/>
      <c r="I85" s="182"/>
      <c r="J85" s="182"/>
      <c r="K85" s="182"/>
      <c r="L85" s="182"/>
      <c r="M85" s="182"/>
      <c r="N85" s="182"/>
      <c r="O85" s="376"/>
      <c r="P85" s="376"/>
      <c r="T85" s="2"/>
    </row>
    <row r="86" spans="1:20" ht="10.8" customHeight="1">
      <c r="A86" s="8"/>
      <c r="B86" s="8"/>
      <c r="C86" s="8"/>
      <c r="D86" s="8"/>
      <c r="E86" s="8"/>
      <c r="F86" s="182"/>
      <c r="G86" s="182"/>
      <c r="H86" s="182"/>
      <c r="I86" s="182"/>
      <c r="J86" s="182"/>
      <c r="K86" s="182"/>
      <c r="L86" s="182"/>
      <c r="M86" s="182"/>
      <c r="N86" s="182"/>
      <c r="O86" s="376"/>
      <c r="P86" s="376"/>
      <c r="T86" s="2"/>
    </row>
    <row r="87" spans="1:20" s="2" customFormat="1" ht="19.2" customHeight="1">
      <c r="A87" s="236" t="s">
        <v>97</v>
      </c>
      <c r="B87" s="236"/>
      <c r="C87" s="236"/>
      <c r="D87" s="236"/>
      <c r="E87" s="236" t="s">
        <v>89</v>
      </c>
      <c r="F87" s="236"/>
      <c r="G87" s="236"/>
      <c r="H87" s="236"/>
      <c r="I87" s="236"/>
      <c r="J87" s="236"/>
      <c r="K87" s="236"/>
      <c r="L87" s="236"/>
      <c r="M87" s="236"/>
      <c r="N87" s="236"/>
      <c r="O87" s="377"/>
    </row>
    <row r="88" spans="1:20" s="2" customFormat="1" ht="19.2" customHeight="1">
      <c r="A88" s="236"/>
      <c r="B88" s="236"/>
      <c r="C88" s="236"/>
      <c r="D88" s="236"/>
      <c r="E88" s="236" t="s">
        <v>100</v>
      </c>
      <c r="F88" s="236"/>
      <c r="G88" s="236"/>
      <c r="H88" s="236"/>
      <c r="I88" s="236"/>
      <c r="J88" s="236" t="s">
        <v>101</v>
      </c>
      <c r="K88" s="236"/>
      <c r="L88" s="236"/>
      <c r="M88" s="236"/>
      <c r="N88" s="236"/>
      <c r="O88" s="377"/>
    </row>
    <row r="89" spans="1:20" s="2" customFormat="1" ht="19.2" customHeight="1">
      <c r="A89" s="266" t="s">
        <v>90</v>
      </c>
      <c r="B89" s="266"/>
      <c r="C89" s="266"/>
      <c r="D89" s="266"/>
      <c r="E89" s="267" t="s">
        <v>144</v>
      </c>
      <c r="F89" s="267"/>
      <c r="G89" s="267"/>
      <c r="H89" s="267"/>
      <c r="I89" s="267"/>
      <c r="J89" s="266" t="s">
        <v>90</v>
      </c>
      <c r="K89" s="266"/>
      <c r="L89" s="266"/>
      <c r="M89" s="266"/>
      <c r="N89" s="266"/>
      <c r="O89" s="377"/>
    </row>
    <row r="90" spans="1:20" s="2" customFormat="1" ht="19.2" customHeight="1">
      <c r="A90" s="188" t="s">
        <v>132</v>
      </c>
      <c r="B90" s="188"/>
      <c r="C90" s="188"/>
      <c r="D90" s="188"/>
      <c r="E90" s="267"/>
      <c r="F90" s="267"/>
      <c r="G90" s="267"/>
      <c r="H90" s="267"/>
      <c r="I90" s="267"/>
      <c r="J90" s="188" t="s">
        <v>146</v>
      </c>
      <c r="K90" s="188"/>
      <c r="L90" s="188"/>
      <c r="M90" s="188"/>
      <c r="N90" s="188"/>
      <c r="O90" s="377"/>
    </row>
    <row r="91" spans="1:20" s="2" customFormat="1" ht="19.2" customHeight="1">
      <c r="A91" s="275" t="s">
        <v>160</v>
      </c>
      <c r="B91" s="275"/>
      <c r="C91" s="275"/>
      <c r="D91" s="275"/>
      <c r="E91" s="267"/>
      <c r="F91" s="267"/>
      <c r="G91" s="267"/>
      <c r="H91" s="267"/>
      <c r="I91" s="267"/>
      <c r="J91" s="275" t="s">
        <v>95</v>
      </c>
      <c r="K91" s="275"/>
      <c r="L91" s="275"/>
      <c r="M91" s="275"/>
      <c r="N91" s="275"/>
      <c r="O91" s="377"/>
    </row>
    <row r="92" spans="1:20" ht="19.2" customHeight="1">
      <c r="A92" s="276" t="s">
        <v>122</v>
      </c>
      <c r="B92" s="277"/>
      <c r="C92" s="278"/>
      <c r="D92" s="128">
        <v>62</v>
      </c>
      <c r="E92" s="8"/>
      <c r="F92" s="182"/>
      <c r="G92" s="182"/>
      <c r="H92" s="182"/>
      <c r="I92" s="182"/>
      <c r="J92" s="182"/>
      <c r="K92" s="182"/>
      <c r="L92" s="182"/>
      <c r="M92" s="182"/>
      <c r="N92" s="182"/>
      <c r="O92" s="376"/>
      <c r="P92" s="376"/>
      <c r="T92" s="2"/>
    </row>
    <row r="93" spans="1:20" ht="19.2" customHeight="1">
      <c r="A93" s="191" t="s">
        <v>0</v>
      </c>
      <c r="B93" s="201" t="s">
        <v>19</v>
      </c>
      <c r="C93" s="204" t="s">
        <v>8</v>
      </c>
      <c r="D93" s="204" t="s">
        <v>9</v>
      </c>
      <c r="E93" s="194" t="s">
        <v>11</v>
      </c>
      <c r="F93" s="195"/>
      <c r="G93" s="194" t="s">
        <v>13</v>
      </c>
      <c r="H93" s="195"/>
      <c r="I93" s="198" t="s">
        <v>16</v>
      </c>
      <c r="J93" s="198" t="s">
        <v>41</v>
      </c>
      <c r="K93" s="198" t="s">
        <v>42</v>
      </c>
      <c r="L93" s="198" t="s">
        <v>17</v>
      </c>
      <c r="M93" s="198" t="s">
        <v>40</v>
      </c>
      <c r="N93" s="191" t="s">
        <v>18</v>
      </c>
      <c r="O93" s="378"/>
    </row>
    <row r="94" spans="1:20" ht="19.2" customHeight="1">
      <c r="A94" s="192"/>
      <c r="B94" s="202"/>
      <c r="C94" s="205"/>
      <c r="D94" s="205"/>
      <c r="E94" s="196"/>
      <c r="F94" s="197"/>
      <c r="G94" s="196"/>
      <c r="H94" s="197"/>
      <c r="I94" s="199"/>
      <c r="J94" s="199"/>
      <c r="K94" s="199"/>
      <c r="L94" s="199"/>
      <c r="M94" s="199"/>
      <c r="N94" s="192"/>
      <c r="O94" s="178"/>
    </row>
    <row r="95" spans="1:20" ht="19.2" customHeight="1">
      <c r="A95" s="192"/>
      <c r="B95" s="202"/>
      <c r="C95" s="205"/>
      <c r="D95" s="205"/>
      <c r="E95" s="198" t="s">
        <v>10</v>
      </c>
      <c r="F95" s="198" t="s">
        <v>12</v>
      </c>
      <c r="G95" s="198" t="s">
        <v>14</v>
      </c>
      <c r="H95" s="198" t="s">
        <v>15</v>
      </c>
      <c r="I95" s="199"/>
      <c r="J95" s="199"/>
      <c r="K95" s="199"/>
      <c r="L95" s="199"/>
      <c r="M95" s="199"/>
      <c r="N95" s="192"/>
      <c r="O95" s="178"/>
    </row>
    <row r="96" spans="1:20" ht="19.2" customHeight="1">
      <c r="A96" s="193"/>
      <c r="B96" s="203"/>
      <c r="C96" s="206"/>
      <c r="D96" s="206"/>
      <c r="E96" s="200"/>
      <c r="F96" s="200"/>
      <c r="G96" s="200"/>
      <c r="H96" s="200"/>
      <c r="I96" s="200"/>
      <c r="J96" s="200"/>
      <c r="K96" s="200"/>
      <c r="L96" s="200"/>
      <c r="M96" s="200"/>
      <c r="N96" s="193"/>
      <c r="O96" s="178"/>
    </row>
    <row r="97" spans="1:23" ht="18.600000000000001" customHeight="1">
      <c r="A97" s="238" t="s">
        <v>39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40"/>
      <c r="O97" s="178"/>
    </row>
    <row r="98" spans="1:23" ht="18.600000000000001" customHeight="1">
      <c r="A98" s="17">
        <v>1</v>
      </c>
      <c r="B98" s="6" t="s">
        <v>123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28">
        <v>4200</v>
      </c>
      <c r="O98" s="411"/>
    </row>
    <row r="99" spans="1:23" s="2" customFormat="1" ht="18.600000000000001" customHeight="1">
      <c r="A99" s="9">
        <v>2</v>
      </c>
      <c r="B99" s="10" t="s">
        <v>2</v>
      </c>
      <c r="C99" s="23">
        <f>L99/100*100</f>
        <v>80</v>
      </c>
      <c r="D99" s="24">
        <f>C99/100*60</f>
        <v>48</v>
      </c>
      <c r="E99" s="25">
        <f>C99/100*15</f>
        <v>12</v>
      </c>
      <c r="F99" s="25"/>
      <c r="G99" s="25"/>
      <c r="H99" s="25"/>
      <c r="I99" s="25"/>
      <c r="J99" s="27">
        <f>C99/100*387</f>
        <v>309.60000000000002</v>
      </c>
      <c r="K99" s="27">
        <f>C99/100*0.09</f>
        <v>7.1999999999999995E-2</v>
      </c>
      <c r="L99" s="137">
        <v>80</v>
      </c>
      <c r="M99" s="75">
        <v>20</v>
      </c>
      <c r="N99" s="28">
        <f>L99*M99</f>
        <v>1600</v>
      </c>
      <c r="O99" s="380"/>
    </row>
    <row r="100" spans="1:23" s="2" customFormat="1" ht="18.600000000000001" customHeight="1">
      <c r="A100" s="9">
        <v>3</v>
      </c>
      <c r="B100" s="79" t="s">
        <v>139</v>
      </c>
      <c r="C100" s="23">
        <f>L100/100*100</f>
        <v>500</v>
      </c>
      <c r="D100" s="24">
        <f>C100/100*899</f>
        <v>4495</v>
      </c>
      <c r="E100" s="25"/>
      <c r="F100" s="25"/>
      <c r="G100" s="25">
        <f>C100/100*100</f>
        <v>500</v>
      </c>
      <c r="H100" s="25"/>
      <c r="I100" s="25"/>
      <c r="J100" s="25"/>
      <c r="K100" s="25"/>
      <c r="L100" s="137">
        <v>500</v>
      </c>
      <c r="M100" s="24">
        <v>69</v>
      </c>
      <c r="N100" s="28">
        <f t="shared" ref="N100:N107" si="5">L100*M100</f>
        <v>34500</v>
      </c>
      <c r="O100" s="383"/>
    </row>
    <row r="101" spans="1:23" s="2" customFormat="1" ht="18.600000000000001" customHeight="1">
      <c r="A101" s="9">
        <v>4</v>
      </c>
      <c r="B101" s="5" t="s">
        <v>1</v>
      </c>
      <c r="C101" s="23">
        <f>L101/100*100</f>
        <v>2666</v>
      </c>
      <c r="D101" s="24">
        <f>C101/100*360.7</f>
        <v>9616.2620000000006</v>
      </c>
      <c r="E101" s="25"/>
      <c r="F101" s="25">
        <f>C101/100*7.9</f>
        <v>210.614</v>
      </c>
      <c r="G101" s="25"/>
      <c r="H101" s="25">
        <f>C101/100*1</f>
        <v>26.66</v>
      </c>
      <c r="I101" s="25">
        <f>C101/100*72.91</f>
        <v>1943.7805999999998</v>
      </c>
      <c r="J101" s="27">
        <f>C101/100*30</f>
        <v>799.8</v>
      </c>
      <c r="K101" s="27">
        <f>C101/100*0.1</f>
        <v>2.6660000000000004</v>
      </c>
      <c r="L101" s="137">
        <v>2666</v>
      </c>
      <c r="M101" s="75">
        <v>18</v>
      </c>
      <c r="N101" s="28">
        <f t="shared" si="5"/>
        <v>47988</v>
      </c>
      <c r="O101" s="380"/>
    </row>
    <row r="102" spans="1:23" s="2" customFormat="1" ht="18.600000000000001" customHeight="1">
      <c r="A102" s="9">
        <v>5</v>
      </c>
      <c r="B102" s="5" t="s">
        <v>93</v>
      </c>
      <c r="C102" s="23">
        <f>L102/100*81.7</f>
        <v>1111.1200000000001</v>
      </c>
      <c r="D102" s="24">
        <f>C102/100*27</f>
        <v>300.00240000000008</v>
      </c>
      <c r="E102" s="29"/>
      <c r="F102" s="29">
        <f>C102/100*0.3</f>
        <v>3.3333600000000003</v>
      </c>
      <c r="G102" s="29"/>
      <c r="H102" s="29">
        <f>C102/100*0.1</f>
        <v>1.1111200000000003</v>
      </c>
      <c r="I102" s="29">
        <f>C102/100*6.1</f>
        <v>67.778320000000008</v>
      </c>
      <c r="J102" s="71">
        <f>C102/100*24</f>
        <v>266.66880000000003</v>
      </c>
      <c r="K102" s="71">
        <f>C102/100*0.06</f>
        <v>0.66667200000000004</v>
      </c>
      <c r="L102" s="379">
        <v>1360</v>
      </c>
      <c r="M102" s="26">
        <v>22</v>
      </c>
      <c r="N102" s="28">
        <f t="shared" si="5"/>
        <v>29920</v>
      </c>
      <c r="O102" s="153"/>
      <c r="Q102" s="3"/>
      <c r="R102" s="3"/>
      <c r="S102" s="4"/>
    </row>
    <row r="103" spans="1:23" s="2" customFormat="1" ht="18.600000000000001" customHeight="1">
      <c r="A103" s="9">
        <v>6</v>
      </c>
      <c r="B103" s="5" t="s">
        <v>4</v>
      </c>
      <c r="C103" s="23">
        <f>L103/100*98.5</f>
        <v>492.5</v>
      </c>
      <c r="D103" s="24">
        <f>C103/100*39</f>
        <v>192.07499999999999</v>
      </c>
      <c r="E103" s="29"/>
      <c r="F103" s="29">
        <f>C103/100*1.5</f>
        <v>7.3874999999999993</v>
      </c>
      <c r="G103" s="29"/>
      <c r="H103" s="29">
        <f>C103/100*0.2</f>
        <v>0.98499999999999999</v>
      </c>
      <c r="I103" s="29">
        <f>C103/100*7.8</f>
        <v>38.414999999999999</v>
      </c>
      <c r="J103" s="71">
        <f>C103/100*43</f>
        <v>211.77500000000001</v>
      </c>
      <c r="K103" s="71">
        <f>C103/100*0.06</f>
        <v>0.29549999999999998</v>
      </c>
      <c r="L103" s="379">
        <v>500</v>
      </c>
      <c r="M103" s="26">
        <v>17</v>
      </c>
      <c r="N103" s="28">
        <f t="shared" si="5"/>
        <v>8500</v>
      </c>
      <c r="O103" s="153"/>
      <c r="Q103" s="3"/>
      <c r="R103" s="3"/>
      <c r="S103" s="4"/>
    </row>
    <row r="104" spans="1:23" s="2" customFormat="1" ht="18.600000000000001" customHeight="1">
      <c r="A104" s="9">
        <v>7</v>
      </c>
      <c r="B104" s="5" t="s">
        <v>134</v>
      </c>
      <c r="C104" s="23">
        <f>L104/100*100</f>
        <v>50</v>
      </c>
      <c r="D104" s="24">
        <f>C104/100*247</f>
        <v>123.5</v>
      </c>
      <c r="E104" s="29"/>
      <c r="F104" s="29">
        <f>C104/100*17.5</f>
        <v>8.75</v>
      </c>
      <c r="G104" s="29"/>
      <c r="H104" s="29">
        <f>C104/100*1.6</f>
        <v>0.8</v>
      </c>
      <c r="I104" s="29">
        <f>C104/100*39.2</f>
        <v>19.600000000000001</v>
      </c>
      <c r="J104" s="71"/>
      <c r="K104" s="71"/>
      <c r="L104" s="379">
        <v>50</v>
      </c>
      <c r="M104" s="75">
        <v>50</v>
      </c>
      <c r="N104" s="28">
        <f t="shared" si="5"/>
        <v>2500</v>
      </c>
      <c r="O104" s="153"/>
      <c r="Q104" s="3"/>
      <c r="R104" s="3"/>
      <c r="S104" s="4"/>
      <c r="T104" s="3"/>
    </row>
    <row r="105" spans="1:23" s="2" customFormat="1" ht="18.600000000000001" customHeight="1">
      <c r="A105" s="9">
        <v>8</v>
      </c>
      <c r="B105" s="10" t="s">
        <v>74</v>
      </c>
      <c r="C105" s="23">
        <f>L105/100*98</f>
        <v>490</v>
      </c>
      <c r="D105" s="24">
        <f>C105/100*139</f>
        <v>681.1</v>
      </c>
      <c r="E105" s="25">
        <f>C105/100*19</f>
        <v>93.100000000000009</v>
      </c>
      <c r="F105" s="25"/>
      <c r="G105" s="25">
        <f>C105/100*7</f>
        <v>34.300000000000004</v>
      </c>
      <c r="H105" s="25"/>
      <c r="I105" s="25"/>
      <c r="J105" s="25">
        <f>C105/100*7</f>
        <v>34.300000000000004</v>
      </c>
      <c r="K105" s="25">
        <f>C105/100*0.9</f>
        <v>4.41</v>
      </c>
      <c r="L105" s="137">
        <v>500</v>
      </c>
      <c r="M105" s="75">
        <v>133</v>
      </c>
      <c r="N105" s="28">
        <f t="shared" si="5"/>
        <v>66500</v>
      </c>
      <c r="O105" s="153"/>
    </row>
    <row r="106" spans="1:23" s="2" customFormat="1" ht="18.600000000000001" customHeight="1">
      <c r="A106" s="9">
        <v>9</v>
      </c>
      <c r="B106" s="79" t="s">
        <v>3</v>
      </c>
      <c r="C106" s="23">
        <f>L106/100*98</f>
        <v>1852.1999999999998</v>
      </c>
      <c r="D106" s="24">
        <f>C106/100*118</f>
        <v>2185.596</v>
      </c>
      <c r="E106" s="25">
        <f>C106/100*21</f>
        <v>388.96199999999999</v>
      </c>
      <c r="F106" s="25"/>
      <c r="G106" s="25">
        <f>C106/100*3.8</f>
        <v>70.383599999999987</v>
      </c>
      <c r="H106" s="25"/>
      <c r="I106" s="25"/>
      <c r="J106" s="25">
        <f>C106/100*12</f>
        <v>222.26399999999998</v>
      </c>
      <c r="K106" s="25">
        <f>C106/100*0.1</f>
        <v>1.8521999999999998</v>
      </c>
      <c r="L106" s="137">
        <v>1890</v>
      </c>
      <c r="M106" s="75">
        <v>270</v>
      </c>
      <c r="N106" s="28">
        <f t="shared" si="5"/>
        <v>510300</v>
      </c>
      <c r="O106" s="153"/>
    </row>
    <row r="107" spans="1:23" s="2" customFormat="1" ht="18.600000000000001" customHeight="1">
      <c r="A107" s="9">
        <v>10</v>
      </c>
      <c r="B107" s="5" t="s">
        <v>20</v>
      </c>
      <c r="C107" s="23">
        <f>L107/100*95</f>
        <v>703</v>
      </c>
      <c r="D107" s="24">
        <f>C107/100*20</f>
        <v>140.6</v>
      </c>
      <c r="E107" s="25"/>
      <c r="F107" s="25">
        <f>C107/100*0.6</f>
        <v>4.218</v>
      </c>
      <c r="G107" s="25"/>
      <c r="H107" s="25">
        <f>C107/100*0.2</f>
        <v>1.4060000000000001</v>
      </c>
      <c r="I107" s="25">
        <f>C107/100*4</f>
        <v>28.12</v>
      </c>
      <c r="J107" s="71">
        <f>C107/100*12</f>
        <v>84.36</v>
      </c>
      <c r="K107" s="71">
        <f>C107/100*0.04</f>
        <v>0.28120000000000001</v>
      </c>
      <c r="L107" s="30">
        <v>740</v>
      </c>
      <c r="M107" s="75">
        <v>22</v>
      </c>
      <c r="N107" s="28">
        <f t="shared" si="5"/>
        <v>16280</v>
      </c>
      <c r="O107" s="153"/>
      <c r="Q107" s="3"/>
      <c r="R107" s="3"/>
    </row>
    <row r="108" spans="1:23" s="2" customFormat="1" ht="18.600000000000001" customHeight="1">
      <c r="A108" s="21" t="s">
        <v>118</v>
      </c>
      <c r="B108" s="22"/>
      <c r="C108" s="34"/>
      <c r="D108" s="121">
        <f>SUM(D98:D107)</f>
        <v>17782.135399999999</v>
      </c>
      <c r="E108" s="43"/>
      <c r="F108" s="43"/>
      <c r="G108" s="43"/>
      <c r="H108" s="43"/>
      <c r="I108" s="43"/>
      <c r="J108" s="43"/>
      <c r="K108" s="43"/>
      <c r="L108" s="44"/>
      <c r="M108" s="44"/>
      <c r="N108" s="279">
        <f>SUM(N98:N107)</f>
        <v>722288</v>
      </c>
      <c r="O108" s="153"/>
    </row>
    <row r="109" spans="1:23" ht="18.600000000000001" customHeight="1">
      <c r="A109" s="21" t="s">
        <v>37</v>
      </c>
      <c r="B109" s="22"/>
      <c r="C109" s="45"/>
      <c r="D109" s="46">
        <f>D108/D92</f>
        <v>286.80863548387094</v>
      </c>
      <c r="E109" s="46"/>
      <c r="F109" s="46"/>
      <c r="G109" s="46"/>
      <c r="H109" s="46"/>
      <c r="I109" s="46"/>
      <c r="J109" s="46"/>
      <c r="K109" s="46"/>
      <c r="L109" s="47"/>
      <c r="M109" s="47"/>
      <c r="N109" s="281"/>
      <c r="O109" s="4"/>
      <c r="P109" s="2"/>
      <c r="Q109" s="2"/>
      <c r="R109" s="2"/>
      <c r="S109" s="2"/>
      <c r="T109" s="2"/>
      <c r="U109" s="2"/>
      <c r="V109" s="2"/>
    </row>
    <row r="110" spans="1:23" ht="18.600000000000001" customHeight="1">
      <c r="A110" s="304" t="s">
        <v>53</v>
      </c>
      <c r="B110" s="212"/>
      <c r="C110" s="382" t="s">
        <v>147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9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.600000000000001" customHeight="1">
      <c r="A111" s="213"/>
      <c r="B111" s="214"/>
      <c r="C111" s="76" t="s">
        <v>60</v>
      </c>
      <c r="D111" s="78">
        <f>D109*100/930</f>
        <v>30.839638224072143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9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.600000000000001" customHeight="1">
      <c r="A112" s="274" t="s">
        <v>38</v>
      </c>
      <c r="B112" s="274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3" s="2" customFormat="1" ht="18.600000000000001" customHeight="1">
      <c r="A113" s="14">
        <v>1</v>
      </c>
      <c r="B113" s="6" t="s">
        <v>123</v>
      </c>
      <c r="C113" s="39"/>
      <c r="D113" s="412"/>
      <c r="E113" s="40"/>
      <c r="F113" s="40"/>
      <c r="G113" s="40"/>
      <c r="H113" s="40"/>
      <c r="I113" s="40"/>
      <c r="J113" s="40"/>
      <c r="K113" s="40"/>
      <c r="L113" s="41"/>
      <c r="M113" s="41"/>
      <c r="N113" s="42">
        <v>4200</v>
      </c>
      <c r="O113" s="153"/>
    </row>
    <row r="114" spans="1:23" s="2" customFormat="1" ht="18.600000000000001" customHeight="1">
      <c r="A114" s="9">
        <v>2</v>
      </c>
      <c r="B114" s="5" t="s">
        <v>1</v>
      </c>
      <c r="C114" s="23">
        <f>L114/100*100</f>
        <v>2604</v>
      </c>
      <c r="D114" s="24">
        <f>C114/100*360.7</f>
        <v>9392.6279999999988</v>
      </c>
      <c r="E114" s="25"/>
      <c r="F114" s="25">
        <f>C114/100*7.9</f>
        <v>205.71600000000001</v>
      </c>
      <c r="G114" s="25"/>
      <c r="H114" s="25">
        <f>C114/100*1</f>
        <v>26.04</v>
      </c>
      <c r="I114" s="25">
        <f>C114/100*72.91</f>
        <v>1898.5763999999999</v>
      </c>
      <c r="J114" s="27">
        <f>C114/100*30</f>
        <v>781.19999999999993</v>
      </c>
      <c r="K114" s="27">
        <f>C114/100*0.1</f>
        <v>2.6040000000000001</v>
      </c>
      <c r="L114" s="26">
        <v>2604</v>
      </c>
      <c r="M114" s="75">
        <v>18</v>
      </c>
      <c r="N114" s="135">
        <f>L114*M114</f>
        <v>46872</v>
      </c>
      <c r="O114" s="380"/>
    </row>
    <row r="115" spans="1:23" s="2" customFormat="1" ht="18.600000000000001" customHeight="1">
      <c r="A115" s="9">
        <v>3</v>
      </c>
      <c r="B115" s="10" t="s">
        <v>2</v>
      </c>
      <c r="C115" s="23">
        <f>L115/100*100</f>
        <v>80</v>
      </c>
      <c r="D115" s="24">
        <f>C115/100*60</f>
        <v>48</v>
      </c>
      <c r="E115" s="25">
        <f>C115/100*15</f>
        <v>12</v>
      </c>
      <c r="F115" s="25"/>
      <c r="G115" s="25"/>
      <c r="H115" s="25"/>
      <c r="I115" s="25"/>
      <c r="J115" s="27">
        <f>C115/100*387</f>
        <v>309.60000000000002</v>
      </c>
      <c r="K115" s="27">
        <f>C115/100*0.09</f>
        <v>7.1999999999999995E-2</v>
      </c>
      <c r="L115" s="26">
        <v>80</v>
      </c>
      <c r="M115" s="75">
        <v>20</v>
      </c>
      <c r="N115" s="135">
        <f t="shared" ref="N115:N121" si="6">L115*M115</f>
        <v>1600</v>
      </c>
      <c r="O115" s="380"/>
    </row>
    <row r="116" spans="1:23" s="2" customFormat="1" ht="18.600000000000001" customHeight="1">
      <c r="A116" s="9">
        <v>4</v>
      </c>
      <c r="B116" s="79" t="s">
        <v>139</v>
      </c>
      <c r="C116" s="23">
        <f>L116/100*100</f>
        <v>120</v>
      </c>
      <c r="D116" s="24">
        <f>C116/100*900</f>
        <v>1080</v>
      </c>
      <c r="E116" s="25"/>
      <c r="F116" s="25"/>
      <c r="G116" s="25">
        <f>C116/100*100</f>
        <v>120</v>
      </c>
      <c r="H116" s="25">
        <f>C116/100*100</f>
        <v>120</v>
      </c>
      <c r="I116" s="25"/>
      <c r="J116" s="27"/>
      <c r="K116" s="27"/>
      <c r="L116" s="26">
        <v>120</v>
      </c>
      <c r="M116" s="75">
        <v>69</v>
      </c>
      <c r="N116" s="135">
        <f t="shared" si="6"/>
        <v>8280</v>
      </c>
      <c r="O116" s="153"/>
    </row>
    <row r="117" spans="1:23" s="2" customFormat="1" ht="18.600000000000001" customHeight="1">
      <c r="A117" s="9">
        <v>5</v>
      </c>
      <c r="B117" s="10" t="s">
        <v>137</v>
      </c>
      <c r="C117" s="23">
        <f>L117/100*100</f>
        <v>310</v>
      </c>
      <c r="D117" s="24">
        <f>C117/100*53</f>
        <v>164.3</v>
      </c>
      <c r="E117" s="25"/>
      <c r="F117" s="25">
        <f>C117/100*6.3</f>
        <v>19.53</v>
      </c>
      <c r="G117" s="25"/>
      <c r="H117" s="25">
        <f>C117/100*0.04</f>
        <v>0.12400000000000001</v>
      </c>
      <c r="I117" s="25">
        <f>C117/100*6.8</f>
        <v>21.08</v>
      </c>
      <c r="J117" s="27">
        <f>C117/100*19</f>
        <v>58.9</v>
      </c>
      <c r="K117" s="27">
        <f>C117/100*0.03</f>
        <v>9.2999999999999999E-2</v>
      </c>
      <c r="L117" s="26">
        <v>310</v>
      </c>
      <c r="M117" s="75">
        <v>45</v>
      </c>
      <c r="N117" s="135">
        <f t="shared" si="6"/>
        <v>13950</v>
      </c>
      <c r="O117" s="380"/>
    </row>
    <row r="118" spans="1:23" s="2" customFormat="1" ht="18.600000000000001" customHeight="1">
      <c r="A118" s="9">
        <v>6</v>
      </c>
      <c r="B118" s="5" t="s">
        <v>75</v>
      </c>
      <c r="C118" s="23">
        <f>L118/100*75</f>
        <v>1110</v>
      </c>
      <c r="D118" s="24">
        <f>C118/100*12</f>
        <v>133.19999999999999</v>
      </c>
      <c r="E118" s="25">
        <f>C118/100*0.6</f>
        <v>6.6599999999999993</v>
      </c>
      <c r="F118" s="25"/>
      <c r="G118" s="25"/>
      <c r="H118" s="25"/>
      <c r="I118" s="25">
        <f>C118/100*2.4</f>
        <v>26.639999999999997</v>
      </c>
      <c r="J118" s="27">
        <f>C118/100*26</f>
        <v>288.59999999999997</v>
      </c>
      <c r="K118" s="27">
        <f>C118/100*0.02</f>
        <v>0.222</v>
      </c>
      <c r="L118" s="26">
        <v>1480</v>
      </c>
      <c r="M118" s="26">
        <v>20</v>
      </c>
      <c r="N118" s="135">
        <f t="shared" si="6"/>
        <v>29600</v>
      </c>
      <c r="O118" s="153"/>
    </row>
    <row r="119" spans="1:23" s="2" customFormat="1" ht="18.600000000000001" customHeight="1">
      <c r="A119" s="9">
        <v>7</v>
      </c>
      <c r="B119" s="5" t="s">
        <v>4</v>
      </c>
      <c r="C119" s="23">
        <f>L119/100*98.5</f>
        <v>492.5</v>
      </c>
      <c r="D119" s="24">
        <f>C119/100*39</f>
        <v>192.07499999999999</v>
      </c>
      <c r="E119" s="29"/>
      <c r="F119" s="29">
        <f>C119/100*1.5</f>
        <v>7.3874999999999993</v>
      </c>
      <c r="G119" s="169"/>
      <c r="H119" s="29">
        <f>C119/100*0.2</f>
        <v>0.98499999999999999</v>
      </c>
      <c r="I119" s="29">
        <f>C119/100*7.8</f>
        <v>38.414999999999999</v>
      </c>
      <c r="J119" s="71">
        <f>C119/100*43</f>
        <v>211.77500000000001</v>
      </c>
      <c r="K119" s="71">
        <f>C119/100*0.06</f>
        <v>0.29549999999999998</v>
      </c>
      <c r="L119" s="30">
        <v>500</v>
      </c>
      <c r="M119" s="26">
        <v>17</v>
      </c>
      <c r="N119" s="135">
        <f t="shared" si="6"/>
        <v>8500</v>
      </c>
      <c r="O119" s="153"/>
      <c r="Q119" s="3"/>
      <c r="R119" s="3"/>
      <c r="S119" s="4"/>
    </row>
    <row r="120" spans="1:23" s="2" customFormat="1" ht="18.600000000000001" customHeight="1">
      <c r="A120" s="9">
        <v>8</v>
      </c>
      <c r="B120" s="10" t="s">
        <v>64</v>
      </c>
      <c r="C120" s="23">
        <f>L120/100*40</f>
        <v>1612</v>
      </c>
      <c r="D120" s="24">
        <f>C120/100*276</f>
        <v>4449.12</v>
      </c>
      <c r="E120" s="25">
        <f>C120/100*17.8</f>
        <v>286.93600000000004</v>
      </c>
      <c r="F120" s="136"/>
      <c r="G120" s="25">
        <f>C120/100*21.8</f>
        <v>351.41600000000005</v>
      </c>
      <c r="H120" s="25"/>
      <c r="I120" s="25"/>
      <c r="J120" s="27">
        <f>C120/100*13</f>
        <v>209.56</v>
      </c>
      <c r="K120" s="27">
        <f>C120/100*0.07</f>
        <v>1.1284000000000001</v>
      </c>
      <c r="L120" s="26">
        <v>4030</v>
      </c>
      <c r="M120" s="75">
        <v>63</v>
      </c>
      <c r="N120" s="135">
        <f t="shared" si="6"/>
        <v>253890</v>
      </c>
      <c r="O120" s="153"/>
    </row>
    <row r="121" spans="1:23" s="2" customFormat="1" ht="18.600000000000001" customHeight="1">
      <c r="A121" s="9">
        <v>9</v>
      </c>
      <c r="B121" s="5" t="s">
        <v>134</v>
      </c>
      <c r="C121" s="23">
        <f>L121/100*100</f>
        <v>50</v>
      </c>
      <c r="D121" s="24">
        <f>C121/100*247</f>
        <v>123.5</v>
      </c>
      <c r="E121" s="29"/>
      <c r="F121" s="29">
        <f>C121/100*17.5</f>
        <v>8.75</v>
      </c>
      <c r="G121" s="29"/>
      <c r="H121" s="29">
        <f>C121/100*1.6</f>
        <v>0.8</v>
      </c>
      <c r="I121" s="29">
        <f>C121/100*39.2</f>
        <v>19.600000000000001</v>
      </c>
      <c r="J121" s="71"/>
      <c r="K121" s="71"/>
      <c r="L121" s="379">
        <v>50</v>
      </c>
      <c r="M121" s="75">
        <v>50</v>
      </c>
      <c r="N121" s="28">
        <f t="shared" si="6"/>
        <v>2500</v>
      </c>
      <c r="O121" s="153"/>
      <c r="Q121" s="3"/>
      <c r="R121" s="3"/>
      <c r="S121" s="4"/>
      <c r="T121" s="3"/>
    </row>
    <row r="122" spans="1:23" s="2" customFormat="1" ht="18.600000000000001" customHeight="1">
      <c r="A122" s="21" t="s">
        <v>119</v>
      </c>
      <c r="B122" s="22"/>
      <c r="C122" s="34"/>
      <c r="D122" s="121">
        <f>SUM(D113:D121)</f>
        <v>15582.823</v>
      </c>
      <c r="E122" s="43"/>
      <c r="F122" s="43"/>
      <c r="G122" s="43"/>
      <c r="H122" s="43"/>
      <c r="I122" s="43"/>
      <c r="J122" s="43"/>
      <c r="K122" s="43"/>
      <c r="L122" s="44"/>
      <c r="M122" s="44"/>
      <c r="N122" s="279">
        <f>SUM(N113:N121)</f>
        <v>369392</v>
      </c>
      <c r="O122" s="153"/>
    </row>
    <row r="123" spans="1:23" ht="18.600000000000001" customHeight="1">
      <c r="A123" s="21" t="s">
        <v>36</v>
      </c>
      <c r="B123" s="22"/>
      <c r="C123" s="61"/>
      <c r="D123" s="48">
        <f>D122/D92</f>
        <v>251.33585483870968</v>
      </c>
      <c r="E123" s="48"/>
      <c r="F123" s="48"/>
      <c r="G123" s="48"/>
      <c r="H123" s="48"/>
      <c r="I123" s="48"/>
      <c r="J123" s="48"/>
      <c r="K123" s="48"/>
      <c r="L123" s="62"/>
      <c r="M123" s="47"/>
      <c r="N123" s="280"/>
      <c r="O123" s="4"/>
      <c r="P123" s="2"/>
      <c r="Q123" s="2"/>
      <c r="R123" s="2"/>
      <c r="S123" s="2"/>
      <c r="T123" s="2"/>
      <c r="U123" s="2"/>
      <c r="V123" s="2"/>
    </row>
    <row r="124" spans="1:23" ht="18.600000000000001" customHeight="1">
      <c r="A124" s="304" t="s">
        <v>54</v>
      </c>
      <c r="B124" s="212"/>
      <c r="C124" s="382" t="s">
        <v>147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9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.600000000000001" customHeight="1">
      <c r="A125" s="213"/>
      <c r="B125" s="214"/>
      <c r="C125" s="76" t="s">
        <v>60</v>
      </c>
      <c r="D125" s="78">
        <f>D123*100/930</f>
        <v>27.025360735345128</v>
      </c>
      <c r="E125" s="46"/>
      <c r="F125" s="46"/>
      <c r="G125" s="46"/>
      <c r="H125" s="46">
        <v>13</v>
      </c>
      <c r="I125" s="46"/>
      <c r="J125" s="48"/>
      <c r="K125" s="48"/>
      <c r="L125" s="47"/>
      <c r="M125" s="47"/>
      <c r="N125" s="179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.600000000000001" customHeight="1">
      <c r="A126" s="274" t="s">
        <v>35</v>
      </c>
      <c r="B126" s="274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8.600000000000001" customHeight="1">
      <c r="A127" s="103">
        <v>1</v>
      </c>
      <c r="B127" s="156" t="s">
        <v>145</v>
      </c>
      <c r="C127" s="104">
        <f>L127/100*100</f>
        <v>1050</v>
      </c>
      <c r="D127" s="105">
        <f>C127/100*487</f>
        <v>5113.5</v>
      </c>
      <c r="E127" s="106"/>
      <c r="F127" s="106">
        <f>C127/100*19.5</f>
        <v>204.75</v>
      </c>
      <c r="G127" s="106"/>
      <c r="H127" s="106">
        <f>C127/100*23.2</f>
        <v>243.6</v>
      </c>
      <c r="I127" s="106">
        <f>C127/100*46</f>
        <v>483</v>
      </c>
      <c r="J127" s="147">
        <f>C127/100*680</f>
        <v>7140</v>
      </c>
      <c r="K127" s="106">
        <f>C127/100*0.55</f>
        <v>5.7750000000000004</v>
      </c>
      <c r="L127" s="107">
        <v>1050</v>
      </c>
      <c r="M127" s="157">
        <v>260</v>
      </c>
      <c r="N127" s="108">
        <f t="shared" ref="N127" si="7">L127*M127</f>
        <v>273000</v>
      </c>
      <c r="O127" s="153"/>
      <c r="P127" s="3"/>
    </row>
    <row r="128" spans="1:23" ht="19.2" customHeight="1">
      <c r="A128" s="191" t="s">
        <v>0</v>
      </c>
      <c r="B128" s="201" t="s">
        <v>19</v>
      </c>
      <c r="C128" s="204" t="s">
        <v>8</v>
      </c>
      <c r="D128" s="204" t="s">
        <v>9</v>
      </c>
      <c r="E128" s="194" t="s">
        <v>11</v>
      </c>
      <c r="F128" s="195"/>
      <c r="G128" s="194" t="s">
        <v>13</v>
      </c>
      <c r="H128" s="195"/>
      <c r="I128" s="198" t="s">
        <v>16</v>
      </c>
      <c r="J128" s="198" t="s">
        <v>41</v>
      </c>
      <c r="K128" s="198" t="s">
        <v>42</v>
      </c>
      <c r="L128" s="198" t="s">
        <v>17</v>
      </c>
      <c r="M128" s="198" t="s">
        <v>40</v>
      </c>
      <c r="N128" s="191" t="s">
        <v>18</v>
      </c>
      <c r="O128" s="378"/>
    </row>
    <row r="129" spans="1:23" ht="19.2" customHeight="1">
      <c r="A129" s="192"/>
      <c r="B129" s="202"/>
      <c r="C129" s="205"/>
      <c r="D129" s="205"/>
      <c r="E129" s="196"/>
      <c r="F129" s="197"/>
      <c r="G129" s="196"/>
      <c r="H129" s="197"/>
      <c r="I129" s="199"/>
      <c r="J129" s="199"/>
      <c r="K129" s="199"/>
      <c r="L129" s="199"/>
      <c r="M129" s="199"/>
      <c r="N129" s="192"/>
      <c r="O129" s="178"/>
    </row>
    <row r="130" spans="1:23" ht="19.2" customHeight="1">
      <c r="A130" s="192"/>
      <c r="B130" s="202"/>
      <c r="C130" s="205"/>
      <c r="D130" s="205"/>
      <c r="E130" s="198" t="s">
        <v>10</v>
      </c>
      <c r="F130" s="198" t="s">
        <v>12</v>
      </c>
      <c r="G130" s="198" t="s">
        <v>14</v>
      </c>
      <c r="H130" s="198" t="s">
        <v>15</v>
      </c>
      <c r="I130" s="199"/>
      <c r="J130" s="199"/>
      <c r="K130" s="199"/>
      <c r="L130" s="199"/>
      <c r="M130" s="199"/>
      <c r="N130" s="192"/>
      <c r="O130" s="178"/>
    </row>
    <row r="131" spans="1:23" ht="19.2" customHeight="1">
      <c r="A131" s="193"/>
      <c r="B131" s="203"/>
      <c r="C131" s="206"/>
      <c r="D131" s="206"/>
      <c r="E131" s="200"/>
      <c r="F131" s="200"/>
      <c r="G131" s="200"/>
      <c r="H131" s="200"/>
      <c r="I131" s="200"/>
      <c r="J131" s="200"/>
      <c r="K131" s="200"/>
      <c r="L131" s="200"/>
      <c r="M131" s="200"/>
      <c r="N131" s="193"/>
      <c r="O131" s="178"/>
    </row>
    <row r="132" spans="1:23" s="2" customFormat="1" ht="19.2" customHeight="1">
      <c r="A132" s="21" t="s">
        <v>106</v>
      </c>
      <c r="B132" s="22"/>
      <c r="C132" s="34"/>
      <c r="D132" s="35">
        <f>SUM(D126:D127)</f>
        <v>5113.5</v>
      </c>
      <c r="E132" s="43"/>
      <c r="F132" s="43"/>
      <c r="G132" s="43"/>
      <c r="H132" s="43"/>
      <c r="I132" s="43"/>
      <c r="J132" s="43"/>
      <c r="K132" s="43"/>
      <c r="L132" s="44"/>
      <c r="M132" s="44"/>
      <c r="N132" s="279">
        <f>SUM(N126:N127)</f>
        <v>273000</v>
      </c>
      <c r="O132" s="153"/>
    </row>
    <row r="133" spans="1:23" ht="19.2" customHeight="1">
      <c r="A133" s="21" t="s">
        <v>7</v>
      </c>
      <c r="B133" s="22"/>
      <c r="C133" s="45"/>
      <c r="D133" s="46">
        <f>D132/D92</f>
        <v>82.475806451612897</v>
      </c>
      <c r="E133" s="46"/>
      <c r="F133" s="46"/>
      <c r="G133" s="46"/>
      <c r="H133" s="46"/>
      <c r="I133" s="46"/>
      <c r="J133" s="46"/>
      <c r="K133" s="46"/>
      <c r="L133" s="47"/>
      <c r="M133" s="47"/>
      <c r="N133" s="281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304" t="s">
        <v>52</v>
      </c>
      <c r="B134" s="212"/>
      <c r="C134" s="382" t="s">
        <v>147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9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13"/>
      <c r="B135" s="214"/>
      <c r="C135" s="76" t="s">
        <v>60</v>
      </c>
      <c r="D135" s="20">
        <f>D133*100/930</f>
        <v>8.8683662851196665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9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28" t="s">
        <v>107</v>
      </c>
      <c r="B136" s="229"/>
      <c r="C136" s="232"/>
      <c r="D136" s="299">
        <f>D108+D122+D132</f>
        <v>38478.458400000003</v>
      </c>
      <c r="E136" s="7">
        <f>SUM(E99:E126)</f>
        <v>799.65800000000002</v>
      </c>
      <c r="F136" s="7">
        <f>SUM(F98:F127)</f>
        <v>680.43635999999992</v>
      </c>
      <c r="G136" s="123">
        <f t="shared" ref="G136" si="8">SUM(G99:G126)</f>
        <v>1076.0996</v>
      </c>
      <c r="H136" s="7">
        <f>SUM(H98:H127)</f>
        <v>435.51112000000001</v>
      </c>
      <c r="I136" s="215">
        <f>SUM(I98:I127)</f>
        <v>4585.0053199999993</v>
      </c>
      <c r="J136" s="215">
        <f>SUM(J98:J127)</f>
        <v>10928.4028</v>
      </c>
      <c r="K136" s="215">
        <f>SUM(K98:K127)</f>
        <v>20.433472000000002</v>
      </c>
      <c r="L136" s="244"/>
      <c r="M136" s="244"/>
      <c r="N136" s="301">
        <f>N108+N122+N132</f>
        <v>1364680</v>
      </c>
      <c r="U136" s="12"/>
      <c r="V136" s="12"/>
    </row>
    <row r="137" spans="1:23" ht="19.2" customHeight="1">
      <c r="A137" s="230"/>
      <c r="B137" s="231"/>
      <c r="C137" s="233"/>
      <c r="D137" s="300"/>
      <c r="E137" s="308">
        <f>E136+F136</f>
        <v>1480.0943600000001</v>
      </c>
      <c r="F137" s="309"/>
      <c r="G137" s="308">
        <f>G136+H136</f>
        <v>1511.6107200000001</v>
      </c>
      <c r="H137" s="309"/>
      <c r="I137" s="216"/>
      <c r="J137" s="216"/>
      <c r="K137" s="216"/>
      <c r="L137" s="244"/>
      <c r="M137" s="244"/>
      <c r="N137" s="301"/>
      <c r="U137" s="12"/>
      <c r="V137" s="12"/>
    </row>
    <row r="138" spans="1:23" ht="19.2" customHeight="1">
      <c r="A138" s="248" t="s">
        <v>77</v>
      </c>
      <c r="B138" s="249"/>
      <c r="C138" s="250"/>
      <c r="D138" s="133">
        <f>D136/D92</f>
        <v>620.62029677419355</v>
      </c>
      <c r="E138" s="404">
        <f>E136/D92</f>
        <v>12.897709677419355</v>
      </c>
      <c r="F138" s="403">
        <f>F136/D92</f>
        <v>10.974779999999999</v>
      </c>
      <c r="G138" s="404">
        <f>G136/D92</f>
        <v>17.356445161290324</v>
      </c>
      <c r="H138" s="403">
        <f>H136/D92</f>
        <v>7.0243729032258067</v>
      </c>
      <c r="I138" s="302">
        <f>I136/D92</f>
        <v>73.951698709677402</v>
      </c>
      <c r="J138" s="302">
        <f>J136/D92</f>
        <v>176.26456129032258</v>
      </c>
      <c r="K138" s="302">
        <f>K136/D92</f>
        <v>0.32957212903225808</v>
      </c>
      <c r="L138" s="244"/>
      <c r="M138" s="244"/>
      <c r="N138" s="301"/>
      <c r="P138" s="373"/>
      <c r="Q138" s="375"/>
      <c r="R138" s="375"/>
      <c r="S138" s="375"/>
      <c r="T138" s="375"/>
      <c r="U138" s="386"/>
      <c r="V138" s="386"/>
    </row>
    <row r="139" spans="1:23" ht="19.2" customHeight="1">
      <c r="A139" s="251"/>
      <c r="B139" s="252"/>
      <c r="C139" s="253"/>
      <c r="D139" s="127"/>
      <c r="E139" s="387">
        <f>E138+F138</f>
        <v>23.872489677419352</v>
      </c>
      <c r="F139" s="388"/>
      <c r="G139" s="387">
        <f>G138+H138</f>
        <v>24.380818064516131</v>
      </c>
      <c r="H139" s="388"/>
      <c r="I139" s="303"/>
      <c r="J139" s="303"/>
      <c r="K139" s="303"/>
      <c r="L139" s="244"/>
      <c r="M139" s="244"/>
      <c r="N139" s="301"/>
      <c r="P139" s="389"/>
      <c r="Q139" s="375"/>
      <c r="R139" s="375"/>
      <c r="S139" s="399"/>
      <c r="T139" s="399"/>
      <c r="U139" s="375"/>
      <c r="V139" s="375"/>
    </row>
    <row r="140" spans="1:23" ht="19.2" customHeight="1">
      <c r="A140" s="316" t="s">
        <v>80</v>
      </c>
      <c r="B140" s="317"/>
      <c r="C140" s="318"/>
      <c r="D140" s="183" t="s">
        <v>29</v>
      </c>
      <c r="E140" s="363" t="s">
        <v>24</v>
      </c>
      <c r="F140" s="363"/>
      <c r="G140" s="363" t="s">
        <v>25</v>
      </c>
      <c r="H140" s="363"/>
      <c r="I140" s="183" t="s">
        <v>26</v>
      </c>
      <c r="J140" s="181">
        <v>500</v>
      </c>
      <c r="K140" s="181">
        <v>0.5</v>
      </c>
      <c r="L140" s="244"/>
      <c r="M140" s="244"/>
      <c r="N140" s="301"/>
      <c r="O140" s="391"/>
      <c r="P140" s="373"/>
      <c r="Q140" s="374"/>
      <c r="R140" s="374"/>
      <c r="S140" s="374"/>
      <c r="T140" s="374"/>
      <c r="U140" s="373"/>
      <c r="V140" s="373"/>
    </row>
    <row r="141" spans="1:23" ht="19.2" customHeight="1">
      <c r="A141" s="219" t="s">
        <v>78</v>
      </c>
      <c r="B141" s="220"/>
      <c r="C141" s="221"/>
      <c r="D141" s="49"/>
      <c r="E141" s="207">
        <f>E139*4.1</f>
        <v>97.877207677419335</v>
      </c>
      <c r="F141" s="208"/>
      <c r="G141" s="207">
        <f>G139*9</f>
        <v>219.42736258064517</v>
      </c>
      <c r="H141" s="208"/>
      <c r="I141" s="85">
        <f>I138*4.1</f>
        <v>303.20196470967733</v>
      </c>
      <c r="J141" s="254"/>
      <c r="K141" s="254"/>
      <c r="L141" s="244"/>
      <c r="M141" s="244"/>
      <c r="N141" s="301"/>
      <c r="O141" s="391"/>
      <c r="P141" s="392"/>
      <c r="Q141" s="373"/>
      <c r="R141" s="373"/>
      <c r="S141" s="373"/>
      <c r="T141" s="373"/>
      <c r="U141" s="373"/>
      <c r="V141" s="373"/>
    </row>
    <row r="142" spans="1:23" ht="19.2" customHeight="1">
      <c r="A142" s="222" t="s">
        <v>87</v>
      </c>
      <c r="B142" s="223"/>
      <c r="C142" s="219" t="s">
        <v>59</v>
      </c>
      <c r="D142" s="221"/>
      <c r="E142" s="297">
        <f>E141*100/D138</f>
        <v>15.770867982590485</v>
      </c>
      <c r="F142" s="298"/>
      <c r="G142" s="297">
        <f>G141*100/D138</f>
        <v>35.356137032766362</v>
      </c>
      <c r="H142" s="298"/>
      <c r="I142" s="116">
        <f>I141*100/D138</f>
        <v>48.854664645296694</v>
      </c>
      <c r="J142" s="255"/>
      <c r="K142" s="255"/>
      <c r="L142" s="244"/>
      <c r="M142" s="244"/>
      <c r="N142" s="301"/>
      <c r="O142" s="391"/>
    </row>
    <row r="143" spans="1:23" ht="19.2" customHeight="1">
      <c r="A143" s="224"/>
      <c r="B143" s="225"/>
      <c r="C143" s="219" t="s">
        <v>79</v>
      </c>
      <c r="D143" s="221"/>
      <c r="E143" s="219" t="s">
        <v>82</v>
      </c>
      <c r="F143" s="221"/>
      <c r="G143" s="219" t="s">
        <v>85</v>
      </c>
      <c r="H143" s="221"/>
      <c r="I143" s="183" t="s">
        <v>86</v>
      </c>
      <c r="J143" s="235"/>
      <c r="K143" s="235"/>
      <c r="L143" s="244"/>
      <c r="M143" s="244"/>
      <c r="N143" s="301"/>
      <c r="O143" s="391"/>
      <c r="P143" s="132"/>
    </row>
    <row r="144" spans="1:23" ht="18" customHeight="1">
      <c r="A144" s="90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1"/>
      <c r="M144" s="91"/>
      <c r="N144" s="92"/>
      <c r="O144" s="391"/>
    </row>
    <row r="145" spans="1:15" ht="21" customHeight="1">
      <c r="A145" s="294" t="s">
        <v>114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391"/>
    </row>
    <row r="146" spans="1:15" ht="21" customHeight="1">
      <c r="A146" s="117" t="s">
        <v>115</v>
      </c>
      <c r="B146" s="295" t="s">
        <v>116</v>
      </c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391"/>
    </row>
    <row r="147" spans="1:15" ht="21" customHeight="1">
      <c r="A147" s="118"/>
      <c r="B147" s="259" t="s">
        <v>201</v>
      </c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391"/>
    </row>
    <row r="148" spans="1:15" ht="21" customHeight="1">
      <c r="A148" s="118"/>
      <c r="B148" s="259" t="s">
        <v>190</v>
      </c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391"/>
    </row>
    <row r="149" spans="1:15" ht="21" customHeight="1">
      <c r="A149" s="118"/>
      <c r="B149" s="259" t="s">
        <v>202</v>
      </c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  <c r="O149" s="391"/>
    </row>
    <row r="150" spans="1:15" ht="21" customHeight="1">
      <c r="A150" s="90"/>
      <c r="B150" s="260" t="s">
        <v>130</v>
      </c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391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91"/>
    </row>
    <row r="152" spans="1:15" ht="21" customHeight="1">
      <c r="A152" s="261" t="s">
        <v>62</v>
      </c>
      <c r="B152" s="261"/>
      <c r="C152" s="261"/>
      <c r="D152" s="261"/>
      <c r="E152" s="393"/>
      <c r="F152" s="393"/>
      <c r="G152" s="393"/>
      <c r="H152" s="393"/>
      <c r="I152" s="393"/>
      <c r="J152" s="394" t="s">
        <v>33</v>
      </c>
      <c r="K152" s="394"/>
      <c r="L152" s="394"/>
      <c r="M152" s="394"/>
      <c r="N152" s="394"/>
      <c r="O152" s="391"/>
    </row>
    <row r="153" spans="1:15" ht="21" customHeight="1">
      <c r="A153" s="178"/>
      <c r="B153" s="178"/>
      <c r="C153" s="178"/>
      <c r="D153" s="393"/>
      <c r="E153" s="393"/>
      <c r="F153" s="393"/>
      <c r="G153" s="393"/>
      <c r="H153" s="395"/>
      <c r="I153" s="395"/>
      <c r="J153" s="395"/>
      <c r="K153" s="395"/>
      <c r="L153" s="395"/>
      <c r="M153" s="395"/>
      <c r="N153" s="395"/>
      <c r="O153" s="391"/>
    </row>
    <row r="154" spans="1:15" ht="21" customHeight="1">
      <c r="A154" s="178"/>
      <c r="B154" s="178"/>
      <c r="C154" s="178"/>
      <c r="D154" s="393"/>
      <c r="E154" s="393"/>
      <c r="F154" s="393"/>
      <c r="G154" s="393"/>
      <c r="H154" s="395"/>
      <c r="I154" s="395"/>
      <c r="J154" s="395"/>
      <c r="K154" s="395"/>
      <c r="L154" s="395"/>
      <c r="M154" s="395"/>
      <c r="N154" s="395"/>
      <c r="O154" s="391"/>
    </row>
    <row r="155" spans="1:15" ht="21" customHeight="1">
      <c r="A155" s="178"/>
      <c r="B155" s="178"/>
      <c r="C155" s="178"/>
      <c r="D155" s="393"/>
      <c r="E155" s="393"/>
      <c r="F155" s="393"/>
      <c r="G155" s="393"/>
      <c r="H155" s="395"/>
      <c r="I155" s="395"/>
      <c r="J155" s="396" t="s">
        <v>124</v>
      </c>
      <c r="K155" s="396"/>
      <c r="L155" s="396"/>
      <c r="M155" s="396"/>
      <c r="N155" s="396"/>
      <c r="O155" s="391"/>
    </row>
    <row r="156" spans="1:15" ht="21" customHeight="1">
      <c r="A156" s="262" t="s">
        <v>91</v>
      </c>
      <c r="B156" s="262"/>
      <c r="C156" s="262"/>
      <c r="D156" s="262"/>
      <c r="E156" s="393"/>
      <c r="F156" s="393"/>
      <c r="G156" s="393"/>
      <c r="H156" s="395"/>
      <c r="I156" s="395"/>
      <c r="J156" s="396"/>
      <c r="K156" s="396"/>
      <c r="L156" s="396"/>
      <c r="M156" s="396"/>
      <c r="N156" s="396"/>
      <c r="O156" s="391"/>
    </row>
    <row r="157" spans="1:15" ht="21" customHeight="1"/>
    <row r="158" spans="1:15" ht="21" customHeight="1">
      <c r="J158" s="396" t="s">
        <v>127</v>
      </c>
      <c r="K158" s="396"/>
      <c r="L158" s="396"/>
      <c r="M158" s="396"/>
      <c r="N158" s="396"/>
    </row>
  </sheetData>
  <mergeCells count="203"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1" sqref="O1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61</v>
      </c>
      <c r="B1" s="8"/>
      <c r="C1" s="8"/>
      <c r="D1" s="8"/>
      <c r="E1" s="8"/>
      <c r="F1" s="189" t="s">
        <v>31</v>
      </c>
      <c r="G1" s="189"/>
      <c r="H1" s="189"/>
      <c r="I1" s="189"/>
      <c r="J1" s="189"/>
      <c r="K1" s="189"/>
      <c r="L1" s="189"/>
      <c r="M1" s="189"/>
      <c r="N1" s="189"/>
      <c r="O1" s="376"/>
      <c r="P1" s="376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6"/>
      <c r="P2" s="376"/>
      <c r="Q2" s="2"/>
      <c r="R2" s="2"/>
      <c r="S2" s="2"/>
      <c r="T2" s="2"/>
    </row>
    <row r="3" spans="1:20" ht="19.8" customHeight="1">
      <c r="A3" s="8" t="s">
        <v>203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6"/>
      <c r="P3" s="376"/>
      <c r="T3" s="2"/>
    </row>
    <row r="4" spans="1:20" ht="19.8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6"/>
      <c r="P4" s="376"/>
      <c r="T4" s="2"/>
    </row>
    <row r="5" spans="1:20" s="2" customFormat="1" ht="19.8" customHeight="1">
      <c r="A5" s="236" t="s">
        <v>97</v>
      </c>
      <c r="B5" s="236"/>
      <c r="C5" s="236"/>
      <c r="D5" s="236"/>
      <c r="E5" s="236" t="s">
        <v>98</v>
      </c>
      <c r="F5" s="236"/>
      <c r="G5" s="236"/>
      <c r="H5" s="236"/>
      <c r="I5" s="236"/>
      <c r="J5" s="236"/>
      <c r="K5" s="236"/>
      <c r="L5" s="236"/>
      <c r="M5" s="236"/>
      <c r="N5" s="236"/>
      <c r="O5" s="377"/>
    </row>
    <row r="6" spans="1:20" s="2" customFormat="1" ht="19.8" customHeight="1">
      <c r="A6" s="266" t="s">
        <v>90</v>
      </c>
      <c r="B6" s="266"/>
      <c r="C6" s="266"/>
      <c r="D6" s="266"/>
      <c r="E6" s="267" t="s">
        <v>144</v>
      </c>
      <c r="F6" s="267"/>
      <c r="G6" s="267"/>
      <c r="H6" s="267"/>
      <c r="I6" s="267"/>
      <c r="J6" s="282" t="s">
        <v>141</v>
      </c>
      <c r="K6" s="283"/>
      <c r="L6" s="283"/>
      <c r="M6" s="283"/>
      <c r="N6" s="284"/>
      <c r="O6" s="377"/>
    </row>
    <row r="7" spans="1:20" s="2" customFormat="1" ht="19.8" customHeight="1">
      <c r="A7" s="310" t="s">
        <v>153</v>
      </c>
      <c r="B7" s="311"/>
      <c r="C7" s="311"/>
      <c r="D7" s="312"/>
      <c r="E7" s="267"/>
      <c r="F7" s="267"/>
      <c r="G7" s="267"/>
      <c r="H7" s="267"/>
      <c r="I7" s="267"/>
      <c r="J7" s="285"/>
      <c r="K7" s="286"/>
      <c r="L7" s="286"/>
      <c r="M7" s="286"/>
      <c r="N7" s="287"/>
      <c r="O7" s="377"/>
    </row>
    <row r="8" spans="1:20" s="2" customFormat="1" ht="19.8" customHeight="1">
      <c r="A8" s="188" t="s">
        <v>167</v>
      </c>
      <c r="B8" s="188"/>
      <c r="C8" s="188"/>
      <c r="D8" s="188"/>
      <c r="E8" s="267"/>
      <c r="F8" s="267"/>
      <c r="G8" s="267"/>
      <c r="H8" s="267"/>
      <c r="I8" s="267"/>
      <c r="J8" s="285"/>
      <c r="K8" s="286"/>
      <c r="L8" s="286"/>
      <c r="M8" s="286"/>
      <c r="N8" s="287"/>
      <c r="O8" s="377"/>
    </row>
    <row r="9" spans="1:20" s="2" customFormat="1" ht="19.8" customHeight="1">
      <c r="A9" s="275" t="s">
        <v>188</v>
      </c>
      <c r="B9" s="275"/>
      <c r="C9" s="275"/>
      <c r="D9" s="275"/>
      <c r="E9" s="267"/>
      <c r="F9" s="267"/>
      <c r="G9" s="267"/>
      <c r="H9" s="267"/>
      <c r="I9" s="267"/>
      <c r="J9" s="288"/>
      <c r="K9" s="289"/>
      <c r="L9" s="289"/>
      <c r="M9" s="289"/>
      <c r="N9" s="290"/>
      <c r="O9" s="377"/>
    </row>
    <row r="10" spans="1:20" s="2" customFormat="1" ht="19.8" customHeight="1">
      <c r="A10" s="276" t="s">
        <v>122</v>
      </c>
      <c r="B10" s="277"/>
      <c r="C10" s="278"/>
      <c r="D10" s="128">
        <v>228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7"/>
    </row>
    <row r="11" spans="1:20" ht="19.8" customHeight="1">
      <c r="A11" s="191" t="s">
        <v>0</v>
      </c>
      <c r="B11" s="201" t="s">
        <v>19</v>
      </c>
      <c r="C11" s="204" t="s">
        <v>8</v>
      </c>
      <c r="D11" s="204" t="s">
        <v>9</v>
      </c>
      <c r="E11" s="194" t="s">
        <v>11</v>
      </c>
      <c r="F11" s="195"/>
      <c r="G11" s="194" t="s">
        <v>13</v>
      </c>
      <c r="H11" s="195"/>
      <c r="I11" s="198" t="s">
        <v>16</v>
      </c>
      <c r="J11" s="198" t="s">
        <v>41</v>
      </c>
      <c r="K11" s="198" t="s">
        <v>42</v>
      </c>
      <c r="L11" s="313" t="s">
        <v>17</v>
      </c>
      <c r="M11" s="198" t="s">
        <v>55</v>
      </c>
      <c r="N11" s="191" t="s">
        <v>18</v>
      </c>
      <c r="O11" s="378"/>
    </row>
    <row r="12" spans="1:20" ht="19.8" customHeight="1">
      <c r="A12" s="192"/>
      <c r="B12" s="202"/>
      <c r="C12" s="205"/>
      <c r="D12" s="205"/>
      <c r="E12" s="196"/>
      <c r="F12" s="197"/>
      <c r="G12" s="196"/>
      <c r="H12" s="197"/>
      <c r="I12" s="199"/>
      <c r="J12" s="199"/>
      <c r="K12" s="199"/>
      <c r="L12" s="314"/>
      <c r="M12" s="199"/>
      <c r="N12" s="192"/>
      <c r="O12" s="178"/>
    </row>
    <row r="13" spans="1:20" ht="19.8" customHeight="1">
      <c r="A13" s="192"/>
      <c r="B13" s="202"/>
      <c r="C13" s="205"/>
      <c r="D13" s="205"/>
      <c r="E13" s="198" t="s">
        <v>10</v>
      </c>
      <c r="F13" s="198" t="s">
        <v>12</v>
      </c>
      <c r="G13" s="198" t="s">
        <v>14</v>
      </c>
      <c r="H13" s="198" t="s">
        <v>15</v>
      </c>
      <c r="I13" s="199"/>
      <c r="J13" s="199"/>
      <c r="K13" s="199"/>
      <c r="L13" s="314"/>
      <c r="M13" s="199"/>
      <c r="N13" s="192"/>
      <c r="O13" s="178"/>
    </row>
    <row r="14" spans="1:20" ht="19.8" customHeight="1">
      <c r="A14" s="193"/>
      <c r="B14" s="203"/>
      <c r="C14" s="206"/>
      <c r="D14" s="206"/>
      <c r="E14" s="200"/>
      <c r="F14" s="200"/>
      <c r="G14" s="200"/>
      <c r="H14" s="200"/>
      <c r="I14" s="200"/>
      <c r="J14" s="200"/>
      <c r="K14" s="200"/>
      <c r="L14" s="315"/>
      <c r="M14" s="200"/>
      <c r="N14" s="193"/>
      <c r="O14" s="178"/>
    </row>
    <row r="15" spans="1:20" ht="20.399999999999999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8"/>
    </row>
    <row r="16" spans="1:20" s="2" customFormat="1" ht="20.399999999999999" customHeight="1">
      <c r="A16" s="9">
        <v>1</v>
      </c>
      <c r="B16" s="6" t="s">
        <v>123</v>
      </c>
      <c r="C16" s="23"/>
      <c r="D16" s="139"/>
      <c r="E16" s="25"/>
      <c r="F16" s="25"/>
      <c r="G16" s="25"/>
      <c r="H16" s="25"/>
      <c r="I16" s="25"/>
      <c r="J16" s="25"/>
      <c r="K16" s="25"/>
      <c r="L16" s="26"/>
      <c r="M16" s="26"/>
      <c r="N16" s="28">
        <v>17480</v>
      </c>
      <c r="O16" s="153"/>
    </row>
    <row r="17" spans="1:20" s="2" customFormat="1" ht="20.399999999999999" customHeight="1">
      <c r="A17" s="9">
        <v>2</v>
      </c>
      <c r="B17" s="10" t="s">
        <v>2</v>
      </c>
      <c r="C17" s="23">
        <f>L17/100*100</f>
        <v>300</v>
      </c>
      <c r="D17" s="24">
        <f>C17/100*60</f>
        <v>180</v>
      </c>
      <c r="E17" s="25">
        <f>C17/100*15</f>
        <v>45</v>
      </c>
      <c r="F17" s="25"/>
      <c r="G17" s="25"/>
      <c r="H17" s="25"/>
      <c r="I17" s="25"/>
      <c r="J17" s="27">
        <f>C17/100*387</f>
        <v>1161</v>
      </c>
      <c r="K17" s="27">
        <f>C17/100*0.09</f>
        <v>0.27</v>
      </c>
      <c r="L17" s="137">
        <v>300</v>
      </c>
      <c r="M17" s="75">
        <v>20</v>
      </c>
      <c r="N17" s="28">
        <f>L17*M17</f>
        <v>6000</v>
      </c>
      <c r="O17" s="153"/>
    </row>
    <row r="18" spans="1:20" s="2" customFormat="1" ht="20.399999999999999" customHeight="1">
      <c r="A18" s="9">
        <v>3</v>
      </c>
      <c r="B18" s="10" t="s">
        <v>139</v>
      </c>
      <c r="C18" s="23">
        <f>L18/100*100</f>
        <v>1639.9999999999998</v>
      </c>
      <c r="D18" s="120">
        <f>C18/100*899</f>
        <v>14743.599999999999</v>
      </c>
      <c r="E18" s="25"/>
      <c r="F18" s="25"/>
      <c r="G18" s="119">
        <f>C18/100*100</f>
        <v>1639.9999999999998</v>
      </c>
      <c r="H18" s="25"/>
      <c r="I18" s="25"/>
      <c r="J18" s="25"/>
      <c r="K18" s="25"/>
      <c r="L18" s="137">
        <v>1640</v>
      </c>
      <c r="M18" s="24">
        <v>69</v>
      </c>
      <c r="N18" s="28">
        <f t="shared" ref="N18" si="0">L18*M18</f>
        <v>113160</v>
      </c>
      <c r="O18" s="383"/>
    </row>
    <row r="19" spans="1:20" s="2" customFormat="1" ht="20.399999999999999" customHeight="1">
      <c r="A19" s="9">
        <v>4</v>
      </c>
      <c r="B19" s="10" t="s">
        <v>5</v>
      </c>
      <c r="C19" s="23">
        <f>L19/100*90</f>
        <v>186.29999999999998</v>
      </c>
      <c r="D19" s="24">
        <f>C19/100*281</f>
        <v>523.50299999999993</v>
      </c>
      <c r="E19" s="25"/>
      <c r="F19" s="25">
        <f>C19/100*9.5</f>
        <v>17.698499999999999</v>
      </c>
      <c r="G19" s="25"/>
      <c r="H19" s="25">
        <f>C19/100*0.2</f>
        <v>0.37259999999999999</v>
      </c>
      <c r="I19" s="25">
        <f>C19/100*58.5</f>
        <v>108.98549999999999</v>
      </c>
      <c r="J19" s="27">
        <f>C19/100*321.3</f>
        <v>598.58189999999991</v>
      </c>
      <c r="K19" s="27">
        <f>C19/100*0.14</f>
        <v>0.26082</v>
      </c>
      <c r="L19" s="137">
        <v>207</v>
      </c>
      <c r="M19" s="75">
        <v>120</v>
      </c>
      <c r="N19" s="28">
        <f t="shared" ref="N19:N27" si="1">L19*M19</f>
        <v>24840</v>
      </c>
      <c r="O19" s="153"/>
    </row>
    <row r="20" spans="1:20" s="2" customFormat="1" ht="20.399999999999999" customHeight="1">
      <c r="A20" s="9">
        <v>5</v>
      </c>
      <c r="B20" s="10" t="s">
        <v>70</v>
      </c>
      <c r="C20" s="23">
        <f>L20/100*90</f>
        <v>125.99999999999999</v>
      </c>
      <c r="D20" s="24">
        <f>C20/100*253</f>
        <v>318.77999999999997</v>
      </c>
      <c r="E20" s="25"/>
      <c r="F20" s="25">
        <f>C20/100*32.4</f>
        <v>40.823999999999991</v>
      </c>
      <c r="G20" s="25"/>
      <c r="H20" s="25">
        <f>C20/100*3.6</f>
        <v>4.5359999999999996</v>
      </c>
      <c r="I20" s="25">
        <f>C20/100*21.1</f>
        <v>26.585999999999999</v>
      </c>
      <c r="J20" s="27">
        <f>C20/100*165.6</f>
        <v>208.65599999999995</v>
      </c>
      <c r="K20" s="27">
        <f>C20/100*0.14</f>
        <v>0.17639999999999997</v>
      </c>
      <c r="L20" s="137">
        <v>140</v>
      </c>
      <c r="M20" s="75">
        <v>275</v>
      </c>
      <c r="N20" s="28">
        <f t="shared" si="1"/>
        <v>38500</v>
      </c>
      <c r="O20" s="153"/>
    </row>
    <row r="21" spans="1:20" s="2" customFormat="1" ht="20.399999999999999" customHeight="1">
      <c r="A21" s="9">
        <v>6</v>
      </c>
      <c r="B21" s="5" t="s">
        <v>1</v>
      </c>
      <c r="C21" s="23">
        <f>L21/100*100</f>
        <v>21660</v>
      </c>
      <c r="D21" s="120">
        <f>C21/100*344</f>
        <v>74510.399999999994</v>
      </c>
      <c r="E21" s="25"/>
      <c r="F21" s="140">
        <f>C21/100*7.9</f>
        <v>1711.14</v>
      </c>
      <c r="G21" s="25"/>
      <c r="H21" s="25">
        <f>C21/100*1</f>
        <v>216.6</v>
      </c>
      <c r="I21" s="140">
        <f>C21/100*73.4</f>
        <v>15898.44</v>
      </c>
      <c r="J21" s="27">
        <f>C21/100*30</f>
        <v>6498</v>
      </c>
      <c r="K21" s="27">
        <f>C21/100*0.1</f>
        <v>21.66</v>
      </c>
      <c r="L21" s="401">
        <v>21660</v>
      </c>
      <c r="M21" s="75">
        <v>18</v>
      </c>
      <c r="N21" s="28">
        <f t="shared" si="1"/>
        <v>389880</v>
      </c>
      <c r="O21" s="153"/>
      <c r="R21" s="18"/>
      <c r="S21" s="18"/>
    </row>
    <row r="22" spans="1:20" s="2" customFormat="1" ht="20.399999999999999" customHeight="1">
      <c r="A22" s="9">
        <v>7</v>
      </c>
      <c r="B22" s="5" t="s">
        <v>63</v>
      </c>
      <c r="C22" s="23">
        <f>L22/100*86</f>
        <v>2949.7999999999997</v>
      </c>
      <c r="D22" s="24">
        <f>C22/100*166</f>
        <v>4896.6679999999997</v>
      </c>
      <c r="E22" s="25">
        <f>C22/100*14.8</f>
        <v>436.57040000000001</v>
      </c>
      <c r="F22" s="25"/>
      <c r="G22" s="25">
        <f>C22/100*11.6</f>
        <v>342.17679999999996</v>
      </c>
      <c r="H22" s="25"/>
      <c r="I22" s="25">
        <f>C22/100*0.5</f>
        <v>14.748999999999999</v>
      </c>
      <c r="J22" s="27">
        <f>C22/100*55</f>
        <v>1622.3899999999999</v>
      </c>
      <c r="K22" s="27">
        <f>C22/100*0.16</f>
        <v>4.7196799999999994</v>
      </c>
      <c r="L22" s="137">
        <v>3430</v>
      </c>
      <c r="M22" s="75">
        <v>57</v>
      </c>
      <c r="N22" s="28">
        <f t="shared" si="1"/>
        <v>195510</v>
      </c>
      <c r="O22" s="153"/>
      <c r="Q22" s="3"/>
      <c r="R22" s="3"/>
      <c r="S22" s="4"/>
    </row>
    <row r="23" spans="1:20" s="2" customFormat="1" ht="20.399999999999999" customHeight="1">
      <c r="A23" s="9">
        <v>8</v>
      </c>
      <c r="B23" s="10" t="s">
        <v>71</v>
      </c>
      <c r="C23" s="23">
        <f>L23/100*98</f>
        <v>8937.6</v>
      </c>
      <c r="D23" s="120">
        <f>C23/100*139</f>
        <v>12423.264000000001</v>
      </c>
      <c r="E23" s="119">
        <f>C23/100*19</f>
        <v>1698.144</v>
      </c>
      <c r="F23" s="25"/>
      <c r="G23" s="25">
        <f>C23/100*7</f>
        <v>625.63200000000006</v>
      </c>
      <c r="H23" s="25"/>
      <c r="I23" s="25"/>
      <c r="J23" s="27">
        <f>C23/100*7</f>
        <v>625.63200000000006</v>
      </c>
      <c r="K23" s="27">
        <f>C23/100*0.9</f>
        <v>80.438400000000001</v>
      </c>
      <c r="L23" s="137">
        <v>9120</v>
      </c>
      <c r="M23" s="75">
        <v>133</v>
      </c>
      <c r="N23" s="124">
        <f t="shared" si="1"/>
        <v>1212960</v>
      </c>
      <c r="O23" s="153"/>
    </row>
    <row r="24" spans="1:20" s="2" customFormat="1" ht="20.399999999999999" customHeight="1">
      <c r="A24" s="9">
        <v>9</v>
      </c>
      <c r="B24" s="149" t="s">
        <v>96</v>
      </c>
      <c r="C24" s="23">
        <f>L24/100*90</f>
        <v>1710</v>
      </c>
      <c r="D24" s="24">
        <f>C24/100*90</f>
        <v>1539.0000000000002</v>
      </c>
      <c r="E24" s="25">
        <f>C24/100*18.4</f>
        <v>314.64</v>
      </c>
      <c r="F24" s="25"/>
      <c r="G24" s="25">
        <f>C24/100*1.8</f>
        <v>30.780000000000005</v>
      </c>
      <c r="H24" s="25"/>
      <c r="I24" s="25"/>
      <c r="J24" s="81">
        <f>C24/100*1120</f>
        <v>19152</v>
      </c>
      <c r="K24" s="27">
        <f>C24/100*0.02</f>
        <v>0.34200000000000003</v>
      </c>
      <c r="L24" s="137">
        <v>1900</v>
      </c>
      <c r="M24" s="26">
        <v>260</v>
      </c>
      <c r="N24" s="124">
        <f t="shared" si="1"/>
        <v>494000</v>
      </c>
      <c r="O24" s="153"/>
      <c r="Q24" s="3"/>
      <c r="R24" s="3"/>
      <c r="S24" s="4"/>
    </row>
    <row r="25" spans="1:20" s="141" customFormat="1" ht="19.8" customHeight="1">
      <c r="A25" s="164">
        <v>10</v>
      </c>
      <c r="B25" s="149" t="s">
        <v>182</v>
      </c>
      <c r="C25" s="165">
        <f>L25/100*65</f>
        <v>5187</v>
      </c>
      <c r="D25" s="139">
        <f>C25/100*14</f>
        <v>726.18</v>
      </c>
      <c r="E25" s="136"/>
      <c r="F25" s="136">
        <f>C25/100*0.6</f>
        <v>31.121999999999996</v>
      </c>
      <c r="G25" s="136"/>
      <c r="H25" s="136">
        <f>C25/100*0.02</f>
        <v>1.0373999999999999</v>
      </c>
      <c r="I25" s="136">
        <f>C25/100*2.9</f>
        <v>150.423</v>
      </c>
      <c r="J25" s="136">
        <f>C25/100*21</f>
        <v>1089.27</v>
      </c>
      <c r="K25" s="136">
        <f>C25/100*0.03</f>
        <v>1.5560999999999998</v>
      </c>
      <c r="L25" s="137">
        <v>7980</v>
      </c>
      <c r="M25" s="166">
        <v>23</v>
      </c>
      <c r="N25" s="135">
        <f t="shared" si="1"/>
        <v>183540</v>
      </c>
      <c r="O25" s="381"/>
    </row>
    <row r="26" spans="1:20" s="2" customFormat="1" ht="20.399999999999999" customHeight="1">
      <c r="A26" s="9">
        <v>11</v>
      </c>
      <c r="B26" s="5" t="s">
        <v>93</v>
      </c>
      <c r="C26" s="23">
        <f>L26/100*81.7</f>
        <v>3725.5200000000004</v>
      </c>
      <c r="D26" s="24">
        <f>C26/100*27</f>
        <v>1005.8904</v>
      </c>
      <c r="E26" s="29"/>
      <c r="F26" s="29">
        <f>C26/100*0.3</f>
        <v>11.17656</v>
      </c>
      <c r="G26" s="29"/>
      <c r="H26" s="29">
        <f>C26/100*0.1</f>
        <v>3.7255200000000004</v>
      </c>
      <c r="I26" s="29">
        <f>C26/100*6.1</f>
        <v>227.25672</v>
      </c>
      <c r="J26" s="71">
        <f>C26/100*24</f>
        <v>894.12480000000005</v>
      </c>
      <c r="K26" s="71">
        <f>C26/100*0.06</f>
        <v>2.235312</v>
      </c>
      <c r="L26" s="379">
        <v>4560</v>
      </c>
      <c r="M26" s="26">
        <v>22</v>
      </c>
      <c r="N26" s="28">
        <f t="shared" si="1"/>
        <v>100320</v>
      </c>
      <c r="O26" s="153"/>
      <c r="Q26" s="3"/>
      <c r="R26" s="3"/>
      <c r="S26" s="4"/>
    </row>
    <row r="27" spans="1:20" s="2" customFormat="1" ht="20.399999999999999" customHeight="1">
      <c r="A27" s="9">
        <v>12</v>
      </c>
      <c r="B27" s="5" t="s">
        <v>134</v>
      </c>
      <c r="C27" s="23">
        <f>L27/100*100</f>
        <v>229.99999999999997</v>
      </c>
      <c r="D27" s="24">
        <f>C27/100*247</f>
        <v>568.09999999999991</v>
      </c>
      <c r="E27" s="29"/>
      <c r="F27" s="29">
        <f>C27/100*17.5</f>
        <v>40.25</v>
      </c>
      <c r="G27" s="29"/>
      <c r="H27" s="29">
        <f>C27/100*1.6</f>
        <v>3.6799999999999997</v>
      </c>
      <c r="I27" s="29">
        <f>C27/100*39.2</f>
        <v>90.16</v>
      </c>
      <c r="J27" s="71"/>
      <c r="K27" s="71"/>
      <c r="L27" s="379">
        <v>230</v>
      </c>
      <c r="M27" s="75">
        <v>50</v>
      </c>
      <c r="N27" s="28">
        <f t="shared" si="1"/>
        <v>11500</v>
      </c>
      <c r="O27" s="153"/>
      <c r="Q27" s="3"/>
      <c r="R27" s="3"/>
      <c r="S27" s="4"/>
      <c r="T27" s="3"/>
    </row>
    <row r="28" spans="1:20" s="2" customFormat="1" ht="20.399999999999999" customHeight="1">
      <c r="A28" s="21" t="s">
        <v>105</v>
      </c>
      <c r="B28" s="22"/>
      <c r="C28" s="34"/>
      <c r="D28" s="172">
        <f>SUM(D16:D27)</f>
        <v>111435.3854</v>
      </c>
      <c r="E28" s="36"/>
      <c r="F28" s="36"/>
      <c r="G28" s="36"/>
      <c r="H28" s="36"/>
      <c r="I28" s="36"/>
      <c r="J28" s="36"/>
      <c r="K28" s="36"/>
      <c r="L28" s="37"/>
      <c r="M28" s="321"/>
      <c r="N28" s="264">
        <f>SUM(N16:N27)</f>
        <v>2787690</v>
      </c>
      <c r="O28" s="153"/>
    </row>
    <row r="29" spans="1:20" s="2" customFormat="1" ht="20.399999999999999" customHeight="1">
      <c r="A29" s="21" t="s">
        <v>6</v>
      </c>
      <c r="B29" s="22"/>
      <c r="C29" s="34"/>
      <c r="D29" s="35">
        <f>D28/D10</f>
        <v>488.7516903508772</v>
      </c>
      <c r="E29" s="36"/>
      <c r="F29" s="36"/>
      <c r="G29" s="36"/>
      <c r="H29" s="36"/>
      <c r="I29" s="36"/>
      <c r="J29" s="36"/>
      <c r="K29" s="36"/>
      <c r="L29" s="37"/>
      <c r="M29" s="322"/>
      <c r="N29" s="265"/>
      <c r="O29" s="153"/>
    </row>
    <row r="30" spans="1:20" s="2" customFormat="1" ht="20.399999999999999" customHeight="1">
      <c r="A30" s="304" t="s">
        <v>51</v>
      </c>
      <c r="B30" s="212"/>
      <c r="C30" s="382" t="s">
        <v>147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0.399999999999999" customHeight="1">
      <c r="A31" s="213"/>
      <c r="B31" s="214"/>
      <c r="C31" s="76" t="s">
        <v>60</v>
      </c>
      <c r="D31" s="20">
        <f>D29*100/1320</f>
        <v>37.02664320839979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0.399999999999999" customHeight="1">
      <c r="A32" s="274" t="s">
        <v>35</v>
      </c>
      <c r="B32" s="274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0.399999999999999" customHeight="1">
      <c r="A33" s="9">
        <v>1</v>
      </c>
      <c r="B33" s="6" t="s">
        <v>123</v>
      </c>
      <c r="C33" s="23"/>
      <c r="D33" s="139"/>
      <c r="E33" s="25"/>
      <c r="F33" s="25"/>
      <c r="G33" s="25"/>
      <c r="H33" s="25"/>
      <c r="I33" s="25">
        <v>49</v>
      </c>
      <c r="J33" s="25"/>
      <c r="K33" s="25"/>
      <c r="L33" s="26"/>
      <c r="M33" s="26"/>
      <c r="N33" s="28">
        <v>14680</v>
      </c>
      <c r="O33" s="153"/>
    </row>
    <row r="34" spans="1:23" s="2" customFormat="1" ht="20.399999999999999" customHeight="1">
      <c r="A34" s="9">
        <v>2</v>
      </c>
      <c r="B34" s="5" t="s">
        <v>1</v>
      </c>
      <c r="C34" s="23">
        <f>L34/100*100</f>
        <v>3420.0000000000005</v>
      </c>
      <c r="D34" s="120">
        <f>C34/100*344</f>
        <v>11764.800000000001</v>
      </c>
      <c r="E34" s="25"/>
      <c r="F34" s="25">
        <f>C34/100*7.9</f>
        <v>270.18</v>
      </c>
      <c r="G34" s="25"/>
      <c r="H34" s="25">
        <f>C34/100*1</f>
        <v>34.200000000000003</v>
      </c>
      <c r="I34" s="25">
        <f>C34/100*73.4</f>
        <v>2510.2800000000002</v>
      </c>
      <c r="J34" s="27">
        <f>C34/100*30</f>
        <v>1026</v>
      </c>
      <c r="K34" s="27">
        <f>C34/100*0.1</f>
        <v>3.4200000000000004</v>
      </c>
      <c r="L34" s="137">
        <v>3420</v>
      </c>
      <c r="M34" s="77">
        <v>18</v>
      </c>
      <c r="N34" s="28">
        <f t="shared" ref="N34:N35" si="2">L34*M34</f>
        <v>61560</v>
      </c>
      <c r="O34" s="153"/>
    </row>
    <row r="35" spans="1:23" s="2" customFormat="1" ht="20.399999999999999" customHeight="1">
      <c r="A35" s="9">
        <v>3</v>
      </c>
      <c r="B35" s="5" t="s">
        <v>73</v>
      </c>
      <c r="C35" s="23">
        <f>L35/100*100</f>
        <v>2280</v>
      </c>
      <c r="D35" s="24">
        <f>C35/100*344</f>
        <v>7843.2</v>
      </c>
      <c r="E35" s="25"/>
      <c r="F35" s="25">
        <f>C35/100*8.6</f>
        <v>196.07999999999998</v>
      </c>
      <c r="G35" s="25"/>
      <c r="H35" s="25">
        <f>C35/100*1.5</f>
        <v>34.200000000000003</v>
      </c>
      <c r="I35" s="25">
        <f>C35/100*74.5</f>
        <v>1698.6000000000001</v>
      </c>
      <c r="J35" s="25">
        <f>C35/100*32</f>
        <v>729.6</v>
      </c>
      <c r="K35" s="25">
        <f>C35/100*0.14</f>
        <v>3.1920000000000006</v>
      </c>
      <c r="L35" s="137">
        <v>2280</v>
      </c>
      <c r="M35" s="75">
        <v>30</v>
      </c>
      <c r="N35" s="28">
        <f t="shared" si="2"/>
        <v>68400</v>
      </c>
      <c r="O35" s="153"/>
      <c r="P35" s="18"/>
    </row>
    <row r="36" spans="1:23" s="2" customFormat="1" ht="20.399999999999999" customHeight="1">
      <c r="A36" s="9">
        <v>4</v>
      </c>
      <c r="B36" s="10" t="s">
        <v>2</v>
      </c>
      <c r="C36" s="23">
        <f>L36/100*100</f>
        <v>270</v>
      </c>
      <c r="D36" s="24">
        <f>C36/100*60</f>
        <v>162</v>
      </c>
      <c r="E36" s="25">
        <f>C36/100*15</f>
        <v>40.5</v>
      </c>
      <c r="F36" s="25"/>
      <c r="G36" s="25"/>
      <c r="H36" s="25"/>
      <c r="I36" s="25"/>
      <c r="J36" s="27">
        <f>C36/100*387</f>
        <v>1044.9000000000001</v>
      </c>
      <c r="K36" s="27">
        <f>C36/100*0.09</f>
        <v>0.24299999999999999</v>
      </c>
      <c r="L36" s="137">
        <v>270</v>
      </c>
      <c r="M36" s="75">
        <v>20</v>
      </c>
      <c r="N36" s="28">
        <f>L36*M36</f>
        <v>5400</v>
      </c>
      <c r="O36" s="153"/>
    </row>
    <row r="37" spans="1:23" s="2" customFormat="1" ht="20.399999999999999" customHeight="1">
      <c r="A37" s="9">
        <v>5</v>
      </c>
      <c r="B37" s="148" t="s">
        <v>142</v>
      </c>
      <c r="C37" s="23">
        <f t="shared" ref="C37" si="3">L37/100*100</f>
        <v>229.99999999999997</v>
      </c>
      <c r="D37" s="120">
        <f>C37/100*900</f>
        <v>2070</v>
      </c>
      <c r="E37" s="25"/>
      <c r="F37" s="25"/>
      <c r="G37" s="119"/>
      <c r="H37" s="25">
        <f>C37/100*100</f>
        <v>229.99999999999997</v>
      </c>
      <c r="I37" s="25"/>
      <c r="J37" s="25"/>
      <c r="K37" s="25"/>
      <c r="L37" s="137">
        <v>230</v>
      </c>
      <c r="M37" s="75">
        <v>65</v>
      </c>
      <c r="N37" s="28">
        <f t="shared" ref="N37" si="4">L37*M37</f>
        <v>14950</v>
      </c>
      <c r="O37" s="383"/>
    </row>
    <row r="38" spans="1:23" s="2" customFormat="1" ht="20.399999999999999" customHeight="1">
      <c r="A38" s="9">
        <v>6</v>
      </c>
      <c r="B38" s="5" t="s">
        <v>69</v>
      </c>
      <c r="C38" s="23">
        <f>L38/100*48</f>
        <v>5462.4</v>
      </c>
      <c r="D38" s="120">
        <f>C38/100*199</f>
        <v>10870.175999999999</v>
      </c>
      <c r="E38" s="119">
        <f>C38/100*20.3</f>
        <v>1108.8671999999999</v>
      </c>
      <c r="F38" s="25"/>
      <c r="G38" s="25">
        <f>C38/100*13.1</f>
        <v>715.57439999999997</v>
      </c>
      <c r="H38" s="25"/>
      <c r="I38" s="25"/>
      <c r="J38" s="27">
        <f>C38/100*12</f>
        <v>655.48799999999994</v>
      </c>
      <c r="K38" s="27">
        <f>C38/100*0.15</f>
        <v>8.1935999999999982</v>
      </c>
      <c r="L38" s="407">
        <v>11380</v>
      </c>
      <c r="M38" s="137">
        <v>84</v>
      </c>
      <c r="N38" s="28">
        <f t="shared" ref="N38:N41" si="5">L38*M38</f>
        <v>955920</v>
      </c>
      <c r="O38" s="153"/>
      <c r="Q38" s="3"/>
      <c r="R38" s="3"/>
      <c r="S38" s="4"/>
    </row>
    <row r="39" spans="1:23" s="2" customFormat="1" ht="20.399999999999999" customHeight="1">
      <c r="A39" s="9">
        <v>7</v>
      </c>
      <c r="B39" s="5" t="s">
        <v>134</v>
      </c>
      <c r="C39" s="23">
        <f>L39/100*100</f>
        <v>140</v>
      </c>
      <c r="D39" s="24">
        <f>C39/100*247</f>
        <v>345.79999999999995</v>
      </c>
      <c r="E39" s="29"/>
      <c r="F39" s="29">
        <f>C39/100*17.5</f>
        <v>24.5</v>
      </c>
      <c r="G39" s="29"/>
      <c r="H39" s="29">
        <f>C39/100*1.6</f>
        <v>2.2399999999999998</v>
      </c>
      <c r="I39" s="29">
        <f>C39/100*39.2</f>
        <v>54.88</v>
      </c>
      <c r="J39" s="71"/>
      <c r="K39" s="71"/>
      <c r="L39" s="379">
        <v>140</v>
      </c>
      <c r="M39" s="75">
        <v>50</v>
      </c>
      <c r="N39" s="28">
        <f t="shared" si="5"/>
        <v>7000</v>
      </c>
      <c r="O39" s="153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75</v>
      </c>
      <c r="C40" s="23">
        <f>L40/100*75</f>
        <v>3412.5</v>
      </c>
      <c r="D40" s="24">
        <f>C40/100*12</f>
        <v>409.5</v>
      </c>
      <c r="E40" s="25"/>
      <c r="F40" s="25">
        <f>C40/100*0.6</f>
        <v>20.474999999999998</v>
      </c>
      <c r="G40" s="25"/>
      <c r="H40" s="25"/>
      <c r="I40" s="25">
        <f>C40/100*2.4</f>
        <v>81.899999999999991</v>
      </c>
      <c r="J40" s="25">
        <f>C40/100*26</f>
        <v>887.25</v>
      </c>
      <c r="K40" s="25">
        <f>C40/100*0.02</f>
        <v>0.6825</v>
      </c>
      <c r="L40" s="137">
        <v>4550</v>
      </c>
      <c r="M40" s="75">
        <v>20</v>
      </c>
      <c r="N40" s="28">
        <f t="shared" si="5"/>
        <v>91000</v>
      </c>
      <c r="O40" s="153"/>
    </row>
    <row r="41" spans="1:23" s="2" customFormat="1" ht="20.399999999999999" customHeight="1">
      <c r="A41" s="103">
        <v>9</v>
      </c>
      <c r="B41" s="156" t="s">
        <v>145</v>
      </c>
      <c r="C41" s="104">
        <f>L41/100*100</f>
        <v>3879.9999999999995</v>
      </c>
      <c r="D41" s="174">
        <f>C41/100*487</f>
        <v>18895.599999999999</v>
      </c>
      <c r="E41" s="106"/>
      <c r="F41" s="106">
        <f>C41/100*19.5</f>
        <v>756.59999999999991</v>
      </c>
      <c r="G41" s="106"/>
      <c r="H41" s="106">
        <f>C41/100*23.2</f>
        <v>900.15999999999985</v>
      </c>
      <c r="I41" s="106">
        <f>C41/100*46</f>
        <v>1784.8</v>
      </c>
      <c r="J41" s="147">
        <f>C41/100*680</f>
        <v>26383.999999999996</v>
      </c>
      <c r="K41" s="106">
        <f>C41/100*0.55</f>
        <v>21.34</v>
      </c>
      <c r="L41" s="107">
        <v>3880</v>
      </c>
      <c r="M41" s="157">
        <v>260</v>
      </c>
      <c r="N41" s="173">
        <f t="shared" si="5"/>
        <v>1008800</v>
      </c>
      <c r="O41" s="153"/>
      <c r="P41" s="3"/>
    </row>
    <row r="42" spans="1:23" ht="19.2" customHeight="1">
      <c r="A42" s="191" t="s">
        <v>0</v>
      </c>
      <c r="B42" s="201" t="s">
        <v>19</v>
      </c>
      <c r="C42" s="204" t="s">
        <v>8</v>
      </c>
      <c r="D42" s="204" t="s">
        <v>9</v>
      </c>
      <c r="E42" s="194" t="s">
        <v>11</v>
      </c>
      <c r="F42" s="195"/>
      <c r="G42" s="194" t="s">
        <v>13</v>
      </c>
      <c r="H42" s="195"/>
      <c r="I42" s="198" t="s">
        <v>16</v>
      </c>
      <c r="J42" s="198" t="s">
        <v>41</v>
      </c>
      <c r="K42" s="198" t="s">
        <v>42</v>
      </c>
      <c r="L42" s="198" t="s">
        <v>17</v>
      </c>
      <c r="M42" s="198" t="s">
        <v>55</v>
      </c>
      <c r="N42" s="191" t="s">
        <v>18</v>
      </c>
      <c r="O42" s="378"/>
    </row>
    <row r="43" spans="1:23" ht="19.2" customHeight="1">
      <c r="A43" s="192"/>
      <c r="B43" s="202"/>
      <c r="C43" s="205"/>
      <c r="D43" s="205"/>
      <c r="E43" s="196"/>
      <c r="F43" s="197"/>
      <c r="G43" s="196"/>
      <c r="H43" s="197"/>
      <c r="I43" s="199"/>
      <c r="J43" s="199"/>
      <c r="K43" s="199"/>
      <c r="L43" s="199"/>
      <c r="M43" s="199"/>
      <c r="N43" s="192"/>
      <c r="O43" s="178"/>
    </row>
    <row r="44" spans="1:23" ht="19.2" customHeight="1">
      <c r="A44" s="192"/>
      <c r="B44" s="202"/>
      <c r="C44" s="205"/>
      <c r="D44" s="205"/>
      <c r="E44" s="198" t="s">
        <v>10</v>
      </c>
      <c r="F44" s="198" t="s">
        <v>12</v>
      </c>
      <c r="G44" s="198" t="s">
        <v>14</v>
      </c>
      <c r="H44" s="198" t="s">
        <v>15</v>
      </c>
      <c r="I44" s="199"/>
      <c r="J44" s="199"/>
      <c r="K44" s="199"/>
      <c r="L44" s="199"/>
      <c r="M44" s="199"/>
      <c r="N44" s="192"/>
      <c r="O44" s="178"/>
    </row>
    <row r="45" spans="1:23" ht="30.6" customHeight="1">
      <c r="A45" s="193"/>
      <c r="B45" s="203"/>
      <c r="C45" s="206"/>
      <c r="D45" s="206"/>
      <c r="E45" s="200"/>
      <c r="F45" s="200"/>
      <c r="G45" s="200"/>
      <c r="H45" s="200"/>
      <c r="I45" s="200"/>
      <c r="J45" s="200"/>
      <c r="K45" s="200"/>
      <c r="L45" s="200"/>
      <c r="M45" s="200"/>
      <c r="N45" s="193"/>
      <c r="O45" s="178"/>
    </row>
    <row r="46" spans="1:23" s="2" customFormat="1" ht="22.2" customHeight="1">
      <c r="A46" s="21" t="s">
        <v>106</v>
      </c>
      <c r="B46" s="22"/>
      <c r="C46" s="34"/>
      <c r="D46" s="121">
        <f>SUM(D33:D41)</f>
        <v>52361.076000000001</v>
      </c>
      <c r="E46" s="43"/>
      <c r="F46" s="43"/>
      <c r="G46" s="43"/>
      <c r="H46" s="43"/>
      <c r="I46" s="43"/>
      <c r="J46" s="43"/>
      <c r="K46" s="43"/>
      <c r="L46" s="44"/>
      <c r="M46" s="319"/>
      <c r="N46" s="264">
        <f>SUM(N33:N41)</f>
        <v>2227710</v>
      </c>
      <c r="O46" s="153"/>
    </row>
    <row r="47" spans="1:23" ht="22.2" customHeight="1">
      <c r="A47" s="21" t="s">
        <v>7</v>
      </c>
      <c r="B47" s="22"/>
      <c r="C47" s="45"/>
      <c r="D47" s="46">
        <f>D46/D10</f>
        <v>229.65384210526315</v>
      </c>
      <c r="E47" s="46"/>
      <c r="F47" s="46"/>
      <c r="G47" s="46"/>
      <c r="H47" s="46"/>
      <c r="I47" s="46"/>
      <c r="J47" s="46"/>
      <c r="K47" s="46"/>
      <c r="L47" s="47"/>
      <c r="M47" s="320"/>
      <c r="N47" s="265"/>
      <c r="O47" s="167"/>
      <c r="P47" s="2"/>
      <c r="Q47" s="2"/>
      <c r="R47" s="2"/>
      <c r="S47" s="2"/>
      <c r="T47" s="2"/>
      <c r="U47" s="2"/>
      <c r="V47" s="2"/>
    </row>
    <row r="48" spans="1:23" ht="22.2" customHeight="1">
      <c r="A48" s="304" t="s">
        <v>52</v>
      </c>
      <c r="B48" s="212"/>
      <c r="C48" s="382" t="s">
        <v>147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9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13"/>
      <c r="B49" s="214"/>
      <c r="C49" s="76" t="s">
        <v>60</v>
      </c>
      <c r="D49" s="20">
        <f>D47*100/1320</f>
        <v>17.398018341307814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28" t="s">
        <v>107</v>
      </c>
      <c r="B50" s="229"/>
      <c r="C50" s="232"/>
      <c r="D50" s="305">
        <f>D28+D46</f>
        <v>163796.4614</v>
      </c>
      <c r="E50" s="123">
        <f>SUM(E16:E41)</f>
        <v>3643.7215999999999</v>
      </c>
      <c r="F50" s="123">
        <f>SUM(F17:F41)</f>
        <v>3120.0460600000001</v>
      </c>
      <c r="G50" s="123">
        <f>SUM(G17:G41)</f>
        <v>3354.1632</v>
      </c>
      <c r="H50" s="123">
        <f>SUM(H17:H41)</f>
        <v>1430.7515199999998</v>
      </c>
      <c r="I50" s="217">
        <f>SUM(I17:I41)</f>
        <v>22696.060219999999</v>
      </c>
      <c r="J50" s="217">
        <f>SUM(J16:J41)</f>
        <v>62576.892699999997</v>
      </c>
      <c r="K50" s="215">
        <f>SUM(K16:K41)</f>
        <v>148.72981200000001</v>
      </c>
      <c r="L50" s="244"/>
      <c r="M50" s="244"/>
      <c r="N50" s="301">
        <f>N28+N46</f>
        <v>5015400</v>
      </c>
      <c r="U50" s="12"/>
      <c r="V50" s="12"/>
    </row>
    <row r="51" spans="1:23" ht="22.2" customHeight="1">
      <c r="A51" s="230"/>
      <c r="B51" s="231"/>
      <c r="C51" s="233"/>
      <c r="D51" s="306"/>
      <c r="E51" s="226">
        <f>E50+F50</f>
        <v>6763.7676599999995</v>
      </c>
      <c r="F51" s="227"/>
      <c r="G51" s="226">
        <f>G50+H50</f>
        <v>4784.9147199999998</v>
      </c>
      <c r="H51" s="227"/>
      <c r="I51" s="218"/>
      <c r="J51" s="218"/>
      <c r="K51" s="216"/>
      <c r="L51" s="244"/>
      <c r="M51" s="244"/>
      <c r="N51" s="301"/>
      <c r="U51" s="12"/>
      <c r="V51" s="12"/>
    </row>
    <row r="52" spans="1:23" ht="22.2" customHeight="1">
      <c r="A52" s="268" t="s">
        <v>77</v>
      </c>
      <c r="B52" s="269"/>
      <c r="C52" s="270"/>
      <c r="D52" s="138">
        <f>D50/D10</f>
        <v>718.40553245614035</v>
      </c>
      <c r="E52" s="384">
        <f>E50/D10</f>
        <v>15.981235087719298</v>
      </c>
      <c r="F52" s="385">
        <f>F50/D10</f>
        <v>13.684412543859649</v>
      </c>
      <c r="G52" s="384">
        <f>G50/D10</f>
        <v>14.711242105263159</v>
      </c>
      <c r="H52" s="403">
        <f>H50/D10</f>
        <v>6.2752259649122797</v>
      </c>
      <c r="I52" s="209">
        <f>I50/D10</f>
        <v>99.544123771929819</v>
      </c>
      <c r="J52" s="302">
        <f>J50/D10</f>
        <v>274.46005570175436</v>
      </c>
      <c r="K52" s="302">
        <f>K50/D10</f>
        <v>0.65232373684210532</v>
      </c>
      <c r="L52" s="244"/>
      <c r="M52" s="244"/>
      <c r="N52" s="301"/>
      <c r="P52" s="373"/>
      <c r="Q52" s="375"/>
      <c r="R52" s="375"/>
      <c r="S52" s="375"/>
      <c r="T52" s="375"/>
      <c r="U52" s="386"/>
      <c r="V52" s="386"/>
    </row>
    <row r="53" spans="1:23" ht="22.2" customHeight="1">
      <c r="A53" s="271"/>
      <c r="B53" s="272"/>
      <c r="C53" s="273"/>
      <c r="D53" s="408"/>
      <c r="E53" s="387">
        <f>E52+F52</f>
        <v>29.665647631578949</v>
      </c>
      <c r="F53" s="388"/>
      <c r="G53" s="387">
        <f>G52+H52</f>
        <v>20.986468070175437</v>
      </c>
      <c r="H53" s="388"/>
      <c r="I53" s="210"/>
      <c r="J53" s="303"/>
      <c r="K53" s="303"/>
      <c r="L53" s="244"/>
      <c r="M53" s="244"/>
      <c r="N53" s="301"/>
      <c r="P53" s="389"/>
      <c r="Q53" s="375"/>
      <c r="R53" s="375"/>
      <c r="S53" s="375"/>
      <c r="T53" s="375"/>
      <c r="U53" s="375"/>
      <c r="V53" s="375"/>
    </row>
    <row r="54" spans="1:23" ht="22.2" customHeight="1">
      <c r="A54" s="316" t="s">
        <v>80</v>
      </c>
      <c r="B54" s="317"/>
      <c r="C54" s="318"/>
      <c r="D54" s="183" t="s">
        <v>28</v>
      </c>
      <c r="E54" s="236" t="s">
        <v>21</v>
      </c>
      <c r="F54" s="236"/>
      <c r="G54" s="236" t="s">
        <v>22</v>
      </c>
      <c r="H54" s="236"/>
      <c r="I54" s="180" t="s">
        <v>23</v>
      </c>
      <c r="J54" s="390">
        <v>600</v>
      </c>
      <c r="K54" s="390">
        <v>0.7</v>
      </c>
      <c r="L54" s="244"/>
      <c r="M54" s="244"/>
      <c r="N54" s="301"/>
      <c r="O54" s="391"/>
      <c r="P54" s="373"/>
      <c r="Q54" s="374"/>
      <c r="R54" s="374"/>
      <c r="S54" s="374"/>
      <c r="T54" s="374"/>
      <c r="U54" s="373"/>
      <c r="V54" s="373"/>
    </row>
    <row r="55" spans="1:23" ht="22.2" customHeight="1">
      <c r="A55" s="219" t="s">
        <v>78</v>
      </c>
      <c r="B55" s="220"/>
      <c r="C55" s="221"/>
      <c r="D55" s="49"/>
      <c r="E55" s="207">
        <f>E53*4.1</f>
        <v>121.62915528947369</v>
      </c>
      <c r="F55" s="208"/>
      <c r="G55" s="207">
        <f>G53*9</f>
        <v>188.87821263157895</v>
      </c>
      <c r="H55" s="208"/>
      <c r="I55" s="85">
        <f>I52*4.1</f>
        <v>408.13090746491224</v>
      </c>
      <c r="J55" s="254"/>
      <c r="K55" s="254"/>
      <c r="L55" s="244"/>
      <c r="M55" s="244"/>
      <c r="N55" s="301"/>
      <c r="O55" s="391"/>
      <c r="P55" s="392"/>
      <c r="Q55" s="373"/>
      <c r="R55" s="373"/>
      <c r="S55" s="373"/>
      <c r="T55" s="373"/>
      <c r="U55" s="373"/>
      <c r="V55" s="373"/>
    </row>
    <row r="56" spans="1:23" ht="22.2" customHeight="1">
      <c r="A56" s="222" t="s">
        <v>81</v>
      </c>
      <c r="B56" s="223"/>
      <c r="C56" s="219" t="s">
        <v>59</v>
      </c>
      <c r="D56" s="221"/>
      <c r="E56" s="256">
        <f>E55*100/D52</f>
        <v>16.930431322492538</v>
      </c>
      <c r="F56" s="257"/>
      <c r="G56" s="256">
        <f>G55*100/D52</f>
        <v>26.29130819550171</v>
      </c>
      <c r="H56" s="257"/>
      <c r="I56" s="115">
        <f>I55*100/D52</f>
        <v>56.81065763365752</v>
      </c>
      <c r="J56" s="255"/>
      <c r="K56" s="255"/>
      <c r="L56" s="244"/>
      <c r="M56" s="244"/>
      <c r="N56" s="301"/>
      <c r="O56" s="391"/>
    </row>
    <row r="57" spans="1:23" ht="22.2" customHeight="1">
      <c r="A57" s="224"/>
      <c r="B57" s="225"/>
      <c r="C57" s="219" t="s">
        <v>79</v>
      </c>
      <c r="D57" s="221"/>
      <c r="E57" s="219" t="s">
        <v>82</v>
      </c>
      <c r="F57" s="221"/>
      <c r="G57" s="219" t="s">
        <v>83</v>
      </c>
      <c r="H57" s="221"/>
      <c r="I57" s="183" t="s">
        <v>84</v>
      </c>
      <c r="J57" s="235"/>
      <c r="K57" s="235"/>
      <c r="L57" s="244"/>
      <c r="M57" s="244"/>
      <c r="N57" s="301"/>
      <c r="O57" s="391"/>
      <c r="P57" s="132"/>
    </row>
    <row r="58" spans="1:23" ht="22.2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391"/>
    </row>
    <row r="59" spans="1:23" ht="21" customHeight="1">
      <c r="A59" s="294" t="s">
        <v>114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391"/>
    </row>
    <row r="60" spans="1:23" ht="21" customHeight="1">
      <c r="A60" s="117" t="s">
        <v>115</v>
      </c>
      <c r="B60" s="295" t="s">
        <v>125</v>
      </c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391"/>
    </row>
    <row r="61" spans="1:23" ht="21" customHeight="1">
      <c r="A61" s="118"/>
      <c r="B61" s="259" t="s">
        <v>204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391"/>
    </row>
    <row r="62" spans="1:23" ht="21" customHeight="1">
      <c r="A62" s="118"/>
      <c r="B62" s="259" t="s">
        <v>190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391"/>
    </row>
    <row r="63" spans="1:23" ht="21" customHeight="1">
      <c r="A63" s="118"/>
      <c r="B63" s="259" t="s">
        <v>169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391"/>
    </row>
    <row r="64" spans="1:23" ht="21" customHeight="1">
      <c r="A64" s="90"/>
      <c r="B64" s="260" t="s">
        <v>117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391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91"/>
    </row>
    <row r="66" spans="1:20" ht="21" customHeight="1">
      <c r="A66" s="261" t="s">
        <v>62</v>
      </c>
      <c r="B66" s="261"/>
      <c r="C66" s="261"/>
      <c r="D66" s="261"/>
      <c r="E66" s="393"/>
      <c r="F66" s="393"/>
      <c r="G66" s="393"/>
      <c r="H66" s="393"/>
      <c r="I66" s="393"/>
      <c r="J66" s="394" t="s">
        <v>33</v>
      </c>
      <c r="K66" s="394"/>
      <c r="L66" s="394"/>
      <c r="M66" s="394"/>
      <c r="N66" s="394"/>
      <c r="O66" s="391"/>
    </row>
    <row r="67" spans="1:20" ht="21" customHeight="1">
      <c r="A67" s="178"/>
      <c r="B67" s="178"/>
      <c r="C67" s="178"/>
      <c r="D67" s="393"/>
      <c r="E67" s="393"/>
      <c r="F67" s="393"/>
      <c r="G67" s="393"/>
      <c r="H67" s="395"/>
      <c r="I67" s="395"/>
      <c r="J67" s="395"/>
      <c r="K67" s="395"/>
      <c r="L67" s="395"/>
      <c r="M67" s="395"/>
      <c r="N67" s="395"/>
      <c r="O67" s="391"/>
    </row>
    <row r="68" spans="1:20" ht="21" customHeight="1">
      <c r="A68" s="178"/>
      <c r="B68" s="178"/>
      <c r="C68" s="178"/>
      <c r="D68" s="393"/>
      <c r="E68" s="393"/>
      <c r="F68" s="393"/>
      <c r="G68" s="393"/>
      <c r="H68" s="395"/>
      <c r="I68" s="395"/>
      <c r="J68" s="395"/>
      <c r="K68" s="395"/>
      <c r="L68" s="395"/>
      <c r="M68" s="395"/>
      <c r="N68" s="395"/>
      <c r="O68" s="391"/>
    </row>
    <row r="69" spans="1:20" ht="21" customHeight="1">
      <c r="A69" s="178"/>
      <c r="B69" s="178"/>
      <c r="C69" s="178"/>
      <c r="D69" s="393"/>
      <c r="E69" s="393"/>
      <c r="F69" s="393"/>
      <c r="G69" s="393"/>
      <c r="H69" s="395"/>
      <c r="I69" s="395"/>
      <c r="J69" s="396" t="s">
        <v>124</v>
      </c>
      <c r="K69" s="396"/>
      <c r="L69" s="396"/>
      <c r="M69" s="396"/>
      <c r="N69" s="396"/>
      <c r="O69" s="391"/>
    </row>
    <row r="70" spans="1:20" ht="22.2" customHeight="1">
      <c r="A70" s="262" t="s">
        <v>91</v>
      </c>
      <c r="B70" s="262"/>
      <c r="C70" s="262"/>
      <c r="D70" s="262"/>
      <c r="E70" s="393"/>
      <c r="F70" s="393"/>
      <c r="G70" s="393"/>
      <c r="H70" s="395"/>
      <c r="I70" s="395"/>
      <c r="J70" s="396"/>
      <c r="K70" s="396"/>
      <c r="L70" s="396"/>
      <c r="M70" s="396"/>
      <c r="N70" s="396"/>
      <c r="O70" s="391"/>
    </row>
    <row r="71" spans="1:20" ht="22.2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4"/>
      <c r="M71" s="94"/>
      <c r="N71" s="95"/>
      <c r="O71" s="391"/>
    </row>
    <row r="72" spans="1:20" ht="22.2" customHeight="1">
      <c r="A72" s="90"/>
      <c r="B72" s="90"/>
      <c r="C72" s="90"/>
      <c r="D72" s="90"/>
      <c r="E72" s="90"/>
      <c r="F72" s="90"/>
      <c r="G72" s="90"/>
      <c r="H72" s="90"/>
      <c r="I72" s="90"/>
      <c r="J72" s="396" t="s">
        <v>127</v>
      </c>
      <c r="K72" s="396"/>
      <c r="L72" s="396"/>
      <c r="M72" s="396"/>
      <c r="N72" s="396"/>
      <c r="O72" s="391"/>
    </row>
    <row r="73" spans="1:20" ht="22.2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4"/>
      <c r="M73" s="94"/>
      <c r="N73" s="95"/>
      <c r="O73" s="391"/>
    </row>
    <row r="74" spans="1:20" ht="22.2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4"/>
      <c r="M74" s="94"/>
      <c r="N74" s="95"/>
      <c r="O74" s="391"/>
    </row>
    <row r="75" spans="1:20" ht="22.2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4"/>
      <c r="M75" s="94"/>
      <c r="N75" s="95"/>
      <c r="O75" s="391"/>
    </row>
    <row r="76" spans="1:20" ht="22.2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4"/>
      <c r="M76" s="94"/>
      <c r="N76" s="95"/>
      <c r="O76" s="391"/>
    </row>
    <row r="77" spans="1:20" ht="22.2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4"/>
      <c r="M77" s="94"/>
      <c r="N77" s="95"/>
      <c r="O77" s="391"/>
    </row>
    <row r="78" spans="1:20" ht="22.2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4"/>
      <c r="M78" s="94"/>
      <c r="N78" s="95"/>
      <c r="O78" s="391"/>
    </row>
    <row r="79" spans="1:20" ht="22.2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4"/>
      <c r="M79" s="94"/>
      <c r="N79" s="95"/>
      <c r="O79" s="391"/>
    </row>
    <row r="80" spans="1:20" ht="17.399999999999999" customHeight="1">
      <c r="A80" s="11" t="s">
        <v>61</v>
      </c>
      <c r="B80" s="8"/>
      <c r="C80" s="8"/>
      <c r="D80" s="8"/>
      <c r="E80" s="8"/>
      <c r="F80" s="189" t="s">
        <v>32</v>
      </c>
      <c r="G80" s="189"/>
      <c r="H80" s="189"/>
      <c r="I80" s="189"/>
      <c r="J80" s="189"/>
      <c r="K80" s="189"/>
      <c r="L80" s="189"/>
      <c r="M80" s="189"/>
      <c r="N80" s="189"/>
      <c r="O80" s="376"/>
      <c r="P80" s="409"/>
      <c r="Q80" s="409"/>
      <c r="R80" s="141"/>
      <c r="S80" s="141"/>
      <c r="T80" s="2"/>
    </row>
    <row r="81" spans="1:20" ht="17.399999999999999" customHeight="1">
      <c r="A81" s="8" t="s">
        <v>203</v>
      </c>
      <c r="B81" s="8"/>
      <c r="C81" s="8"/>
      <c r="D81" s="8"/>
      <c r="E81" s="8"/>
      <c r="F81" s="182"/>
      <c r="G81" s="182"/>
      <c r="H81" s="182"/>
      <c r="I81" s="182"/>
      <c r="J81" s="182"/>
      <c r="K81" s="182"/>
      <c r="L81" s="182"/>
      <c r="M81" s="182"/>
      <c r="N81" s="182"/>
      <c r="O81" s="376"/>
      <c r="P81" s="376"/>
      <c r="T81" s="2"/>
    </row>
    <row r="82" spans="1:20" s="2" customFormat="1" ht="17.399999999999999" customHeight="1">
      <c r="A82" s="236" t="s">
        <v>97</v>
      </c>
      <c r="B82" s="236"/>
      <c r="C82" s="236"/>
      <c r="D82" s="236"/>
      <c r="E82" s="236" t="s">
        <v>89</v>
      </c>
      <c r="F82" s="236"/>
      <c r="G82" s="236"/>
      <c r="H82" s="236"/>
      <c r="I82" s="236"/>
      <c r="J82" s="236"/>
      <c r="K82" s="236"/>
      <c r="L82" s="236"/>
      <c r="M82" s="236"/>
      <c r="N82" s="236"/>
      <c r="O82" s="377"/>
    </row>
    <row r="83" spans="1:20" s="2" customFormat="1" ht="17.399999999999999" customHeight="1">
      <c r="A83" s="236"/>
      <c r="B83" s="236"/>
      <c r="C83" s="236"/>
      <c r="D83" s="236"/>
      <c r="E83" s="236" t="s">
        <v>100</v>
      </c>
      <c r="F83" s="236"/>
      <c r="G83" s="236"/>
      <c r="H83" s="236"/>
      <c r="I83" s="236"/>
      <c r="J83" s="236" t="s">
        <v>101</v>
      </c>
      <c r="K83" s="236"/>
      <c r="L83" s="236"/>
      <c r="M83" s="236"/>
      <c r="N83" s="236"/>
      <c r="O83" s="377"/>
    </row>
    <row r="84" spans="1:20" s="2" customFormat="1" ht="17.399999999999999" customHeight="1">
      <c r="A84" s="266" t="s">
        <v>90</v>
      </c>
      <c r="B84" s="266"/>
      <c r="C84" s="266"/>
      <c r="D84" s="266"/>
      <c r="E84" s="267" t="s">
        <v>144</v>
      </c>
      <c r="F84" s="267"/>
      <c r="G84" s="267"/>
      <c r="H84" s="267"/>
      <c r="I84" s="267"/>
      <c r="J84" s="266" t="s">
        <v>90</v>
      </c>
      <c r="K84" s="266"/>
      <c r="L84" s="266"/>
      <c r="M84" s="266"/>
      <c r="N84" s="266"/>
      <c r="O84" s="377"/>
    </row>
    <row r="85" spans="1:20" s="2" customFormat="1" ht="17.399999999999999" customHeight="1">
      <c r="A85" s="310" t="s">
        <v>153</v>
      </c>
      <c r="B85" s="311"/>
      <c r="C85" s="311"/>
      <c r="D85" s="312"/>
      <c r="E85" s="267"/>
      <c r="F85" s="267"/>
      <c r="G85" s="267"/>
      <c r="H85" s="267"/>
      <c r="I85" s="267"/>
      <c r="J85" s="188" t="s">
        <v>102</v>
      </c>
      <c r="K85" s="188"/>
      <c r="L85" s="188"/>
      <c r="M85" s="188"/>
      <c r="N85" s="188"/>
      <c r="O85" s="377"/>
    </row>
    <row r="86" spans="1:20" s="2" customFormat="1" ht="17.399999999999999" customHeight="1">
      <c r="A86" s="275" t="s">
        <v>188</v>
      </c>
      <c r="B86" s="275"/>
      <c r="C86" s="275"/>
      <c r="D86" s="275"/>
      <c r="E86" s="267"/>
      <c r="F86" s="267"/>
      <c r="G86" s="267"/>
      <c r="H86" s="267"/>
      <c r="I86" s="267"/>
      <c r="J86" s="275" t="s">
        <v>159</v>
      </c>
      <c r="K86" s="275"/>
      <c r="L86" s="275"/>
      <c r="M86" s="275"/>
      <c r="N86" s="275"/>
      <c r="O86" s="286"/>
      <c r="P86" s="286"/>
      <c r="Q86" s="286"/>
      <c r="R86" s="286"/>
    </row>
    <row r="87" spans="1:20" ht="17.399999999999999" customHeight="1">
      <c r="A87" s="276" t="s">
        <v>122</v>
      </c>
      <c r="B87" s="277"/>
      <c r="C87" s="278"/>
      <c r="D87" s="128">
        <v>59</v>
      </c>
      <c r="E87" s="8"/>
      <c r="F87" s="182"/>
      <c r="G87" s="182"/>
      <c r="H87" s="182"/>
      <c r="I87" s="182"/>
      <c r="J87" s="182"/>
      <c r="K87" s="182"/>
      <c r="L87" s="182"/>
      <c r="M87" s="182"/>
      <c r="N87" s="182"/>
      <c r="O87" s="376"/>
      <c r="P87" s="376"/>
      <c r="T87" s="2"/>
    </row>
    <row r="88" spans="1:20" ht="17.399999999999999" customHeight="1">
      <c r="A88" s="191" t="s">
        <v>0</v>
      </c>
      <c r="B88" s="201" t="s">
        <v>19</v>
      </c>
      <c r="C88" s="204" t="s">
        <v>8</v>
      </c>
      <c r="D88" s="204" t="s">
        <v>9</v>
      </c>
      <c r="E88" s="194" t="s">
        <v>11</v>
      </c>
      <c r="F88" s="195"/>
      <c r="G88" s="194" t="s">
        <v>13</v>
      </c>
      <c r="H88" s="195"/>
      <c r="I88" s="198" t="s">
        <v>16</v>
      </c>
      <c r="J88" s="198" t="s">
        <v>41</v>
      </c>
      <c r="K88" s="198" t="s">
        <v>42</v>
      </c>
      <c r="L88" s="198" t="s">
        <v>17</v>
      </c>
      <c r="M88" s="198" t="s">
        <v>55</v>
      </c>
      <c r="N88" s="191" t="s">
        <v>18</v>
      </c>
      <c r="O88" s="378"/>
    </row>
    <row r="89" spans="1:20" ht="17.399999999999999" customHeight="1">
      <c r="A89" s="192"/>
      <c r="B89" s="202"/>
      <c r="C89" s="205"/>
      <c r="D89" s="205"/>
      <c r="E89" s="196"/>
      <c r="F89" s="197"/>
      <c r="G89" s="196"/>
      <c r="H89" s="197"/>
      <c r="I89" s="199"/>
      <c r="J89" s="199"/>
      <c r="K89" s="199"/>
      <c r="L89" s="199"/>
      <c r="M89" s="199"/>
      <c r="N89" s="192"/>
      <c r="O89" s="178"/>
    </row>
    <row r="90" spans="1:20" ht="17.399999999999999" customHeight="1">
      <c r="A90" s="192"/>
      <c r="B90" s="202"/>
      <c r="C90" s="205"/>
      <c r="D90" s="205"/>
      <c r="E90" s="198" t="s">
        <v>10</v>
      </c>
      <c r="F90" s="198" t="s">
        <v>12</v>
      </c>
      <c r="G90" s="198" t="s">
        <v>14</v>
      </c>
      <c r="H90" s="198" t="s">
        <v>15</v>
      </c>
      <c r="I90" s="199"/>
      <c r="J90" s="199"/>
      <c r="K90" s="199"/>
      <c r="L90" s="199"/>
      <c r="M90" s="199"/>
      <c r="N90" s="192"/>
      <c r="O90" s="178"/>
    </row>
    <row r="91" spans="1:20" ht="17.399999999999999" customHeight="1">
      <c r="A91" s="193"/>
      <c r="B91" s="203"/>
      <c r="C91" s="206"/>
      <c r="D91" s="206"/>
      <c r="E91" s="200"/>
      <c r="F91" s="200"/>
      <c r="G91" s="200"/>
      <c r="H91" s="200"/>
      <c r="I91" s="200"/>
      <c r="J91" s="200"/>
      <c r="K91" s="200"/>
      <c r="L91" s="200"/>
      <c r="M91" s="200"/>
      <c r="N91" s="193"/>
      <c r="O91" s="178"/>
    </row>
    <row r="92" spans="1:20" ht="18.600000000000001" customHeight="1">
      <c r="A92" s="238" t="s">
        <v>39</v>
      </c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40"/>
      <c r="O92" s="178"/>
    </row>
    <row r="93" spans="1:20" s="2" customFormat="1" ht="18.600000000000001" customHeight="1">
      <c r="A93" s="9">
        <v>1</v>
      </c>
      <c r="B93" s="10" t="s">
        <v>2</v>
      </c>
      <c r="C93" s="23">
        <f>L93/100*100</f>
        <v>80</v>
      </c>
      <c r="D93" s="24">
        <f>C93/100*60</f>
        <v>48</v>
      </c>
      <c r="E93" s="25">
        <f>C93/100*15</f>
        <v>12</v>
      </c>
      <c r="F93" s="25"/>
      <c r="G93" s="25"/>
      <c r="H93" s="25"/>
      <c r="I93" s="25"/>
      <c r="J93" s="27">
        <f>C93/100*387</f>
        <v>309.60000000000002</v>
      </c>
      <c r="K93" s="27">
        <f>C93/100*0.09</f>
        <v>7.1999999999999995E-2</v>
      </c>
      <c r="L93" s="137">
        <v>80</v>
      </c>
      <c r="M93" s="75">
        <v>20</v>
      </c>
      <c r="N93" s="28">
        <f>L93*M93</f>
        <v>1600</v>
      </c>
      <c r="O93" s="153"/>
    </row>
    <row r="94" spans="1:20" s="2" customFormat="1" ht="18.600000000000001" customHeight="1">
      <c r="A94" s="9">
        <v>2</v>
      </c>
      <c r="B94" s="148" t="s">
        <v>139</v>
      </c>
      <c r="C94" s="23">
        <f>L94/100*100</f>
        <v>280</v>
      </c>
      <c r="D94" s="24">
        <f>C94/100*899</f>
        <v>2517.1999999999998</v>
      </c>
      <c r="E94" s="25"/>
      <c r="F94" s="25"/>
      <c r="G94" s="25">
        <f>C94/100*100</f>
        <v>280</v>
      </c>
      <c r="H94" s="25"/>
      <c r="I94" s="25"/>
      <c r="J94" s="25"/>
      <c r="K94" s="25"/>
      <c r="L94" s="137">
        <v>280</v>
      </c>
      <c r="M94" s="24">
        <v>69</v>
      </c>
      <c r="N94" s="28">
        <f t="shared" ref="N94:N103" si="6">L94*M94</f>
        <v>19320</v>
      </c>
      <c r="O94" s="383"/>
    </row>
    <row r="95" spans="1:20" s="2" customFormat="1" ht="18.600000000000001" customHeight="1">
      <c r="A95" s="9">
        <v>3</v>
      </c>
      <c r="B95" s="148" t="s">
        <v>142</v>
      </c>
      <c r="C95" s="23">
        <f>L95/100*100</f>
        <v>150</v>
      </c>
      <c r="D95" s="120">
        <f>C95/100*900</f>
        <v>1350</v>
      </c>
      <c r="E95" s="25"/>
      <c r="F95" s="25"/>
      <c r="G95" s="119"/>
      <c r="H95" s="25">
        <f>C95/100*100</f>
        <v>150</v>
      </c>
      <c r="I95" s="25"/>
      <c r="J95" s="25"/>
      <c r="K95" s="25"/>
      <c r="L95" s="137">
        <v>150</v>
      </c>
      <c r="M95" s="75">
        <v>65</v>
      </c>
      <c r="N95" s="28">
        <f t="shared" si="6"/>
        <v>9750</v>
      </c>
      <c r="O95" s="383"/>
    </row>
    <row r="96" spans="1:20" s="2" customFormat="1" ht="18.600000000000001" customHeight="1">
      <c r="A96" s="9">
        <v>3</v>
      </c>
      <c r="B96" s="149" t="s">
        <v>1</v>
      </c>
      <c r="C96" s="23">
        <f>L96/100*100</f>
        <v>2537</v>
      </c>
      <c r="D96" s="120">
        <f>C96/100*352.7</f>
        <v>8947.9989999999998</v>
      </c>
      <c r="E96" s="25"/>
      <c r="F96" s="119">
        <f>C96/100*7.9</f>
        <v>200.42300000000003</v>
      </c>
      <c r="G96" s="25"/>
      <c r="H96" s="25">
        <f>C96/100*1</f>
        <v>25.37</v>
      </c>
      <c r="I96" s="119">
        <f>C96/100*75.9</f>
        <v>1925.5830000000003</v>
      </c>
      <c r="J96" s="27">
        <f>C96/100*30</f>
        <v>761.1</v>
      </c>
      <c r="K96" s="27">
        <f>C96/100*0.1</f>
        <v>2.5370000000000004</v>
      </c>
      <c r="L96" s="401">
        <v>2537</v>
      </c>
      <c r="M96" s="75">
        <v>18</v>
      </c>
      <c r="N96" s="28">
        <f t="shared" si="6"/>
        <v>45666</v>
      </c>
      <c r="O96" s="153"/>
    </row>
    <row r="97" spans="1:23" s="2" customFormat="1" ht="18.600000000000001" customHeight="1">
      <c r="A97" s="9">
        <v>4</v>
      </c>
      <c r="B97" s="148" t="s">
        <v>5</v>
      </c>
      <c r="C97" s="23">
        <f>L97/100*90</f>
        <v>11.700000000000001</v>
      </c>
      <c r="D97" s="24">
        <f>C97/100*281</f>
        <v>32.877000000000002</v>
      </c>
      <c r="E97" s="25"/>
      <c r="F97" s="25">
        <f>C97/100*9.5</f>
        <v>1.1115000000000002</v>
      </c>
      <c r="G97" s="25"/>
      <c r="H97" s="25">
        <f>C97/100*0.2</f>
        <v>2.3400000000000004E-2</v>
      </c>
      <c r="I97" s="25">
        <f>C97/100*58.5</f>
        <v>6.8445</v>
      </c>
      <c r="J97" s="27">
        <f>C97/100*321.3</f>
        <v>37.592100000000002</v>
      </c>
      <c r="K97" s="27">
        <f>C97/100*0.14</f>
        <v>1.6380000000000002E-2</v>
      </c>
      <c r="L97" s="137">
        <v>13</v>
      </c>
      <c r="M97" s="75">
        <v>120</v>
      </c>
      <c r="N97" s="28">
        <f t="shared" si="6"/>
        <v>1560</v>
      </c>
      <c r="O97" s="153"/>
    </row>
    <row r="98" spans="1:23" s="2" customFormat="1" ht="18.600000000000001" customHeight="1">
      <c r="A98" s="9">
        <v>5</v>
      </c>
      <c r="B98" s="148" t="s">
        <v>70</v>
      </c>
      <c r="C98" s="23">
        <f>L98/100*90</f>
        <v>13.5</v>
      </c>
      <c r="D98" s="24">
        <f>C98/100*253</f>
        <v>34.155000000000001</v>
      </c>
      <c r="E98" s="25"/>
      <c r="F98" s="25">
        <f>C98/100*32.4</f>
        <v>4.3739999999999997</v>
      </c>
      <c r="G98" s="25"/>
      <c r="H98" s="25">
        <f>C98/100*3.6</f>
        <v>0.48600000000000004</v>
      </c>
      <c r="I98" s="25">
        <f>C98/100*21.1</f>
        <v>2.8485000000000005</v>
      </c>
      <c r="J98" s="27">
        <f>C98/100*165.6</f>
        <v>22.356000000000002</v>
      </c>
      <c r="K98" s="27">
        <f>C98/100*0.14</f>
        <v>1.8900000000000004E-2</v>
      </c>
      <c r="L98" s="137">
        <v>15</v>
      </c>
      <c r="M98" s="75">
        <v>275</v>
      </c>
      <c r="N98" s="28">
        <f t="shared" si="6"/>
        <v>4125</v>
      </c>
      <c r="O98" s="153"/>
    </row>
    <row r="99" spans="1:23" s="2" customFormat="1" ht="18.600000000000001" customHeight="1">
      <c r="A99" s="9">
        <v>7</v>
      </c>
      <c r="B99" s="149" t="s">
        <v>63</v>
      </c>
      <c r="C99" s="23">
        <f>L99/100*86</f>
        <v>662.2</v>
      </c>
      <c r="D99" s="24">
        <f>C99/100*166</f>
        <v>1099.2520000000002</v>
      </c>
      <c r="E99" s="25">
        <f>C99/100*14.8</f>
        <v>98.005600000000015</v>
      </c>
      <c r="F99" s="25"/>
      <c r="G99" s="25">
        <f>C99/100*11.6</f>
        <v>76.815200000000004</v>
      </c>
      <c r="H99" s="25"/>
      <c r="I99" s="25">
        <f>C99/100*0.5</f>
        <v>3.3110000000000004</v>
      </c>
      <c r="J99" s="27">
        <f>C99/100*55</f>
        <v>364.21000000000004</v>
      </c>
      <c r="K99" s="27">
        <f>C99/100*0.16</f>
        <v>1.0595200000000002</v>
      </c>
      <c r="L99" s="137">
        <v>770</v>
      </c>
      <c r="M99" s="75">
        <v>57</v>
      </c>
      <c r="N99" s="28">
        <f t="shared" si="6"/>
        <v>43890</v>
      </c>
      <c r="O99" s="153"/>
      <c r="Q99" s="3"/>
      <c r="R99" s="3"/>
      <c r="S99" s="4"/>
    </row>
    <row r="100" spans="1:23" s="2" customFormat="1" ht="18.600000000000001" customHeight="1">
      <c r="A100" s="9">
        <v>8</v>
      </c>
      <c r="B100" s="148" t="s">
        <v>71</v>
      </c>
      <c r="C100" s="23">
        <f>L100/100*98</f>
        <v>1519</v>
      </c>
      <c r="D100" s="24">
        <f>C100/100*139</f>
        <v>2111.41</v>
      </c>
      <c r="E100" s="25">
        <f>C100/100*19</f>
        <v>288.61</v>
      </c>
      <c r="F100" s="25"/>
      <c r="G100" s="25">
        <f>C100/100*7</f>
        <v>106.33</v>
      </c>
      <c r="H100" s="25"/>
      <c r="I100" s="25"/>
      <c r="J100" s="27">
        <f>C100/100*7</f>
        <v>106.33</v>
      </c>
      <c r="K100" s="27">
        <f>C100/100*0.9</f>
        <v>13.670999999999999</v>
      </c>
      <c r="L100" s="137">
        <v>1550</v>
      </c>
      <c r="M100" s="75">
        <v>133</v>
      </c>
      <c r="N100" s="28">
        <f t="shared" si="6"/>
        <v>206150</v>
      </c>
      <c r="O100" s="153"/>
    </row>
    <row r="101" spans="1:23" s="2" customFormat="1" ht="18.600000000000001" customHeight="1">
      <c r="A101" s="9">
        <v>9</v>
      </c>
      <c r="B101" s="149" t="s">
        <v>96</v>
      </c>
      <c r="C101" s="23">
        <f>L101/100*90</f>
        <v>423</v>
      </c>
      <c r="D101" s="24">
        <f>C101/100*90</f>
        <v>380.70000000000005</v>
      </c>
      <c r="E101" s="25">
        <f>C101/100*18.4</f>
        <v>77.832000000000008</v>
      </c>
      <c r="F101" s="25"/>
      <c r="G101" s="25">
        <f>C101/100*1.8</f>
        <v>7.6140000000000008</v>
      </c>
      <c r="H101" s="25"/>
      <c r="I101" s="25"/>
      <c r="J101" s="81">
        <f>C101/100*1120</f>
        <v>4737.6000000000004</v>
      </c>
      <c r="K101" s="27">
        <f>C101/100*0.02</f>
        <v>8.4600000000000009E-2</v>
      </c>
      <c r="L101" s="137">
        <v>470</v>
      </c>
      <c r="M101" s="26">
        <v>260</v>
      </c>
      <c r="N101" s="124">
        <f t="shared" si="6"/>
        <v>122200</v>
      </c>
      <c r="O101" s="153"/>
      <c r="Q101" s="3"/>
      <c r="R101" s="3"/>
      <c r="S101" s="4"/>
    </row>
    <row r="102" spans="1:23" s="141" customFormat="1" ht="18.600000000000001" customHeight="1">
      <c r="A102" s="164">
        <v>10</v>
      </c>
      <c r="B102" s="149" t="s">
        <v>182</v>
      </c>
      <c r="C102" s="165">
        <f>L102/100*65</f>
        <v>1072.5</v>
      </c>
      <c r="D102" s="139">
        <f>C102/100*14</f>
        <v>150.15</v>
      </c>
      <c r="E102" s="136"/>
      <c r="F102" s="136">
        <f>C102/100*0.6</f>
        <v>6.4349999999999996</v>
      </c>
      <c r="G102" s="136"/>
      <c r="H102" s="136">
        <f>C102/100*0.02</f>
        <v>0.2145</v>
      </c>
      <c r="I102" s="136">
        <f>C102/100*2.9</f>
        <v>31.102499999999999</v>
      </c>
      <c r="J102" s="136">
        <f>C102/100*21</f>
        <v>225.22499999999999</v>
      </c>
      <c r="K102" s="136">
        <f>C102/100*0.03</f>
        <v>0.32174999999999998</v>
      </c>
      <c r="L102" s="137">
        <v>1650</v>
      </c>
      <c r="M102" s="166">
        <v>23</v>
      </c>
      <c r="N102" s="135">
        <f t="shared" si="6"/>
        <v>37950</v>
      </c>
      <c r="O102" s="381"/>
    </row>
    <row r="103" spans="1:23" s="2" customFormat="1" ht="18.600000000000001" customHeight="1">
      <c r="A103" s="9">
        <v>11</v>
      </c>
      <c r="B103" s="5" t="s">
        <v>134</v>
      </c>
      <c r="C103" s="23">
        <f>L103/100*100</f>
        <v>50</v>
      </c>
      <c r="D103" s="24">
        <f>C103/100*247</f>
        <v>123.5</v>
      </c>
      <c r="E103" s="29"/>
      <c r="F103" s="29">
        <f>C103/100*17.5</f>
        <v>8.75</v>
      </c>
      <c r="G103" s="29"/>
      <c r="H103" s="29">
        <f>C103/100*1.6</f>
        <v>0.8</v>
      </c>
      <c r="I103" s="29">
        <f>C103/100*39.2</f>
        <v>19.600000000000001</v>
      </c>
      <c r="J103" s="71"/>
      <c r="K103" s="71"/>
      <c r="L103" s="379">
        <v>50</v>
      </c>
      <c r="M103" s="75">
        <v>50</v>
      </c>
      <c r="N103" s="28">
        <f t="shared" si="6"/>
        <v>2500</v>
      </c>
      <c r="O103" s="153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123</v>
      </c>
      <c r="C104" s="23"/>
      <c r="D104" s="139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4000</v>
      </c>
      <c r="O104" s="153"/>
    </row>
    <row r="105" spans="1:23" s="2" customFormat="1" ht="18.600000000000001" customHeight="1">
      <c r="A105" s="21" t="s">
        <v>118</v>
      </c>
      <c r="B105" s="22"/>
      <c r="C105" s="34"/>
      <c r="D105" s="121">
        <f>SUM(D93:D104)</f>
        <v>16795.243000000002</v>
      </c>
      <c r="E105" s="43"/>
      <c r="F105" s="43"/>
      <c r="G105" s="43"/>
      <c r="H105" s="43"/>
      <c r="I105" s="43"/>
      <c r="J105" s="43"/>
      <c r="K105" s="43"/>
      <c r="L105" s="44"/>
      <c r="M105" s="319"/>
      <c r="N105" s="279">
        <f>SUM(N93:N104)</f>
        <v>498711</v>
      </c>
      <c r="O105" s="153"/>
    </row>
    <row r="106" spans="1:23" ht="18.600000000000001" customHeight="1">
      <c r="A106" s="21" t="s">
        <v>37</v>
      </c>
      <c r="B106" s="22"/>
      <c r="C106" s="45"/>
      <c r="D106" s="46">
        <f>D105/D87</f>
        <v>284.66513559322038</v>
      </c>
      <c r="E106" s="46"/>
      <c r="F106" s="46"/>
      <c r="G106" s="46"/>
      <c r="H106" s="46"/>
      <c r="I106" s="46"/>
      <c r="J106" s="46"/>
      <c r="K106" s="46"/>
      <c r="L106" s="47"/>
      <c r="M106" s="320"/>
      <c r="N106" s="281"/>
      <c r="O106" s="167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304" t="s">
        <v>53</v>
      </c>
      <c r="B107" s="212"/>
      <c r="C107" s="382" t="s">
        <v>147</v>
      </c>
      <c r="D107" s="20" t="s">
        <v>45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9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13"/>
      <c r="B108" s="214"/>
      <c r="C108" s="76" t="s">
        <v>60</v>
      </c>
      <c r="D108" s="78">
        <f>D106*100/930</f>
        <v>30.609154364862409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79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74" t="s">
        <v>38</v>
      </c>
      <c r="B109" s="274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8.600000000000001" customHeight="1">
      <c r="A110" s="9">
        <v>1</v>
      </c>
      <c r="B110" s="10" t="s">
        <v>2</v>
      </c>
      <c r="C110" s="23">
        <f>L110/100*100</f>
        <v>70</v>
      </c>
      <c r="D110" s="24">
        <f>C110/100*60</f>
        <v>42</v>
      </c>
      <c r="E110" s="25">
        <f>C110/100*15</f>
        <v>10.5</v>
      </c>
      <c r="F110" s="25"/>
      <c r="G110" s="25"/>
      <c r="H110" s="25"/>
      <c r="I110" s="25"/>
      <c r="J110" s="27">
        <f>C110/100*387</f>
        <v>270.89999999999998</v>
      </c>
      <c r="K110" s="27">
        <f>C110/100*0.09</f>
        <v>6.3E-2</v>
      </c>
      <c r="L110" s="137">
        <v>70</v>
      </c>
      <c r="M110" s="75">
        <v>20</v>
      </c>
      <c r="N110" s="28">
        <f>L110*M110</f>
        <v>1400</v>
      </c>
      <c r="O110" s="153"/>
    </row>
    <row r="111" spans="1:23" s="2" customFormat="1" ht="18.600000000000001" customHeight="1">
      <c r="A111" s="9">
        <v>2</v>
      </c>
      <c r="B111" s="10" t="s">
        <v>139</v>
      </c>
      <c r="C111" s="23">
        <f>L111/100*100</f>
        <v>250</v>
      </c>
      <c r="D111" s="24">
        <f>C111/100*899</f>
        <v>2247.5</v>
      </c>
      <c r="E111" s="25"/>
      <c r="F111" s="25"/>
      <c r="G111" s="25">
        <f>C111/100*100</f>
        <v>250</v>
      </c>
      <c r="H111" s="25"/>
      <c r="I111" s="25"/>
      <c r="J111" s="27"/>
      <c r="K111" s="27"/>
      <c r="L111" s="137">
        <v>250</v>
      </c>
      <c r="M111" s="75">
        <v>69</v>
      </c>
      <c r="N111" s="28">
        <f t="shared" ref="N111" si="7">L111*M111</f>
        <v>17250</v>
      </c>
      <c r="O111" s="153"/>
    </row>
    <row r="112" spans="1:23" s="2" customFormat="1" ht="18.600000000000001" customHeight="1">
      <c r="A112" s="9">
        <v>3</v>
      </c>
      <c r="B112" s="5" t="s">
        <v>1</v>
      </c>
      <c r="C112" s="23">
        <f>L112/100*100</f>
        <v>2478</v>
      </c>
      <c r="D112" s="24">
        <f>C112/100*352.7</f>
        <v>8739.9060000000009</v>
      </c>
      <c r="E112" s="25"/>
      <c r="F112" s="25">
        <f>C112/100*7.9</f>
        <v>195.76200000000003</v>
      </c>
      <c r="G112" s="25"/>
      <c r="H112" s="25">
        <f>C112/100*1</f>
        <v>24.78</v>
      </c>
      <c r="I112" s="25">
        <f>C112/100*75.9</f>
        <v>1880.8020000000001</v>
      </c>
      <c r="J112" s="27">
        <f>C112/100*30</f>
        <v>743.40000000000009</v>
      </c>
      <c r="K112" s="27">
        <f>C112/100*0.1</f>
        <v>2.4780000000000002</v>
      </c>
      <c r="L112" s="137">
        <v>2478</v>
      </c>
      <c r="M112" s="75">
        <v>18</v>
      </c>
      <c r="N112" s="28">
        <f t="shared" ref="N112:N117" si="8">L112*M112</f>
        <v>44604</v>
      </c>
      <c r="O112" s="153"/>
    </row>
    <row r="113" spans="1:23" s="2" customFormat="1" ht="18.600000000000001" customHeight="1">
      <c r="A113" s="9">
        <v>4</v>
      </c>
      <c r="B113" s="5" t="s">
        <v>134</v>
      </c>
      <c r="C113" s="23">
        <f>L113/100*100</f>
        <v>50</v>
      </c>
      <c r="D113" s="24">
        <f>C113/100*247</f>
        <v>123.5</v>
      </c>
      <c r="E113" s="29"/>
      <c r="F113" s="29">
        <f>C113/100*17.5</f>
        <v>8.75</v>
      </c>
      <c r="G113" s="29"/>
      <c r="H113" s="29">
        <f>C113/100*1.6</f>
        <v>0.8</v>
      </c>
      <c r="I113" s="29">
        <f>C113/100*39.2</f>
        <v>19.600000000000001</v>
      </c>
      <c r="J113" s="71"/>
      <c r="K113" s="71"/>
      <c r="L113" s="379">
        <v>50</v>
      </c>
      <c r="M113" s="75">
        <v>50</v>
      </c>
      <c r="N113" s="28">
        <f t="shared" si="8"/>
        <v>2500</v>
      </c>
      <c r="O113" s="153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70</v>
      </c>
      <c r="C114" s="23">
        <f>L114/100*90</f>
        <v>13.5</v>
      </c>
      <c r="D114" s="24">
        <f>C114/100*253</f>
        <v>34.155000000000001</v>
      </c>
      <c r="E114" s="25"/>
      <c r="F114" s="25">
        <f>C114/100*32.4</f>
        <v>4.3739999999999997</v>
      </c>
      <c r="G114" s="25"/>
      <c r="H114" s="25">
        <f>C114/100*3.6</f>
        <v>0.48600000000000004</v>
      </c>
      <c r="I114" s="25">
        <f>C114/100*21.1</f>
        <v>2.8485000000000005</v>
      </c>
      <c r="J114" s="27">
        <f>C114/100*165.6</f>
        <v>22.356000000000002</v>
      </c>
      <c r="K114" s="27">
        <f>C114/100*0.14</f>
        <v>1.8900000000000004E-2</v>
      </c>
      <c r="L114" s="137">
        <v>15</v>
      </c>
      <c r="M114" s="75">
        <v>275</v>
      </c>
      <c r="N114" s="28">
        <f t="shared" si="8"/>
        <v>4125</v>
      </c>
      <c r="O114" s="153"/>
    </row>
    <row r="115" spans="1:23" s="2" customFormat="1" ht="18.600000000000001" customHeight="1">
      <c r="A115" s="9">
        <v>6</v>
      </c>
      <c r="B115" s="5" t="s">
        <v>75</v>
      </c>
      <c r="C115" s="23">
        <f>L115/100*75</f>
        <v>1417.5</v>
      </c>
      <c r="D115" s="24">
        <f>C115/100*12</f>
        <v>170.10000000000002</v>
      </c>
      <c r="E115" s="25"/>
      <c r="F115" s="25">
        <f>C115/100*0.6</f>
        <v>8.5050000000000008</v>
      </c>
      <c r="G115" s="25"/>
      <c r="H115" s="25"/>
      <c r="I115" s="25">
        <f>C115/100*2.4</f>
        <v>34.020000000000003</v>
      </c>
      <c r="J115" s="25">
        <f>C115/100*26</f>
        <v>368.55</v>
      </c>
      <c r="K115" s="25">
        <f>C115/100*0.02</f>
        <v>0.28350000000000003</v>
      </c>
      <c r="L115" s="137">
        <v>1890</v>
      </c>
      <c r="M115" s="75">
        <v>20</v>
      </c>
      <c r="N115" s="28">
        <f t="shared" si="8"/>
        <v>37800</v>
      </c>
      <c r="O115" s="153"/>
    </row>
    <row r="116" spans="1:23" s="2" customFormat="1" ht="18.600000000000001" customHeight="1">
      <c r="A116" s="9">
        <v>7</v>
      </c>
      <c r="B116" s="10" t="s">
        <v>71</v>
      </c>
      <c r="C116" s="23">
        <f>L116/100*98</f>
        <v>578.20000000000005</v>
      </c>
      <c r="D116" s="24">
        <f>C116/100*139</f>
        <v>803.69799999999998</v>
      </c>
      <c r="E116" s="25">
        <f>C116/100*19</f>
        <v>109.858</v>
      </c>
      <c r="F116" s="25"/>
      <c r="G116" s="25">
        <f>C116/100*7</f>
        <v>40.474000000000004</v>
      </c>
      <c r="H116" s="25"/>
      <c r="I116" s="25"/>
      <c r="J116" s="27">
        <f>C116/100*7</f>
        <v>40.474000000000004</v>
      </c>
      <c r="K116" s="27">
        <f>C116/100*0.9</f>
        <v>5.2038000000000002</v>
      </c>
      <c r="L116" s="137">
        <v>590</v>
      </c>
      <c r="M116" s="75">
        <v>133</v>
      </c>
      <c r="N116" s="28">
        <f t="shared" si="8"/>
        <v>78470</v>
      </c>
      <c r="O116" s="153"/>
    </row>
    <row r="117" spans="1:23" s="2" customFormat="1" ht="18.600000000000001" customHeight="1">
      <c r="A117" s="9">
        <v>8</v>
      </c>
      <c r="B117" s="10" t="s">
        <v>92</v>
      </c>
      <c r="C117" s="23">
        <f>L117/100*48</f>
        <v>1982.3999999999999</v>
      </c>
      <c r="D117" s="24">
        <f>C117/100*199</f>
        <v>3944.9759999999997</v>
      </c>
      <c r="E117" s="25">
        <f>C117/100*20.3</f>
        <v>402.42719999999997</v>
      </c>
      <c r="F117" s="25"/>
      <c r="G117" s="25">
        <f>C117/100*13.1</f>
        <v>259.69439999999997</v>
      </c>
      <c r="H117" s="25"/>
      <c r="I117" s="25"/>
      <c r="J117" s="27">
        <f>C117/100*12</f>
        <v>237.88799999999998</v>
      </c>
      <c r="K117" s="27">
        <f>C117/100*0.15</f>
        <v>2.9735999999999998</v>
      </c>
      <c r="L117" s="137">
        <v>4130</v>
      </c>
      <c r="M117" s="75">
        <v>84</v>
      </c>
      <c r="N117" s="28">
        <f t="shared" si="8"/>
        <v>346920</v>
      </c>
      <c r="O117" s="153"/>
      <c r="Q117" s="153"/>
    </row>
    <row r="118" spans="1:23" s="2" customFormat="1" ht="18.600000000000001" customHeight="1">
      <c r="A118" s="9">
        <v>9</v>
      </c>
      <c r="B118" s="6" t="s">
        <v>123</v>
      </c>
      <c r="C118" s="23"/>
      <c r="D118" s="139"/>
      <c r="E118" s="25"/>
      <c r="F118" s="25"/>
      <c r="G118" s="25"/>
      <c r="H118" s="25"/>
      <c r="I118" s="25"/>
      <c r="J118" s="27"/>
      <c r="K118" s="27"/>
      <c r="L118" s="26"/>
      <c r="M118" s="26"/>
      <c r="N118" s="28">
        <v>4000</v>
      </c>
      <c r="O118" s="153"/>
    </row>
    <row r="119" spans="1:23" s="2" customFormat="1" ht="18.600000000000001" customHeight="1">
      <c r="A119" s="21" t="s">
        <v>119</v>
      </c>
      <c r="B119" s="22"/>
      <c r="C119" s="34"/>
      <c r="D119" s="121">
        <f>SUM(D110:D118)</f>
        <v>16105.835000000003</v>
      </c>
      <c r="E119" s="43"/>
      <c r="F119" s="43"/>
      <c r="G119" s="43"/>
      <c r="H119" s="43"/>
      <c r="I119" s="43"/>
      <c r="J119" s="43"/>
      <c r="K119" s="43"/>
      <c r="L119" s="44"/>
      <c r="M119" s="319"/>
      <c r="N119" s="279">
        <f>SUM(N110:N118)</f>
        <v>537069</v>
      </c>
      <c r="O119" s="153"/>
    </row>
    <row r="120" spans="1:23" ht="18.600000000000001" customHeight="1">
      <c r="A120" s="21" t="s">
        <v>36</v>
      </c>
      <c r="B120" s="22"/>
      <c r="C120" s="61"/>
      <c r="D120" s="48">
        <f>D119/D87</f>
        <v>272.98025423728819</v>
      </c>
      <c r="E120" s="48"/>
      <c r="F120" s="48"/>
      <c r="G120" s="48"/>
      <c r="H120" s="48"/>
      <c r="I120" s="48"/>
      <c r="J120" s="48"/>
      <c r="K120" s="48"/>
      <c r="L120" s="62"/>
      <c r="M120" s="320"/>
      <c r="N120" s="280"/>
      <c r="O120" s="167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304" t="s">
        <v>54</v>
      </c>
      <c r="B121" s="212"/>
      <c r="C121" s="382" t="s">
        <v>147</v>
      </c>
      <c r="D121" s="20" t="s">
        <v>46</v>
      </c>
      <c r="E121" s="46"/>
      <c r="F121" s="46"/>
      <c r="G121" s="46"/>
      <c r="H121" s="46"/>
      <c r="I121" s="46"/>
      <c r="J121" s="48"/>
      <c r="K121" s="48"/>
      <c r="L121" s="47"/>
      <c r="M121" s="47"/>
      <c r="N121" s="179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13"/>
      <c r="B122" s="214"/>
      <c r="C122" s="76" t="s">
        <v>60</v>
      </c>
      <c r="D122" s="78">
        <f>D120*100/930</f>
        <v>29.352715509385828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9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74" t="s">
        <v>35</v>
      </c>
      <c r="B123" s="274"/>
      <c r="C123" s="63"/>
      <c r="D123" s="64"/>
      <c r="E123" s="64"/>
      <c r="F123" s="64"/>
      <c r="G123" s="64"/>
      <c r="H123" s="64"/>
      <c r="I123" s="64"/>
      <c r="J123" s="64"/>
      <c r="K123" s="64"/>
      <c r="L123" s="65"/>
      <c r="M123" s="65"/>
      <c r="N123" s="66"/>
      <c r="O123" s="167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103">
        <v>1</v>
      </c>
      <c r="B124" s="156" t="s">
        <v>145</v>
      </c>
      <c r="C124" s="104">
        <f>L124/100*100</f>
        <v>1010</v>
      </c>
      <c r="D124" s="105">
        <f>C124/100*487</f>
        <v>4918.7</v>
      </c>
      <c r="E124" s="106"/>
      <c r="F124" s="106">
        <f>C124/100*19.5</f>
        <v>196.95</v>
      </c>
      <c r="G124" s="106"/>
      <c r="H124" s="106">
        <f>C124/100*23.2</f>
        <v>234.32</v>
      </c>
      <c r="I124" s="106">
        <f>C124/100*46</f>
        <v>464.59999999999997</v>
      </c>
      <c r="J124" s="147">
        <f>C124/100*680</f>
        <v>6868</v>
      </c>
      <c r="K124" s="106">
        <f>C124/100*0.55</f>
        <v>5.5550000000000006</v>
      </c>
      <c r="L124" s="107">
        <v>1010</v>
      </c>
      <c r="M124" s="157">
        <v>260</v>
      </c>
      <c r="N124" s="108">
        <f t="shared" ref="N124" si="9">L124*M124</f>
        <v>262600</v>
      </c>
      <c r="O124" s="153"/>
      <c r="P124" s="3"/>
    </row>
    <row r="125" spans="1:23" ht="17.399999999999999" customHeight="1">
      <c r="A125" s="191" t="s">
        <v>0</v>
      </c>
      <c r="B125" s="201" t="s">
        <v>19</v>
      </c>
      <c r="C125" s="204" t="s">
        <v>8</v>
      </c>
      <c r="D125" s="204" t="s">
        <v>9</v>
      </c>
      <c r="E125" s="194" t="s">
        <v>11</v>
      </c>
      <c r="F125" s="195"/>
      <c r="G125" s="194" t="s">
        <v>13</v>
      </c>
      <c r="H125" s="195"/>
      <c r="I125" s="198" t="s">
        <v>16</v>
      </c>
      <c r="J125" s="198" t="s">
        <v>41</v>
      </c>
      <c r="K125" s="198" t="s">
        <v>42</v>
      </c>
      <c r="L125" s="198" t="s">
        <v>17</v>
      </c>
      <c r="M125" s="198" t="s">
        <v>55</v>
      </c>
      <c r="N125" s="191" t="s">
        <v>18</v>
      </c>
      <c r="O125" s="378"/>
    </row>
    <row r="126" spans="1:23" ht="17.399999999999999" customHeight="1">
      <c r="A126" s="192"/>
      <c r="B126" s="202"/>
      <c r="C126" s="205"/>
      <c r="D126" s="205"/>
      <c r="E126" s="196"/>
      <c r="F126" s="197"/>
      <c r="G126" s="196"/>
      <c r="H126" s="197"/>
      <c r="I126" s="199"/>
      <c r="J126" s="199"/>
      <c r="K126" s="199"/>
      <c r="L126" s="199"/>
      <c r="M126" s="199"/>
      <c r="N126" s="192"/>
      <c r="O126" s="178"/>
    </row>
    <row r="127" spans="1:23" ht="17.399999999999999" customHeight="1">
      <c r="A127" s="192"/>
      <c r="B127" s="202"/>
      <c r="C127" s="205"/>
      <c r="D127" s="205"/>
      <c r="E127" s="198" t="s">
        <v>10</v>
      </c>
      <c r="F127" s="198" t="s">
        <v>12</v>
      </c>
      <c r="G127" s="198" t="s">
        <v>14</v>
      </c>
      <c r="H127" s="198" t="s">
        <v>15</v>
      </c>
      <c r="I127" s="199"/>
      <c r="J127" s="199"/>
      <c r="K127" s="199"/>
      <c r="L127" s="199"/>
      <c r="M127" s="199"/>
      <c r="N127" s="192"/>
      <c r="O127" s="178"/>
    </row>
    <row r="128" spans="1:23" ht="17.399999999999999" customHeight="1">
      <c r="A128" s="193"/>
      <c r="B128" s="203"/>
      <c r="C128" s="206"/>
      <c r="D128" s="206"/>
      <c r="E128" s="200"/>
      <c r="F128" s="200"/>
      <c r="G128" s="200"/>
      <c r="H128" s="200"/>
      <c r="I128" s="200"/>
      <c r="J128" s="200"/>
      <c r="K128" s="200"/>
      <c r="L128" s="200"/>
      <c r="M128" s="200"/>
      <c r="N128" s="193"/>
      <c r="O128" s="178"/>
    </row>
    <row r="129" spans="1:23" s="2" customFormat="1" ht="18" customHeight="1">
      <c r="A129" s="21" t="s">
        <v>106</v>
      </c>
      <c r="B129" s="22"/>
      <c r="C129" s="34"/>
      <c r="D129" s="35">
        <f>SUM(D123:D124)</f>
        <v>4918.7</v>
      </c>
      <c r="E129" s="43"/>
      <c r="F129" s="43"/>
      <c r="G129" s="43"/>
      <c r="H129" s="43"/>
      <c r="I129" s="43"/>
      <c r="J129" s="43"/>
      <c r="K129" s="43"/>
      <c r="L129" s="44"/>
      <c r="M129" s="319"/>
      <c r="N129" s="279">
        <f>SUM(N123:N124)</f>
        <v>262600</v>
      </c>
      <c r="O129" s="153"/>
    </row>
    <row r="130" spans="1:23" ht="18" customHeight="1">
      <c r="A130" s="21" t="s">
        <v>7</v>
      </c>
      <c r="B130" s="22"/>
      <c r="C130" s="45"/>
      <c r="D130" s="46">
        <f>D129/D87</f>
        <v>83.367796610169492</v>
      </c>
      <c r="E130" s="46"/>
      <c r="F130" s="46"/>
      <c r="G130" s="46"/>
      <c r="H130" s="46"/>
      <c r="I130" s="46"/>
      <c r="J130" s="46"/>
      <c r="K130" s="46"/>
      <c r="L130" s="47"/>
      <c r="M130" s="320"/>
      <c r="N130" s="281"/>
      <c r="O130" s="167"/>
      <c r="P130" s="2"/>
      <c r="Q130" s="2"/>
      <c r="R130" s="2"/>
      <c r="S130" s="2"/>
      <c r="T130" s="2"/>
      <c r="U130" s="2"/>
      <c r="V130" s="2"/>
    </row>
    <row r="131" spans="1:23" ht="18" customHeight="1">
      <c r="A131" s="304" t="s">
        <v>52</v>
      </c>
      <c r="B131" s="212"/>
      <c r="C131" s="382" t="s">
        <v>147</v>
      </c>
      <c r="D131" s="20" t="s">
        <v>50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79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13"/>
      <c r="B132" s="214"/>
      <c r="C132" s="76" t="s">
        <v>60</v>
      </c>
      <c r="D132" s="20">
        <f>D130*100/930</f>
        <v>8.9642792053945701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9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28" t="s">
        <v>107</v>
      </c>
      <c r="B133" s="229"/>
      <c r="C133" s="232"/>
      <c r="D133" s="299">
        <f>D105+D119+D129</f>
        <v>37819.778000000006</v>
      </c>
      <c r="E133" s="7">
        <f>SUM(E93:E130)</f>
        <v>999.2328</v>
      </c>
      <c r="F133" s="7">
        <f>SUM(F93:F130)</f>
        <v>635.43450000000007</v>
      </c>
      <c r="G133" s="123">
        <f>SUM(G93:G130)</f>
        <v>1020.9276</v>
      </c>
      <c r="H133" s="7">
        <f>SUM(H93:H130)</f>
        <v>437.2799</v>
      </c>
      <c r="I133" s="215">
        <f>SUM(I93:I130)</f>
        <v>4391.1600000000008</v>
      </c>
      <c r="J133" s="217">
        <f>SUM(J93:J124)</f>
        <v>15115.581100000001</v>
      </c>
      <c r="K133" s="215">
        <f>SUM(K93:K124)</f>
        <v>34.356950000000005</v>
      </c>
      <c r="L133" s="244"/>
      <c r="M133" s="244"/>
      <c r="N133" s="301">
        <f>N105+N119+N129</f>
        <v>1298380</v>
      </c>
      <c r="U133" s="12"/>
      <c r="V133" s="12"/>
    </row>
    <row r="134" spans="1:23" ht="18" customHeight="1">
      <c r="A134" s="230"/>
      <c r="B134" s="231"/>
      <c r="C134" s="233"/>
      <c r="D134" s="300"/>
      <c r="E134" s="226">
        <f>E133+F133</f>
        <v>1634.6673000000001</v>
      </c>
      <c r="F134" s="227"/>
      <c r="G134" s="226">
        <f>G133+H133</f>
        <v>1458.2075</v>
      </c>
      <c r="H134" s="227"/>
      <c r="I134" s="406"/>
      <c r="J134" s="323"/>
      <c r="K134" s="406"/>
      <c r="L134" s="244"/>
      <c r="M134" s="244"/>
      <c r="N134" s="301"/>
      <c r="P134" s="373"/>
      <c r="Q134" s="375"/>
      <c r="R134" s="375"/>
      <c r="S134" s="375"/>
      <c r="T134" s="375"/>
      <c r="U134" s="386"/>
      <c r="V134" s="386"/>
    </row>
    <row r="135" spans="1:23" ht="18" customHeight="1">
      <c r="A135" s="248" t="s">
        <v>77</v>
      </c>
      <c r="B135" s="249"/>
      <c r="C135" s="250"/>
      <c r="D135" s="138">
        <f>D133/D87</f>
        <v>641.01318644067806</v>
      </c>
      <c r="E135" s="404">
        <f>E133/D87</f>
        <v>16.936149152542374</v>
      </c>
      <c r="F135" s="403">
        <f>F133/D87</f>
        <v>10.770076271186442</v>
      </c>
      <c r="G135" s="404">
        <f>G133/D87</f>
        <v>17.303857627118642</v>
      </c>
      <c r="H135" s="403">
        <f>H133/D87</f>
        <v>7.4115237288135596</v>
      </c>
      <c r="I135" s="302">
        <f>I133/D87</f>
        <v>74.426440677966113</v>
      </c>
      <c r="J135" s="302">
        <f>J133/D87</f>
        <v>256.19628983050848</v>
      </c>
      <c r="K135" s="302">
        <f>K133/D87</f>
        <v>0.5823211864406781</v>
      </c>
      <c r="L135" s="244"/>
      <c r="M135" s="244"/>
      <c r="N135" s="301"/>
      <c r="P135" s="389"/>
      <c r="Q135" s="375"/>
      <c r="R135" s="375"/>
      <c r="S135" s="399"/>
      <c r="T135" s="399"/>
      <c r="U135" s="375"/>
      <c r="V135" s="375"/>
    </row>
    <row r="136" spans="1:23" ht="18" customHeight="1">
      <c r="A136" s="251"/>
      <c r="B136" s="252"/>
      <c r="C136" s="253"/>
      <c r="D136" s="127"/>
      <c r="E136" s="387">
        <f>E135+F135</f>
        <v>27.706225423728817</v>
      </c>
      <c r="F136" s="388"/>
      <c r="G136" s="387">
        <f>G135+H135</f>
        <v>24.715381355932202</v>
      </c>
      <c r="H136" s="388"/>
      <c r="I136" s="406"/>
      <c r="J136" s="406"/>
      <c r="K136" s="406"/>
      <c r="L136" s="244"/>
      <c r="M136" s="244"/>
      <c r="N136" s="301"/>
      <c r="P136" s="373"/>
      <c r="Q136" s="373"/>
      <c r="R136" s="373"/>
      <c r="S136" s="373"/>
      <c r="T136" s="373"/>
      <c r="U136" s="373"/>
      <c r="V136" s="373"/>
    </row>
    <row r="137" spans="1:23" ht="18" customHeight="1">
      <c r="A137" s="316" t="s">
        <v>80</v>
      </c>
      <c r="B137" s="317"/>
      <c r="C137" s="318"/>
      <c r="D137" s="183" t="s">
        <v>29</v>
      </c>
      <c r="E137" s="363" t="s">
        <v>24</v>
      </c>
      <c r="F137" s="363"/>
      <c r="G137" s="363" t="s">
        <v>25</v>
      </c>
      <c r="H137" s="363"/>
      <c r="I137" s="183" t="s">
        <v>26</v>
      </c>
      <c r="J137" s="181">
        <v>500</v>
      </c>
      <c r="K137" s="181">
        <v>0.5</v>
      </c>
      <c r="L137" s="244"/>
      <c r="M137" s="244"/>
      <c r="N137" s="301"/>
      <c r="O137" s="391"/>
      <c r="P137" s="373"/>
      <c r="Q137" s="374"/>
      <c r="R137" s="374"/>
      <c r="S137" s="374"/>
      <c r="T137" s="373"/>
      <c r="U137" s="373"/>
      <c r="V137" s="373"/>
    </row>
    <row r="138" spans="1:23" ht="18" customHeight="1">
      <c r="A138" s="219" t="s">
        <v>78</v>
      </c>
      <c r="B138" s="220"/>
      <c r="C138" s="221"/>
      <c r="D138" s="49"/>
      <c r="E138" s="207">
        <f>E136*4.1</f>
        <v>113.59552423728815</v>
      </c>
      <c r="F138" s="208"/>
      <c r="G138" s="207">
        <f>G136*9</f>
        <v>222.43843220338982</v>
      </c>
      <c r="H138" s="208"/>
      <c r="I138" s="85">
        <f>I135*4.1</f>
        <v>305.14840677966106</v>
      </c>
      <c r="J138" s="254"/>
      <c r="K138" s="254"/>
      <c r="L138" s="244"/>
      <c r="M138" s="244"/>
      <c r="N138" s="301"/>
      <c r="O138" s="391"/>
      <c r="P138" s="392"/>
      <c r="Q138" s="373"/>
      <c r="R138" s="373"/>
      <c r="S138" s="373"/>
      <c r="T138" s="373"/>
      <c r="U138" s="373"/>
      <c r="V138" s="373"/>
    </row>
    <row r="139" spans="1:23" ht="18" customHeight="1">
      <c r="A139" s="222" t="s">
        <v>87</v>
      </c>
      <c r="B139" s="223"/>
      <c r="C139" s="219" t="s">
        <v>59</v>
      </c>
      <c r="D139" s="221"/>
      <c r="E139" s="256">
        <f>E138*100/D135</f>
        <v>17.721246089810471</v>
      </c>
      <c r="F139" s="257"/>
      <c r="G139" s="256">
        <f>G138*100/D135</f>
        <v>34.701069636104151</v>
      </c>
      <c r="H139" s="257"/>
      <c r="I139" s="115">
        <f>I138*100/D135</f>
        <v>47.604076364488442</v>
      </c>
      <c r="J139" s="255"/>
      <c r="K139" s="255"/>
      <c r="L139" s="244"/>
      <c r="M139" s="244"/>
      <c r="N139" s="301"/>
      <c r="O139" s="391"/>
    </row>
    <row r="140" spans="1:23" ht="18" customHeight="1">
      <c r="A140" s="224"/>
      <c r="B140" s="225"/>
      <c r="C140" s="219" t="s">
        <v>79</v>
      </c>
      <c r="D140" s="221"/>
      <c r="E140" s="219" t="s">
        <v>82</v>
      </c>
      <c r="F140" s="221"/>
      <c r="G140" s="219" t="s">
        <v>85</v>
      </c>
      <c r="H140" s="221"/>
      <c r="I140" s="183" t="s">
        <v>86</v>
      </c>
      <c r="J140" s="235"/>
      <c r="K140" s="235"/>
      <c r="L140" s="244"/>
      <c r="M140" s="244"/>
      <c r="N140" s="301"/>
      <c r="O140" s="391"/>
      <c r="P140" s="132"/>
    </row>
    <row r="141" spans="1:23" ht="22.2" customHeight="1">
      <c r="A141" s="90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1"/>
      <c r="M141" s="91"/>
      <c r="N141" s="92"/>
      <c r="O141" s="391"/>
    </row>
    <row r="142" spans="1:23" ht="21" customHeight="1">
      <c r="A142" s="294" t="s">
        <v>114</v>
      </c>
      <c r="B142" s="294"/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391"/>
    </row>
    <row r="143" spans="1:23" ht="21" customHeight="1">
      <c r="A143" s="117" t="s">
        <v>115</v>
      </c>
      <c r="B143" s="295" t="s">
        <v>126</v>
      </c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391"/>
    </row>
    <row r="144" spans="1:23" ht="21" customHeight="1">
      <c r="A144" s="118"/>
      <c r="B144" s="259" t="s">
        <v>205</v>
      </c>
      <c r="C144" s="259"/>
      <c r="D144" s="259"/>
      <c r="E144" s="259"/>
      <c r="F144" s="259"/>
      <c r="G144" s="259"/>
      <c r="H144" s="259"/>
      <c r="I144" s="259"/>
      <c r="J144" s="259"/>
      <c r="K144" s="259"/>
      <c r="L144" s="259"/>
      <c r="M144" s="259"/>
      <c r="N144" s="259"/>
      <c r="O144" s="391"/>
    </row>
    <row r="145" spans="1:15" ht="21" customHeight="1">
      <c r="A145" s="118"/>
      <c r="B145" s="259" t="s">
        <v>191</v>
      </c>
      <c r="C145" s="259"/>
      <c r="D145" s="259"/>
      <c r="E145" s="259"/>
      <c r="F145" s="259"/>
      <c r="G145" s="259"/>
      <c r="H145" s="259"/>
      <c r="I145" s="259"/>
      <c r="J145" s="259"/>
      <c r="K145" s="259"/>
      <c r="L145" s="259"/>
      <c r="M145" s="259"/>
      <c r="N145" s="259"/>
      <c r="O145" s="391"/>
    </row>
    <row r="146" spans="1:15" ht="21" customHeight="1">
      <c r="A146" s="118"/>
      <c r="B146" s="259" t="s">
        <v>169</v>
      </c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391"/>
    </row>
    <row r="147" spans="1:15" ht="21" customHeight="1">
      <c r="A147" s="90"/>
      <c r="B147" s="260" t="s">
        <v>117</v>
      </c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391"/>
    </row>
    <row r="148" spans="1:15" ht="2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391"/>
    </row>
    <row r="149" spans="1:15" ht="21" customHeight="1">
      <c r="A149" s="261" t="s">
        <v>62</v>
      </c>
      <c r="B149" s="261"/>
      <c r="C149" s="261"/>
      <c r="D149" s="261"/>
      <c r="E149" s="393"/>
      <c r="F149" s="393"/>
      <c r="G149" s="393"/>
      <c r="H149" s="393"/>
      <c r="I149" s="393"/>
      <c r="J149" s="394" t="s">
        <v>33</v>
      </c>
      <c r="K149" s="394"/>
      <c r="L149" s="394"/>
      <c r="M149" s="394"/>
      <c r="N149" s="394"/>
      <c r="O149" s="391"/>
    </row>
    <row r="150" spans="1:15" ht="21" customHeight="1">
      <c r="A150" s="178"/>
      <c r="B150" s="178"/>
      <c r="C150" s="178"/>
      <c r="D150" s="393"/>
      <c r="E150" s="393"/>
      <c r="F150" s="393"/>
      <c r="G150" s="393"/>
      <c r="H150" s="395"/>
      <c r="I150" s="395"/>
      <c r="J150" s="395"/>
      <c r="K150" s="395"/>
      <c r="L150" s="395"/>
      <c r="M150" s="395"/>
      <c r="N150" s="395"/>
      <c r="O150" s="391"/>
    </row>
    <row r="151" spans="1:15" ht="21" customHeight="1">
      <c r="A151" s="178"/>
      <c r="B151" s="178"/>
      <c r="C151" s="178"/>
      <c r="D151" s="393"/>
      <c r="E151" s="393"/>
      <c r="F151" s="393"/>
      <c r="G151" s="393"/>
      <c r="H151" s="395"/>
      <c r="I151" s="395"/>
      <c r="J151" s="395"/>
      <c r="K151" s="395"/>
      <c r="L151" s="395"/>
      <c r="M151" s="395"/>
      <c r="N151" s="395"/>
      <c r="O151" s="391"/>
    </row>
    <row r="152" spans="1:15" ht="21" customHeight="1">
      <c r="A152" s="178"/>
      <c r="B152" s="178"/>
      <c r="C152" s="178"/>
      <c r="D152" s="393"/>
      <c r="E152" s="393"/>
      <c r="F152" s="393"/>
      <c r="G152" s="393"/>
      <c r="H152" s="395"/>
      <c r="I152" s="395"/>
      <c r="J152" s="396" t="s">
        <v>124</v>
      </c>
      <c r="K152" s="396"/>
      <c r="L152" s="396"/>
      <c r="M152" s="396"/>
      <c r="N152" s="396"/>
      <c r="O152" s="391"/>
    </row>
    <row r="153" spans="1:15" ht="22.2" customHeight="1">
      <c r="A153" s="262" t="s">
        <v>91</v>
      </c>
      <c r="B153" s="262"/>
      <c r="C153" s="262"/>
      <c r="D153" s="262"/>
      <c r="E153" s="393"/>
      <c r="F153" s="393"/>
      <c r="G153" s="393"/>
      <c r="H153" s="395"/>
      <c r="I153" s="395"/>
      <c r="O153" s="391"/>
    </row>
    <row r="155" spans="1:15" ht="22.2" customHeight="1">
      <c r="J155" s="396" t="s">
        <v>127</v>
      </c>
      <c r="K155" s="396"/>
      <c r="L155" s="396"/>
      <c r="M155" s="396"/>
      <c r="N155" s="396"/>
    </row>
    <row r="156" spans="1:15" ht="22.2" customHeight="1">
      <c r="J156" s="396"/>
      <c r="K156" s="396"/>
      <c r="L156" s="396"/>
      <c r="M156" s="396"/>
      <c r="N156" s="396"/>
    </row>
  </sheetData>
  <mergeCells count="208"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zoomScale="106" zoomScaleNormal="106" workbookViewId="0">
      <selection activeCell="O44" sqref="O44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65</v>
      </c>
      <c r="B1" s="8"/>
      <c r="C1" s="8"/>
      <c r="D1" s="8"/>
      <c r="E1" s="8"/>
      <c r="F1" s="189" t="s">
        <v>31</v>
      </c>
      <c r="G1" s="189"/>
      <c r="H1" s="189"/>
      <c r="I1" s="189"/>
      <c r="J1" s="189"/>
      <c r="K1" s="189"/>
      <c r="L1" s="189"/>
      <c r="M1" s="189"/>
      <c r="N1" s="189"/>
      <c r="O1" s="376"/>
      <c r="P1" s="376"/>
      <c r="T1" s="2"/>
    </row>
    <row r="2" spans="1:20" ht="10.199999999999999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6"/>
      <c r="P2" s="376"/>
      <c r="T2" s="2"/>
    </row>
    <row r="3" spans="1:20" ht="19.8" customHeight="1">
      <c r="A3" s="8" t="s">
        <v>206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6"/>
      <c r="P3" s="376"/>
      <c r="T3" s="2"/>
    </row>
    <row r="4" spans="1:20" ht="10.199999999999999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6"/>
      <c r="P4" s="376"/>
      <c r="T4" s="2"/>
    </row>
    <row r="5" spans="1:20" s="2" customFormat="1" ht="19.8" customHeight="1">
      <c r="A5" s="236" t="s">
        <v>97</v>
      </c>
      <c r="B5" s="236"/>
      <c r="C5" s="236"/>
      <c r="D5" s="236"/>
      <c r="E5" s="236" t="s">
        <v>98</v>
      </c>
      <c r="F5" s="236"/>
      <c r="G5" s="236"/>
      <c r="H5" s="236"/>
      <c r="I5" s="236"/>
      <c r="J5" s="236"/>
      <c r="K5" s="236"/>
      <c r="L5" s="236"/>
      <c r="M5" s="236"/>
      <c r="N5" s="236"/>
      <c r="O5" s="377"/>
    </row>
    <row r="6" spans="1:20" s="2" customFormat="1" ht="19.8" customHeight="1">
      <c r="A6" s="266" t="s">
        <v>90</v>
      </c>
      <c r="B6" s="266"/>
      <c r="C6" s="266"/>
      <c r="D6" s="266"/>
      <c r="E6" s="267" t="s">
        <v>76</v>
      </c>
      <c r="F6" s="267"/>
      <c r="G6" s="267"/>
      <c r="H6" s="267"/>
      <c r="I6" s="267"/>
      <c r="J6" s="343" t="s">
        <v>177</v>
      </c>
      <c r="K6" s="283"/>
      <c r="L6" s="283"/>
      <c r="M6" s="283"/>
      <c r="N6" s="284"/>
      <c r="O6" s="377"/>
    </row>
    <row r="7" spans="1:20" s="2" customFormat="1" ht="19.8" customHeight="1">
      <c r="A7" s="185" t="s">
        <v>155</v>
      </c>
      <c r="B7" s="186"/>
      <c r="C7" s="186"/>
      <c r="D7" s="187"/>
      <c r="E7" s="267"/>
      <c r="F7" s="267"/>
      <c r="G7" s="267"/>
      <c r="H7" s="267"/>
      <c r="I7" s="267"/>
      <c r="J7" s="285"/>
      <c r="K7" s="286"/>
      <c r="L7" s="286"/>
      <c r="M7" s="286"/>
      <c r="N7" s="287"/>
      <c r="O7" s="377"/>
    </row>
    <row r="8" spans="1:20" s="2" customFormat="1" ht="19.8" customHeight="1">
      <c r="A8" s="188" t="s">
        <v>154</v>
      </c>
      <c r="B8" s="188"/>
      <c r="C8" s="188"/>
      <c r="D8" s="188"/>
      <c r="E8" s="267"/>
      <c r="F8" s="267"/>
      <c r="G8" s="267"/>
      <c r="H8" s="267"/>
      <c r="I8" s="267"/>
      <c r="J8" s="285"/>
      <c r="K8" s="286"/>
      <c r="L8" s="286"/>
      <c r="M8" s="286"/>
      <c r="N8" s="287"/>
      <c r="O8" s="377"/>
    </row>
    <row r="9" spans="1:20" s="2" customFormat="1" ht="19.8" customHeight="1">
      <c r="A9" s="275" t="s">
        <v>174</v>
      </c>
      <c r="B9" s="275"/>
      <c r="C9" s="275"/>
      <c r="D9" s="275"/>
      <c r="E9" s="267"/>
      <c r="F9" s="267"/>
      <c r="G9" s="267"/>
      <c r="H9" s="267"/>
      <c r="I9" s="267"/>
      <c r="J9" s="288"/>
      <c r="K9" s="289"/>
      <c r="L9" s="289"/>
      <c r="M9" s="289"/>
      <c r="N9" s="290"/>
      <c r="O9" s="377"/>
    </row>
    <row r="10" spans="1:20" s="2" customFormat="1" ht="19.8" customHeight="1">
      <c r="A10" s="276" t="s">
        <v>122</v>
      </c>
      <c r="B10" s="277"/>
      <c r="C10" s="278"/>
      <c r="D10" s="128">
        <v>228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7"/>
    </row>
    <row r="11" spans="1:20" ht="19.8" customHeight="1">
      <c r="A11" s="191" t="s">
        <v>66</v>
      </c>
      <c r="B11" s="201" t="s">
        <v>19</v>
      </c>
      <c r="C11" s="329" t="s">
        <v>8</v>
      </c>
      <c r="D11" s="204" t="s">
        <v>9</v>
      </c>
      <c r="E11" s="194" t="s">
        <v>11</v>
      </c>
      <c r="F11" s="195"/>
      <c r="G11" s="194" t="s">
        <v>13</v>
      </c>
      <c r="H11" s="195"/>
      <c r="I11" s="198" t="s">
        <v>16</v>
      </c>
      <c r="J11" s="198" t="s">
        <v>41</v>
      </c>
      <c r="K11" s="198" t="s">
        <v>42</v>
      </c>
      <c r="L11" s="198" t="s">
        <v>17</v>
      </c>
      <c r="M11" s="198" t="s">
        <v>55</v>
      </c>
      <c r="N11" s="191" t="s">
        <v>18</v>
      </c>
      <c r="O11" s="378"/>
    </row>
    <row r="12" spans="1:20" ht="19.8" customHeight="1">
      <c r="A12" s="192"/>
      <c r="B12" s="202"/>
      <c r="C12" s="330"/>
      <c r="D12" s="205"/>
      <c r="E12" s="196"/>
      <c r="F12" s="197"/>
      <c r="G12" s="196"/>
      <c r="H12" s="197"/>
      <c r="I12" s="199"/>
      <c r="J12" s="199"/>
      <c r="K12" s="199"/>
      <c r="L12" s="199"/>
      <c r="M12" s="199"/>
      <c r="N12" s="192"/>
      <c r="O12" s="178"/>
    </row>
    <row r="13" spans="1:20" ht="19.8" customHeight="1">
      <c r="A13" s="192"/>
      <c r="B13" s="202"/>
      <c r="C13" s="330"/>
      <c r="D13" s="205"/>
      <c r="E13" s="198" t="s">
        <v>10</v>
      </c>
      <c r="F13" s="198" t="s">
        <v>12</v>
      </c>
      <c r="G13" s="198" t="s">
        <v>14</v>
      </c>
      <c r="H13" s="198" t="s">
        <v>15</v>
      </c>
      <c r="I13" s="199"/>
      <c r="J13" s="199"/>
      <c r="K13" s="199"/>
      <c r="L13" s="199"/>
      <c r="M13" s="199"/>
      <c r="N13" s="192"/>
      <c r="O13" s="178"/>
    </row>
    <row r="14" spans="1:20" ht="19.8" customHeight="1">
      <c r="A14" s="193"/>
      <c r="B14" s="203"/>
      <c r="C14" s="331"/>
      <c r="D14" s="206"/>
      <c r="E14" s="200"/>
      <c r="F14" s="200"/>
      <c r="G14" s="200"/>
      <c r="H14" s="200"/>
      <c r="I14" s="200"/>
      <c r="J14" s="200"/>
      <c r="K14" s="200"/>
      <c r="L14" s="200"/>
      <c r="M14" s="200"/>
      <c r="N14" s="193"/>
      <c r="O14" s="178"/>
    </row>
    <row r="15" spans="1:20" ht="19.8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8"/>
    </row>
    <row r="16" spans="1:20" s="2" customFormat="1" ht="19.8" customHeight="1">
      <c r="A16" s="9">
        <v>1</v>
      </c>
      <c r="B16" s="10" t="s">
        <v>2</v>
      </c>
      <c r="C16" s="23">
        <f>L16/100*100</f>
        <v>300</v>
      </c>
      <c r="D16" s="24">
        <f>C16/100*60</f>
        <v>180</v>
      </c>
      <c r="E16" s="25">
        <f>C16/100*15</f>
        <v>45</v>
      </c>
      <c r="F16" s="25"/>
      <c r="G16" s="25"/>
      <c r="H16" s="25"/>
      <c r="I16" s="25"/>
      <c r="J16" s="27">
        <f>C16/100*387</f>
        <v>1161</v>
      </c>
      <c r="K16" s="27">
        <f>C16/100*0.09</f>
        <v>0.27</v>
      </c>
      <c r="L16" s="137">
        <v>300</v>
      </c>
      <c r="M16" s="75">
        <v>20</v>
      </c>
      <c r="N16" s="135">
        <f>L16*M16</f>
        <v>6000</v>
      </c>
      <c r="O16" s="153"/>
    </row>
    <row r="17" spans="1:20" s="2" customFormat="1" ht="19.8" customHeight="1">
      <c r="A17" s="9">
        <v>2</v>
      </c>
      <c r="B17" s="146" t="s">
        <v>139</v>
      </c>
      <c r="C17" s="23">
        <f>L17/100*100</f>
        <v>960</v>
      </c>
      <c r="D17" s="24">
        <f>C17/100*899</f>
        <v>8630.4</v>
      </c>
      <c r="E17" s="25"/>
      <c r="F17" s="25"/>
      <c r="G17" s="25">
        <f>C17/100*100</f>
        <v>960</v>
      </c>
      <c r="H17" s="25"/>
      <c r="I17" s="25"/>
      <c r="J17" s="27"/>
      <c r="K17" s="27"/>
      <c r="L17" s="137">
        <v>960</v>
      </c>
      <c r="M17" s="75">
        <v>69</v>
      </c>
      <c r="N17" s="135">
        <f t="shared" ref="N17:N26" si="0">L17*M17</f>
        <v>66240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21660</v>
      </c>
      <c r="D18" s="120">
        <f>C18/100*330</f>
        <v>71478</v>
      </c>
      <c r="E18" s="25"/>
      <c r="F18" s="130">
        <f>C18/100*7.9</f>
        <v>1711.14</v>
      </c>
      <c r="G18" s="25"/>
      <c r="H18" s="25">
        <f>C18/100*1</f>
        <v>216.6</v>
      </c>
      <c r="I18" s="119">
        <f>C18/100*75.9</f>
        <v>16439.940000000002</v>
      </c>
      <c r="J18" s="27">
        <f>C18/100*30</f>
        <v>6498</v>
      </c>
      <c r="K18" s="27">
        <f>C18/100*0.1</f>
        <v>21.66</v>
      </c>
      <c r="L18" s="137">
        <v>21660</v>
      </c>
      <c r="M18" s="75">
        <v>18</v>
      </c>
      <c r="N18" s="175">
        <f t="shared" si="0"/>
        <v>389880</v>
      </c>
      <c r="O18" s="153"/>
    </row>
    <row r="19" spans="1:20" s="2" customFormat="1" ht="19.8" customHeight="1">
      <c r="A19" s="9">
        <v>4</v>
      </c>
      <c r="B19" s="10" t="s">
        <v>71</v>
      </c>
      <c r="C19" s="23">
        <f>L19/100*98</f>
        <v>4919.6000000000004</v>
      </c>
      <c r="D19" s="24">
        <f>C19/100*139</f>
        <v>6838.2440000000006</v>
      </c>
      <c r="E19" s="119">
        <f>C19/100*19</f>
        <v>934.72400000000005</v>
      </c>
      <c r="F19" s="25"/>
      <c r="G19" s="25">
        <f>C19/100*7</f>
        <v>344.37200000000001</v>
      </c>
      <c r="H19" s="25"/>
      <c r="I19" s="25"/>
      <c r="J19" s="27">
        <f>C19/100*7</f>
        <v>344.37200000000001</v>
      </c>
      <c r="K19" s="27">
        <f>C19/100*0.9</f>
        <v>44.276400000000002</v>
      </c>
      <c r="L19" s="137">
        <v>5020</v>
      </c>
      <c r="M19" s="143">
        <v>133</v>
      </c>
      <c r="N19" s="175">
        <f t="shared" si="0"/>
        <v>667660</v>
      </c>
      <c r="O19" s="153"/>
    </row>
    <row r="20" spans="1:20" s="2" customFormat="1" ht="19.8" customHeight="1">
      <c r="A20" s="9">
        <v>5</v>
      </c>
      <c r="B20" s="148" t="s">
        <v>178</v>
      </c>
      <c r="C20" s="23">
        <f>L20/100*31</f>
        <v>1060.2</v>
      </c>
      <c r="D20" s="24">
        <f>C20/100*87</f>
        <v>922.37400000000002</v>
      </c>
      <c r="E20" s="119">
        <f>C20/100*12.3</f>
        <v>130.40460000000002</v>
      </c>
      <c r="F20" s="25"/>
      <c r="G20" s="25">
        <f>C20/100*3.3</f>
        <v>34.986599999999996</v>
      </c>
      <c r="H20" s="25"/>
      <c r="I20" s="25">
        <f>C20/100*2</f>
        <v>21.204000000000001</v>
      </c>
      <c r="J20" s="27">
        <f>C20/100*120</f>
        <v>1272.24</v>
      </c>
      <c r="K20" s="27">
        <f>C20/100*0.01</f>
        <v>0.10602</v>
      </c>
      <c r="L20" s="137">
        <v>3420</v>
      </c>
      <c r="M20" s="143">
        <v>180</v>
      </c>
      <c r="N20" s="175">
        <f>L20*M20</f>
        <v>615600</v>
      </c>
      <c r="O20" s="153"/>
    </row>
    <row r="21" spans="1:20" s="2" customFormat="1" ht="19.8" customHeight="1">
      <c r="A21" s="9">
        <v>6</v>
      </c>
      <c r="B21" s="149" t="s">
        <v>30</v>
      </c>
      <c r="C21" s="23">
        <f>L21/100*88</f>
        <v>5614.4</v>
      </c>
      <c r="D21" s="120">
        <f>C21/100*184</f>
        <v>10330.495999999999</v>
      </c>
      <c r="E21" s="119">
        <f>C21/100*13</f>
        <v>729.87199999999996</v>
      </c>
      <c r="F21" s="25"/>
      <c r="G21" s="25">
        <f>C21/100*14.2</f>
        <v>797.24479999999994</v>
      </c>
      <c r="H21" s="25"/>
      <c r="I21" s="25">
        <f>C21/100*1</f>
        <v>56.143999999999998</v>
      </c>
      <c r="J21" s="27">
        <f>C21/100*71</f>
        <v>3986.2239999999997</v>
      </c>
      <c r="K21" s="27">
        <f>C21/100*0.15</f>
        <v>8.4215999999999998</v>
      </c>
      <c r="L21" s="137">
        <v>6380</v>
      </c>
      <c r="M21" s="75">
        <v>57</v>
      </c>
      <c r="N21" s="175">
        <f t="shared" si="0"/>
        <v>363660</v>
      </c>
      <c r="O21" s="153"/>
      <c r="Q21" s="3"/>
      <c r="R21" s="3"/>
      <c r="S21" s="4"/>
    </row>
    <row r="22" spans="1:20" s="2" customFormat="1" ht="19.8" customHeight="1">
      <c r="A22" s="9">
        <v>7</v>
      </c>
      <c r="B22" s="148" t="s">
        <v>3</v>
      </c>
      <c r="C22" s="23">
        <f>L22/100*98</f>
        <v>2234.4</v>
      </c>
      <c r="D22" s="24">
        <f>C22/100*118</f>
        <v>2636.5920000000001</v>
      </c>
      <c r="E22" s="119">
        <f>C22/100*21</f>
        <v>469.22400000000005</v>
      </c>
      <c r="F22" s="25"/>
      <c r="G22" s="25">
        <f>C22/100*3.8</f>
        <v>84.907200000000003</v>
      </c>
      <c r="H22" s="25"/>
      <c r="I22" s="25"/>
      <c r="J22" s="25">
        <f>C22/100*12</f>
        <v>268.12800000000004</v>
      </c>
      <c r="K22" s="25">
        <f>C22/100*0.1</f>
        <v>2.2344000000000004</v>
      </c>
      <c r="L22" s="137">
        <v>2280</v>
      </c>
      <c r="M22" s="143">
        <v>270</v>
      </c>
      <c r="N22" s="175">
        <f t="shared" si="0"/>
        <v>615600</v>
      </c>
      <c r="O22" s="153"/>
    </row>
    <row r="23" spans="1:20" s="2" customFormat="1" ht="19.8" customHeight="1">
      <c r="A23" s="9">
        <v>8</v>
      </c>
      <c r="B23" s="149" t="s">
        <v>172</v>
      </c>
      <c r="C23" s="23">
        <f>L23/100*80</f>
        <v>2736</v>
      </c>
      <c r="D23" s="24">
        <f>C23/100*25</f>
        <v>684</v>
      </c>
      <c r="E23" s="29"/>
      <c r="F23" s="29">
        <f>C23/100*2.8</f>
        <v>76.60799999999999</v>
      </c>
      <c r="G23" s="29"/>
      <c r="H23" s="29">
        <f>C23/100*0.3</f>
        <v>8.2080000000000002</v>
      </c>
      <c r="I23" s="29">
        <f>C23/100*3</f>
        <v>82.08</v>
      </c>
      <c r="J23" s="29">
        <f>C23/100*182</f>
        <v>4979.5199999999995</v>
      </c>
      <c r="K23" s="29">
        <f>C23/100*0.13</f>
        <v>3.5568</v>
      </c>
      <c r="L23" s="379">
        <v>3420</v>
      </c>
      <c r="M23" s="26">
        <v>24</v>
      </c>
      <c r="N23" s="135">
        <f t="shared" si="0"/>
        <v>82080</v>
      </c>
      <c r="O23" s="153"/>
      <c r="Q23" s="3"/>
      <c r="R23" s="3"/>
      <c r="S23" s="4"/>
    </row>
    <row r="24" spans="1:20" s="2" customFormat="1" ht="19.8" customHeight="1">
      <c r="A24" s="9">
        <v>9</v>
      </c>
      <c r="B24" s="149" t="s">
        <v>173</v>
      </c>
      <c r="C24" s="23">
        <f>L24/100*83</f>
        <v>3784.8</v>
      </c>
      <c r="D24" s="24">
        <f>C24/100*14</f>
        <v>529.87199999999996</v>
      </c>
      <c r="E24" s="29"/>
      <c r="F24" s="29">
        <f>C24/100*2</f>
        <v>75.695999999999998</v>
      </c>
      <c r="G24" s="29"/>
      <c r="H24" s="29"/>
      <c r="I24" s="29">
        <f>C24/100*1.4</f>
        <v>52.987199999999994</v>
      </c>
      <c r="J24" s="29">
        <f>C24/100*176</f>
        <v>6661.2479999999996</v>
      </c>
      <c r="K24" s="29">
        <f>C24/100*0.06</f>
        <v>2.27088</v>
      </c>
      <c r="L24" s="379">
        <v>4560</v>
      </c>
      <c r="M24" s="26">
        <v>20</v>
      </c>
      <c r="N24" s="135">
        <f t="shared" si="0"/>
        <v>91200</v>
      </c>
      <c r="O24" s="153"/>
      <c r="Q24" s="3"/>
      <c r="R24" s="3"/>
      <c r="S24" s="4"/>
    </row>
    <row r="25" spans="1:20" s="2" customFormat="1" ht="19.8" customHeight="1">
      <c r="A25" s="86">
        <v>10</v>
      </c>
      <c r="B25" s="5" t="s">
        <v>75</v>
      </c>
      <c r="C25" s="23">
        <f>L25/100*75</f>
        <v>3405</v>
      </c>
      <c r="D25" s="24">
        <f>C25/100*12</f>
        <v>408.59999999999997</v>
      </c>
      <c r="E25" s="25"/>
      <c r="F25" s="25">
        <f>C25/100*0.6</f>
        <v>20.429999999999996</v>
      </c>
      <c r="G25" s="25"/>
      <c r="H25" s="25"/>
      <c r="I25" s="25">
        <f>C25/100*2.4</f>
        <v>81.719999999999985</v>
      </c>
      <c r="J25" s="25">
        <f>C25/100*26</f>
        <v>885.3</v>
      </c>
      <c r="K25" s="25">
        <f>C25/100*0.02</f>
        <v>0.68099999999999994</v>
      </c>
      <c r="L25" s="137">
        <v>4540</v>
      </c>
      <c r="M25" s="75">
        <v>20</v>
      </c>
      <c r="N25" s="135">
        <f t="shared" si="0"/>
        <v>90800</v>
      </c>
      <c r="O25" s="153"/>
    </row>
    <row r="26" spans="1:20" s="2" customFormat="1" ht="19.8" customHeight="1">
      <c r="A26" s="86">
        <v>11</v>
      </c>
      <c r="B26" s="5" t="s">
        <v>134</v>
      </c>
      <c r="C26" s="23">
        <f>L26/100*100</f>
        <v>220.00000000000003</v>
      </c>
      <c r="D26" s="24">
        <f>C26/100*247</f>
        <v>543.40000000000009</v>
      </c>
      <c r="E26" s="29"/>
      <c r="F26" s="29">
        <f>C26/100*17.5</f>
        <v>38.5</v>
      </c>
      <c r="G26" s="29"/>
      <c r="H26" s="29">
        <f>C26/100*1.6</f>
        <v>3.5200000000000005</v>
      </c>
      <c r="I26" s="29">
        <f>C26/100*39.2</f>
        <v>86.240000000000009</v>
      </c>
      <c r="J26" s="71"/>
      <c r="K26" s="71"/>
      <c r="L26" s="379">
        <v>220</v>
      </c>
      <c r="M26" s="75">
        <v>50</v>
      </c>
      <c r="N26" s="28">
        <f t="shared" si="0"/>
        <v>11000</v>
      </c>
      <c r="O26" s="153"/>
      <c r="Q26" s="3"/>
      <c r="R26" s="3"/>
      <c r="S26" s="4"/>
      <c r="T26" s="3"/>
    </row>
    <row r="27" spans="1:20" s="2" customFormat="1" ht="19.8" customHeight="1">
      <c r="A27" s="86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7"/>
      <c r="K27" s="27"/>
      <c r="L27" s="26"/>
      <c r="M27" s="26"/>
      <c r="N27" s="135">
        <v>16720</v>
      </c>
      <c r="O27" s="153"/>
    </row>
    <row r="28" spans="1:20" s="2" customFormat="1" ht="19.8" customHeight="1">
      <c r="A28" s="21" t="s">
        <v>120</v>
      </c>
      <c r="B28" s="22"/>
      <c r="C28" s="34"/>
      <c r="D28" s="172">
        <f>SUM(D16:D27)</f>
        <v>103181.978</v>
      </c>
      <c r="E28" s="36"/>
      <c r="F28" s="36"/>
      <c r="G28" s="36"/>
      <c r="H28" s="36"/>
      <c r="I28" s="36"/>
      <c r="J28" s="36"/>
      <c r="K28" s="36"/>
      <c r="L28" s="37"/>
      <c r="M28" s="73"/>
      <c r="N28" s="264">
        <f>SUM(N16:N27)</f>
        <v>3016440</v>
      </c>
      <c r="O28" s="153"/>
    </row>
    <row r="29" spans="1:20" s="2" customFormat="1" ht="19.8" customHeight="1">
      <c r="A29" s="21" t="s">
        <v>6</v>
      </c>
      <c r="B29" s="22"/>
      <c r="C29" s="34"/>
      <c r="D29" s="35">
        <f>D28/D10</f>
        <v>452.55253508771932</v>
      </c>
      <c r="E29" s="36"/>
      <c r="F29" s="36"/>
      <c r="G29" s="36"/>
      <c r="H29" s="36"/>
      <c r="I29" s="36"/>
      <c r="J29" s="36"/>
      <c r="K29" s="36"/>
      <c r="L29" s="37"/>
      <c r="M29" s="74"/>
      <c r="N29" s="265"/>
      <c r="O29" s="153"/>
    </row>
    <row r="30" spans="1:20" s="2" customFormat="1" ht="19.8" customHeight="1">
      <c r="A30" s="304" t="s">
        <v>51</v>
      </c>
      <c r="B30" s="212"/>
      <c r="C30" s="382" t="s">
        <v>147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9.8" customHeight="1">
      <c r="A31" s="213"/>
      <c r="B31" s="214"/>
      <c r="C31" s="76" t="s">
        <v>60</v>
      </c>
      <c r="D31" s="20">
        <f>D29*100/1320</f>
        <v>34.284282961190854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74" t="s">
        <v>35</v>
      </c>
      <c r="B32" s="274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19.8" customHeight="1">
      <c r="A33" s="9">
        <v>1</v>
      </c>
      <c r="B33" s="10" t="s">
        <v>2</v>
      </c>
      <c r="C33" s="23">
        <f>L33/100*100</f>
        <v>270</v>
      </c>
      <c r="D33" s="24">
        <f>C33/100*60</f>
        <v>162</v>
      </c>
      <c r="E33" s="25">
        <f>C33/100*15</f>
        <v>40.5</v>
      </c>
      <c r="F33" s="25"/>
      <c r="G33" s="25"/>
      <c r="H33" s="25"/>
      <c r="I33" s="25"/>
      <c r="J33" s="27">
        <f>C33/100*387</f>
        <v>1044.9000000000001</v>
      </c>
      <c r="K33" s="27">
        <f>C33/100*0.09</f>
        <v>0.24299999999999999</v>
      </c>
      <c r="L33" s="137">
        <v>270</v>
      </c>
      <c r="M33" s="75">
        <v>20</v>
      </c>
      <c r="N33" s="28">
        <f>L33*M33</f>
        <v>5400</v>
      </c>
      <c r="O33" s="153"/>
    </row>
    <row r="34" spans="1:22" s="2" customFormat="1" ht="19.8" customHeight="1">
      <c r="A34" s="9">
        <v>2</v>
      </c>
      <c r="B34" s="146" t="s">
        <v>139</v>
      </c>
      <c r="C34" s="23">
        <f>L34/100*100</f>
        <v>320</v>
      </c>
      <c r="D34" s="24">
        <f>C34/100*899</f>
        <v>2876.8</v>
      </c>
      <c r="E34" s="25"/>
      <c r="F34" s="25"/>
      <c r="G34" s="25">
        <f>C34/100*100</f>
        <v>320</v>
      </c>
      <c r="H34" s="25"/>
      <c r="I34" s="25"/>
      <c r="J34" s="25"/>
      <c r="K34" s="25"/>
      <c r="L34" s="137">
        <v>320</v>
      </c>
      <c r="M34" s="144">
        <v>69</v>
      </c>
      <c r="N34" s="28">
        <f t="shared" ref="N34:N41" si="1">L34*M34</f>
        <v>22080</v>
      </c>
      <c r="O34" s="383"/>
    </row>
    <row r="35" spans="1:22" s="2" customFormat="1" ht="19.8" customHeight="1">
      <c r="A35" s="9">
        <v>3</v>
      </c>
      <c r="B35" s="148" t="s">
        <v>142</v>
      </c>
      <c r="C35" s="23">
        <f>L35/100*100</f>
        <v>1210</v>
      </c>
      <c r="D35" s="120">
        <f>C35/100*900</f>
        <v>10890</v>
      </c>
      <c r="E35" s="25"/>
      <c r="F35" s="25"/>
      <c r="G35" s="119"/>
      <c r="H35" s="119">
        <f>C35/100*100</f>
        <v>1210</v>
      </c>
      <c r="I35" s="25"/>
      <c r="J35" s="25"/>
      <c r="K35" s="25"/>
      <c r="L35" s="137">
        <v>1210</v>
      </c>
      <c r="M35" s="75">
        <v>65</v>
      </c>
      <c r="N35" s="28">
        <f t="shared" si="1"/>
        <v>78650</v>
      </c>
      <c r="O35" s="383"/>
    </row>
    <row r="36" spans="1:22" s="2" customFormat="1" ht="19.8" customHeight="1">
      <c r="A36" s="9">
        <v>4</v>
      </c>
      <c r="B36" s="5" t="s">
        <v>134</v>
      </c>
      <c r="C36" s="23">
        <f>L36/100*100</f>
        <v>140</v>
      </c>
      <c r="D36" s="24">
        <f>C36/100*247</f>
        <v>345.79999999999995</v>
      </c>
      <c r="E36" s="29"/>
      <c r="F36" s="29">
        <f>C36/100*17.5</f>
        <v>24.5</v>
      </c>
      <c r="G36" s="29"/>
      <c r="H36" s="29">
        <f>C36/100*1.6</f>
        <v>2.2399999999999998</v>
      </c>
      <c r="I36" s="29">
        <f>C36/100*39.2</f>
        <v>54.88</v>
      </c>
      <c r="J36" s="71"/>
      <c r="K36" s="71"/>
      <c r="L36" s="379">
        <v>140</v>
      </c>
      <c r="M36" s="75">
        <v>50</v>
      </c>
      <c r="N36" s="28">
        <f t="shared" si="1"/>
        <v>7000</v>
      </c>
      <c r="O36" s="153"/>
      <c r="Q36" s="3"/>
      <c r="R36" s="3"/>
      <c r="S36" s="4"/>
      <c r="T36" s="3"/>
    </row>
    <row r="37" spans="1:22" s="2" customFormat="1" ht="19.8" customHeight="1">
      <c r="A37" s="9">
        <v>5</v>
      </c>
      <c r="B37" s="149" t="s">
        <v>175</v>
      </c>
      <c r="C37" s="23">
        <f>L37/100*100</f>
        <v>19380</v>
      </c>
      <c r="D37" s="120">
        <f>C37/100*110</f>
        <v>21318</v>
      </c>
      <c r="E37" s="171"/>
      <c r="F37" s="171">
        <f>C37/100*1.7</f>
        <v>329.46000000000004</v>
      </c>
      <c r="G37" s="29"/>
      <c r="H37" s="29"/>
      <c r="I37" s="29">
        <f>C37/100*25.7</f>
        <v>4980.66</v>
      </c>
      <c r="J37" s="71">
        <f>C37/100*12</f>
        <v>2325.6000000000004</v>
      </c>
      <c r="K37" s="71">
        <f>C37/100*0.04</f>
        <v>7.7520000000000007</v>
      </c>
      <c r="L37" s="379">
        <v>19380</v>
      </c>
      <c r="M37" s="75">
        <v>14</v>
      </c>
      <c r="N37" s="124">
        <f t="shared" ref="N37" si="2">L37*M37</f>
        <v>271320</v>
      </c>
      <c r="O37" s="153"/>
      <c r="Q37" s="3"/>
      <c r="R37" s="3"/>
      <c r="S37" s="4"/>
      <c r="T37" s="3"/>
    </row>
    <row r="38" spans="1:22" s="2" customFormat="1" ht="19.8" customHeight="1">
      <c r="A38" s="9">
        <v>6</v>
      </c>
      <c r="B38" s="149" t="s">
        <v>64</v>
      </c>
      <c r="C38" s="23">
        <f>L38/100*45</f>
        <v>4005</v>
      </c>
      <c r="D38" s="120">
        <f>C38/100*276</f>
        <v>11053.8</v>
      </c>
      <c r="E38" s="171">
        <f>C38/100*17.8</f>
        <v>712.89</v>
      </c>
      <c r="F38" s="29"/>
      <c r="G38" s="29">
        <f>C38/100*21.8</f>
        <v>873.08999999999992</v>
      </c>
      <c r="H38" s="29"/>
      <c r="I38" s="29"/>
      <c r="J38" s="71">
        <f>C38/100*13</f>
        <v>520.65</v>
      </c>
      <c r="K38" s="71">
        <f>C38/100*0.07</f>
        <v>2.8035000000000001</v>
      </c>
      <c r="L38" s="379">
        <v>8900</v>
      </c>
      <c r="M38" s="75">
        <v>63</v>
      </c>
      <c r="N38" s="124">
        <f t="shared" si="1"/>
        <v>560700</v>
      </c>
      <c r="O38" s="153"/>
      <c r="Q38" s="3"/>
      <c r="R38" s="3"/>
      <c r="S38" s="4"/>
      <c r="T38" s="3"/>
    </row>
    <row r="39" spans="1:22" s="2" customFormat="1" ht="19.8" customHeight="1">
      <c r="A39" s="9">
        <v>7</v>
      </c>
      <c r="B39" s="148" t="s">
        <v>4</v>
      </c>
      <c r="C39" s="23">
        <f>L39/100*98.5</f>
        <v>1792.6999999999998</v>
      </c>
      <c r="D39" s="24">
        <f>C39/100*39</f>
        <v>699.15300000000002</v>
      </c>
      <c r="E39" s="29"/>
      <c r="F39" s="29">
        <f>C39/100*1.5</f>
        <v>26.890499999999999</v>
      </c>
      <c r="G39" s="29"/>
      <c r="H39" s="29">
        <f>C39/100*0.2</f>
        <v>3.5853999999999999</v>
      </c>
      <c r="I39" s="29">
        <f>C39/100*7.8</f>
        <v>139.8306</v>
      </c>
      <c r="J39" s="71">
        <f>C39/100*43</f>
        <v>770.86099999999999</v>
      </c>
      <c r="K39" s="71">
        <f>C39/100*0.06</f>
        <v>1.07562</v>
      </c>
      <c r="L39" s="379">
        <v>1820</v>
      </c>
      <c r="M39" s="75">
        <v>17</v>
      </c>
      <c r="N39" s="28">
        <f t="shared" si="1"/>
        <v>30940</v>
      </c>
      <c r="O39" s="153"/>
    </row>
    <row r="40" spans="1:22" s="2" customFormat="1" ht="19.8" customHeight="1">
      <c r="A40" s="9">
        <v>8</v>
      </c>
      <c r="B40" s="148" t="s">
        <v>20</v>
      </c>
      <c r="C40" s="23">
        <f>L40/100*95</f>
        <v>2603</v>
      </c>
      <c r="D40" s="24">
        <f>C40/100*20</f>
        <v>520.6</v>
      </c>
      <c r="E40" s="29"/>
      <c r="F40" s="29">
        <f>C40/100*0.6</f>
        <v>15.618</v>
      </c>
      <c r="G40" s="29"/>
      <c r="H40" s="29">
        <f>C40/100*0.2</f>
        <v>5.2060000000000004</v>
      </c>
      <c r="I40" s="29">
        <f>C40/100*4</f>
        <v>104.12</v>
      </c>
      <c r="J40" s="71">
        <f>C40/100*12</f>
        <v>312.36</v>
      </c>
      <c r="K40" s="71">
        <f>C40/100*0.04</f>
        <v>1.0412000000000001</v>
      </c>
      <c r="L40" s="379">
        <v>2740</v>
      </c>
      <c r="M40" s="75">
        <v>22</v>
      </c>
      <c r="N40" s="28">
        <f t="shared" si="1"/>
        <v>60280</v>
      </c>
      <c r="O40" s="153"/>
    </row>
    <row r="41" spans="1:22" s="2" customFormat="1" ht="19.8" customHeight="1">
      <c r="A41" s="9">
        <v>9</v>
      </c>
      <c r="B41" s="5" t="s">
        <v>76</v>
      </c>
      <c r="C41" s="23">
        <f>L41/100*80</f>
        <v>23712</v>
      </c>
      <c r="D41" s="24">
        <f>C41/100*40</f>
        <v>9484.7999999999993</v>
      </c>
      <c r="E41" s="25"/>
      <c r="F41" s="119">
        <f>C41/100*1.3</f>
        <v>308.25600000000003</v>
      </c>
      <c r="G41" s="25"/>
      <c r="H41" s="25"/>
      <c r="I41" s="25">
        <f>C41/100*2.8</f>
        <v>663.93599999999992</v>
      </c>
      <c r="J41" s="25">
        <f>C41/100*11</f>
        <v>2608.3200000000002</v>
      </c>
      <c r="K41" s="25"/>
      <c r="L41" s="401">
        <v>29640</v>
      </c>
      <c r="M41" s="75">
        <v>32</v>
      </c>
      <c r="N41" s="124">
        <f t="shared" si="1"/>
        <v>948480</v>
      </c>
      <c r="O41" s="381"/>
      <c r="P41" s="170"/>
    </row>
    <row r="42" spans="1:22" s="2" customFormat="1" ht="19.8" customHeight="1">
      <c r="A42" s="113">
        <v>10</v>
      </c>
      <c r="B42" s="112" t="s">
        <v>123</v>
      </c>
      <c r="C42" s="104"/>
      <c r="D42" s="105"/>
      <c r="E42" s="106"/>
      <c r="F42" s="106"/>
      <c r="G42" s="106"/>
      <c r="H42" s="106"/>
      <c r="I42" s="106"/>
      <c r="J42" s="106"/>
      <c r="K42" s="106"/>
      <c r="L42" s="107"/>
      <c r="M42" s="107"/>
      <c r="N42" s="168">
        <v>15040</v>
      </c>
      <c r="O42" s="153"/>
    </row>
    <row r="43" spans="1:22" ht="19.8" customHeight="1">
      <c r="A43" s="191" t="s">
        <v>66</v>
      </c>
      <c r="B43" s="201" t="s">
        <v>19</v>
      </c>
      <c r="C43" s="329" t="s">
        <v>8</v>
      </c>
      <c r="D43" s="204" t="s">
        <v>9</v>
      </c>
      <c r="E43" s="194" t="s">
        <v>11</v>
      </c>
      <c r="F43" s="195"/>
      <c r="G43" s="194" t="s">
        <v>13</v>
      </c>
      <c r="H43" s="195"/>
      <c r="I43" s="198" t="s">
        <v>16</v>
      </c>
      <c r="J43" s="198" t="s">
        <v>41</v>
      </c>
      <c r="K43" s="198" t="s">
        <v>42</v>
      </c>
      <c r="L43" s="198" t="s">
        <v>17</v>
      </c>
      <c r="M43" s="198" t="s">
        <v>55</v>
      </c>
      <c r="N43" s="191" t="s">
        <v>18</v>
      </c>
      <c r="O43" s="378"/>
    </row>
    <row r="44" spans="1:22" ht="19.8" customHeight="1">
      <c r="A44" s="192"/>
      <c r="B44" s="202"/>
      <c r="C44" s="330"/>
      <c r="D44" s="205"/>
      <c r="E44" s="196"/>
      <c r="F44" s="197"/>
      <c r="G44" s="196"/>
      <c r="H44" s="197"/>
      <c r="I44" s="199"/>
      <c r="J44" s="199"/>
      <c r="K44" s="199"/>
      <c r="L44" s="199"/>
      <c r="M44" s="199"/>
      <c r="N44" s="192"/>
      <c r="O44" s="178"/>
    </row>
    <row r="45" spans="1:22" ht="19.8" customHeight="1">
      <c r="A45" s="192"/>
      <c r="B45" s="202"/>
      <c r="C45" s="330"/>
      <c r="D45" s="205"/>
      <c r="E45" s="198" t="s">
        <v>10</v>
      </c>
      <c r="F45" s="198" t="s">
        <v>12</v>
      </c>
      <c r="G45" s="198" t="s">
        <v>14</v>
      </c>
      <c r="H45" s="198" t="s">
        <v>15</v>
      </c>
      <c r="I45" s="199"/>
      <c r="J45" s="199"/>
      <c r="K45" s="199"/>
      <c r="L45" s="199"/>
      <c r="M45" s="199"/>
      <c r="N45" s="192"/>
      <c r="O45" s="178"/>
    </row>
    <row r="46" spans="1:22" ht="19.8" customHeight="1">
      <c r="A46" s="193"/>
      <c r="B46" s="203"/>
      <c r="C46" s="331"/>
      <c r="D46" s="206"/>
      <c r="E46" s="200"/>
      <c r="F46" s="200"/>
      <c r="G46" s="200"/>
      <c r="H46" s="200"/>
      <c r="I46" s="200"/>
      <c r="J46" s="200"/>
      <c r="K46" s="200"/>
      <c r="L46" s="200"/>
      <c r="M46" s="200"/>
      <c r="N46" s="193"/>
      <c r="O46" s="178"/>
    </row>
    <row r="47" spans="1:22" s="2" customFormat="1" ht="19.2" customHeight="1">
      <c r="A47" s="21" t="s">
        <v>110</v>
      </c>
      <c r="B47" s="22"/>
      <c r="C47" s="34"/>
      <c r="D47" s="121">
        <f>SUM(D33:D42)</f>
        <v>57350.952999999994</v>
      </c>
      <c r="E47" s="43"/>
      <c r="F47" s="43"/>
      <c r="G47" s="43"/>
      <c r="H47" s="43"/>
      <c r="I47" s="43"/>
      <c r="J47" s="43"/>
      <c r="K47" s="43"/>
      <c r="L47" s="44"/>
      <c r="M47" s="319"/>
      <c r="N47" s="264">
        <f>SUM(N33:N42)</f>
        <v>1999890</v>
      </c>
      <c r="O47" s="153"/>
    </row>
    <row r="48" spans="1:22" ht="19.2" customHeight="1">
      <c r="A48" s="21" t="s">
        <v>7</v>
      </c>
      <c r="B48" s="22"/>
      <c r="C48" s="45"/>
      <c r="D48" s="46">
        <f>D47/D10</f>
        <v>251.53926754385964</v>
      </c>
      <c r="E48" s="46"/>
      <c r="F48" s="46"/>
      <c r="G48" s="46"/>
      <c r="H48" s="46"/>
      <c r="I48" s="46"/>
      <c r="J48" s="46"/>
      <c r="K48" s="46"/>
      <c r="L48" s="47"/>
      <c r="M48" s="320"/>
      <c r="N48" s="265"/>
      <c r="O48" s="4"/>
      <c r="P48" s="2"/>
      <c r="Q48" s="2"/>
      <c r="R48" s="2"/>
      <c r="S48" s="2"/>
      <c r="T48" s="2"/>
      <c r="U48" s="2"/>
      <c r="V48" s="2"/>
    </row>
    <row r="49" spans="1:23" ht="19.2" customHeight="1">
      <c r="A49" s="304" t="s">
        <v>52</v>
      </c>
      <c r="B49" s="212"/>
      <c r="C49" s="382" t="s">
        <v>147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213"/>
      <c r="B50" s="214"/>
      <c r="C50" s="76" t="s">
        <v>60</v>
      </c>
      <c r="D50" s="20">
        <f>D48*100/1320</f>
        <v>19.056005116959064</v>
      </c>
      <c r="E50" s="46"/>
      <c r="F50" s="46"/>
      <c r="G50" s="46"/>
      <c r="H50" s="46"/>
      <c r="I50" s="46"/>
      <c r="J50" s="48"/>
      <c r="K50" s="48"/>
      <c r="L50" s="47"/>
      <c r="M50" s="47"/>
      <c r="N50" s="179"/>
      <c r="O50" s="4"/>
      <c r="P50" s="2"/>
      <c r="Q50" s="2"/>
      <c r="R50" s="2"/>
      <c r="S50" s="2"/>
      <c r="T50" s="2"/>
      <c r="U50" s="2"/>
      <c r="V50" s="2"/>
      <c r="W50" s="2"/>
    </row>
    <row r="51" spans="1:23" ht="19.2" customHeight="1">
      <c r="A51" s="338" t="s">
        <v>107</v>
      </c>
      <c r="B51" s="339"/>
      <c r="C51" s="232"/>
      <c r="D51" s="305">
        <f>D28+D47</f>
        <v>160532.93099999998</v>
      </c>
      <c r="E51" s="123">
        <f>SUM(E16:E42)</f>
        <v>3062.6145999999999</v>
      </c>
      <c r="F51" s="123">
        <f t="shared" ref="F51:H51" si="3">SUM(F16:F42)</f>
        <v>2627.0984999999996</v>
      </c>
      <c r="G51" s="123">
        <f t="shared" si="3"/>
        <v>3414.6005999999998</v>
      </c>
      <c r="H51" s="123">
        <f t="shared" si="3"/>
        <v>1449.3593999999998</v>
      </c>
      <c r="I51" s="217">
        <f>SUM(I16:I42)</f>
        <v>22763.741800000011</v>
      </c>
      <c r="J51" s="217">
        <f>SUM(J16:J42)</f>
        <v>33638.723000000005</v>
      </c>
      <c r="K51" s="215">
        <f>SUM(K16:K42)</f>
        <v>96.392419999999987</v>
      </c>
      <c r="L51" s="244"/>
      <c r="M51" s="244"/>
      <c r="N51" s="301">
        <f>N28+N47</f>
        <v>5016330</v>
      </c>
      <c r="P51" s="2"/>
      <c r="Q51" s="2"/>
      <c r="R51" s="2"/>
      <c r="S51" s="2"/>
      <c r="T51" s="2"/>
      <c r="U51" s="2"/>
      <c r="V51" s="2"/>
    </row>
    <row r="52" spans="1:23" ht="19.2" customHeight="1">
      <c r="A52" s="340"/>
      <c r="B52" s="341"/>
      <c r="C52" s="233"/>
      <c r="D52" s="306"/>
      <c r="E52" s="326">
        <f>E51+F51</f>
        <v>5689.713099999999</v>
      </c>
      <c r="F52" s="327"/>
      <c r="G52" s="226">
        <f>G51+H51</f>
        <v>4863.9599999999991</v>
      </c>
      <c r="H52" s="227"/>
      <c r="I52" s="218"/>
      <c r="J52" s="258"/>
      <c r="K52" s="307"/>
      <c r="L52" s="244"/>
      <c r="M52" s="244"/>
      <c r="N52" s="301"/>
      <c r="U52" s="12"/>
      <c r="V52" s="12"/>
    </row>
    <row r="53" spans="1:23" ht="19.2" customHeight="1">
      <c r="A53" s="268" t="s">
        <v>77</v>
      </c>
      <c r="B53" s="269"/>
      <c r="C53" s="270"/>
      <c r="D53" s="138">
        <f>D51/D10</f>
        <v>704.09180263157884</v>
      </c>
      <c r="E53" s="384">
        <f>E51/D10</f>
        <v>13.432520175438595</v>
      </c>
      <c r="F53" s="385">
        <f>F51/D10</f>
        <v>11.522361842105262</v>
      </c>
      <c r="G53" s="384">
        <f>G51/D10</f>
        <v>14.97631842105263</v>
      </c>
      <c r="H53" s="403">
        <f>H51/D10</f>
        <v>6.35683947368421</v>
      </c>
      <c r="I53" s="209">
        <f>I51/D10</f>
        <v>99.840972807017593</v>
      </c>
      <c r="J53" s="342">
        <f>J51/D10</f>
        <v>147.53825877192986</v>
      </c>
      <c r="K53" s="342">
        <f>K51/D10</f>
        <v>0.42277377192982452</v>
      </c>
      <c r="L53" s="244"/>
      <c r="M53" s="244"/>
      <c r="N53" s="301"/>
      <c r="U53" s="12"/>
      <c r="V53" s="12"/>
    </row>
    <row r="54" spans="1:23" ht="19.2" customHeight="1">
      <c r="A54" s="271"/>
      <c r="B54" s="272"/>
      <c r="C54" s="273"/>
      <c r="D54" s="127"/>
      <c r="E54" s="387">
        <f>E53+F53</f>
        <v>24.954882017543859</v>
      </c>
      <c r="F54" s="388"/>
      <c r="G54" s="387">
        <f>G53+H53</f>
        <v>21.333157894736839</v>
      </c>
      <c r="H54" s="388"/>
      <c r="I54" s="210"/>
      <c r="J54" s="342"/>
      <c r="K54" s="342"/>
      <c r="L54" s="244"/>
      <c r="M54" s="244"/>
      <c r="N54" s="301"/>
      <c r="P54" s="373"/>
      <c r="Q54" s="375"/>
      <c r="R54" s="375"/>
      <c r="S54" s="375"/>
      <c r="T54" s="375"/>
      <c r="U54" s="386"/>
      <c r="V54" s="386"/>
    </row>
    <row r="55" spans="1:23" ht="19.2" customHeight="1">
      <c r="A55" s="316" t="s">
        <v>80</v>
      </c>
      <c r="B55" s="317"/>
      <c r="C55" s="318"/>
      <c r="D55" s="183" t="s">
        <v>28</v>
      </c>
      <c r="E55" s="236" t="s">
        <v>21</v>
      </c>
      <c r="F55" s="236"/>
      <c r="G55" s="236" t="s">
        <v>22</v>
      </c>
      <c r="H55" s="236"/>
      <c r="I55" s="180" t="s">
        <v>23</v>
      </c>
      <c r="J55" s="390">
        <v>600</v>
      </c>
      <c r="K55" s="390">
        <v>0.7</v>
      </c>
      <c r="L55" s="244"/>
      <c r="M55" s="244"/>
      <c r="N55" s="301"/>
      <c r="O55" s="391"/>
      <c r="P55" s="389"/>
      <c r="Q55" s="375"/>
      <c r="R55" s="375"/>
      <c r="S55" s="375"/>
      <c r="T55" s="375"/>
      <c r="U55" s="375"/>
      <c r="V55" s="375"/>
    </row>
    <row r="56" spans="1:23" ht="19.2" customHeight="1">
      <c r="A56" s="219" t="s">
        <v>78</v>
      </c>
      <c r="B56" s="220"/>
      <c r="C56" s="221"/>
      <c r="D56" s="49"/>
      <c r="E56" s="207">
        <f>E54*4.1</f>
        <v>102.31501627192982</v>
      </c>
      <c r="F56" s="208"/>
      <c r="G56" s="207">
        <f>G54*9</f>
        <v>191.99842105263156</v>
      </c>
      <c r="H56" s="208"/>
      <c r="I56" s="85">
        <f>I53*4.1</f>
        <v>409.34798850877212</v>
      </c>
      <c r="J56" s="254"/>
      <c r="K56" s="254"/>
      <c r="L56" s="244"/>
      <c r="M56" s="244"/>
      <c r="N56" s="301"/>
      <c r="O56" s="391"/>
      <c r="P56" s="392"/>
      <c r="Q56" s="374"/>
      <c r="R56" s="374"/>
      <c r="S56" s="374"/>
      <c r="T56" s="373"/>
      <c r="U56" s="373"/>
      <c r="V56" s="373"/>
    </row>
    <row r="57" spans="1:23" ht="19.2" customHeight="1">
      <c r="A57" s="222" t="s">
        <v>87</v>
      </c>
      <c r="B57" s="223"/>
      <c r="C57" s="219" t="s">
        <v>59</v>
      </c>
      <c r="D57" s="221"/>
      <c r="E57" s="297">
        <f>E56*100/D53</f>
        <v>14.531488065834917</v>
      </c>
      <c r="F57" s="298"/>
      <c r="G57" s="297">
        <f>G56*100/D53</f>
        <v>27.268947079773934</v>
      </c>
      <c r="H57" s="298"/>
      <c r="I57" s="116">
        <f>I56*100/D53</f>
        <v>58.138439757260805</v>
      </c>
      <c r="J57" s="255"/>
      <c r="K57" s="255"/>
      <c r="L57" s="244"/>
      <c r="M57" s="244"/>
      <c r="N57" s="301"/>
      <c r="O57" s="391"/>
      <c r="P57" s="373"/>
      <c r="Q57" s="373"/>
      <c r="R57" s="373"/>
      <c r="S57" s="373"/>
      <c r="T57" s="373"/>
      <c r="U57" s="373"/>
      <c r="V57" s="373"/>
    </row>
    <row r="58" spans="1:23" ht="19.2" customHeight="1">
      <c r="A58" s="224"/>
      <c r="B58" s="225"/>
      <c r="C58" s="219" t="s">
        <v>79</v>
      </c>
      <c r="D58" s="221"/>
      <c r="E58" s="219" t="s">
        <v>82</v>
      </c>
      <c r="F58" s="221"/>
      <c r="G58" s="219" t="s">
        <v>83</v>
      </c>
      <c r="H58" s="221"/>
      <c r="I58" s="183" t="s">
        <v>84</v>
      </c>
      <c r="J58" s="235"/>
      <c r="K58" s="235"/>
      <c r="L58" s="244"/>
      <c r="M58" s="244"/>
      <c r="N58" s="301"/>
      <c r="O58" s="391"/>
    </row>
    <row r="59" spans="1:23" ht="19.2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4"/>
      <c r="M59" s="94"/>
      <c r="N59" s="95"/>
      <c r="O59" s="391"/>
      <c r="P59" s="132"/>
    </row>
    <row r="60" spans="1:23" ht="21" customHeight="1">
      <c r="A60" s="294" t="s">
        <v>114</v>
      </c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391"/>
    </row>
    <row r="61" spans="1:23" ht="21" customHeight="1">
      <c r="A61" s="117" t="s">
        <v>115</v>
      </c>
      <c r="B61" s="295" t="s">
        <v>116</v>
      </c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391"/>
    </row>
    <row r="62" spans="1:23" ht="21" customHeight="1">
      <c r="A62" s="118"/>
      <c r="B62" s="259" t="s">
        <v>207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391"/>
    </row>
    <row r="63" spans="1:23" ht="21" customHeight="1">
      <c r="A63" s="118"/>
      <c r="B63" s="259" t="s">
        <v>171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391"/>
    </row>
    <row r="64" spans="1:23" ht="21" customHeight="1">
      <c r="A64" s="118"/>
      <c r="B64" s="259" t="s">
        <v>166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391"/>
    </row>
    <row r="65" spans="1:15" ht="21" customHeight="1">
      <c r="A65" s="90"/>
      <c r="B65" s="260" t="s">
        <v>117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391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91"/>
    </row>
    <row r="67" spans="1:15" ht="21" customHeight="1">
      <c r="A67" s="261" t="s">
        <v>62</v>
      </c>
      <c r="B67" s="261"/>
      <c r="C67" s="261"/>
      <c r="D67" s="261"/>
      <c r="E67" s="393"/>
      <c r="F67" s="393"/>
      <c r="G67" s="393"/>
      <c r="H67" s="393"/>
      <c r="I67" s="393"/>
      <c r="J67" s="394" t="s">
        <v>33</v>
      </c>
      <c r="K67" s="394"/>
      <c r="L67" s="394"/>
      <c r="M67" s="394"/>
      <c r="N67" s="394"/>
      <c r="O67" s="391"/>
    </row>
    <row r="68" spans="1:15" ht="21" customHeight="1">
      <c r="A68" s="178"/>
      <c r="B68" s="178"/>
      <c r="C68" s="178"/>
      <c r="D68" s="393"/>
      <c r="E68" s="393"/>
      <c r="F68" s="393"/>
      <c r="G68" s="393"/>
      <c r="H68" s="395"/>
      <c r="I68" s="395"/>
      <c r="J68" s="395"/>
      <c r="K68" s="395"/>
      <c r="L68" s="395"/>
      <c r="M68" s="395"/>
      <c r="N68" s="395"/>
      <c r="O68" s="391"/>
    </row>
    <row r="69" spans="1:15" ht="21" customHeight="1">
      <c r="A69" s="178"/>
      <c r="B69" s="178"/>
      <c r="C69" s="178"/>
      <c r="D69" s="393"/>
      <c r="E69" s="393"/>
      <c r="F69" s="393"/>
      <c r="G69" s="393"/>
      <c r="H69" s="395"/>
      <c r="I69" s="395"/>
      <c r="J69" s="395"/>
      <c r="K69" s="395"/>
      <c r="L69" s="395"/>
      <c r="M69" s="395"/>
      <c r="N69" s="395"/>
      <c r="O69" s="391"/>
    </row>
    <row r="70" spans="1:15" ht="21" customHeight="1">
      <c r="A70" s="178"/>
      <c r="B70" s="178"/>
      <c r="C70" s="178"/>
      <c r="D70" s="393"/>
      <c r="E70" s="393"/>
      <c r="F70" s="393"/>
      <c r="G70" s="393"/>
      <c r="H70" s="395"/>
      <c r="I70" s="395"/>
      <c r="J70" s="396" t="s">
        <v>124</v>
      </c>
      <c r="K70" s="396"/>
      <c r="L70" s="396"/>
      <c r="M70" s="396"/>
      <c r="N70" s="396"/>
      <c r="O70" s="391"/>
    </row>
    <row r="71" spans="1:15" ht="21" customHeight="1">
      <c r="A71" s="262" t="s">
        <v>91</v>
      </c>
      <c r="B71" s="262"/>
      <c r="C71" s="262"/>
      <c r="D71" s="262"/>
      <c r="E71" s="393"/>
      <c r="F71" s="393"/>
      <c r="G71" s="393"/>
      <c r="H71" s="395"/>
      <c r="I71" s="395"/>
      <c r="O71" s="391"/>
    </row>
    <row r="72" spans="1:15" ht="19.2" customHeight="1">
      <c r="A72" s="178"/>
      <c r="B72" s="178"/>
      <c r="C72" s="178"/>
      <c r="D72" s="393"/>
      <c r="E72" s="393"/>
      <c r="F72" s="393"/>
      <c r="G72" s="393"/>
      <c r="H72" s="395"/>
      <c r="I72" s="395"/>
      <c r="J72" s="395"/>
      <c r="K72" s="395"/>
      <c r="L72" s="395"/>
      <c r="M72" s="395"/>
      <c r="N72" s="395"/>
      <c r="O72" s="391"/>
    </row>
    <row r="73" spans="1:15" ht="19.2" customHeight="1">
      <c r="A73" s="178"/>
      <c r="B73" s="178"/>
      <c r="C73" s="178"/>
      <c r="D73" s="393"/>
      <c r="E73" s="393"/>
      <c r="F73" s="393"/>
      <c r="G73" s="393"/>
      <c r="H73" s="395"/>
      <c r="I73" s="395"/>
      <c r="J73" s="395"/>
      <c r="K73" s="395"/>
      <c r="L73" s="395"/>
      <c r="M73" s="395"/>
      <c r="N73" s="395"/>
      <c r="O73" s="391"/>
    </row>
    <row r="74" spans="1:15" ht="19.2" customHeight="1">
      <c r="A74" s="178"/>
      <c r="B74" s="178"/>
      <c r="C74" s="178"/>
      <c r="D74" s="393"/>
      <c r="E74" s="393"/>
      <c r="F74" s="393"/>
      <c r="G74" s="393"/>
      <c r="H74" s="395"/>
      <c r="I74" s="395"/>
      <c r="J74" s="396" t="s">
        <v>127</v>
      </c>
      <c r="K74" s="396"/>
      <c r="L74" s="396"/>
      <c r="M74" s="396"/>
      <c r="N74" s="396"/>
      <c r="O74" s="391"/>
    </row>
    <row r="75" spans="1:15" ht="19.2" customHeight="1">
      <c r="A75" s="178"/>
      <c r="B75" s="178"/>
      <c r="C75" s="178"/>
      <c r="D75" s="393"/>
      <c r="E75" s="393"/>
      <c r="F75" s="393"/>
      <c r="G75" s="393"/>
      <c r="H75" s="395"/>
      <c r="I75" s="395"/>
      <c r="J75" s="395"/>
      <c r="K75" s="395"/>
      <c r="L75" s="395"/>
      <c r="M75" s="395"/>
      <c r="N75" s="395"/>
      <c r="O75" s="391"/>
    </row>
    <row r="76" spans="1:15" ht="19.2" customHeight="1">
      <c r="A76" s="178"/>
      <c r="B76" s="178"/>
      <c r="C76" s="178"/>
      <c r="D76" s="393"/>
      <c r="E76" s="393"/>
      <c r="F76" s="393"/>
      <c r="G76" s="393"/>
      <c r="H76" s="395"/>
      <c r="I76" s="395"/>
      <c r="J76" s="395"/>
      <c r="K76" s="395"/>
      <c r="L76" s="395"/>
      <c r="M76" s="395"/>
      <c r="N76" s="395"/>
      <c r="O76" s="391"/>
    </row>
    <row r="77" spans="1:15" ht="19.2" customHeight="1">
      <c r="A77" s="178"/>
      <c r="B77" s="178"/>
      <c r="C77" s="178"/>
      <c r="D77" s="393"/>
      <c r="E77" s="393"/>
      <c r="F77" s="393"/>
      <c r="G77" s="393"/>
      <c r="H77" s="395"/>
      <c r="I77" s="395"/>
      <c r="J77" s="395"/>
      <c r="K77" s="395"/>
      <c r="L77" s="395"/>
      <c r="M77" s="395"/>
      <c r="N77" s="395"/>
      <c r="O77" s="391"/>
    </row>
    <row r="78" spans="1:15" ht="19.2" customHeight="1">
      <c r="A78" s="178"/>
      <c r="B78" s="178"/>
      <c r="C78" s="178"/>
      <c r="D78" s="393"/>
      <c r="E78" s="393"/>
      <c r="F78" s="393"/>
      <c r="G78" s="393"/>
      <c r="H78" s="395"/>
      <c r="I78" s="395"/>
      <c r="J78" s="395"/>
      <c r="K78" s="395"/>
      <c r="L78" s="395"/>
      <c r="M78" s="395"/>
      <c r="N78" s="395"/>
      <c r="O78" s="391"/>
    </row>
    <row r="79" spans="1:15" ht="19.2" customHeight="1">
      <c r="A79" s="178"/>
      <c r="B79" s="178"/>
      <c r="C79" s="178"/>
      <c r="D79" s="393"/>
      <c r="E79" s="393"/>
      <c r="F79" s="393"/>
      <c r="G79" s="393"/>
      <c r="H79" s="395"/>
      <c r="I79" s="395"/>
      <c r="J79" s="395"/>
      <c r="K79" s="395"/>
      <c r="L79" s="395"/>
      <c r="M79" s="395"/>
      <c r="N79" s="395"/>
      <c r="O79" s="391"/>
    </row>
    <row r="80" spans="1:15" ht="19.2" customHeight="1">
      <c r="A80" s="178"/>
      <c r="B80" s="178"/>
      <c r="C80" s="178"/>
      <c r="D80" s="393"/>
      <c r="E80" s="393"/>
      <c r="F80" s="393"/>
      <c r="G80" s="393"/>
      <c r="H80" s="395"/>
      <c r="I80" s="395"/>
      <c r="J80" s="395"/>
      <c r="K80" s="395"/>
      <c r="L80" s="395"/>
      <c r="M80" s="395"/>
      <c r="N80" s="395"/>
      <c r="O80" s="391"/>
    </row>
    <row r="81" spans="1:20" ht="19.2" customHeight="1">
      <c r="A81" s="178"/>
      <c r="B81" s="178"/>
      <c r="C81" s="178"/>
      <c r="D81" s="393"/>
      <c r="E81" s="393"/>
      <c r="F81" s="393"/>
      <c r="G81" s="393"/>
      <c r="H81" s="395"/>
      <c r="I81" s="395"/>
      <c r="J81" s="395"/>
      <c r="K81" s="395"/>
      <c r="L81" s="395"/>
      <c r="M81" s="395"/>
      <c r="N81" s="395"/>
      <c r="O81" s="391"/>
    </row>
    <row r="82" spans="1:20" ht="19.2" customHeight="1">
      <c r="A82" s="178"/>
      <c r="B82" s="178"/>
      <c r="C82" s="178"/>
      <c r="D82" s="393"/>
      <c r="E82" s="393"/>
      <c r="F82" s="393"/>
      <c r="G82" s="393"/>
      <c r="H82" s="395"/>
      <c r="I82" s="395"/>
      <c r="J82" s="395"/>
      <c r="K82" s="395"/>
      <c r="L82" s="395"/>
      <c r="M82" s="395"/>
      <c r="N82" s="395"/>
      <c r="O82" s="391"/>
    </row>
    <row r="83" spans="1:20" ht="19.2" customHeight="1">
      <c r="A83" s="178"/>
      <c r="B83" s="178"/>
      <c r="C83" s="178"/>
      <c r="D83" s="393"/>
      <c r="E83" s="393"/>
      <c r="F83" s="393"/>
      <c r="G83" s="393"/>
      <c r="H83" s="395"/>
      <c r="I83" s="395"/>
      <c r="J83" s="395"/>
      <c r="K83" s="395"/>
      <c r="L83" s="395"/>
      <c r="M83" s="395"/>
      <c r="N83" s="395"/>
      <c r="O83" s="391"/>
    </row>
    <row r="84" spans="1:20" ht="19.2" customHeight="1">
      <c r="A84" s="178"/>
      <c r="B84" s="178"/>
      <c r="C84" s="178"/>
      <c r="D84" s="393"/>
      <c r="E84" s="393"/>
      <c r="F84" s="393"/>
      <c r="G84" s="393"/>
      <c r="H84" s="395"/>
      <c r="I84" s="395"/>
      <c r="J84" s="395"/>
      <c r="K84" s="395"/>
      <c r="L84" s="395"/>
      <c r="M84" s="395"/>
      <c r="N84" s="395"/>
      <c r="O84" s="391"/>
    </row>
    <row r="85" spans="1:20" ht="19.2" customHeight="1">
      <c r="A85" s="11" t="s">
        <v>61</v>
      </c>
      <c r="B85" s="8"/>
      <c r="C85" s="8"/>
      <c r="D85" s="8"/>
      <c r="E85" s="8"/>
      <c r="F85" s="189" t="s">
        <v>32</v>
      </c>
      <c r="G85" s="189"/>
      <c r="H85" s="189"/>
      <c r="I85" s="189"/>
      <c r="J85" s="189"/>
      <c r="K85" s="189"/>
      <c r="L85" s="189"/>
      <c r="M85" s="189"/>
      <c r="N85" s="189"/>
      <c r="O85" s="376"/>
      <c r="P85" s="376"/>
      <c r="T85" s="2"/>
    </row>
    <row r="86" spans="1:20" ht="19.2" customHeight="1">
      <c r="A86" s="8" t="s">
        <v>206</v>
      </c>
      <c r="B86" s="8"/>
      <c r="C86" s="8"/>
      <c r="D86" s="8"/>
      <c r="E86" s="8"/>
      <c r="F86" s="182"/>
      <c r="G86" s="182"/>
      <c r="H86" s="182"/>
      <c r="I86" s="182"/>
      <c r="J86" s="182"/>
      <c r="K86" s="182"/>
      <c r="L86" s="182"/>
      <c r="M86" s="182"/>
      <c r="N86" s="182"/>
      <c r="O86" s="376"/>
      <c r="P86" s="376"/>
      <c r="T86" s="2"/>
    </row>
    <row r="87" spans="1:20" s="2" customFormat="1" ht="19.2" customHeight="1">
      <c r="A87" s="236" t="s">
        <v>97</v>
      </c>
      <c r="B87" s="236"/>
      <c r="C87" s="236"/>
      <c r="D87" s="236"/>
      <c r="E87" s="236" t="s">
        <v>89</v>
      </c>
      <c r="F87" s="236"/>
      <c r="G87" s="236"/>
      <c r="H87" s="236"/>
      <c r="I87" s="236"/>
      <c r="J87" s="236"/>
      <c r="K87" s="236"/>
      <c r="L87" s="236"/>
      <c r="M87" s="236"/>
      <c r="N87" s="236"/>
      <c r="O87" s="377"/>
    </row>
    <row r="88" spans="1:20" s="2" customFormat="1" ht="19.2" customHeight="1">
      <c r="A88" s="236"/>
      <c r="B88" s="236"/>
      <c r="C88" s="236"/>
      <c r="D88" s="236"/>
      <c r="E88" s="236" t="s">
        <v>100</v>
      </c>
      <c r="F88" s="236"/>
      <c r="G88" s="236"/>
      <c r="H88" s="236"/>
      <c r="I88" s="236"/>
      <c r="J88" s="236" t="s">
        <v>101</v>
      </c>
      <c r="K88" s="236"/>
      <c r="L88" s="236"/>
      <c r="M88" s="236"/>
      <c r="N88" s="236"/>
      <c r="O88" s="377"/>
    </row>
    <row r="89" spans="1:20" s="2" customFormat="1" ht="19.2" customHeight="1">
      <c r="A89" s="266" t="s">
        <v>90</v>
      </c>
      <c r="B89" s="266"/>
      <c r="C89" s="266"/>
      <c r="D89" s="266"/>
      <c r="E89" s="267" t="s">
        <v>76</v>
      </c>
      <c r="F89" s="267"/>
      <c r="G89" s="267"/>
      <c r="H89" s="267"/>
      <c r="I89" s="267"/>
      <c r="J89" s="332" t="s">
        <v>90</v>
      </c>
      <c r="K89" s="333"/>
      <c r="L89" s="333"/>
      <c r="M89" s="333"/>
      <c r="N89" s="334"/>
      <c r="O89" s="377"/>
    </row>
    <row r="90" spans="1:20" s="2" customFormat="1" ht="19.2" customHeight="1">
      <c r="A90" s="185" t="s">
        <v>156</v>
      </c>
      <c r="B90" s="186"/>
      <c r="C90" s="186"/>
      <c r="D90" s="187"/>
      <c r="E90" s="267"/>
      <c r="F90" s="267"/>
      <c r="G90" s="267"/>
      <c r="H90" s="267"/>
      <c r="I90" s="267"/>
      <c r="J90" s="185" t="s">
        <v>157</v>
      </c>
      <c r="K90" s="186"/>
      <c r="L90" s="186"/>
      <c r="M90" s="186"/>
      <c r="N90" s="187"/>
      <c r="O90" s="377"/>
    </row>
    <row r="91" spans="1:20" s="2" customFormat="1" ht="19.2" customHeight="1">
      <c r="A91" s="275" t="s">
        <v>176</v>
      </c>
      <c r="B91" s="275"/>
      <c r="C91" s="275"/>
      <c r="D91" s="275"/>
      <c r="E91" s="267"/>
      <c r="F91" s="267"/>
      <c r="G91" s="267"/>
      <c r="H91" s="267"/>
      <c r="I91" s="267"/>
      <c r="J91" s="335" t="s">
        <v>158</v>
      </c>
      <c r="K91" s="336"/>
      <c r="L91" s="336"/>
      <c r="M91" s="336"/>
      <c r="N91" s="337"/>
      <c r="O91" s="377"/>
    </row>
    <row r="92" spans="1:20" ht="19.2" customHeight="1">
      <c r="A92" s="276" t="s">
        <v>122</v>
      </c>
      <c r="B92" s="277"/>
      <c r="C92" s="278"/>
      <c r="D92" s="128">
        <v>61</v>
      </c>
      <c r="E92" s="8"/>
      <c r="F92" s="182"/>
      <c r="G92" s="182"/>
      <c r="H92" s="182"/>
      <c r="I92" s="182"/>
      <c r="J92" s="182"/>
      <c r="K92" s="182"/>
      <c r="L92" s="182"/>
      <c r="M92" s="182"/>
      <c r="N92" s="182"/>
      <c r="O92" s="376"/>
      <c r="P92" s="376"/>
      <c r="T92" s="2"/>
    </row>
    <row r="93" spans="1:20" ht="19.2" customHeight="1">
      <c r="A93" s="191" t="s">
        <v>66</v>
      </c>
      <c r="B93" s="201" t="s">
        <v>19</v>
      </c>
      <c r="C93" s="329" t="s">
        <v>8</v>
      </c>
      <c r="D93" s="204" t="s">
        <v>9</v>
      </c>
      <c r="E93" s="194" t="s">
        <v>11</v>
      </c>
      <c r="F93" s="195"/>
      <c r="G93" s="194" t="s">
        <v>13</v>
      </c>
      <c r="H93" s="195"/>
      <c r="I93" s="198" t="s">
        <v>16</v>
      </c>
      <c r="J93" s="198" t="s">
        <v>41</v>
      </c>
      <c r="K93" s="198" t="s">
        <v>42</v>
      </c>
      <c r="L93" s="198" t="s">
        <v>17</v>
      </c>
      <c r="M93" s="198" t="s">
        <v>56</v>
      </c>
      <c r="N93" s="191" t="s">
        <v>18</v>
      </c>
      <c r="O93" s="378"/>
    </row>
    <row r="94" spans="1:20" ht="19.2" customHeight="1">
      <c r="A94" s="192"/>
      <c r="B94" s="202"/>
      <c r="C94" s="330"/>
      <c r="D94" s="205"/>
      <c r="E94" s="196"/>
      <c r="F94" s="197"/>
      <c r="G94" s="196"/>
      <c r="H94" s="197"/>
      <c r="I94" s="199"/>
      <c r="J94" s="199"/>
      <c r="K94" s="199"/>
      <c r="L94" s="199"/>
      <c r="M94" s="199"/>
      <c r="N94" s="192"/>
      <c r="O94" s="178"/>
    </row>
    <row r="95" spans="1:20" ht="19.2" customHeight="1">
      <c r="A95" s="192"/>
      <c r="B95" s="202"/>
      <c r="C95" s="330"/>
      <c r="D95" s="205"/>
      <c r="E95" s="198" t="s">
        <v>10</v>
      </c>
      <c r="F95" s="198" t="s">
        <v>12</v>
      </c>
      <c r="G95" s="198" t="s">
        <v>14</v>
      </c>
      <c r="H95" s="198" t="s">
        <v>15</v>
      </c>
      <c r="I95" s="199"/>
      <c r="J95" s="199"/>
      <c r="K95" s="199"/>
      <c r="L95" s="199"/>
      <c r="M95" s="199"/>
      <c r="N95" s="192"/>
      <c r="O95" s="178"/>
    </row>
    <row r="96" spans="1:20" ht="19.2" customHeight="1">
      <c r="A96" s="193"/>
      <c r="B96" s="203"/>
      <c r="C96" s="331"/>
      <c r="D96" s="206"/>
      <c r="E96" s="200"/>
      <c r="F96" s="200"/>
      <c r="G96" s="200"/>
      <c r="H96" s="200"/>
      <c r="I96" s="200"/>
      <c r="J96" s="200"/>
      <c r="K96" s="200"/>
      <c r="L96" s="200"/>
      <c r="M96" s="200"/>
      <c r="N96" s="193"/>
      <c r="O96" s="178"/>
    </row>
    <row r="97" spans="1:23" ht="19.2" customHeight="1">
      <c r="A97" s="238" t="s">
        <v>39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40"/>
      <c r="O97" s="178"/>
    </row>
    <row r="98" spans="1:23" s="2" customFormat="1" ht="19.2" customHeight="1">
      <c r="A98" s="9">
        <v>1</v>
      </c>
      <c r="B98" s="10" t="s">
        <v>2</v>
      </c>
      <c r="C98" s="23">
        <f>L98/100*100</f>
        <v>80</v>
      </c>
      <c r="D98" s="24">
        <f>C98/100*60</f>
        <v>48</v>
      </c>
      <c r="E98" s="25">
        <f>C98/100*15</f>
        <v>12</v>
      </c>
      <c r="F98" s="25"/>
      <c r="G98" s="25"/>
      <c r="H98" s="25"/>
      <c r="I98" s="25"/>
      <c r="J98" s="27">
        <f>C98/100*387</f>
        <v>309.60000000000002</v>
      </c>
      <c r="K98" s="27">
        <f>C98/100*0.09</f>
        <v>7.1999999999999995E-2</v>
      </c>
      <c r="L98" s="137">
        <v>80</v>
      </c>
      <c r="M98" s="75">
        <v>20</v>
      </c>
      <c r="N98" s="28">
        <f>L98*M98</f>
        <v>1600</v>
      </c>
      <c r="O98" s="153"/>
    </row>
    <row r="99" spans="1:23" s="2" customFormat="1" ht="19.2" customHeight="1">
      <c r="A99" s="9">
        <v>2</v>
      </c>
      <c r="B99" s="146" t="s">
        <v>139</v>
      </c>
      <c r="C99" s="23">
        <f>L99/100*100</f>
        <v>400</v>
      </c>
      <c r="D99" s="24">
        <f>C99/100*899</f>
        <v>3596</v>
      </c>
      <c r="E99" s="25"/>
      <c r="F99" s="25"/>
      <c r="G99" s="25">
        <f>C99/100*100</f>
        <v>400</v>
      </c>
      <c r="H99" s="25"/>
      <c r="I99" s="25"/>
      <c r="J99" s="25"/>
      <c r="K99" s="25"/>
      <c r="L99" s="137">
        <v>400</v>
      </c>
      <c r="M99" s="144">
        <v>69</v>
      </c>
      <c r="N99" s="28">
        <f t="shared" ref="N99:N106" si="4">L99*M99</f>
        <v>27600</v>
      </c>
      <c r="O99" s="383"/>
    </row>
    <row r="100" spans="1:23" s="2" customFormat="1" ht="19.2" customHeight="1">
      <c r="A100" s="9">
        <v>3</v>
      </c>
      <c r="B100" s="5" t="s">
        <v>1</v>
      </c>
      <c r="C100" s="23">
        <f>L100/100*100</f>
        <v>2628</v>
      </c>
      <c r="D100" s="24">
        <f>C100/100*344</f>
        <v>9040.32</v>
      </c>
      <c r="E100" s="25"/>
      <c r="F100" s="119">
        <f>C100/100*7.9</f>
        <v>207.61200000000002</v>
      </c>
      <c r="G100" s="25"/>
      <c r="H100" s="25">
        <f>C100/100*1</f>
        <v>26.28</v>
      </c>
      <c r="I100" s="25">
        <f>C100/100*72.82</f>
        <v>1913.7095999999999</v>
      </c>
      <c r="J100" s="27">
        <f>C100/100*30</f>
        <v>788.40000000000009</v>
      </c>
      <c r="K100" s="27">
        <f>C100/100*0.1</f>
        <v>2.6280000000000001</v>
      </c>
      <c r="L100" s="137">
        <v>2628</v>
      </c>
      <c r="M100" s="75">
        <v>18</v>
      </c>
      <c r="N100" s="28">
        <f t="shared" si="4"/>
        <v>47304</v>
      </c>
      <c r="O100" s="153"/>
    </row>
    <row r="101" spans="1:23" s="2" customFormat="1" ht="19.2" customHeight="1">
      <c r="A101" s="9">
        <v>4</v>
      </c>
      <c r="B101" s="10" t="s">
        <v>71</v>
      </c>
      <c r="C101" s="23">
        <f>L101/100*98</f>
        <v>1313.2</v>
      </c>
      <c r="D101" s="24">
        <f>C101/100*139</f>
        <v>1825.348</v>
      </c>
      <c r="E101" s="119">
        <f>C101/100*19</f>
        <v>249.50799999999998</v>
      </c>
      <c r="F101" s="25"/>
      <c r="G101" s="25">
        <f>C101/100*7</f>
        <v>91.923999999999992</v>
      </c>
      <c r="H101" s="25"/>
      <c r="I101" s="25"/>
      <c r="J101" s="27">
        <f>C101/100*7</f>
        <v>91.923999999999992</v>
      </c>
      <c r="K101" s="27">
        <f>C101/100*0.9</f>
        <v>11.8188</v>
      </c>
      <c r="L101" s="137">
        <v>1340</v>
      </c>
      <c r="M101" s="143">
        <v>133</v>
      </c>
      <c r="N101" s="124">
        <f t="shared" si="4"/>
        <v>178220</v>
      </c>
      <c r="O101" s="153"/>
    </row>
    <row r="102" spans="1:23" s="2" customFormat="1" ht="19.2" customHeight="1">
      <c r="A102" s="9">
        <v>5</v>
      </c>
      <c r="B102" s="5" t="s">
        <v>30</v>
      </c>
      <c r="C102" s="23">
        <f>L102/100*88</f>
        <v>1504.8000000000002</v>
      </c>
      <c r="D102" s="24">
        <f>C102/100*184</f>
        <v>2768.8320000000003</v>
      </c>
      <c r="E102" s="119">
        <f>C102/100*13</f>
        <v>195.62400000000002</v>
      </c>
      <c r="F102" s="25"/>
      <c r="G102" s="25">
        <f>C102/100*14.2</f>
        <v>213.6816</v>
      </c>
      <c r="H102" s="25"/>
      <c r="I102" s="25">
        <f>C102/100*1</f>
        <v>15.048000000000002</v>
      </c>
      <c r="J102" s="27">
        <f>C102/100*71</f>
        <v>1068.4080000000001</v>
      </c>
      <c r="K102" s="27">
        <f>C102/100*0.15</f>
        <v>2.2572000000000001</v>
      </c>
      <c r="L102" s="137">
        <v>1710</v>
      </c>
      <c r="M102" s="26">
        <v>57</v>
      </c>
      <c r="N102" s="28">
        <f t="shared" si="4"/>
        <v>97470</v>
      </c>
      <c r="O102" s="153"/>
      <c r="Q102" s="3"/>
      <c r="R102" s="3"/>
      <c r="S102" s="4"/>
    </row>
    <row r="103" spans="1:23" s="2" customFormat="1" ht="19.8" customHeight="1">
      <c r="A103" s="9">
        <v>6</v>
      </c>
      <c r="B103" s="148" t="s">
        <v>178</v>
      </c>
      <c r="C103" s="23">
        <f>L103/100*31</f>
        <v>238.70000000000002</v>
      </c>
      <c r="D103" s="24">
        <f>C103/100*87</f>
        <v>207.66900000000001</v>
      </c>
      <c r="E103" s="25">
        <f>C103/100*12.3</f>
        <v>29.360100000000003</v>
      </c>
      <c r="F103" s="25"/>
      <c r="G103" s="25">
        <f>C103/100*3.3</f>
        <v>7.8770999999999995</v>
      </c>
      <c r="H103" s="25"/>
      <c r="I103" s="25">
        <f>C103/100*2</f>
        <v>4.774</v>
      </c>
      <c r="J103" s="27">
        <f>C103/100*120</f>
        <v>286.44</v>
      </c>
      <c r="K103" s="27">
        <f>C103/100*0.01</f>
        <v>2.3870000000000002E-2</v>
      </c>
      <c r="L103" s="137">
        <v>770</v>
      </c>
      <c r="M103" s="143">
        <v>180</v>
      </c>
      <c r="N103" s="175">
        <f>L103*M103</f>
        <v>138600</v>
      </c>
      <c r="O103" s="153"/>
    </row>
    <row r="104" spans="1:23" s="2" customFormat="1" ht="19.8" customHeight="1">
      <c r="A104" s="9">
        <v>7</v>
      </c>
      <c r="B104" s="149" t="s">
        <v>172</v>
      </c>
      <c r="C104" s="23">
        <f>L104/100*80</f>
        <v>488</v>
      </c>
      <c r="D104" s="24">
        <f>C104/100*25</f>
        <v>122</v>
      </c>
      <c r="E104" s="29"/>
      <c r="F104" s="29">
        <f>C104/100*2.8</f>
        <v>13.664</v>
      </c>
      <c r="G104" s="29"/>
      <c r="H104" s="29">
        <f>C104/100*0.3</f>
        <v>1.464</v>
      </c>
      <c r="I104" s="29">
        <f>C104/100*3</f>
        <v>14.64</v>
      </c>
      <c r="J104" s="29">
        <f>C104/100*182</f>
        <v>888.16</v>
      </c>
      <c r="K104" s="29">
        <f>C104/100*0.13</f>
        <v>0.63439999999999996</v>
      </c>
      <c r="L104" s="379">
        <v>610</v>
      </c>
      <c r="M104" s="26">
        <v>24</v>
      </c>
      <c r="N104" s="135">
        <f t="shared" ref="N104:N105" si="5">L104*M104</f>
        <v>14640</v>
      </c>
      <c r="O104" s="153"/>
      <c r="Q104" s="3"/>
      <c r="R104" s="3"/>
      <c r="S104" s="4"/>
    </row>
    <row r="105" spans="1:23" s="2" customFormat="1" ht="19.8" customHeight="1">
      <c r="A105" s="9">
        <v>8</v>
      </c>
      <c r="B105" s="149" t="s">
        <v>173</v>
      </c>
      <c r="C105" s="23">
        <f>L105/100*83</f>
        <v>913</v>
      </c>
      <c r="D105" s="24">
        <f>C105/100*14</f>
        <v>127.82000000000001</v>
      </c>
      <c r="E105" s="29"/>
      <c r="F105" s="29">
        <f>C105/100*2</f>
        <v>18.260000000000002</v>
      </c>
      <c r="G105" s="29"/>
      <c r="H105" s="29"/>
      <c r="I105" s="29">
        <f>C105/100*1.4</f>
        <v>12.782</v>
      </c>
      <c r="J105" s="29">
        <f>C105/100*176</f>
        <v>1606.88</v>
      </c>
      <c r="K105" s="29">
        <f>C105/100*0.06</f>
        <v>0.54780000000000006</v>
      </c>
      <c r="L105" s="379">
        <v>1100</v>
      </c>
      <c r="M105" s="26">
        <v>20</v>
      </c>
      <c r="N105" s="135">
        <f t="shared" si="5"/>
        <v>22000</v>
      </c>
      <c r="O105" s="153"/>
      <c r="Q105" s="3"/>
      <c r="R105" s="3"/>
      <c r="S105" s="4"/>
    </row>
    <row r="106" spans="1:23" s="2" customFormat="1" ht="19.2" customHeight="1">
      <c r="A106" s="9">
        <v>9</v>
      </c>
      <c r="B106" s="5" t="s">
        <v>134</v>
      </c>
      <c r="C106" s="23">
        <f>L106/100*100</f>
        <v>140</v>
      </c>
      <c r="D106" s="24">
        <f>C106/100*247</f>
        <v>345.79999999999995</v>
      </c>
      <c r="E106" s="29"/>
      <c r="F106" s="29">
        <f>C106/100*17.5</f>
        <v>24.5</v>
      </c>
      <c r="G106" s="29"/>
      <c r="H106" s="29">
        <f>C106/100*1.6</f>
        <v>2.2399999999999998</v>
      </c>
      <c r="I106" s="29">
        <f>C106/100*39.2</f>
        <v>54.88</v>
      </c>
      <c r="J106" s="71"/>
      <c r="K106" s="71"/>
      <c r="L106" s="379">
        <v>140</v>
      </c>
      <c r="M106" s="75">
        <v>50</v>
      </c>
      <c r="N106" s="28">
        <f t="shared" si="4"/>
        <v>7000</v>
      </c>
      <c r="O106" s="153"/>
      <c r="Q106" s="3"/>
      <c r="R106" s="3"/>
      <c r="S106" s="4"/>
      <c r="T106" s="3"/>
    </row>
    <row r="107" spans="1:23" s="2" customFormat="1" ht="19.2" customHeight="1">
      <c r="A107" s="80">
        <v>10</v>
      </c>
      <c r="B107" s="6" t="s">
        <v>123</v>
      </c>
      <c r="C107" s="23"/>
      <c r="D107" s="24"/>
      <c r="E107" s="25"/>
      <c r="F107" s="25"/>
      <c r="G107" s="25"/>
      <c r="H107" s="25"/>
      <c r="I107" s="25"/>
      <c r="J107" s="27"/>
      <c r="K107" s="27"/>
      <c r="L107" s="26"/>
      <c r="M107" s="26"/>
      <c r="N107" s="135">
        <v>4200</v>
      </c>
      <c r="O107" s="153"/>
    </row>
    <row r="108" spans="1:23" s="2" customFormat="1" ht="19.2" customHeight="1">
      <c r="A108" s="21" t="s">
        <v>118</v>
      </c>
      <c r="B108" s="22"/>
      <c r="C108" s="34"/>
      <c r="D108" s="121">
        <f>SUM(D98:D107)</f>
        <v>18081.789000000001</v>
      </c>
      <c r="E108" s="43"/>
      <c r="F108" s="43"/>
      <c r="G108" s="43"/>
      <c r="H108" s="43"/>
      <c r="I108" s="43"/>
      <c r="J108" s="43"/>
      <c r="K108" s="43"/>
      <c r="L108" s="44"/>
      <c r="M108" s="319"/>
      <c r="N108" s="324">
        <f>SUM(N98:N107)</f>
        <v>538634</v>
      </c>
      <c r="O108" s="153"/>
    </row>
    <row r="109" spans="1:23" ht="19.2" customHeight="1">
      <c r="A109" s="21" t="s">
        <v>37</v>
      </c>
      <c r="B109" s="22"/>
      <c r="C109" s="45"/>
      <c r="D109" s="46">
        <f>D108/D92</f>
        <v>296.42277049180331</v>
      </c>
      <c r="E109" s="46"/>
      <c r="F109" s="46"/>
      <c r="G109" s="46"/>
      <c r="H109" s="46"/>
      <c r="I109" s="46"/>
      <c r="J109" s="46"/>
      <c r="K109" s="46"/>
      <c r="L109" s="47"/>
      <c r="M109" s="320"/>
      <c r="N109" s="325"/>
      <c r="O109" s="4"/>
      <c r="P109" s="2"/>
      <c r="Q109" s="2"/>
      <c r="R109" s="2"/>
      <c r="S109" s="2"/>
      <c r="T109" s="2"/>
      <c r="U109" s="2"/>
      <c r="V109" s="2"/>
    </row>
    <row r="110" spans="1:23" ht="19.2" customHeight="1">
      <c r="A110" s="304" t="s">
        <v>53</v>
      </c>
      <c r="B110" s="212"/>
      <c r="C110" s="382" t="s">
        <v>147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9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9.2" customHeight="1">
      <c r="A111" s="213"/>
      <c r="B111" s="214"/>
      <c r="C111" s="76" t="s">
        <v>60</v>
      </c>
      <c r="D111" s="78">
        <f>D109*100/930</f>
        <v>31.873416181914333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9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9.2" customHeight="1">
      <c r="A112" s="274" t="s">
        <v>38</v>
      </c>
      <c r="B112" s="274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3" s="2" customFormat="1" ht="19.2" customHeight="1">
      <c r="A113" s="9">
        <v>1</v>
      </c>
      <c r="B113" s="10" t="s">
        <v>2</v>
      </c>
      <c r="C113" s="23">
        <f>L113/100*100</f>
        <v>80</v>
      </c>
      <c r="D113" s="24">
        <f>C113/100*60</f>
        <v>48</v>
      </c>
      <c r="E113" s="25">
        <f>C113/100*15</f>
        <v>12</v>
      </c>
      <c r="F113" s="25"/>
      <c r="G113" s="25"/>
      <c r="H113" s="25"/>
      <c r="I113" s="25"/>
      <c r="J113" s="27">
        <f>C113/100*387</f>
        <v>309.60000000000002</v>
      </c>
      <c r="K113" s="27">
        <f>C113/100*0.09</f>
        <v>7.1999999999999995E-2</v>
      </c>
      <c r="L113" s="137">
        <v>80</v>
      </c>
      <c r="M113" s="75">
        <v>20</v>
      </c>
      <c r="N113" s="28">
        <f>L113*M113</f>
        <v>1600</v>
      </c>
      <c r="O113" s="153"/>
    </row>
    <row r="114" spans="1:23" s="2" customFormat="1" ht="19.2" customHeight="1">
      <c r="A114" s="9">
        <v>2</v>
      </c>
      <c r="B114" s="150" t="s">
        <v>139</v>
      </c>
      <c r="C114" s="23">
        <f>L114/100*100</f>
        <v>90</v>
      </c>
      <c r="D114" s="24">
        <f>C114/100*899</f>
        <v>809.1</v>
      </c>
      <c r="E114" s="25"/>
      <c r="F114" s="25"/>
      <c r="G114" s="25">
        <f>C114/100*100</f>
        <v>90</v>
      </c>
      <c r="H114" s="25"/>
      <c r="I114" s="25"/>
      <c r="J114" s="27"/>
      <c r="K114" s="27"/>
      <c r="L114" s="137">
        <v>90</v>
      </c>
      <c r="M114" s="75">
        <v>69</v>
      </c>
      <c r="N114" s="28">
        <f t="shared" ref="N114:N120" si="6">L114*M114</f>
        <v>6210</v>
      </c>
      <c r="O114" s="153"/>
    </row>
    <row r="115" spans="1:23" s="2" customFormat="1" ht="19.2" customHeight="1">
      <c r="A115" s="9">
        <v>3</v>
      </c>
      <c r="B115" s="148" t="s">
        <v>142</v>
      </c>
      <c r="C115" s="23">
        <f>L115/100*100</f>
        <v>270</v>
      </c>
      <c r="D115" s="120">
        <f>C115/100*900</f>
        <v>2430</v>
      </c>
      <c r="E115" s="25"/>
      <c r="F115" s="25"/>
      <c r="G115" s="119"/>
      <c r="H115" s="25">
        <f>C115/100*100</f>
        <v>270</v>
      </c>
      <c r="I115" s="25"/>
      <c r="J115" s="25"/>
      <c r="K115" s="25"/>
      <c r="L115" s="137">
        <v>270</v>
      </c>
      <c r="M115" s="75">
        <v>65</v>
      </c>
      <c r="N115" s="28">
        <f t="shared" si="6"/>
        <v>17550</v>
      </c>
      <c r="O115" s="383"/>
    </row>
    <row r="116" spans="1:23" s="2" customFormat="1" ht="19.2" customHeight="1">
      <c r="A116" s="9">
        <v>4</v>
      </c>
      <c r="B116" s="149" t="s">
        <v>68</v>
      </c>
      <c r="C116" s="23">
        <f>L116/100*98</f>
        <v>235.2</v>
      </c>
      <c r="D116" s="24">
        <f>C116/100*573</f>
        <v>1347.6959999999999</v>
      </c>
      <c r="E116" s="29"/>
      <c r="F116" s="29">
        <f>C116/100*27.5</f>
        <v>64.679999999999993</v>
      </c>
      <c r="G116" s="29"/>
      <c r="H116" s="29">
        <f>C116/100*44.5</f>
        <v>104.66399999999999</v>
      </c>
      <c r="I116" s="29">
        <f>C116/100*15.5</f>
        <v>36.455999999999996</v>
      </c>
      <c r="J116" s="71">
        <f>C116/100*68</f>
        <v>159.93599999999998</v>
      </c>
      <c r="K116" s="71">
        <f>C116/100*0.44</f>
        <v>1.03488</v>
      </c>
      <c r="L116" s="379">
        <v>240</v>
      </c>
      <c r="M116" s="26">
        <v>80</v>
      </c>
      <c r="N116" s="28">
        <f t="shared" si="6"/>
        <v>19200</v>
      </c>
      <c r="O116" s="153"/>
      <c r="Q116" s="3"/>
      <c r="R116" s="3"/>
      <c r="S116" s="4"/>
    </row>
    <row r="117" spans="1:23" s="2" customFormat="1" ht="19.2" customHeight="1">
      <c r="A117" s="9">
        <v>5</v>
      </c>
      <c r="B117" s="149" t="s">
        <v>1</v>
      </c>
      <c r="C117" s="23">
        <f>L117/100*100</f>
        <v>2562</v>
      </c>
      <c r="D117" s="24">
        <f>C117/100*344</f>
        <v>8813.2800000000007</v>
      </c>
      <c r="E117" s="25"/>
      <c r="F117" s="119">
        <f>C117/100*7.9</f>
        <v>202.39800000000002</v>
      </c>
      <c r="G117" s="25"/>
      <c r="H117" s="25">
        <f>C117/100*1</f>
        <v>25.62</v>
      </c>
      <c r="I117" s="25">
        <f>C117/100*72.82</f>
        <v>1865.6483999999998</v>
      </c>
      <c r="J117" s="27">
        <f>C117/100*30</f>
        <v>768.6</v>
      </c>
      <c r="K117" s="27">
        <f>C117/100*0.1</f>
        <v>2.5620000000000003</v>
      </c>
      <c r="L117" s="137">
        <v>2562</v>
      </c>
      <c r="M117" s="75">
        <v>18</v>
      </c>
      <c r="N117" s="28">
        <f t="shared" si="6"/>
        <v>46116</v>
      </c>
      <c r="O117" s="153"/>
    </row>
    <row r="118" spans="1:23" s="2" customFormat="1" ht="19.2" customHeight="1">
      <c r="A118" s="9">
        <v>6</v>
      </c>
      <c r="B118" s="149" t="s">
        <v>103</v>
      </c>
      <c r="C118" s="23">
        <f>L118/100*87</f>
        <v>1487.7</v>
      </c>
      <c r="D118" s="24">
        <f>C118/100*14</f>
        <v>208.27800000000002</v>
      </c>
      <c r="E118" s="25"/>
      <c r="F118" s="25">
        <f>C118/100*1.9</f>
        <v>28.266300000000001</v>
      </c>
      <c r="G118" s="25"/>
      <c r="H118" s="25"/>
      <c r="I118" s="25">
        <f>C118/100*1.6</f>
        <v>23.803200000000004</v>
      </c>
      <c r="J118" s="119">
        <f>C118/100*48.7</f>
        <v>724.50990000000013</v>
      </c>
      <c r="K118" s="25">
        <f>C118/100*0.03</f>
        <v>0.44630999999999998</v>
      </c>
      <c r="L118" s="26">
        <v>1710</v>
      </c>
      <c r="M118" s="75">
        <v>25</v>
      </c>
      <c r="N118" s="28">
        <f t="shared" si="6"/>
        <v>42750</v>
      </c>
      <c r="O118" s="153"/>
    </row>
    <row r="119" spans="1:23" s="2" customFormat="1" ht="19.2" customHeight="1">
      <c r="A119" s="9">
        <v>7</v>
      </c>
      <c r="B119" s="5" t="s">
        <v>134</v>
      </c>
      <c r="C119" s="23">
        <f>L119/100*100</f>
        <v>140</v>
      </c>
      <c r="D119" s="24">
        <f>C119/100*247</f>
        <v>345.79999999999995</v>
      </c>
      <c r="E119" s="29"/>
      <c r="F119" s="29">
        <f>C119/100*17.5</f>
        <v>24.5</v>
      </c>
      <c r="G119" s="29"/>
      <c r="H119" s="29">
        <f>C119/100*1.6</f>
        <v>2.2399999999999998</v>
      </c>
      <c r="I119" s="29">
        <f>C119/100*39.2</f>
        <v>54.88</v>
      </c>
      <c r="J119" s="71"/>
      <c r="K119" s="71"/>
      <c r="L119" s="379">
        <v>140</v>
      </c>
      <c r="M119" s="75">
        <v>50</v>
      </c>
      <c r="N119" s="28">
        <f t="shared" si="6"/>
        <v>7000</v>
      </c>
      <c r="O119" s="153"/>
      <c r="Q119" s="3"/>
      <c r="R119" s="3"/>
      <c r="S119" s="4"/>
      <c r="T119" s="3"/>
    </row>
    <row r="120" spans="1:23" s="2" customFormat="1" ht="19.2" customHeight="1">
      <c r="A120" s="9">
        <v>8</v>
      </c>
      <c r="B120" s="10" t="s">
        <v>71</v>
      </c>
      <c r="C120" s="23">
        <f>L120/100*98</f>
        <v>2695</v>
      </c>
      <c r="D120" s="24">
        <f>C120/100*139</f>
        <v>3746.0499999999997</v>
      </c>
      <c r="E120" s="119">
        <f>C120/100*19</f>
        <v>512.04999999999995</v>
      </c>
      <c r="F120" s="25"/>
      <c r="G120" s="25">
        <f>C120/100*7</f>
        <v>188.65</v>
      </c>
      <c r="H120" s="25"/>
      <c r="I120" s="25"/>
      <c r="J120" s="27">
        <f>C120/100*7</f>
        <v>188.65</v>
      </c>
      <c r="K120" s="27">
        <f>C120/100*0.9</f>
        <v>24.254999999999999</v>
      </c>
      <c r="L120" s="137">
        <v>2750</v>
      </c>
      <c r="M120" s="143">
        <v>133</v>
      </c>
      <c r="N120" s="124">
        <f t="shared" si="6"/>
        <v>365750</v>
      </c>
      <c r="O120" s="153"/>
    </row>
    <row r="121" spans="1:23" s="2" customFormat="1" ht="19.2" customHeight="1">
      <c r="A121" s="80">
        <v>9</v>
      </c>
      <c r="B121" s="6" t="s">
        <v>123</v>
      </c>
      <c r="C121" s="23"/>
      <c r="D121" s="24"/>
      <c r="E121" s="25"/>
      <c r="F121" s="25"/>
      <c r="G121" s="25"/>
      <c r="H121" s="25"/>
      <c r="I121" s="25"/>
      <c r="J121" s="25"/>
      <c r="K121" s="25"/>
      <c r="L121" s="26"/>
      <c r="M121" s="26"/>
      <c r="N121" s="135">
        <v>4200</v>
      </c>
      <c r="O121" s="153"/>
    </row>
    <row r="122" spans="1:23" s="2" customFormat="1" ht="19.2" customHeight="1">
      <c r="A122" s="21" t="s">
        <v>119</v>
      </c>
      <c r="B122" s="22"/>
      <c r="C122" s="34"/>
      <c r="D122" s="121">
        <f>SUM(D113:D121)</f>
        <v>17748.204000000002</v>
      </c>
      <c r="E122" s="43"/>
      <c r="F122" s="43"/>
      <c r="G122" s="43"/>
      <c r="H122" s="43"/>
      <c r="I122" s="43"/>
      <c r="J122" s="43"/>
      <c r="K122" s="43"/>
      <c r="L122" s="44"/>
      <c r="M122" s="319"/>
      <c r="N122" s="324">
        <f>SUM(N113:N121)</f>
        <v>510376</v>
      </c>
      <c r="O122" s="153"/>
    </row>
    <row r="123" spans="1:23" ht="19.2" customHeight="1">
      <c r="A123" s="21" t="s">
        <v>36</v>
      </c>
      <c r="B123" s="22"/>
      <c r="C123" s="61"/>
      <c r="D123" s="48">
        <f>D122/D92</f>
        <v>290.95416393442628</v>
      </c>
      <c r="E123" s="48"/>
      <c r="F123" s="48"/>
      <c r="G123" s="48"/>
      <c r="H123" s="48"/>
      <c r="I123" s="48"/>
      <c r="J123" s="48"/>
      <c r="K123" s="48"/>
      <c r="L123" s="62"/>
      <c r="M123" s="320"/>
      <c r="N123" s="328"/>
      <c r="O123" s="4"/>
      <c r="P123" s="2"/>
      <c r="Q123" s="2"/>
      <c r="R123" s="2"/>
      <c r="S123" s="2"/>
      <c r="T123" s="2"/>
      <c r="U123" s="2"/>
      <c r="V123" s="2"/>
    </row>
    <row r="124" spans="1:23" ht="19.2" customHeight="1">
      <c r="A124" s="304" t="s">
        <v>54</v>
      </c>
      <c r="B124" s="212"/>
      <c r="C124" s="382" t="s">
        <v>147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9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13"/>
      <c r="B125" s="214"/>
      <c r="C125" s="76" t="s">
        <v>60</v>
      </c>
      <c r="D125" s="78">
        <f>D123*100/930</f>
        <v>31.285393971443686</v>
      </c>
      <c r="E125" s="46"/>
      <c r="F125" s="46"/>
      <c r="G125" s="46"/>
      <c r="H125" s="46"/>
      <c r="I125" s="46"/>
      <c r="J125" s="48"/>
      <c r="K125" s="48"/>
      <c r="L125" s="47"/>
      <c r="M125" s="47"/>
      <c r="N125" s="179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9.2" customHeight="1">
      <c r="A126" s="274" t="s">
        <v>35</v>
      </c>
      <c r="B126" s="274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9.2" customHeight="1">
      <c r="A127" s="103">
        <v>1</v>
      </c>
      <c r="B127" s="112" t="s">
        <v>76</v>
      </c>
      <c r="C127" s="104">
        <f>L127/100*80</f>
        <v>7320</v>
      </c>
      <c r="D127" s="105">
        <f>C127/100*40</f>
        <v>2928</v>
      </c>
      <c r="E127" s="106"/>
      <c r="F127" s="106">
        <f>C127/100*1.3</f>
        <v>95.160000000000011</v>
      </c>
      <c r="G127" s="106"/>
      <c r="H127" s="106"/>
      <c r="I127" s="106">
        <f>C127/100*8.7</f>
        <v>636.83999999999992</v>
      </c>
      <c r="J127" s="106">
        <f>C127/100*11</f>
        <v>805.2</v>
      </c>
      <c r="K127" s="106"/>
      <c r="L127" s="405">
        <v>9150</v>
      </c>
      <c r="M127" s="145">
        <v>32</v>
      </c>
      <c r="N127" s="173">
        <f t="shared" ref="N127" si="7">L127*M127</f>
        <v>292800</v>
      </c>
      <c r="O127" s="153"/>
      <c r="P127" s="3"/>
    </row>
    <row r="128" spans="1:23" ht="19.2" customHeight="1">
      <c r="A128" s="191" t="s">
        <v>66</v>
      </c>
      <c r="B128" s="201" t="s">
        <v>19</v>
      </c>
      <c r="C128" s="329" t="s">
        <v>8</v>
      </c>
      <c r="D128" s="204" t="s">
        <v>9</v>
      </c>
      <c r="E128" s="194" t="s">
        <v>11</v>
      </c>
      <c r="F128" s="195"/>
      <c r="G128" s="194" t="s">
        <v>13</v>
      </c>
      <c r="H128" s="195"/>
      <c r="I128" s="198" t="s">
        <v>16</v>
      </c>
      <c r="J128" s="198" t="s">
        <v>41</v>
      </c>
      <c r="K128" s="198" t="s">
        <v>42</v>
      </c>
      <c r="L128" s="198" t="s">
        <v>17</v>
      </c>
      <c r="M128" s="198" t="s">
        <v>56</v>
      </c>
      <c r="N128" s="191" t="s">
        <v>18</v>
      </c>
      <c r="O128" s="378"/>
    </row>
    <row r="129" spans="1:23" ht="19.2" customHeight="1">
      <c r="A129" s="192"/>
      <c r="B129" s="202"/>
      <c r="C129" s="330"/>
      <c r="D129" s="205"/>
      <c r="E129" s="196"/>
      <c r="F129" s="197"/>
      <c r="G129" s="196"/>
      <c r="H129" s="197"/>
      <c r="I129" s="199"/>
      <c r="J129" s="199"/>
      <c r="K129" s="199"/>
      <c r="L129" s="199"/>
      <c r="M129" s="199"/>
      <c r="N129" s="192"/>
      <c r="O129" s="178"/>
    </row>
    <row r="130" spans="1:23" ht="19.2" customHeight="1">
      <c r="A130" s="192"/>
      <c r="B130" s="202"/>
      <c r="C130" s="330"/>
      <c r="D130" s="205"/>
      <c r="E130" s="198" t="s">
        <v>10</v>
      </c>
      <c r="F130" s="198" t="s">
        <v>12</v>
      </c>
      <c r="G130" s="198" t="s">
        <v>14</v>
      </c>
      <c r="H130" s="198" t="s">
        <v>15</v>
      </c>
      <c r="I130" s="199"/>
      <c r="J130" s="199"/>
      <c r="K130" s="199"/>
      <c r="L130" s="199"/>
      <c r="M130" s="199"/>
      <c r="N130" s="192"/>
      <c r="O130" s="178"/>
    </row>
    <row r="131" spans="1:23" ht="19.2" customHeight="1">
      <c r="A131" s="193"/>
      <c r="B131" s="203"/>
      <c r="C131" s="331"/>
      <c r="D131" s="206"/>
      <c r="E131" s="200"/>
      <c r="F131" s="200"/>
      <c r="G131" s="200"/>
      <c r="H131" s="200"/>
      <c r="I131" s="200"/>
      <c r="J131" s="200"/>
      <c r="K131" s="200"/>
      <c r="L131" s="200"/>
      <c r="M131" s="200"/>
      <c r="N131" s="193"/>
      <c r="O131" s="178"/>
    </row>
    <row r="132" spans="1:23" s="2" customFormat="1" ht="19.2" customHeight="1">
      <c r="A132" s="21" t="s">
        <v>106</v>
      </c>
      <c r="B132" s="22"/>
      <c r="C132" s="34"/>
      <c r="D132" s="35">
        <f>SUM(D126:D127)</f>
        <v>2928</v>
      </c>
      <c r="E132" s="43"/>
      <c r="F132" s="43"/>
      <c r="G132" s="43"/>
      <c r="H132" s="43"/>
      <c r="I132" s="43"/>
      <c r="J132" s="43"/>
      <c r="K132" s="43"/>
      <c r="L132" s="44"/>
      <c r="M132" s="319"/>
      <c r="N132" s="324">
        <f>SUM(N126:N127)</f>
        <v>292800</v>
      </c>
      <c r="O132" s="153"/>
    </row>
    <row r="133" spans="1:23" ht="19.2" customHeight="1">
      <c r="A133" s="21" t="s">
        <v>7</v>
      </c>
      <c r="B133" s="22"/>
      <c r="C133" s="45"/>
      <c r="D133" s="46">
        <f>D132/D92</f>
        <v>48</v>
      </c>
      <c r="E133" s="46"/>
      <c r="F133" s="46"/>
      <c r="G133" s="46"/>
      <c r="H133" s="46"/>
      <c r="I133" s="46"/>
      <c r="J133" s="46"/>
      <c r="K133" s="46"/>
      <c r="L133" s="47"/>
      <c r="M133" s="320"/>
      <c r="N133" s="325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304" t="s">
        <v>52</v>
      </c>
      <c r="B134" s="212"/>
      <c r="C134" s="382" t="s">
        <v>147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9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13"/>
      <c r="B135" s="214"/>
      <c r="C135" s="76" t="s">
        <v>60</v>
      </c>
      <c r="D135" s="78">
        <f>D133*100/930</f>
        <v>5.161290322580645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9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28" t="s">
        <v>113</v>
      </c>
      <c r="B136" s="229"/>
      <c r="C136" s="232"/>
      <c r="D136" s="299">
        <f>D108+D122+D132</f>
        <v>38757.993000000002</v>
      </c>
      <c r="E136" s="123">
        <f>SUM(E98:E133)</f>
        <v>1010.5420999999999</v>
      </c>
      <c r="F136" s="50">
        <f>SUM(F98:F133)</f>
        <v>679.0403</v>
      </c>
      <c r="G136" s="7">
        <f>SUM(G98:G133)</f>
        <v>992.1327</v>
      </c>
      <c r="H136" s="7">
        <f>SUM(H98:H133)</f>
        <v>432.50799999999998</v>
      </c>
      <c r="I136" s="215">
        <f>SUM(I98:I133)</f>
        <v>4633.4611999999997</v>
      </c>
      <c r="J136" s="215">
        <f>SUM(J98:J127)</f>
        <v>7996.3078999999998</v>
      </c>
      <c r="K136" s="215">
        <f>SUM(K98:K127)</f>
        <v>46.352260000000001</v>
      </c>
      <c r="L136" s="244"/>
      <c r="M136" s="244"/>
      <c r="N136" s="301">
        <f>N108+N122+N132</f>
        <v>1341810</v>
      </c>
      <c r="U136" s="12"/>
      <c r="V136" s="12"/>
    </row>
    <row r="137" spans="1:23" ht="19.2" customHeight="1">
      <c r="A137" s="230"/>
      <c r="B137" s="231"/>
      <c r="C137" s="233"/>
      <c r="D137" s="300"/>
      <c r="E137" s="326">
        <f>E136+F136</f>
        <v>1689.5823999999998</v>
      </c>
      <c r="F137" s="327"/>
      <c r="G137" s="226">
        <f>G136+H136</f>
        <v>1424.6406999999999</v>
      </c>
      <c r="H137" s="227"/>
      <c r="I137" s="216"/>
      <c r="J137" s="216"/>
      <c r="K137" s="216"/>
      <c r="L137" s="244"/>
      <c r="M137" s="244"/>
      <c r="N137" s="301"/>
      <c r="P137" s="373"/>
      <c r="Q137" s="375"/>
      <c r="R137" s="375"/>
      <c r="S137" s="375"/>
      <c r="T137" s="375"/>
      <c r="U137" s="386"/>
      <c r="V137" s="386"/>
    </row>
    <row r="138" spans="1:23" ht="19.2" customHeight="1">
      <c r="A138" s="248" t="s">
        <v>77</v>
      </c>
      <c r="B138" s="249"/>
      <c r="C138" s="250"/>
      <c r="D138" s="138">
        <f>D136/D92</f>
        <v>635.37693442622958</v>
      </c>
      <c r="E138" s="384">
        <f>E136/D92</f>
        <v>16.566263934426228</v>
      </c>
      <c r="F138" s="385">
        <f>F136/D92</f>
        <v>11.131808196721311</v>
      </c>
      <c r="G138" s="404">
        <f>G136/D92</f>
        <v>16.26447049180328</v>
      </c>
      <c r="H138" s="403">
        <f>H136/D92</f>
        <v>7.0902950819672128</v>
      </c>
      <c r="I138" s="302">
        <f>I136/D92</f>
        <v>75.958380327868852</v>
      </c>
      <c r="J138" s="302">
        <f>J136/D92</f>
        <v>131.08701475409836</v>
      </c>
      <c r="K138" s="302">
        <f>K136/D92</f>
        <v>0.75987311475409836</v>
      </c>
      <c r="L138" s="244"/>
      <c r="M138" s="244"/>
      <c r="N138" s="301"/>
      <c r="P138" s="389"/>
      <c r="Q138" s="375"/>
      <c r="R138" s="375"/>
      <c r="S138" s="399"/>
      <c r="T138" s="399"/>
      <c r="U138" s="375"/>
      <c r="V138" s="375"/>
    </row>
    <row r="139" spans="1:23" ht="19.2" customHeight="1">
      <c r="A139" s="251"/>
      <c r="B139" s="252"/>
      <c r="C139" s="253"/>
      <c r="D139" s="127"/>
      <c r="E139" s="387">
        <f>E138+F138</f>
        <v>27.698072131147541</v>
      </c>
      <c r="F139" s="388"/>
      <c r="G139" s="387">
        <f>G138+H138</f>
        <v>23.354765573770493</v>
      </c>
      <c r="H139" s="388"/>
      <c r="I139" s="303"/>
      <c r="J139" s="303"/>
      <c r="K139" s="303"/>
      <c r="L139" s="244"/>
      <c r="M139" s="244"/>
      <c r="N139" s="301"/>
      <c r="P139" s="373"/>
      <c r="Q139" s="373"/>
      <c r="R139" s="373"/>
      <c r="S139" s="373"/>
      <c r="T139" s="373"/>
      <c r="U139" s="373"/>
      <c r="V139" s="373"/>
    </row>
    <row r="140" spans="1:23" ht="19.2" customHeight="1">
      <c r="A140" s="316" t="s">
        <v>80</v>
      </c>
      <c r="B140" s="317"/>
      <c r="C140" s="318"/>
      <c r="D140" s="183" t="s">
        <v>29</v>
      </c>
      <c r="E140" s="363" t="s">
        <v>24</v>
      </c>
      <c r="F140" s="363"/>
      <c r="G140" s="363" t="s">
        <v>25</v>
      </c>
      <c r="H140" s="363"/>
      <c r="I140" s="183" t="s">
        <v>26</v>
      </c>
      <c r="J140" s="181">
        <v>500</v>
      </c>
      <c r="K140" s="181">
        <v>0.5</v>
      </c>
      <c r="L140" s="244"/>
      <c r="M140" s="244"/>
      <c r="N140" s="301"/>
      <c r="O140" s="391"/>
      <c r="P140" s="373"/>
      <c r="Q140" s="373"/>
      <c r="R140" s="373"/>
      <c r="S140" s="373"/>
      <c r="T140" s="373"/>
      <c r="U140" s="373"/>
      <c r="V140" s="373"/>
    </row>
    <row r="141" spans="1:23" ht="19.2" customHeight="1">
      <c r="A141" s="219" t="s">
        <v>78</v>
      </c>
      <c r="B141" s="220"/>
      <c r="C141" s="221"/>
      <c r="D141" s="49"/>
      <c r="E141" s="207">
        <f>E139*4.1</f>
        <v>113.56209573770491</v>
      </c>
      <c r="F141" s="208"/>
      <c r="G141" s="207">
        <f>G139*9</f>
        <v>210.19289016393444</v>
      </c>
      <c r="H141" s="208"/>
      <c r="I141" s="85">
        <f>I138*4.1</f>
        <v>311.42935934426225</v>
      </c>
      <c r="J141" s="254"/>
      <c r="K141" s="254"/>
      <c r="L141" s="244"/>
      <c r="M141" s="244"/>
      <c r="N141" s="301"/>
      <c r="O141" s="391"/>
      <c r="P141" s="392"/>
      <c r="Q141" s="374"/>
      <c r="R141" s="374"/>
      <c r="S141" s="374"/>
      <c r="T141" s="373"/>
      <c r="U141" s="373"/>
      <c r="V141" s="373"/>
    </row>
    <row r="142" spans="1:23" ht="19.2" customHeight="1">
      <c r="A142" s="222" t="s">
        <v>87</v>
      </c>
      <c r="B142" s="223"/>
      <c r="C142" s="219" t="s">
        <v>59</v>
      </c>
      <c r="D142" s="221"/>
      <c r="E142" s="256">
        <f>E141*100/D138</f>
        <v>17.873185125968725</v>
      </c>
      <c r="F142" s="257"/>
      <c r="G142" s="256">
        <f>G141*100/D138</f>
        <v>33.081605386532779</v>
      </c>
      <c r="H142" s="257"/>
      <c r="I142" s="115">
        <f>I141*100/D138</f>
        <v>49.014898475264175</v>
      </c>
      <c r="J142" s="255"/>
      <c r="K142" s="255"/>
      <c r="L142" s="244"/>
      <c r="M142" s="244"/>
      <c r="N142" s="301"/>
      <c r="O142" s="391"/>
      <c r="P142" s="373"/>
      <c r="Q142" s="373"/>
      <c r="R142" s="373"/>
      <c r="S142" s="373"/>
      <c r="T142" s="373"/>
      <c r="U142" s="373"/>
      <c r="V142" s="373"/>
    </row>
    <row r="143" spans="1:23" ht="19.2" customHeight="1">
      <c r="A143" s="224"/>
      <c r="B143" s="225"/>
      <c r="C143" s="219" t="s">
        <v>79</v>
      </c>
      <c r="D143" s="221"/>
      <c r="E143" s="219" t="s">
        <v>82</v>
      </c>
      <c r="F143" s="221"/>
      <c r="G143" s="219" t="s">
        <v>85</v>
      </c>
      <c r="H143" s="221"/>
      <c r="I143" s="183" t="s">
        <v>86</v>
      </c>
      <c r="J143" s="235"/>
      <c r="K143" s="235"/>
      <c r="L143" s="244"/>
      <c r="M143" s="244"/>
      <c r="N143" s="301"/>
      <c r="O143" s="391"/>
      <c r="P143" s="132"/>
    </row>
    <row r="144" spans="1:23" ht="19.2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4"/>
      <c r="M144" s="94"/>
      <c r="N144" s="95"/>
      <c r="O144" s="391"/>
    </row>
    <row r="145" spans="1:15" ht="21" customHeight="1">
      <c r="A145" s="294" t="s">
        <v>114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391"/>
    </row>
    <row r="146" spans="1:15" ht="21" customHeight="1">
      <c r="A146" s="117" t="s">
        <v>115</v>
      </c>
      <c r="B146" s="295" t="s">
        <v>116</v>
      </c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391"/>
    </row>
    <row r="147" spans="1:15" ht="21" customHeight="1">
      <c r="A147" s="118"/>
      <c r="B147" s="259" t="s">
        <v>208</v>
      </c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391"/>
    </row>
    <row r="148" spans="1:15" ht="21" customHeight="1">
      <c r="A148" s="118"/>
      <c r="B148" s="259" t="s">
        <v>209</v>
      </c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391"/>
    </row>
    <row r="149" spans="1:15" ht="21" customHeight="1">
      <c r="A149" s="118"/>
      <c r="B149" s="259" t="s">
        <v>210</v>
      </c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  <c r="O149" s="391"/>
    </row>
    <row r="150" spans="1:15" ht="21" customHeight="1">
      <c r="A150" s="90"/>
      <c r="B150" s="260" t="s">
        <v>128</v>
      </c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391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91"/>
    </row>
    <row r="152" spans="1:15" ht="21" customHeight="1">
      <c r="A152" s="261" t="s">
        <v>62</v>
      </c>
      <c r="B152" s="261"/>
      <c r="C152" s="261"/>
      <c r="D152" s="261"/>
      <c r="E152" s="393"/>
      <c r="F152" s="393"/>
      <c r="G152" s="393"/>
      <c r="H152" s="393"/>
      <c r="I152" s="393"/>
      <c r="J152" s="394" t="s">
        <v>33</v>
      </c>
      <c r="K152" s="394"/>
      <c r="L152" s="394"/>
      <c r="M152" s="394"/>
      <c r="N152" s="394"/>
      <c r="O152" s="391"/>
    </row>
    <row r="153" spans="1:15" ht="21" customHeight="1">
      <c r="A153" s="178"/>
      <c r="B153" s="178"/>
      <c r="C153" s="178"/>
      <c r="D153" s="393"/>
      <c r="E153" s="393"/>
      <c r="F153" s="393"/>
      <c r="G153" s="393"/>
      <c r="H153" s="395"/>
      <c r="I153" s="395"/>
      <c r="J153" s="395"/>
      <c r="K153" s="395"/>
      <c r="L153" s="395"/>
      <c r="M153" s="395"/>
      <c r="N153" s="395"/>
      <c r="O153" s="391"/>
    </row>
    <row r="154" spans="1:15" ht="21" customHeight="1">
      <c r="A154" s="178"/>
      <c r="B154" s="178"/>
      <c r="C154" s="178"/>
      <c r="D154" s="393"/>
      <c r="E154" s="393"/>
      <c r="F154" s="393"/>
      <c r="G154" s="393"/>
      <c r="H154" s="395"/>
      <c r="I154" s="395"/>
      <c r="J154" s="395"/>
      <c r="K154" s="395"/>
      <c r="L154" s="395"/>
      <c r="M154" s="395"/>
      <c r="N154" s="395"/>
      <c r="O154" s="391"/>
    </row>
    <row r="155" spans="1:15" ht="21" customHeight="1">
      <c r="A155" s="178"/>
      <c r="B155" s="178"/>
      <c r="C155" s="178"/>
      <c r="D155" s="393"/>
      <c r="E155" s="393"/>
      <c r="F155" s="393"/>
      <c r="G155" s="393"/>
      <c r="H155" s="395"/>
      <c r="I155" s="395"/>
      <c r="J155" s="396" t="s">
        <v>124</v>
      </c>
      <c r="K155" s="396"/>
      <c r="L155" s="396"/>
      <c r="M155" s="396"/>
      <c r="N155" s="396"/>
      <c r="O155" s="391"/>
    </row>
    <row r="156" spans="1:15" ht="21" customHeight="1">
      <c r="A156" s="262" t="s">
        <v>91</v>
      </c>
      <c r="B156" s="262"/>
      <c r="C156" s="262"/>
      <c r="D156" s="262"/>
      <c r="E156" s="393"/>
      <c r="F156" s="393"/>
      <c r="G156" s="393"/>
      <c r="H156" s="395"/>
      <c r="I156" s="395"/>
      <c r="J156" s="396"/>
      <c r="K156" s="396"/>
      <c r="L156" s="396"/>
      <c r="M156" s="396"/>
      <c r="N156" s="396"/>
      <c r="O156" s="391"/>
    </row>
    <row r="158" spans="1:15" ht="19.2" customHeight="1">
      <c r="J158" s="396" t="s">
        <v>127</v>
      </c>
      <c r="K158" s="396"/>
      <c r="L158" s="396"/>
      <c r="M158" s="396"/>
      <c r="N158" s="396"/>
    </row>
  </sheetData>
  <mergeCells count="205"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M47:M48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E54:F54"/>
    <mergeCell ref="G54:H54"/>
    <mergeCell ref="A56:C56"/>
    <mergeCell ref="E56:F56"/>
    <mergeCell ref="G56:H56"/>
    <mergeCell ref="J56:J58"/>
    <mergeCell ref="Q54:R54"/>
    <mergeCell ref="S54:T54"/>
    <mergeCell ref="U54:V54"/>
    <mergeCell ref="A55:C55"/>
    <mergeCell ref="E55:F55"/>
    <mergeCell ref="G55:H55"/>
    <mergeCell ref="Q55:R55"/>
    <mergeCell ref="S55:T55"/>
    <mergeCell ref="U55:V55"/>
    <mergeCell ref="K56:K58"/>
    <mergeCell ref="A57:B58"/>
    <mergeCell ref="C57:D57"/>
    <mergeCell ref="E57:F57"/>
    <mergeCell ref="G57:H57"/>
    <mergeCell ref="C58:D58"/>
    <mergeCell ref="E58:F58"/>
    <mergeCell ref="G58:H58"/>
    <mergeCell ref="A60:N60"/>
    <mergeCell ref="B61:N61"/>
    <mergeCell ref="B62:N62"/>
    <mergeCell ref="B63:N63"/>
    <mergeCell ref="B64:N64"/>
    <mergeCell ref="B65:N65"/>
    <mergeCell ref="A67:D67"/>
    <mergeCell ref="J67:N67"/>
    <mergeCell ref="J70:N70"/>
    <mergeCell ref="A71:D71"/>
    <mergeCell ref="J74:N74"/>
    <mergeCell ref="F85:N85"/>
    <mergeCell ref="A87:D88"/>
    <mergeCell ref="E87:N87"/>
    <mergeCell ref="E88:I88"/>
    <mergeCell ref="J88:N88"/>
    <mergeCell ref="A89:D89"/>
    <mergeCell ref="E89:I91"/>
    <mergeCell ref="J89:N89"/>
    <mergeCell ref="A90:D90"/>
    <mergeCell ref="J90:N90"/>
    <mergeCell ref="A91:D91"/>
    <mergeCell ref="J91:N91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M108:M109"/>
    <mergeCell ref="N108:N109"/>
    <mergeCell ref="A110:B111"/>
    <mergeCell ref="A112:B112"/>
    <mergeCell ref="M122:M123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M132:M133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N136:N143"/>
    <mergeCell ref="E137:F137"/>
    <mergeCell ref="G137:H137"/>
    <mergeCell ref="A140:C140"/>
    <mergeCell ref="E140:F140"/>
    <mergeCell ref="G140:H140"/>
    <mergeCell ref="A141:C141"/>
    <mergeCell ref="E141:F141"/>
    <mergeCell ref="G141:H141"/>
    <mergeCell ref="J141:J143"/>
    <mergeCell ref="K141:K143"/>
    <mergeCell ref="A142:B143"/>
    <mergeCell ref="C142:D142"/>
    <mergeCell ref="Q137:R137"/>
    <mergeCell ref="S137:T137"/>
    <mergeCell ref="U137:V137"/>
    <mergeCell ref="A138:C139"/>
    <mergeCell ref="I138:I139"/>
    <mergeCell ref="J138:J139"/>
    <mergeCell ref="K138:K139"/>
    <mergeCell ref="Q138:R138"/>
    <mergeCell ref="S138:T138"/>
    <mergeCell ref="U138:V138"/>
    <mergeCell ref="E139:F139"/>
    <mergeCell ref="G139:H139"/>
    <mergeCell ref="B149:N149"/>
    <mergeCell ref="B150:N150"/>
    <mergeCell ref="A152:D152"/>
    <mergeCell ref="J152:N152"/>
    <mergeCell ref="J155:N155"/>
    <mergeCell ref="A156:D156"/>
    <mergeCell ref="J156:N156"/>
    <mergeCell ref="J158:N158"/>
    <mergeCell ref="E142:F142"/>
    <mergeCell ref="G142:H142"/>
    <mergeCell ref="C143:D143"/>
    <mergeCell ref="E143:F143"/>
    <mergeCell ref="G143:H143"/>
    <mergeCell ref="A145:N145"/>
    <mergeCell ref="B146:N146"/>
    <mergeCell ref="B147:N147"/>
    <mergeCell ref="B148:N148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5"/>
  <sheetViews>
    <sheetView workbookViewId="0">
      <selection activeCell="G11" sqref="G11:H12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6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61</v>
      </c>
      <c r="B1" s="8"/>
      <c r="C1" s="8"/>
      <c r="D1" s="8"/>
      <c r="E1" s="8"/>
      <c r="F1" s="189" t="s">
        <v>31</v>
      </c>
      <c r="G1" s="189"/>
      <c r="H1" s="189"/>
      <c r="I1" s="189"/>
      <c r="J1" s="189"/>
      <c r="K1" s="189"/>
      <c r="L1" s="189"/>
      <c r="M1" s="189"/>
      <c r="N1" s="189"/>
      <c r="O1" s="376"/>
      <c r="P1" s="376"/>
      <c r="T1" s="2"/>
    </row>
    <row r="2" spans="1:20" ht="12.6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6"/>
      <c r="P2" s="376"/>
      <c r="T2" s="2"/>
    </row>
    <row r="3" spans="1:20" ht="23.4" customHeight="1">
      <c r="A3" s="8" t="s">
        <v>211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6"/>
      <c r="P3" s="376"/>
      <c r="T3" s="2"/>
    </row>
    <row r="4" spans="1:20" ht="12.6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6"/>
      <c r="P4" s="376"/>
      <c r="T4" s="2"/>
    </row>
    <row r="5" spans="1:20" s="2" customFormat="1" ht="19.2" customHeight="1">
      <c r="A5" s="236" t="s">
        <v>97</v>
      </c>
      <c r="B5" s="236"/>
      <c r="C5" s="236"/>
      <c r="D5" s="236"/>
      <c r="E5" s="236" t="s">
        <v>98</v>
      </c>
      <c r="F5" s="236"/>
      <c r="G5" s="236"/>
      <c r="H5" s="236"/>
      <c r="I5" s="236"/>
      <c r="J5" s="236"/>
      <c r="K5" s="236"/>
      <c r="L5" s="236"/>
      <c r="M5" s="236"/>
      <c r="N5" s="236"/>
      <c r="O5" s="377"/>
    </row>
    <row r="6" spans="1:20" s="2" customFormat="1" ht="19.2" customHeight="1">
      <c r="A6" s="266" t="s">
        <v>90</v>
      </c>
      <c r="B6" s="266"/>
      <c r="C6" s="266"/>
      <c r="D6" s="266"/>
      <c r="E6" s="282" t="s">
        <v>161</v>
      </c>
      <c r="F6" s="283"/>
      <c r="G6" s="283"/>
      <c r="H6" s="283"/>
      <c r="I6" s="284"/>
      <c r="J6" s="282" t="s">
        <v>135</v>
      </c>
      <c r="K6" s="283"/>
      <c r="L6" s="283"/>
      <c r="M6" s="283"/>
      <c r="N6" s="284"/>
      <c r="O6" s="377"/>
    </row>
    <row r="7" spans="1:20" s="2" customFormat="1" ht="19.2" customHeight="1">
      <c r="A7" s="344" t="s">
        <v>212</v>
      </c>
      <c r="B7" s="345"/>
      <c r="C7" s="345"/>
      <c r="D7" s="346"/>
      <c r="E7" s="285"/>
      <c r="F7" s="286"/>
      <c r="G7" s="286"/>
      <c r="H7" s="286"/>
      <c r="I7" s="287"/>
      <c r="J7" s="285"/>
      <c r="K7" s="286"/>
      <c r="L7" s="286"/>
      <c r="M7" s="286"/>
      <c r="N7" s="287"/>
      <c r="O7" s="377"/>
    </row>
    <row r="8" spans="1:20" s="2" customFormat="1" ht="19.2" customHeight="1">
      <c r="A8" s="344" t="s">
        <v>179</v>
      </c>
      <c r="B8" s="345"/>
      <c r="C8" s="345"/>
      <c r="D8" s="346"/>
      <c r="E8" s="285"/>
      <c r="F8" s="286"/>
      <c r="G8" s="286"/>
      <c r="H8" s="286"/>
      <c r="I8" s="287"/>
      <c r="J8" s="285"/>
      <c r="K8" s="286"/>
      <c r="L8" s="286"/>
      <c r="M8" s="286"/>
      <c r="N8" s="287"/>
      <c r="O8" s="377"/>
    </row>
    <row r="9" spans="1:20" s="2" customFormat="1" ht="19.2" customHeight="1">
      <c r="A9" s="347" t="s">
        <v>180</v>
      </c>
      <c r="B9" s="347"/>
      <c r="C9" s="347"/>
      <c r="D9" s="347"/>
      <c r="E9" s="288"/>
      <c r="F9" s="289"/>
      <c r="G9" s="289"/>
      <c r="H9" s="289"/>
      <c r="I9" s="290"/>
      <c r="J9" s="288"/>
      <c r="K9" s="289"/>
      <c r="L9" s="289"/>
      <c r="M9" s="289"/>
      <c r="N9" s="290"/>
      <c r="O9" s="377"/>
    </row>
    <row r="10" spans="1:20" s="2" customFormat="1" ht="19.2" customHeight="1">
      <c r="A10" s="276" t="s">
        <v>122</v>
      </c>
      <c r="B10" s="277"/>
      <c r="C10" s="278"/>
      <c r="D10" s="128">
        <v>187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7"/>
    </row>
    <row r="11" spans="1:20" ht="21" customHeight="1">
      <c r="A11" s="191" t="s">
        <v>0</v>
      </c>
      <c r="B11" s="201" t="s">
        <v>19</v>
      </c>
      <c r="C11" s="204" t="s">
        <v>8</v>
      </c>
      <c r="D11" s="204" t="s">
        <v>9</v>
      </c>
      <c r="E11" s="194" t="s">
        <v>11</v>
      </c>
      <c r="F11" s="195"/>
      <c r="G11" s="194" t="s">
        <v>13</v>
      </c>
      <c r="H11" s="195"/>
      <c r="I11" s="198" t="s">
        <v>16</v>
      </c>
      <c r="J11" s="198" t="s">
        <v>41</v>
      </c>
      <c r="K11" s="198" t="s">
        <v>42</v>
      </c>
      <c r="L11" s="351" t="s">
        <v>17</v>
      </c>
      <c r="M11" s="198" t="s">
        <v>57</v>
      </c>
      <c r="N11" s="191" t="s">
        <v>18</v>
      </c>
      <c r="O11" s="378"/>
    </row>
    <row r="12" spans="1:20" ht="21" customHeight="1">
      <c r="A12" s="192"/>
      <c r="B12" s="202"/>
      <c r="C12" s="205"/>
      <c r="D12" s="205"/>
      <c r="E12" s="196"/>
      <c r="F12" s="197"/>
      <c r="G12" s="196"/>
      <c r="H12" s="197"/>
      <c r="I12" s="199"/>
      <c r="J12" s="199"/>
      <c r="K12" s="199"/>
      <c r="L12" s="352"/>
      <c r="M12" s="199"/>
      <c r="N12" s="192"/>
      <c r="O12" s="178"/>
    </row>
    <row r="13" spans="1:20" ht="21" customHeight="1">
      <c r="A13" s="192"/>
      <c r="B13" s="202"/>
      <c r="C13" s="205"/>
      <c r="D13" s="205"/>
      <c r="E13" s="198" t="s">
        <v>10</v>
      </c>
      <c r="F13" s="198" t="s">
        <v>12</v>
      </c>
      <c r="G13" s="198" t="s">
        <v>14</v>
      </c>
      <c r="H13" s="198" t="s">
        <v>15</v>
      </c>
      <c r="I13" s="199"/>
      <c r="J13" s="199"/>
      <c r="K13" s="199"/>
      <c r="L13" s="352"/>
      <c r="M13" s="199"/>
      <c r="N13" s="192"/>
      <c r="O13" s="178"/>
    </row>
    <row r="14" spans="1:20" ht="21" customHeight="1">
      <c r="A14" s="193"/>
      <c r="B14" s="203"/>
      <c r="C14" s="206"/>
      <c r="D14" s="206"/>
      <c r="E14" s="200"/>
      <c r="F14" s="200"/>
      <c r="G14" s="200"/>
      <c r="H14" s="200"/>
      <c r="I14" s="200"/>
      <c r="J14" s="200"/>
      <c r="K14" s="200"/>
      <c r="L14" s="353"/>
      <c r="M14" s="200"/>
      <c r="N14" s="193"/>
      <c r="O14" s="178"/>
    </row>
    <row r="15" spans="1:20" ht="18.600000000000001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8"/>
    </row>
    <row r="16" spans="1:20" s="2" customFormat="1" ht="18.600000000000001" customHeight="1">
      <c r="A16" s="9">
        <v>1</v>
      </c>
      <c r="B16" s="10" t="s">
        <v>2</v>
      </c>
      <c r="C16" s="23">
        <f>L16/100*100</f>
        <v>240</v>
      </c>
      <c r="D16" s="24">
        <f>C16/100*60</f>
        <v>144</v>
      </c>
      <c r="E16" s="25">
        <f>C16/100*15</f>
        <v>36</v>
      </c>
      <c r="F16" s="25"/>
      <c r="G16" s="25"/>
      <c r="H16" s="25"/>
      <c r="I16" s="25"/>
      <c r="J16" s="27">
        <f>C16/100*387</f>
        <v>928.8</v>
      </c>
      <c r="K16" s="27">
        <f>C16/100*0.09</f>
        <v>0.216</v>
      </c>
      <c r="L16" s="137">
        <v>240</v>
      </c>
      <c r="M16" s="75">
        <v>20</v>
      </c>
      <c r="N16" s="28">
        <f>L16*M16</f>
        <v>4800</v>
      </c>
      <c r="O16" s="153"/>
    </row>
    <row r="17" spans="1:20" s="2" customFormat="1" ht="18.600000000000001" customHeight="1">
      <c r="A17" s="9">
        <v>3</v>
      </c>
      <c r="B17" s="148" t="s">
        <v>142</v>
      </c>
      <c r="C17" s="23">
        <f>L17/100*100</f>
        <v>810</v>
      </c>
      <c r="D17" s="120">
        <f>C17/100*900</f>
        <v>7290</v>
      </c>
      <c r="E17" s="25"/>
      <c r="F17" s="119"/>
      <c r="G17" s="119"/>
      <c r="H17" s="25">
        <f>C17/100*100</f>
        <v>810</v>
      </c>
      <c r="I17" s="25"/>
      <c r="J17" s="25"/>
      <c r="K17" s="25"/>
      <c r="L17" s="137">
        <v>810</v>
      </c>
      <c r="M17" s="75">
        <v>65</v>
      </c>
      <c r="N17" s="28">
        <f t="shared" ref="N17:N25" si="0">L17*M17</f>
        <v>52650</v>
      </c>
      <c r="O17" s="383"/>
    </row>
    <row r="18" spans="1:20" s="2" customFormat="1" ht="18.600000000000001" customHeight="1">
      <c r="A18" s="9">
        <v>4</v>
      </c>
      <c r="B18" s="5" t="s">
        <v>1</v>
      </c>
      <c r="C18" s="23">
        <f>L18/100*100</f>
        <v>17765</v>
      </c>
      <c r="D18" s="120">
        <f>C18/100*344</f>
        <v>61111.6</v>
      </c>
      <c r="E18" s="25"/>
      <c r="F18" s="119">
        <f>C18/100*7.9</f>
        <v>1403.4350000000002</v>
      </c>
      <c r="G18" s="25"/>
      <c r="H18" s="25">
        <f>C18/100*1</f>
        <v>177.65</v>
      </c>
      <c r="I18" s="130">
        <f>C18/100*73.25</f>
        <v>13012.862500000001</v>
      </c>
      <c r="J18" s="81">
        <f>C18/100*30</f>
        <v>5329.5</v>
      </c>
      <c r="K18" s="27">
        <f>C18/100*0.1</f>
        <v>17.765000000000001</v>
      </c>
      <c r="L18" s="401">
        <v>17765</v>
      </c>
      <c r="M18" s="75">
        <v>18</v>
      </c>
      <c r="N18" s="124">
        <f t="shared" si="0"/>
        <v>319770</v>
      </c>
      <c r="O18" s="153"/>
    </row>
    <row r="19" spans="1:20" s="2" customFormat="1" ht="18.600000000000001" customHeight="1">
      <c r="A19" s="9">
        <v>5</v>
      </c>
      <c r="B19" s="5" t="s">
        <v>96</v>
      </c>
      <c r="C19" s="23">
        <f>L19/100*90</f>
        <v>3753.0000000000005</v>
      </c>
      <c r="D19" s="24">
        <f>C19/100*90</f>
        <v>3377.7000000000003</v>
      </c>
      <c r="E19" s="25">
        <f>C19/100*18.4</f>
        <v>690.55200000000002</v>
      </c>
      <c r="F19" s="25"/>
      <c r="G19" s="25">
        <f>C19/100*1.8</f>
        <v>67.554000000000002</v>
      </c>
      <c r="H19" s="25"/>
      <c r="I19" s="25"/>
      <c r="J19" s="81">
        <f>C19/100*1120</f>
        <v>42033.599999999999</v>
      </c>
      <c r="K19" s="27">
        <f>C19/100*0.02</f>
        <v>0.75060000000000004</v>
      </c>
      <c r="L19" s="137">
        <v>4170</v>
      </c>
      <c r="M19" s="75">
        <v>260</v>
      </c>
      <c r="N19" s="176">
        <f t="shared" si="0"/>
        <v>1084200</v>
      </c>
      <c r="O19" s="153"/>
      <c r="Q19" s="3"/>
      <c r="R19" s="3"/>
      <c r="S19" s="4"/>
    </row>
    <row r="20" spans="1:20" s="2" customFormat="1" ht="18.600000000000001" customHeight="1">
      <c r="A20" s="9">
        <v>6</v>
      </c>
      <c r="B20" s="10" t="s">
        <v>71</v>
      </c>
      <c r="C20" s="23">
        <f>L20/100*98</f>
        <v>7144.2000000000007</v>
      </c>
      <c r="D20" s="24">
        <f>C20/100*139</f>
        <v>9930.4380000000019</v>
      </c>
      <c r="E20" s="119">
        <f>C20/100*19</f>
        <v>1357.3980000000001</v>
      </c>
      <c r="F20" s="25"/>
      <c r="G20" s="25">
        <f>C20/100*7</f>
        <v>500.09400000000005</v>
      </c>
      <c r="H20" s="25"/>
      <c r="I20" s="25"/>
      <c r="J20" s="27">
        <f>C20/100*7</f>
        <v>500.09400000000005</v>
      </c>
      <c r="K20" s="27">
        <f>C20/100*0.9</f>
        <v>64.297800000000009</v>
      </c>
      <c r="L20" s="137">
        <v>7290</v>
      </c>
      <c r="M20" s="143">
        <v>133</v>
      </c>
      <c r="N20" s="124">
        <f t="shared" si="0"/>
        <v>969570</v>
      </c>
      <c r="O20" s="153"/>
    </row>
    <row r="21" spans="1:20" s="141" customFormat="1" ht="18.600000000000001" customHeight="1">
      <c r="A21" s="164">
        <v>7</v>
      </c>
      <c r="B21" s="149" t="s">
        <v>182</v>
      </c>
      <c r="C21" s="165">
        <f>L21/100*65</f>
        <v>2431</v>
      </c>
      <c r="D21" s="139">
        <f>C21/100*14</f>
        <v>340.34</v>
      </c>
      <c r="E21" s="136"/>
      <c r="F21" s="136">
        <f>C21/100*0.6</f>
        <v>14.585999999999999</v>
      </c>
      <c r="G21" s="136"/>
      <c r="H21" s="136">
        <f>C21/100*0.02</f>
        <v>0.48619999999999997</v>
      </c>
      <c r="I21" s="136">
        <f>C21/100*2.9</f>
        <v>70.498999999999995</v>
      </c>
      <c r="J21" s="136">
        <f>C21/100*21</f>
        <v>510.51</v>
      </c>
      <c r="K21" s="136">
        <f>C21/100*0.03</f>
        <v>0.72929999999999995</v>
      </c>
      <c r="L21" s="137">
        <v>3740</v>
      </c>
      <c r="M21" s="166">
        <v>23</v>
      </c>
      <c r="N21" s="135">
        <f t="shared" si="0"/>
        <v>86020</v>
      </c>
      <c r="O21" s="381"/>
    </row>
    <row r="22" spans="1:20" s="2" customFormat="1" ht="18.600000000000001" customHeight="1">
      <c r="A22" s="9">
        <v>8</v>
      </c>
      <c r="B22" s="149" t="s">
        <v>20</v>
      </c>
      <c r="C22" s="23">
        <f>L22/100*95</f>
        <v>0</v>
      </c>
      <c r="D22" s="24">
        <f>C22/100*20</f>
        <v>0</v>
      </c>
      <c r="E22" s="25"/>
      <c r="F22" s="25">
        <f>C22/100*0.6</f>
        <v>0</v>
      </c>
      <c r="G22" s="25"/>
      <c r="H22" s="25">
        <f>C22/100*0.2</f>
        <v>0</v>
      </c>
      <c r="I22" s="25">
        <f>C22/100*4</f>
        <v>0</v>
      </c>
      <c r="J22" s="27">
        <f>C22/100*12</f>
        <v>0</v>
      </c>
      <c r="K22" s="24">
        <f>C22/100*0.04</f>
        <v>0</v>
      </c>
      <c r="L22" s="137">
        <v>0</v>
      </c>
      <c r="M22" s="77">
        <v>22</v>
      </c>
      <c r="N22" s="28">
        <f t="shared" si="0"/>
        <v>0</v>
      </c>
      <c r="O22" s="380"/>
      <c r="Q22" s="3"/>
      <c r="R22" s="3"/>
      <c r="S22" s="4"/>
    </row>
    <row r="23" spans="1:20" s="2" customFormat="1" ht="18.600000000000001" customHeight="1">
      <c r="A23" s="9">
        <v>9</v>
      </c>
      <c r="B23" s="149" t="s">
        <v>150</v>
      </c>
      <c r="C23" s="23">
        <f>L23/100*81</f>
        <v>2964.6</v>
      </c>
      <c r="D23" s="24">
        <f>C23/100*17</f>
        <v>503.98200000000003</v>
      </c>
      <c r="E23" s="29"/>
      <c r="F23" s="29">
        <f>C23/100*0.9</f>
        <v>26.6814</v>
      </c>
      <c r="G23" s="29"/>
      <c r="H23" s="29">
        <f>C23/100*0.2</f>
        <v>5.9292000000000007</v>
      </c>
      <c r="I23" s="29">
        <f>C23/100*2.8</f>
        <v>83.008799999999994</v>
      </c>
      <c r="J23" s="25">
        <f>C23/100*28</f>
        <v>830.08799999999997</v>
      </c>
      <c r="K23" s="27">
        <f>C23/100*0.04</f>
        <v>1.18584</v>
      </c>
      <c r="L23" s="379">
        <v>3660</v>
      </c>
      <c r="M23" s="75">
        <v>20</v>
      </c>
      <c r="N23" s="28">
        <f t="shared" si="0"/>
        <v>73200</v>
      </c>
      <c r="O23" s="153"/>
      <c r="P23" s="3"/>
    </row>
    <row r="24" spans="1:20" s="141" customFormat="1" ht="16.2" customHeight="1">
      <c r="A24" s="164">
        <v>10</v>
      </c>
      <c r="B24" s="149" t="s">
        <v>181</v>
      </c>
      <c r="C24" s="165">
        <f>L24/100*63</f>
        <v>4126.5</v>
      </c>
      <c r="D24" s="139">
        <f>C24/100*25</f>
        <v>1031.625</v>
      </c>
      <c r="E24" s="136"/>
      <c r="F24" s="136">
        <f>C24/100*3.2</f>
        <v>132.048</v>
      </c>
      <c r="G24" s="136"/>
      <c r="H24" s="136">
        <f>C24/100*0.4</f>
        <v>16.506</v>
      </c>
      <c r="I24" s="136">
        <f>C24/100*2.1</f>
        <v>86.656500000000008</v>
      </c>
      <c r="J24" s="140">
        <f>C24/100*100</f>
        <v>4126.5</v>
      </c>
      <c r="K24" s="136">
        <f>C24/100*0.1</f>
        <v>4.1265000000000001</v>
      </c>
      <c r="L24" s="137">
        <v>6550</v>
      </c>
      <c r="M24" s="166">
        <v>15</v>
      </c>
      <c r="N24" s="135">
        <f t="shared" si="0"/>
        <v>98250</v>
      </c>
      <c r="O24" s="381"/>
    </row>
    <row r="25" spans="1:20" s="2" customFormat="1" ht="18.600000000000001" customHeight="1">
      <c r="A25" s="9">
        <v>11</v>
      </c>
      <c r="B25" s="5" t="s">
        <v>134</v>
      </c>
      <c r="C25" s="23">
        <f>L25/100*100</f>
        <v>190</v>
      </c>
      <c r="D25" s="24">
        <f>C25/100*247</f>
        <v>469.29999999999995</v>
      </c>
      <c r="E25" s="29"/>
      <c r="F25" s="29">
        <f>C25/100*17.5</f>
        <v>33.25</v>
      </c>
      <c r="G25" s="29"/>
      <c r="H25" s="29">
        <f>C25/100*1.6</f>
        <v>3.04</v>
      </c>
      <c r="I25" s="29">
        <f>C25/100*39.2</f>
        <v>74.48</v>
      </c>
      <c r="J25" s="71"/>
      <c r="K25" s="71"/>
      <c r="L25" s="379">
        <v>190</v>
      </c>
      <c r="M25" s="75">
        <v>50</v>
      </c>
      <c r="N25" s="28">
        <f t="shared" si="0"/>
        <v>9500</v>
      </c>
      <c r="O25" s="153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123</v>
      </c>
      <c r="C26" s="23"/>
      <c r="D26" s="24"/>
      <c r="E26" s="29"/>
      <c r="F26" s="29"/>
      <c r="G26" s="29"/>
      <c r="H26" s="29"/>
      <c r="I26" s="29"/>
      <c r="J26" s="71"/>
      <c r="K26" s="71"/>
      <c r="L26" s="30"/>
      <c r="M26" s="26"/>
      <c r="N26" s="28">
        <v>14440</v>
      </c>
      <c r="O26" s="153"/>
    </row>
    <row r="27" spans="1:20" s="2" customFormat="1" ht="18.600000000000001" customHeight="1">
      <c r="A27" s="21" t="s">
        <v>121</v>
      </c>
      <c r="B27" s="22"/>
      <c r="C27" s="34"/>
      <c r="D27" s="121">
        <f>SUM(D16:D26)</f>
        <v>84198.985000000015</v>
      </c>
      <c r="E27" s="36"/>
      <c r="F27" s="36"/>
      <c r="G27" s="36"/>
      <c r="H27" s="36"/>
      <c r="I27" s="36"/>
      <c r="J27" s="36"/>
      <c r="K27" s="36"/>
      <c r="L27" s="37"/>
      <c r="M27" s="321"/>
      <c r="N27" s="358">
        <f>SUM(N16:N26)</f>
        <v>2712400</v>
      </c>
      <c r="O27" s="153"/>
    </row>
    <row r="28" spans="1:20" s="2" customFormat="1" ht="18.600000000000001" customHeight="1">
      <c r="A28" s="21" t="s">
        <v>6</v>
      </c>
      <c r="B28" s="22"/>
      <c r="C28" s="34"/>
      <c r="D28" s="35">
        <f>D27/D10</f>
        <v>450.26195187165786</v>
      </c>
      <c r="E28" s="36"/>
      <c r="F28" s="36"/>
      <c r="G28" s="36"/>
      <c r="H28" s="36"/>
      <c r="I28" s="36"/>
      <c r="J28" s="36"/>
      <c r="K28" s="36"/>
      <c r="L28" s="37"/>
      <c r="M28" s="322"/>
      <c r="N28" s="359"/>
      <c r="O28" s="153"/>
    </row>
    <row r="29" spans="1:20" s="2" customFormat="1" ht="18.600000000000001" customHeight="1">
      <c r="A29" s="304" t="s">
        <v>51</v>
      </c>
      <c r="B29" s="360"/>
      <c r="C29" s="382" t="s">
        <v>147</v>
      </c>
      <c r="D29" s="20" t="s">
        <v>45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18.600000000000001" customHeight="1">
      <c r="A30" s="361"/>
      <c r="B30" s="362"/>
      <c r="C30" s="76" t="s">
        <v>60</v>
      </c>
      <c r="D30" s="20">
        <f>D28*100/1320</f>
        <v>34.110753929671048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8.600000000000001" customHeight="1">
      <c r="A31" s="274" t="s">
        <v>35</v>
      </c>
      <c r="B31" s="274"/>
      <c r="C31" s="56"/>
      <c r="D31" s="57"/>
      <c r="E31" s="58"/>
      <c r="F31" s="58"/>
      <c r="G31" s="58"/>
      <c r="H31" s="58"/>
      <c r="I31" s="58"/>
      <c r="J31" s="58"/>
      <c r="K31" s="58"/>
      <c r="L31" s="59"/>
      <c r="M31" s="59"/>
      <c r="N31" s="69"/>
      <c r="O31" s="153"/>
    </row>
    <row r="32" spans="1:20" s="2" customFormat="1" ht="18.600000000000001" customHeight="1">
      <c r="A32" s="14">
        <v>1</v>
      </c>
      <c r="B32" s="159" t="s">
        <v>123</v>
      </c>
      <c r="C32" s="160"/>
      <c r="D32" s="161"/>
      <c r="E32" s="162"/>
      <c r="F32" s="162"/>
      <c r="G32" s="162"/>
      <c r="H32" s="162"/>
      <c r="I32" s="162"/>
      <c r="J32" s="162"/>
      <c r="K32" s="162"/>
      <c r="L32" s="163"/>
      <c r="M32" s="163"/>
      <c r="N32" s="42">
        <v>12200</v>
      </c>
      <c r="O32" s="153"/>
    </row>
    <row r="33" spans="1:20" s="2" customFormat="1" ht="18.600000000000001" customHeight="1">
      <c r="A33" s="9">
        <v>2</v>
      </c>
      <c r="B33" s="10" t="s">
        <v>2</v>
      </c>
      <c r="C33" s="23">
        <f>L33/100*100</f>
        <v>220.00000000000003</v>
      </c>
      <c r="D33" s="24">
        <f>C33/100*60</f>
        <v>132</v>
      </c>
      <c r="E33" s="25">
        <f>C33/100*15</f>
        <v>33</v>
      </c>
      <c r="F33" s="25"/>
      <c r="G33" s="25"/>
      <c r="H33" s="25"/>
      <c r="I33" s="25"/>
      <c r="J33" s="27">
        <f>C33/100*387</f>
        <v>851.40000000000009</v>
      </c>
      <c r="K33" s="27">
        <f>C33/100*0.09</f>
        <v>0.19800000000000001</v>
      </c>
      <c r="L33" s="137">
        <v>220</v>
      </c>
      <c r="M33" s="75">
        <v>20</v>
      </c>
      <c r="N33" s="28">
        <f>L33*M33</f>
        <v>4400</v>
      </c>
      <c r="O33" s="153"/>
    </row>
    <row r="34" spans="1:20" s="2" customFormat="1" ht="18.600000000000001" customHeight="1">
      <c r="A34" s="9">
        <v>3</v>
      </c>
      <c r="B34" s="5" t="s">
        <v>1</v>
      </c>
      <c r="C34" s="23">
        <f>L34/100*100</f>
        <v>2805</v>
      </c>
      <c r="D34" s="24">
        <f>C34/100*344</f>
        <v>9649.2000000000007</v>
      </c>
      <c r="E34" s="25"/>
      <c r="F34" s="25">
        <f>C34/100*7.9</f>
        <v>221.59500000000003</v>
      </c>
      <c r="G34" s="25"/>
      <c r="H34" s="25">
        <f>C34/100*1</f>
        <v>28.05</v>
      </c>
      <c r="I34" s="119">
        <f>C34/100*73.25</f>
        <v>2054.6624999999999</v>
      </c>
      <c r="J34" s="27">
        <f>C34/100*30</f>
        <v>841.5</v>
      </c>
      <c r="K34" s="27">
        <f>C34/100*0.1</f>
        <v>2.8050000000000002</v>
      </c>
      <c r="L34" s="137">
        <v>2805</v>
      </c>
      <c r="M34" s="75">
        <v>18</v>
      </c>
      <c r="N34" s="28">
        <f t="shared" ref="N34:N35" si="1">L34*M34</f>
        <v>50490</v>
      </c>
      <c r="O34" s="153"/>
    </row>
    <row r="35" spans="1:20" s="2" customFormat="1" ht="18.600000000000001" customHeight="1">
      <c r="A35" s="9">
        <v>4</v>
      </c>
      <c r="B35" s="5" t="s">
        <v>73</v>
      </c>
      <c r="C35" s="23">
        <f>L35/100*100</f>
        <v>1870</v>
      </c>
      <c r="D35" s="24">
        <f>C35/100*344</f>
        <v>6432.8</v>
      </c>
      <c r="E35" s="25"/>
      <c r="F35" s="25">
        <f>C35/100*8.6</f>
        <v>160.82</v>
      </c>
      <c r="G35" s="25"/>
      <c r="H35" s="25">
        <f>C35/100*1.5</f>
        <v>28.049999999999997</v>
      </c>
      <c r="I35" s="119">
        <f>C35/100*74.5</f>
        <v>1393.1499999999999</v>
      </c>
      <c r="J35" s="25">
        <f>C35/100*32</f>
        <v>598.4</v>
      </c>
      <c r="K35" s="25">
        <f>C35/100*0.14</f>
        <v>2.6180000000000003</v>
      </c>
      <c r="L35" s="137">
        <v>1870</v>
      </c>
      <c r="M35" s="75">
        <v>30</v>
      </c>
      <c r="N35" s="28">
        <f t="shared" si="1"/>
        <v>56100</v>
      </c>
      <c r="O35" s="153"/>
      <c r="P35" s="18"/>
    </row>
    <row r="36" spans="1:20" s="2" customFormat="1" ht="18.600000000000001" customHeight="1">
      <c r="A36" s="9">
        <v>5</v>
      </c>
      <c r="B36" s="146" t="s">
        <v>139</v>
      </c>
      <c r="C36" s="23">
        <f>L36/100*100</f>
        <v>1160</v>
      </c>
      <c r="D36" s="120">
        <f>C36/100*899</f>
        <v>10428.4</v>
      </c>
      <c r="E36" s="119"/>
      <c r="F36" s="119"/>
      <c r="G36" s="119">
        <f>C36/100*100</f>
        <v>1160</v>
      </c>
      <c r="H36" s="25"/>
      <c r="I36" s="25"/>
      <c r="J36" s="27"/>
      <c r="K36" s="27"/>
      <c r="L36" s="137">
        <v>1160</v>
      </c>
      <c r="M36" s="75">
        <v>69</v>
      </c>
      <c r="N36" s="28">
        <f t="shared" ref="N36:N44" si="2">L36*M36</f>
        <v>80040</v>
      </c>
      <c r="O36" s="153"/>
    </row>
    <row r="37" spans="1:20" s="2" customFormat="1" ht="18.600000000000001" customHeight="1">
      <c r="A37" s="9">
        <v>6</v>
      </c>
      <c r="B37" s="5" t="s">
        <v>134</v>
      </c>
      <c r="C37" s="23">
        <f>L37/100*100</f>
        <v>110.00000000000001</v>
      </c>
      <c r="D37" s="24">
        <f>C37/100*247</f>
        <v>271.70000000000005</v>
      </c>
      <c r="E37" s="29"/>
      <c r="F37" s="29">
        <f>C37/100*17.5</f>
        <v>19.25</v>
      </c>
      <c r="G37" s="29"/>
      <c r="H37" s="29">
        <f>C37/100*1.6</f>
        <v>1.7600000000000002</v>
      </c>
      <c r="I37" s="29">
        <f>C37/100*39.2</f>
        <v>43.120000000000005</v>
      </c>
      <c r="J37" s="71"/>
      <c r="K37" s="71"/>
      <c r="L37" s="379">
        <v>110</v>
      </c>
      <c r="M37" s="75">
        <v>50</v>
      </c>
      <c r="N37" s="28">
        <f t="shared" si="2"/>
        <v>5500</v>
      </c>
      <c r="O37" s="153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70</v>
      </c>
      <c r="C38" s="23">
        <f>L38/100*90</f>
        <v>54</v>
      </c>
      <c r="D38" s="24">
        <f>C38/100*253</f>
        <v>136.62</v>
      </c>
      <c r="E38" s="25"/>
      <c r="F38" s="25">
        <f>C38/100*32.4</f>
        <v>17.495999999999999</v>
      </c>
      <c r="G38" s="25"/>
      <c r="H38" s="25">
        <f>C38/100*3.6</f>
        <v>1.9440000000000002</v>
      </c>
      <c r="I38" s="25">
        <f>C38/100*21.1</f>
        <v>11.394000000000002</v>
      </c>
      <c r="J38" s="27">
        <f>C38/100*165.6</f>
        <v>89.424000000000007</v>
      </c>
      <c r="K38" s="27">
        <f>C38/100*0.14</f>
        <v>7.5600000000000014E-2</v>
      </c>
      <c r="L38" s="137">
        <v>60</v>
      </c>
      <c r="M38" s="75">
        <v>275</v>
      </c>
      <c r="N38" s="28">
        <f t="shared" ref="N38:N39" si="3">L38*M38</f>
        <v>16500</v>
      </c>
      <c r="O38" s="153"/>
    </row>
    <row r="39" spans="1:20" s="2" customFormat="1" ht="18.600000000000001" customHeight="1">
      <c r="A39" s="9">
        <v>8</v>
      </c>
      <c r="B39" s="5" t="s">
        <v>136</v>
      </c>
      <c r="C39" s="23">
        <f>L39/100*100</f>
        <v>750</v>
      </c>
      <c r="D39" s="24">
        <f>C39/100*340</f>
        <v>2550</v>
      </c>
      <c r="E39" s="29"/>
      <c r="F39" s="29">
        <f>C39/100*0.7</f>
        <v>5.25</v>
      </c>
      <c r="G39" s="29"/>
      <c r="H39" s="29"/>
      <c r="I39" s="29">
        <f>C39/100*84.3</f>
        <v>632.25</v>
      </c>
      <c r="J39" s="71"/>
      <c r="K39" s="71"/>
      <c r="L39" s="379">
        <v>750</v>
      </c>
      <c r="M39" s="75">
        <v>180</v>
      </c>
      <c r="N39" s="124">
        <f t="shared" si="3"/>
        <v>135000</v>
      </c>
      <c r="O39" s="153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93</v>
      </c>
      <c r="C40" s="23">
        <f>L40/100*81.7</f>
        <v>3063.75</v>
      </c>
      <c r="D40" s="24">
        <f>C40/100*27</f>
        <v>827.21249999999998</v>
      </c>
      <c r="E40" s="29"/>
      <c r="F40" s="29">
        <f>C40/100*0.3</f>
        <v>9.1912500000000001</v>
      </c>
      <c r="G40" s="29"/>
      <c r="H40" s="29">
        <f>C40/100*0.1</f>
        <v>3.0637500000000002</v>
      </c>
      <c r="I40" s="29">
        <f>C40/100*6.1</f>
        <v>186.88874999999999</v>
      </c>
      <c r="J40" s="71">
        <f>C40/100*24</f>
        <v>735.3</v>
      </c>
      <c r="K40" s="71">
        <f>C40/100*0.06</f>
        <v>1.8382499999999999</v>
      </c>
      <c r="L40" s="379">
        <v>3750</v>
      </c>
      <c r="M40" s="26">
        <v>22</v>
      </c>
      <c r="N40" s="28">
        <f t="shared" si="2"/>
        <v>82500</v>
      </c>
      <c r="O40" s="153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162</v>
      </c>
      <c r="C41" s="23">
        <f>L41/100*55</f>
        <v>1545.5</v>
      </c>
      <c r="D41" s="120">
        <f>C41/100*196</f>
        <v>3029.18</v>
      </c>
      <c r="E41" s="25"/>
      <c r="F41" s="136">
        <f>C41/100*4.1</f>
        <v>63.365499999999997</v>
      </c>
      <c r="G41" s="25"/>
      <c r="H41" s="25">
        <f>C41/100*2.3</f>
        <v>35.546499999999995</v>
      </c>
      <c r="I41" s="25">
        <f>C41/100*39.6</f>
        <v>612.01800000000003</v>
      </c>
      <c r="J41" s="27">
        <f>C41/100*4</f>
        <v>61.82</v>
      </c>
      <c r="K41" s="27">
        <f>C41/100*0.15</f>
        <v>2.3182499999999999</v>
      </c>
      <c r="L41" s="401">
        <v>2810</v>
      </c>
      <c r="M41" s="75">
        <v>22</v>
      </c>
      <c r="N41" s="28">
        <f t="shared" si="2"/>
        <v>61820</v>
      </c>
      <c r="O41" s="381"/>
      <c r="P41" s="141"/>
      <c r="Q41" s="141"/>
    </row>
    <row r="42" spans="1:20" s="2" customFormat="1" ht="18.600000000000001" customHeight="1">
      <c r="A42" s="9">
        <v>11</v>
      </c>
      <c r="B42" s="5" t="s">
        <v>69</v>
      </c>
      <c r="C42" s="23">
        <f>L42/100*48</f>
        <v>3408</v>
      </c>
      <c r="D42" s="24">
        <f>C42/100*199</f>
        <v>6781.92</v>
      </c>
      <c r="E42" s="25">
        <f>C42/100*20.3</f>
        <v>691.82399999999996</v>
      </c>
      <c r="F42" s="25"/>
      <c r="G42" s="25">
        <f>C42/100*13.1</f>
        <v>446.44799999999998</v>
      </c>
      <c r="H42" s="25"/>
      <c r="I42" s="25"/>
      <c r="J42" s="27">
        <f>C42/100*12</f>
        <v>408.96</v>
      </c>
      <c r="K42" s="27">
        <f>C42/100*0.15</f>
        <v>5.1119999999999992</v>
      </c>
      <c r="L42" s="26">
        <v>7100</v>
      </c>
      <c r="M42" s="137">
        <v>84</v>
      </c>
      <c r="N42" s="124">
        <f t="shared" si="2"/>
        <v>596400</v>
      </c>
      <c r="O42" s="153"/>
      <c r="Q42" s="3"/>
      <c r="R42" s="3"/>
      <c r="S42" s="4"/>
    </row>
    <row r="43" spans="1:20" s="2" customFormat="1" ht="18.600000000000001" customHeight="1">
      <c r="A43" s="9">
        <v>12</v>
      </c>
      <c r="B43" s="10" t="s">
        <v>64</v>
      </c>
      <c r="C43" s="23">
        <f>L43/100*40</f>
        <v>1872</v>
      </c>
      <c r="D43" s="24">
        <f>C43/100*276</f>
        <v>5166.7199999999993</v>
      </c>
      <c r="E43" s="25">
        <f>C43/100*17.8</f>
        <v>333.21600000000001</v>
      </c>
      <c r="F43" s="25"/>
      <c r="G43" s="25">
        <f>C43/100*21.8</f>
        <v>408.096</v>
      </c>
      <c r="H43" s="25"/>
      <c r="I43" s="25"/>
      <c r="J43" s="27">
        <f>C43/100*13</f>
        <v>243.35999999999999</v>
      </c>
      <c r="K43" s="27">
        <f>C43/100*0.07</f>
        <v>1.3104</v>
      </c>
      <c r="L43" s="137">
        <v>4680</v>
      </c>
      <c r="M43" s="75">
        <v>63</v>
      </c>
      <c r="N43" s="124">
        <f t="shared" si="2"/>
        <v>294840</v>
      </c>
      <c r="O43" s="153"/>
    </row>
    <row r="44" spans="1:20" s="2" customFormat="1" ht="18.600000000000001" customHeight="1">
      <c r="A44" s="103">
        <v>13</v>
      </c>
      <c r="B44" s="112" t="s">
        <v>163</v>
      </c>
      <c r="C44" s="104">
        <f>L44/100*85</f>
        <v>161.5</v>
      </c>
      <c r="D44" s="105">
        <f>C44/100*11</f>
        <v>17.765000000000001</v>
      </c>
      <c r="E44" s="106"/>
      <c r="F44" s="106">
        <f>C44/100*2.2</f>
        <v>3.5530000000000004</v>
      </c>
      <c r="G44" s="106"/>
      <c r="H44" s="106"/>
      <c r="I44" s="106">
        <f>C44/100*0.6</f>
        <v>0.96899999999999997</v>
      </c>
      <c r="J44" s="114"/>
      <c r="K44" s="114"/>
      <c r="L44" s="402">
        <v>190</v>
      </c>
      <c r="M44" s="145">
        <v>30</v>
      </c>
      <c r="N44" s="108">
        <f t="shared" si="2"/>
        <v>5700</v>
      </c>
      <c r="O44" s="153"/>
      <c r="Q44" s="3"/>
      <c r="R44" s="3"/>
    </row>
    <row r="45" spans="1:20" ht="22.8" customHeight="1">
      <c r="A45" s="191" t="s">
        <v>0</v>
      </c>
      <c r="B45" s="201" t="s">
        <v>19</v>
      </c>
      <c r="C45" s="204" t="s">
        <v>8</v>
      </c>
      <c r="D45" s="204" t="s">
        <v>9</v>
      </c>
      <c r="E45" s="194" t="s">
        <v>11</v>
      </c>
      <c r="F45" s="195"/>
      <c r="G45" s="194" t="s">
        <v>13</v>
      </c>
      <c r="H45" s="195"/>
      <c r="I45" s="198" t="s">
        <v>16</v>
      </c>
      <c r="J45" s="198" t="s">
        <v>41</v>
      </c>
      <c r="K45" s="198" t="s">
        <v>42</v>
      </c>
      <c r="L45" s="351" t="s">
        <v>17</v>
      </c>
      <c r="M45" s="198" t="s">
        <v>57</v>
      </c>
      <c r="N45" s="191" t="s">
        <v>18</v>
      </c>
      <c r="O45" s="378"/>
    </row>
    <row r="46" spans="1:20" ht="22.8" customHeight="1">
      <c r="A46" s="192"/>
      <c r="B46" s="202"/>
      <c r="C46" s="205"/>
      <c r="D46" s="205"/>
      <c r="E46" s="196"/>
      <c r="F46" s="197"/>
      <c r="G46" s="196"/>
      <c r="H46" s="197"/>
      <c r="I46" s="199"/>
      <c r="J46" s="199"/>
      <c r="K46" s="199"/>
      <c r="L46" s="352"/>
      <c r="M46" s="199"/>
      <c r="N46" s="192"/>
      <c r="O46" s="178"/>
    </row>
    <row r="47" spans="1:20" ht="22.8" customHeight="1">
      <c r="A47" s="192"/>
      <c r="B47" s="202"/>
      <c r="C47" s="205"/>
      <c r="D47" s="205"/>
      <c r="E47" s="198" t="s">
        <v>10</v>
      </c>
      <c r="F47" s="198" t="s">
        <v>12</v>
      </c>
      <c r="G47" s="198" t="s">
        <v>14</v>
      </c>
      <c r="H47" s="198" t="s">
        <v>15</v>
      </c>
      <c r="I47" s="199"/>
      <c r="J47" s="199"/>
      <c r="K47" s="199"/>
      <c r="L47" s="352"/>
      <c r="M47" s="199"/>
      <c r="N47" s="192"/>
      <c r="O47" s="178"/>
    </row>
    <row r="48" spans="1:20" ht="22.8" customHeight="1">
      <c r="A48" s="193"/>
      <c r="B48" s="203"/>
      <c r="C48" s="206"/>
      <c r="D48" s="206"/>
      <c r="E48" s="200"/>
      <c r="F48" s="200"/>
      <c r="G48" s="200"/>
      <c r="H48" s="200"/>
      <c r="I48" s="200"/>
      <c r="J48" s="200"/>
      <c r="K48" s="200"/>
      <c r="L48" s="353"/>
      <c r="M48" s="200"/>
      <c r="N48" s="193"/>
      <c r="O48" s="178"/>
    </row>
    <row r="49" spans="1:23" s="2" customFormat="1" ht="19.2" customHeight="1">
      <c r="A49" s="21" t="s">
        <v>106</v>
      </c>
      <c r="B49" s="22"/>
      <c r="C49" s="34"/>
      <c r="D49" s="121">
        <f>SUM(D33:D44)</f>
        <v>45423.517500000002</v>
      </c>
      <c r="E49" s="43"/>
      <c r="F49" s="43"/>
      <c r="G49" s="43"/>
      <c r="H49" s="43"/>
      <c r="I49" s="43"/>
      <c r="J49" s="43"/>
      <c r="K49" s="43"/>
      <c r="L49" s="44"/>
      <c r="M49" s="319"/>
      <c r="N49" s="356">
        <f>SUM(N30:N44)</f>
        <v>1401490</v>
      </c>
      <c r="O49" s="153"/>
    </row>
    <row r="50" spans="1:23" ht="19.2" customHeight="1">
      <c r="A50" s="21" t="s">
        <v>7</v>
      </c>
      <c r="B50" s="22"/>
      <c r="C50" s="45"/>
      <c r="D50" s="46">
        <f>D49/D10</f>
        <v>242.90651069518717</v>
      </c>
      <c r="E50" s="46"/>
      <c r="F50" s="46"/>
      <c r="G50" s="46"/>
      <c r="H50" s="46"/>
      <c r="I50" s="46"/>
      <c r="J50" s="46"/>
      <c r="K50" s="46"/>
      <c r="L50" s="47"/>
      <c r="M50" s="320"/>
      <c r="N50" s="357"/>
      <c r="O50" s="167"/>
      <c r="P50" s="2"/>
      <c r="Q50" s="2"/>
      <c r="R50" s="2"/>
      <c r="S50" s="2"/>
      <c r="T50" s="2"/>
      <c r="U50" s="2"/>
      <c r="V50" s="2"/>
    </row>
    <row r="51" spans="1:23" ht="19.2" customHeight="1">
      <c r="A51" s="304" t="s">
        <v>52</v>
      </c>
      <c r="B51" s="212"/>
      <c r="C51" s="382" t="s">
        <v>147</v>
      </c>
      <c r="D51" s="20" t="s">
        <v>58</v>
      </c>
      <c r="E51" s="46"/>
      <c r="F51" s="46"/>
      <c r="G51" s="46"/>
      <c r="H51" s="46"/>
      <c r="I51" s="46"/>
      <c r="J51" s="48"/>
      <c r="K51" s="48"/>
      <c r="L51" s="47"/>
      <c r="M51" s="47"/>
      <c r="N51" s="179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13"/>
      <c r="B52" s="214"/>
      <c r="C52" s="76" t="s">
        <v>60</v>
      </c>
      <c r="D52" s="20">
        <f>D50*100/1320</f>
        <v>18.402008385999029</v>
      </c>
      <c r="E52" s="46"/>
      <c r="F52" s="46"/>
      <c r="G52" s="46"/>
      <c r="H52" s="46"/>
      <c r="I52" s="46"/>
      <c r="J52" s="48"/>
      <c r="K52" s="48"/>
      <c r="L52" s="47"/>
      <c r="M52" s="47"/>
      <c r="N52" s="179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228" t="s">
        <v>107</v>
      </c>
      <c r="B53" s="229"/>
      <c r="C53" s="232"/>
      <c r="D53" s="305">
        <f>D27+D49</f>
        <v>129622.50250000002</v>
      </c>
      <c r="E53" s="123">
        <f t="shared" ref="E53:K53" si="4">SUM(E16:E44)</f>
        <v>3141.9900000000002</v>
      </c>
      <c r="F53" s="123">
        <f t="shared" si="4"/>
        <v>2110.52115</v>
      </c>
      <c r="G53" s="123">
        <f t="shared" si="4"/>
        <v>2582.192</v>
      </c>
      <c r="H53" s="123">
        <f t="shared" si="4"/>
        <v>1112.0256499999998</v>
      </c>
      <c r="I53" s="348">
        <f t="shared" si="4"/>
        <v>18261.959049999998</v>
      </c>
      <c r="J53" s="348">
        <f t="shared" si="4"/>
        <v>58089.256000000008</v>
      </c>
      <c r="K53" s="215">
        <f t="shared" si="4"/>
        <v>105.34654</v>
      </c>
      <c r="L53" s="244"/>
      <c r="M53" s="244"/>
      <c r="N53" s="350">
        <f>N27+N49</f>
        <v>4113890</v>
      </c>
      <c r="U53" s="12"/>
      <c r="V53" s="12"/>
    </row>
    <row r="54" spans="1:23" ht="19.2" customHeight="1">
      <c r="A54" s="230"/>
      <c r="B54" s="231"/>
      <c r="C54" s="233"/>
      <c r="D54" s="306"/>
      <c r="E54" s="226">
        <f>E53+F53</f>
        <v>5252.5111500000003</v>
      </c>
      <c r="F54" s="227"/>
      <c r="G54" s="226">
        <f>G53+H53</f>
        <v>3694.2176499999996</v>
      </c>
      <c r="H54" s="227"/>
      <c r="I54" s="349"/>
      <c r="J54" s="349"/>
      <c r="K54" s="216"/>
      <c r="L54" s="244"/>
      <c r="M54" s="244"/>
      <c r="N54" s="350"/>
      <c r="P54" s="373"/>
      <c r="Q54" s="375"/>
      <c r="R54" s="375"/>
      <c r="S54" s="375"/>
      <c r="T54" s="375"/>
      <c r="U54" s="386"/>
      <c r="V54" s="386"/>
    </row>
    <row r="55" spans="1:23" ht="20.399999999999999" customHeight="1">
      <c r="A55" s="248" t="s">
        <v>77</v>
      </c>
      <c r="B55" s="249"/>
      <c r="C55" s="250"/>
      <c r="D55" s="142">
        <f>D53/D10</f>
        <v>693.16846256684505</v>
      </c>
      <c r="E55" s="384">
        <f>E53/D10</f>
        <v>16.802085561497329</v>
      </c>
      <c r="F55" s="385">
        <f>F53/D10</f>
        <v>11.286209358288771</v>
      </c>
      <c r="G55" s="384">
        <f>G53/D10</f>
        <v>13.808513368983958</v>
      </c>
      <c r="H55" s="403">
        <f>H53/D10</f>
        <v>5.9466612299465229</v>
      </c>
      <c r="I55" s="354">
        <f>I53/D10</f>
        <v>97.65753502673796</v>
      </c>
      <c r="J55" s="354">
        <f>J53/D10</f>
        <v>310.63773262032089</v>
      </c>
      <c r="K55" s="302">
        <f>K53/D10</f>
        <v>0.56335048128342247</v>
      </c>
      <c r="L55" s="244"/>
      <c r="M55" s="244"/>
      <c r="N55" s="350"/>
      <c r="P55" s="389"/>
      <c r="Q55" s="375"/>
      <c r="R55" s="375"/>
      <c r="S55" s="375"/>
      <c r="T55" s="375"/>
      <c r="U55" s="375"/>
      <c r="V55" s="375"/>
    </row>
    <row r="56" spans="1:23" ht="20.399999999999999" customHeight="1">
      <c r="A56" s="251"/>
      <c r="B56" s="252"/>
      <c r="C56" s="253"/>
      <c r="D56" s="127"/>
      <c r="E56" s="387">
        <f>E55+F55</f>
        <v>28.088294919786101</v>
      </c>
      <c r="F56" s="388"/>
      <c r="G56" s="387">
        <f>G55+H55</f>
        <v>19.755174598930481</v>
      </c>
      <c r="H56" s="388"/>
      <c r="I56" s="355"/>
      <c r="J56" s="355"/>
      <c r="K56" s="303"/>
      <c r="L56" s="244"/>
      <c r="M56" s="244"/>
      <c r="N56" s="350"/>
      <c r="P56" s="373"/>
      <c r="Q56" s="373"/>
      <c r="R56" s="373"/>
      <c r="S56" s="373"/>
      <c r="T56" s="373"/>
      <c r="U56" s="373"/>
      <c r="V56" s="373"/>
    </row>
    <row r="57" spans="1:23" ht="20.399999999999999" customHeight="1">
      <c r="A57" s="316" t="s">
        <v>80</v>
      </c>
      <c r="B57" s="317"/>
      <c r="C57" s="318"/>
      <c r="D57" s="183" t="s">
        <v>28</v>
      </c>
      <c r="E57" s="236" t="s">
        <v>21</v>
      </c>
      <c r="F57" s="236"/>
      <c r="G57" s="236" t="s">
        <v>22</v>
      </c>
      <c r="H57" s="236"/>
      <c r="I57" s="180" t="s">
        <v>23</v>
      </c>
      <c r="J57" s="390">
        <v>600</v>
      </c>
      <c r="K57" s="390">
        <v>0.7</v>
      </c>
      <c r="L57" s="244"/>
      <c r="M57" s="244"/>
      <c r="N57" s="350"/>
      <c r="O57" s="391"/>
      <c r="P57" s="373"/>
      <c r="Q57" s="373"/>
      <c r="R57" s="373"/>
      <c r="S57" s="373"/>
      <c r="T57" s="373"/>
      <c r="U57" s="373"/>
      <c r="V57" s="373"/>
    </row>
    <row r="58" spans="1:23" ht="20.399999999999999" customHeight="1">
      <c r="A58" s="219" t="s">
        <v>78</v>
      </c>
      <c r="B58" s="220"/>
      <c r="C58" s="221"/>
      <c r="D58" s="49"/>
      <c r="E58" s="207">
        <f>E56*4.1</f>
        <v>115.162009171123</v>
      </c>
      <c r="F58" s="208"/>
      <c r="G58" s="207">
        <f>G56*9</f>
        <v>177.79657139037431</v>
      </c>
      <c r="H58" s="208"/>
      <c r="I58" s="122">
        <f>I55*4.1</f>
        <v>400.3958936096256</v>
      </c>
      <c r="J58" s="254"/>
      <c r="K58" s="254"/>
      <c r="L58" s="244"/>
      <c r="M58" s="244"/>
      <c r="N58" s="350"/>
      <c r="O58" s="391"/>
      <c r="P58" s="392"/>
      <c r="Q58" s="374"/>
      <c r="R58" s="374"/>
      <c r="S58" s="374"/>
      <c r="T58" s="373"/>
      <c r="U58" s="373"/>
      <c r="V58" s="373"/>
    </row>
    <row r="59" spans="1:23" ht="20.399999999999999" customHeight="1">
      <c r="A59" s="222" t="s">
        <v>81</v>
      </c>
      <c r="B59" s="223"/>
      <c r="C59" s="219" t="s">
        <v>59</v>
      </c>
      <c r="D59" s="221"/>
      <c r="E59" s="256">
        <f>E58*100/D55</f>
        <v>16.613855850375977</v>
      </c>
      <c r="F59" s="257"/>
      <c r="G59" s="256">
        <f>G58*100/D55</f>
        <v>25.649835644856484</v>
      </c>
      <c r="H59" s="257"/>
      <c r="I59" s="115">
        <f>I58*100/D55</f>
        <v>57.7631434827452</v>
      </c>
      <c r="J59" s="255"/>
      <c r="K59" s="255"/>
      <c r="L59" s="244"/>
      <c r="M59" s="244"/>
      <c r="N59" s="350"/>
      <c r="O59" s="391"/>
      <c r="P59" s="373"/>
      <c r="Q59" s="373"/>
      <c r="R59" s="373"/>
      <c r="S59" s="373"/>
      <c r="T59" s="373"/>
      <c r="U59" s="373"/>
      <c r="V59" s="373"/>
    </row>
    <row r="60" spans="1:23" ht="20.399999999999999" customHeight="1">
      <c r="A60" s="224"/>
      <c r="B60" s="225"/>
      <c r="C60" s="219" t="s">
        <v>79</v>
      </c>
      <c r="D60" s="221"/>
      <c r="E60" s="219" t="s">
        <v>82</v>
      </c>
      <c r="F60" s="221"/>
      <c r="G60" s="219" t="s">
        <v>83</v>
      </c>
      <c r="H60" s="221"/>
      <c r="I60" s="183" t="s">
        <v>84</v>
      </c>
      <c r="J60" s="235"/>
      <c r="K60" s="235"/>
      <c r="L60" s="244"/>
      <c r="M60" s="244"/>
      <c r="N60" s="350"/>
      <c r="O60" s="391"/>
      <c r="P60" s="132"/>
    </row>
    <row r="61" spans="1:23" ht="20.399999999999999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4"/>
      <c r="M61" s="94"/>
      <c r="N61" s="95"/>
      <c r="O61" s="391"/>
    </row>
    <row r="62" spans="1:23" ht="21" customHeight="1">
      <c r="A62" s="294" t="s">
        <v>114</v>
      </c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391"/>
    </row>
    <row r="63" spans="1:23" ht="21" customHeight="1">
      <c r="A63" s="117" t="s">
        <v>115</v>
      </c>
      <c r="B63" s="295" t="s">
        <v>116</v>
      </c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391"/>
    </row>
    <row r="64" spans="1:23" ht="21" customHeight="1">
      <c r="A64" s="118"/>
      <c r="B64" s="259" t="s">
        <v>213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391"/>
    </row>
    <row r="65" spans="1:15" ht="21" customHeight="1">
      <c r="A65" s="118"/>
      <c r="B65" s="259" t="s">
        <v>214</v>
      </c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391"/>
    </row>
    <row r="66" spans="1:15" ht="21" customHeight="1">
      <c r="A66" s="118"/>
      <c r="B66" s="259" t="s">
        <v>169</v>
      </c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391"/>
    </row>
    <row r="67" spans="1:15" ht="21" customHeight="1">
      <c r="A67" s="90"/>
      <c r="B67" s="260" t="s">
        <v>117</v>
      </c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391"/>
    </row>
    <row r="68" spans="1:15" ht="21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4"/>
      <c r="M68" s="94"/>
      <c r="N68" s="95"/>
      <c r="O68" s="391"/>
    </row>
    <row r="69" spans="1:15" ht="21" customHeight="1">
      <c r="A69" s="261" t="s">
        <v>62</v>
      </c>
      <c r="B69" s="261"/>
      <c r="C69" s="261"/>
      <c r="D69" s="261"/>
      <c r="E69" s="393"/>
      <c r="F69" s="393"/>
      <c r="G69" s="393"/>
      <c r="H69" s="393"/>
      <c r="I69" s="393"/>
      <c r="J69" s="394" t="s">
        <v>33</v>
      </c>
      <c r="K69" s="394"/>
      <c r="L69" s="394"/>
      <c r="M69" s="394"/>
      <c r="N69" s="394"/>
      <c r="O69" s="391"/>
    </row>
    <row r="70" spans="1:15" ht="21" customHeight="1">
      <c r="A70" s="178"/>
      <c r="B70" s="178"/>
      <c r="C70" s="178"/>
      <c r="D70" s="393"/>
      <c r="E70" s="393"/>
      <c r="F70" s="393"/>
      <c r="G70" s="393"/>
      <c r="H70" s="395"/>
      <c r="I70" s="395"/>
      <c r="J70" s="395"/>
      <c r="K70" s="395"/>
      <c r="L70" s="395"/>
      <c r="M70" s="395"/>
      <c r="N70" s="395"/>
      <c r="O70" s="391"/>
    </row>
    <row r="71" spans="1:15" ht="21" customHeight="1">
      <c r="A71" s="178"/>
      <c r="B71" s="178"/>
      <c r="C71" s="178"/>
      <c r="D71" s="393"/>
      <c r="E71" s="393"/>
      <c r="F71" s="393"/>
      <c r="G71" s="393"/>
      <c r="H71" s="395"/>
      <c r="I71" s="395"/>
      <c r="J71" s="395"/>
      <c r="K71" s="395"/>
      <c r="L71" s="395"/>
      <c r="M71" s="395"/>
      <c r="N71" s="395"/>
      <c r="O71" s="391"/>
    </row>
    <row r="72" spans="1:15" ht="21" customHeight="1">
      <c r="A72" s="178"/>
      <c r="B72" s="178"/>
      <c r="C72" s="178"/>
      <c r="D72" s="393"/>
      <c r="E72" s="393"/>
      <c r="F72" s="393"/>
      <c r="G72" s="393"/>
      <c r="H72" s="395"/>
      <c r="I72" s="395"/>
      <c r="J72" s="396" t="s">
        <v>124</v>
      </c>
      <c r="K72" s="396"/>
      <c r="L72" s="396"/>
      <c r="M72" s="396"/>
      <c r="N72" s="396"/>
      <c r="O72" s="391"/>
    </row>
    <row r="73" spans="1:15" ht="21" customHeight="1">
      <c r="A73" s="262" t="s">
        <v>91</v>
      </c>
      <c r="B73" s="262"/>
      <c r="C73" s="262"/>
      <c r="D73" s="262"/>
      <c r="E73" s="393"/>
      <c r="F73" s="393"/>
      <c r="G73" s="393"/>
      <c r="H73" s="395"/>
      <c r="I73" s="395"/>
      <c r="J73" s="396"/>
      <c r="K73" s="396"/>
      <c r="L73" s="396"/>
      <c r="M73" s="396"/>
      <c r="N73" s="396"/>
      <c r="O73" s="391"/>
    </row>
    <row r="74" spans="1:15" ht="20.399999999999999" customHeight="1">
      <c r="A74" s="178"/>
      <c r="B74" s="178"/>
      <c r="C74" s="178"/>
      <c r="D74" s="393"/>
      <c r="E74" s="393"/>
      <c r="F74" s="393"/>
      <c r="G74" s="393"/>
      <c r="H74" s="395"/>
      <c r="I74" s="395"/>
      <c r="J74" s="395"/>
      <c r="K74" s="395"/>
      <c r="L74" s="395"/>
      <c r="M74" s="395"/>
      <c r="N74" s="395"/>
      <c r="O74" s="391"/>
    </row>
    <row r="75" spans="1:15" ht="20.399999999999999" customHeight="1">
      <c r="A75" s="178"/>
      <c r="B75" s="178"/>
      <c r="C75" s="178"/>
      <c r="D75" s="393"/>
      <c r="E75" s="393"/>
      <c r="F75" s="393"/>
      <c r="G75" s="393"/>
      <c r="H75" s="395"/>
      <c r="I75" s="395"/>
      <c r="J75" s="396" t="s">
        <v>127</v>
      </c>
      <c r="K75" s="396"/>
      <c r="L75" s="396"/>
      <c r="M75" s="396"/>
      <c r="N75" s="396"/>
      <c r="O75" s="391"/>
    </row>
    <row r="76" spans="1:15" ht="20.399999999999999" customHeight="1">
      <c r="A76" s="178"/>
      <c r="B76" s="178"/>
      <c r="C76" s="178"/>
      <c r="D76" s="393"/>
      <c r="E76" s="393"/>
      <c r="F76" s="393"/>
      <c r="G76" s="393"/>
      <c r="H76" s="395"/>
      <c r="I76" s="395"/>
      <c r="J76" s="395"/>
      <c r="K76" s="395"/>
      <c r="L76" s="395"/>
      <c r="M76" s="395"/>
      <c r="N76" s="395"/>
      <c r="O76" s="391"/>
    </row>
    <row r="77" spans="1:15" ht="20.399999999999999" customHeight="1">
      <c r="A77" s="178"/>
      <c r="B77" s="178"/>
      <c r="C77" s="178"/>
      <c r="D77" s="393"/>
      <c r="E77" s="393"/>
      <c r="F77" s="393"/>
      <c r="G77" s="393"/>
      <c r="H77" s="395"/>
      <c r="I77" s="395"/>
      <c r="J77" s="395"/>
      <c r="K77" s="395"/>
      <c r="L77" s="395"/>
      <c r="M77" s="395"/>
      <c r="N77" s="395"/>
      <c r="O77" s="391"/>
    </row>
    <row r="78" spans="1:15" ht="20.399999999999999" customHeight="1">
      <c r="A78" s="178"/>
      <c r="B78" s="178"/>
      <c r="C78" s="178"/>
      <c r="D78" s="393"/>
      <c r="E78" s="393"/>
      <c r="F78" s="393"/>
      <c r="G78" s="393"/>
      <c r="H78" s="395"/>
      <c r="I78" s="395"/>
      <c r="J78" s="395"/>
      <c r="K78" s="395"/>
      <c r="L78" s="395"/>
      <c r="M78" s="395"/>
      <c r="N78" s="395"/>
      <c r="O78" s="391"/>
    </row>
    <row r="79" spans="1:15" ht="20.399999999999999" customHeight="1">
      <c r="A79" s="178"/>
      <c r="B79" s="178"/>
      <c r="C79" s="178"/>
      <c r="D79" s="393"/>
      <c r="E79" s="393"/>
      <c r="F79" s="393"/>
      <c r="G79" s="393"/>
      <c r="H79" s="395"/>
      <c r="I79" s="395"/>
      <c r="J79" s="395"/>
      <c r="K79" s="395"/>
      <c r="L79" s="395"/>
      <c r="M79" s="395"/>
      <c r="N79" s="395"/>
      <c r="O79" s="391"/>
    </row>
    <row r="80" spans="1:15" ht="20.399999999999999" customHeight="1">
      <c r="A80" s="178"/>
      <c r="B80" s="178"/>
      <c r="C80" s="178"/>
      <c r="D80" s="393"/>
      <c r="E80" s="393"/>
      <c r="F80" s="393"/>
      <c r="G80" s="393"/>
      <c r="H80" s="395"/>
      <c r="I80" s="395"/>
      <c r="J80" s="395"/>
      <c r="K80" s="395"/>
      <c r="L80" s="395"/>
      <c r="M80" s="395"/>
      <c r="N80" s="395"/>
      <c r="O80" s="391"/>
    </row>
    <row r="81" spans="1:20" ht="20.399999999999999" customHeight="1">
      <c r="A81" s="178"/>
      <c r="B81" s="178"/>
      <c r="C81" s="178"/>
      <c r="D81" s="393"/>
      <c r="E81" s="393"/>
      <c r="F81" s="393"/>
      <c r="G81" s="393"/>
      <c r="H81" s="395"/>
      <c r="I81" s="395"/>
      <c r="J81" s="395"/>
      <c r="K81" s="395"/>
      <c r="L81" s="395"/>
      <c r="M81" s="395"/>
      <c r="N81" s="395"/>
      <c r="O81" s="391"/>
    </row>
    <row r="82" spans="1:20" ht="20.399999999999999" customHeight="1">
      <c r="A82" s="178"/>
      <c r="B82" s="178"/>
      <c r="C82" s="178"/>
      <c r="D82" s="393"/>
      <c r="E82" s="393"/>
      <c r="F82" s="393"/>
      <c r="G82" s="393"/>
      <c r="H82" s="395"/>
      <c r="I82" s="395"/>
      <c r="J82" s="395"/>
      <c r="K82" s="395"/>
      <c r="L82" s="395"/>
      <c r="M82" s="395"/>
      <c r="N82" s="395"/>
      <c r="O82" s="391"/>
    </row>
    <row r="83" spans="1:20" ht="20.399999999999999" customHeight="1">
      <c r="A83" s="178"/>
      <c r="B83" s="178"/>
      <c r="C83" s="178"/>
      <c r="D83" s="393"/>
      <c r="E83" s="393"/>
      <c r="F83" s="393"/>
      <c r="G83" s="393"/>
      <c r="H83" s="395"/>
      <c r="I83" s="395"/>
      <c r="J83" s="395"/>
      <c r="K83" s="395"/>
      <c r="L83" s="395"/>
      <c r="M83" s="395"/>
      <c r="N83" s="395"/>
      <c r="O83" s="391"/>
    </row>
    <row r="84" spans="1:20" ht="20.399999999999999" customHeight="1">
      <c r="A84" s="178"/>
      <c r="B84" s="178"/>
      <c r="C84" s="178"/>
      <c r="D84" s="393"/>
      <c r="E84" s="393"/>
      <c r="F84" s="393"/>
      <c r="G84" s="393"/>
      <c r="H84" s="395"/>
      <c r="I84" s="395"/>
      <c r="J84" s="395"/>
      <c r="K84" s="395"/>
      <c r="L84" s="395"/>
      <c r="M84" s="395"/>
      <c r="N84" s="395"/>
      <c r="O84" s="391"/>
    </row>
    <row r="85" spans="1:20" ht="19.8" customHeight="1">
      <c r="A85" s="11" t="s">
        <v>61</v>
      </c>
      <c r="B85" s="8"/>
      <c r="C85" s="8"/>
      <c r="D85" s="8"/>
      <c r="E85" s="8"/>
      <c r="F85" s="189" t="s">
        <v>32</v>
      </c>
      <c r="G85" s="189"/>
      <c r="H85" s="189"/>
      <c r="I85" s="189"/>
      <c r="J85" s="189"/>
      <c r="K85" s="189"/>
      <c r="L85" s="189"/>
      <c r="M85" s="189"/>
      <c r="N85" s="189"/>
      <c r="O85" s="376"/>
      <c r="P85" s="376"/>
      <c r="T85" s="2"/>
    </row>
    <row r="86" spans="1:20" ht="12" customHeight="1">
      <c r="A86" s="11"/>
      <c r="B86" s="8"/>
      <c r="C86" s="8"/>
      <c r="D86" s="8"/>
      <c r="E86" s="8"/>
      <c r="F86" s="182"/>
      <c r="G86" s="182"/>
      <c r="H86" s="182"/>
      <c r="I86" s="182"/>
      <c r="J86" s="182"/>
      <c r="K86" s="182"/>
      <c r="L86" s="182"/>
      <c r="M86" s="182"/>
      <c r="N86" s="182"/>
      <c r="O86" s="376"/>
      <c r="P86" s="376"/>
      <c r="T86" s="2"/>
    </row>
    <row r="87" spans="1:20" ht="19.8" customHeight="1">
      <c r="A87" s="8" t="s">
        <v>211</v>
      </c>
      <c r="B87" s="8"/>
      <c r="C87" s="8"/>
      <c r="D87" s="8"/>
      <c r="E87" s="8"/>
      <c r="F87" s="182"/>
      <c r="G87" s="182"/>
      <c r="H87" s="182"/>
      <c r="I87" s="182"/>
      <c r="J87" s="182"/>
      <c r="K87" s="182"/>
      <c r="L87" s="182"/>
      <c r="M87" s="182"/>
      <c r="N87" s="182"/>
      <c r="O87" s="376"/>
      <c r="P87" s="376"/>
      <c r="T87" s="2"/>
    </row>
    <row r="88" spans="1:20" ht="12.6" customHeight="1">
      <c r="A88" s="8"/>
      <c r="B88" s="8"/>
      <c r="C88" s="8"/>
      <c r="D88" s="8"/>
      <c r="E88" s="8"/>
      <c r="F88" s="182"/>
      <c r="G88" s="182"/>
      <c r="H88" s="182"/>
      <c r="I88" s="182"/>
      <c r="J88" s="182"/>
      <c r="K88" s="182"/>
      <c r="L88" s="182"/>
      <c r="M88" s="182"/>
      <c r="N88" s="182"/>
      <c r="O88" s="376"/>
      <c r="P88" s="376"/>
      <c r="T88" s="2"/>
    </row>
    <row r="89" spans="1:20" s="2" customFormat="1" ht="16.2" customHeight="1">
      <c r="A89" s="236" t="s">
        <v>97</v>
      </c>
      <c r="B89" s="236"/>
      <c r="C89" s="236"/>
      <c r="D89" s="236"/>
      <c r="E89" s="236" t="s">
        <v>89</v>
      </c>
      <c r="F89" s="236"/>
      <c r="G89" s="236"/>
      <c r="H89" s="236"/>
      <c r="I89" s="236"/>
      <c r="J89" s="236"/>
      <c r="K89" s="236"/>
      <c r="L89" s="236"/>
      <c r="M89" s="236"/>
      <c r="N89" s="236"/>
      <c r="O89" s="377"/>
    </row>
    <row r="90" spans="1:20" s="2" customFormat="1" ht="16.2" customHeight="1">
      <c r="A90" s="236"/>
      <c r="B90" s="236"/>
      <c r="C90" s="236"/>
      <c r="D90" s="236"/>
      <c r="E90" s="236" t="s">
        <v>100</v>
      </c>
      <c r="F90" s="236"/>
      <c r="G90" s="236"/>
      <c r="H90" s="236"/>
      <c r="I90" s="236"/>
      <c r="J90" s="236" t="s">
        <v>101</v>
      </c>
      <c r="K90" s="236"/>
      <c r="L90" s="236"/>
      <c r="M90" s="236"/>
      <c r="N90" s="236"/>
      <c r="O90" s="377"/>
    </row>
    <row r="91" spans="1:20" s="2" customFormat="1" ht="16.2" customHeight="1">
      <c r="A91" s="266" t="s">
        <v>90</v>
      </c>
      <c r="B91" s="266"/>
      <c r="C91" s="266"/>
      <c r="D91" s="266"/>
      <c r="E91" s="267" t="s">
        <v>161</v>
      </c>
      <c r="F91" s="267"/>
      <c r="G91" s="267"/>
      <c r="H91" s="267"/>
      <c r="I91" s="267"/>
      <c r="J91" s="332" t="s">
        <v>90</v>
      </c>
      <c r="K91" s="333"/>
      <c r="L91" s="333"/>
      <c r="M91" s="333"/>
      <c r="N91" s="334"/>
      <c r="O91" s="377"/>
    </row>
    <row r="92" spans="1:20" s="2" customFormat="1" ht="16.2" customHeight="1">
      <c r="A92" s="344" t="s">
        <v>212</v>
      </c>
      <c r="B92" s="345"/>
      <c r="C92" s="345"/>
      <c r="D92" s="346"/>
      <c r="E92" s="267"/>
      <c r="F92" s="267"/>
      <c r="G92" s="267"/>
      <c r="H92" s="267"/>
      <c r="I92" s="267"/>
      <c r="J92" s="185" t="s">
        <v>215</v>
      </c>
      <c r="K92" s="186"/>
      <c r="L92" s="186"/>
      <c r="M92" s="186"/>
      <c r="N92" s="187"/>
      <c r="O92" s="377"/>
    </row>
    <row r="93" spans="1:20" s="2" customFormat="1" ht="16.2" customHeight="1">
      <c r="A93" s="347" t="s">
        <v>180</v>
      </c>
      <c r="B93" s="347"/>
      <c r="C93" s="347"/>
      <c r="D93" s="347"/>
      <c r="E93" s="267"/>
      <c r="F93" s="267"/>
      <c r="G93" s="267"/>
      <c r="H93" s="267"/>
      <c r="I93" s="267"/>
      <c r="J93" s="335" t="s">
        <v>131</v>
      </c>
      <c r="K93" s="336"/>
      <c r="L93" s="336"/>
      <c r="M93" s="336"/>
      <c r="N93" s="337"/>
      <c r="O93" s="377"/>
    </row>
    <row r="94" spans="1:20" s="2" customFormat="1" ht="16.2" customHeight="1">
      <c r="A94" s="276" t="s">
        <v>122</v>
      </c>
      <c r="B94" s="277"/>
      <c r="C94" s="278"/>
      <c r="D94" s="128">
        <v>58</v>
      </c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377"/>
    </row>
    <row r="95" spans="1:20" ht="19.8" customHeight="1">
      <c r="A95" s="191" t="s">
        <v>0</v>
      </c>
      <c r="B95" s="201" t="s">
        <v>19</v>
      </c>
      <c r="C95" s="204" t="s">
        <v>8</v>
      </c>
      <c r="D95" s="204" t="s">
        <v>9</v>
      </c>
      <c r="E95" s="194" t="s">
        <v>11</v>
      </c>
      <c r="F95" s="195"/>
      <c r="G95" s="194" t="s">
        <v>13</v>
      </c>
      <c r="H95" s="195"/>
      <c r="I95" s="198" t="s">
        <v>16</v>
      </c>
      <c r="J95" s="198" t="s">
        <v>41</v>
      </c>
      <c r="K95" s="198" t="s">
        <v>42</v>
      </c>
      <c r="L95" s="351" t="s">
        <v>17</v>
      </c>
      <c r="M95" s="198" t="s">
        <v>57</v>
      </c>
      <c r="N95" s="191" t="s">
        <v>18</v>
      </c>
      <c r="O95" s="378"/>
    </row>
    <row r="96" spans="1:20" ht="19.8" customHeight="1">
      <c r="A96" s="192"/>
      <c r="B96" s="202"/>
      <c r="C96" s="205"/>
      <c r="D96" s="205"/>
      <c r="E96" s="196"/>
      <c r="F96" s="197"/>
      <c r="G96" s="196"/>
      <c r="H96" s="197"/>
      <c r="I96" s="199"/>
      <c r="J96" s="199"/>
      <c r="K96" s="199"/>
      <c r="L96" s="352"/>
      <c r="M96" s="199"/>
      <c r="N96" s="192"/>
      <c r="O96" s="178"/>
    </row>
    <row r="97" spans="1:22" ht="19.8" customHeight="1">
      <c r="A97" s="192"/>
      <c r="B97" s="202"/>
      <c r="C97" s="205"/>
      <c r="D97" s="205"/>
      <c r="E97" s="198" t="s">
        <v>10</v>
      </c>
      <c r="F97" s="198" t="s">
        <v>12</v>
      </c>
      <c r="G97" s="198" t="s">
        <v>14</v>
      </c>
      <c r="H97" s="198" t="s">
        <v>15</v>
      </c>
      <c r="I97" s="199"/>
      <c r="J97" s="199"/>
      <c r="K97" s="199"/>
      <c r="L97" s="352"/>
      <c r="M97" s="199"/>
      <c r="N97" s="192"/>
      <c r="O97" s="178"/>
    </row>
    <row r="98" spans="1:22" ht="19.8" customHeight="1">
      <c r="A98" s="193"/>
      <c r="B98" s="203"/>
      <c r="C98" s="206"/>
      <c r="D98" s="206"/>
      <c r="E98" s="200"/>
      <c r="F98" s="200"/>
      <c r="G98" s="200"/>
      <c r="H98" s="200"/>
      <c r="I98" s="200"/>
      <c r="J98" s="200"/>
      <c r="K98" s="200"/>
      <c r="L98" s="353"/>
      <c r="M98" s="200"/>
      <c r="N98" s="193"/>
      <c r="O98" s="178"/>
    </row>
    <row r="99" spans="1:22" ht="16.2" customHeight="1">
      <c r="A99" s="238" t="s">
        <v>39</v>
      </c>
      <c r="B99" s="239"/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40"/>
      <c r="O99" s="178"/>
    </row>
    <row r="100" spans="1:22" s="2" customFormat="1" ht="16.2" customHeight="1">
      <c r="A100" s="9">
        <v>1</v>
      </c>
      <c r="B100" s="10" t="s">
        <v>2</v>
      </c>
      <c r="C100" s="23">
        <f>L100/100*100</f>
        <v>80</v>
      </c>
      <c r="D100" s="24">
        <f>C100/100*60</f>
        <v>48</v>
      </c>
      <c r="E100" s="25">
        <f>C100/100*15</f>
        <v>12</v>
      </c>
      <c r="F100" s="25"/>
      <c r="G100" s="25"/>
      <c r="H100" s="25"/>
      <c r="I100" s="25"/>
      <c r="J100" s="27">
        <f>C100/100*387</f>
        <v>309.60000000000002</v>
      </c>
      <c r="K100" s="27">
        <f>C100/100*0.09</f>
        <v>7.1999999999999995E-2</v>
      </c>
      <c r="L100" s="137">
        <v>80</v>
      </c>
      <c r="M100" s="75">
        <v>20</v>
      </c>
      <c r="N100" s="28">
        <f>L100*M100</f>
        <v>1600</v>
      </c>
      <c r="O100" s="153"/>
    </row>
    <row r="101" spans="1:22" s="2" customFormat="1" ht="16.2" customHeight="1">
      <c r="A101" s="9">
        <v>2</v>
      </c>
      <c r="B101" s="146" t="s">
        <v>139</v>
      </c>
      <c r="C101" s="23">
        <f>L101/100*100</f>
        <v>120</v>
      </c>
      <c r="D101" s="24">
        <f>C101/100*899</f>
        <v>1078.8</v>
      </c>
      <c r="E101" s="25"/>
      <c r="F101" s="25"/>
      <c r="G101" s="25">
        <f>C101/100*100</f>
        <v>120</v>
      </c>
      <c r="H101" s="25"/>
      <c r="I101" s="25"/>
      <c r="J101" s="25"/>
      <c r="K101" s="25"/>
      <c r="L101" s="137">
        <v>120</v>
      </c>
      <c r="M101" s="120">
        <v>69</v>
      </c>
      <c r="N101" s="28">
        <f t="shared" ref="N101:N109" si="5">L101*M101</f>
        <v>8280</v>
      </c>
      <c r="O101" s="383"/>
    </row>
    <row r="102" spans="1:22" s="2" customFormat="1" ht="16.2" customHeight="1">
      <c r="A102" s="9">
        <v>3</v>
      </c>
      <c r="B102" s="148" t="s">
        <v>142</v>
      </c>
      <c r="C102" s="23">
        <f>L102/100*100</f>
        <v>370</v>
      </c>
      <c r="D102" s="120">
        <f>C102/100*900</f>
        <v>3330</v>
      </c>
      <c r="E102" s="25"/>
      <c r="F102" s="25"/>
      <c r="G102" s="119"/>
      <c r="H102" s="25">
        <f>C102/100*100</f>
        <v>370</v>
      </c>
      <c r="I102" s="25"/>
      <c r="J102" s="25"/>
      <c r="K102" s="25"/>
      <c r="L102" s="137">
        <v>370</v>
      </c>
      <c r="M102" s="75">
        <v>65</v>
      </c>
      <c r="N102" s="28">
        <f t="shared" si="5"/>
        <v>24050</v>
      </c>
      <c r="O102" s="383"/>
    </row>
    <row r="103" spans="1:22" s="2" customFormat="1" ht="16.2" customHeight="1">
      <c r="A103" s="9">
        <v>4</v>
      </c>
      <c r="B103" s="5" t="s">
        <v>1</v>
      </c>
      <c r="C103" s="23">
        <f>L103/100*100</f>
        <v>2494</v>
      </c>
      <c r="D103" s="24">
        <f>C103/100*344</f>
        <v>8579.36</v>
      </c>
      <c r="E103" s="25"/>
      <c r="F103" s="25">
        <f>C103/100*7.9</f>
        <v>197.02600000000001</v>
      </c>
      <c r="G103" s="25"/>
      <c r="H103" s="25">
        <f>C103/100*1</f>
        <v>24.94</v>
      </c>
      <c r="I103" s="119">
        <f>C103/100*73.3</f>
        <v>1828.1020000000001</v>
      </c>
      <c r="J103" s="27">
        <f>C103/100*30</f>
        <v>748.2</v>
      </c>
      <c r="K103" s="27">
        <f>C103/100*0.1</f>
        <v>2.4940000000000002</v>
      </c>
      <c r="L103" s="137">
        <v>2494</v>
      </c>
      <c r="M103" s="75">
        <v>18</v>
      </c>
      <c r="N103" s="28">
        <f t="shared" si="5"/>
        <v>44892</v>
      </c>
      <c r="O103" s="153"/>
    </row>
    <row r="104" spans="1:22" s="2" customFormat="1" ht="16.2" customHeight="1">
      <c r="A104" s="9">
        <v>5</v>
      </c>
      <c r="B104" s="5" t="s">
        <v>96</v>
      </c>
      <c r="C104" s="23">
        <f>L104/100*90</f>
        <v>1179</v>
      </c>
      <c r="D104" s="24">
        <f>C104/100*90</f>
        <v>1061.0999999999999</v>
      </c>
      <c r="E104" s="25">
        <f>C104/100*18.4</f>
        <v>216.93599999999998</v>
      </c>
      <c r="F104" s="25"/>
      <c r="G104" s="25">
        <f>C104/100*1.8</f>
        <v>21.221999999999998</v>
      </c>
      <c r="H104" s="25"/>
      <c r="I104" s="25"/>
      <c r="J104" s="81">
        <f>C104/100*1120</f>
        <v>13204.8</v>
      </c>
      <c r="K104" s="27">
        <f>C104/100*0.02</f>
        <v>0.23579999999999998</v>
      </c>
      <c r="L104" s="137">
        <v>1310</v>
      </c>
      <c r="M104" s="26">
        <v>260</v>
      </c>
      <c r="N104" s="124">
        <f t="shared" si="5"/>
        <v>340600</v>
      </c>
      <c r="O104" s="153"/>
      <c r="Q104" s="3"/>
      <c r="R104" s="3"/>
      <c r="S104" s="4"/>
    </row>
    <row r="105" spans="1:22" s="2" customFormat="1" ht="16.2" customHeight="1">
      <c r="A105" s="9">
        <v>6</v>
      </c>
      <c r="B105" s="10" t="s">
        <v>71</v>
      </c>
      <c r="C105" s="23">
        <f>L105/100*98</f>
        <v>1705.1999999999998</v>
      </c>
      <c r="D105" s="24">
        <f>C105/100*139</f>
        <v>2370.2280000000001</v>
      </c>
      <c r="E105" s="25">
        <f>C105/100*19</f>
        <v>323.988</v>
      </c>
      <c r="F105" s="25"/>
      <c r="G105" s="25">
        <f>C105/100*7</f>
        <v>119.364</v>
      </c>
      <c r="H105" s="25"/>
      <c r="I105" s="25"/>
      <c r="J105" s="27">
        <f>C105/100*7</f>
        <v>119.364</v>
      </c>
      <c r="K105" s="27">
        <f>C105/100*0.9</f>
        <v>15.3468</v>
      </c>
      <c r="L105" s="137">
        <v>1740</v>
      </c>
      <c r="M105" s="143">
        <v>133</v>
      </c>
      <c r="N105" s="124">
        <f t="shared" si="5"/>
        <v>231420</v>
      </c>
      <c r="O105" s="153"/>
    </row>
    <row r="106" spans="1:22" s="2" customFormat="1" ht="16.2" customHeight="1">
      <c r="A106" s="9">
        <v>7</v>
      </c>
      <c r="B106" s="5" t="s">
        <v>20</v>
      </c>
      <c r="C106" s="23">
        <f>L106/100*95</f>
        <v>0</v>
      </c>
      <c r="D106" s="24">
        <f>C106/100*20</f>
        <v>0</v>
      </c>
      <c r="E106" s="25"/>
      <c r="F106" s="25">
        <f>C106/100*0.6</f>
        <v>0</v>
      </c>
      <c r="G106" s="25"/>
      <c r="H106" s="25">
        <f>C106/100*0.2</f>
        <v>0</v>
      </c>
      <c r="I106" s="25">
        <f>C106/100*4</f>
        <v>0</v>
      </c>
      <c r="J106" s="27">
        <f>C106/100*12</f>
        <v>0</v>
      </c>
      <c r="K106" s="24">
        <f>C106/100*0.04</f>
        <v>0</v>
      </c>
      <c r="L106" s="137">
        <v>0</v>
      </c>
      <c r="M106" s="77">
        <v>22</v>
      </c>
      <c r="N106" s="28">
        <f t="shared" si="5"/>
        <v>0</v>
      </c>
      <c r="O106" s="380"/>
      <c r="Q106" s="3"/>
      <c r="R106" s="3"/>
      <c r="S106" s="4"/>
    </row>
    <row r="107" spans="1:22" s="2" customFormat="1" ht="16.2" customHeight="1">
      <c r="A107" s="9">
        <v>8</v>
      </c>
      <c r="B107" s="5" t="s">
        <v>150</v>
      </c>
      <c r="C107" s="23">
        <f>L107/100*81</f>
        <v>1636.2</v>
      </c>
      <c r="D107" s="24">
        <f>C107/100*17</f>
        <v>278.15400000000005</v>
      </c>
      <c r="E107" s="29"/>
      <c r="F107" s="29">
        <f>C107/100*0.9</f>
        <v>14.725800000000001</v>
      </c>
      <c r="G107" s="29"/>
      <c r="H107" s="29">
        <f>C107/100*0.2</f>
        <v>3.2724000000000006</v>
      </c>
      <c r="I107" s="29">
        <f>C107/100*2.8</f>
        <v>45.813600000000001</v>
      </c>
      <c r="J107" s="25">
        <f>C107/100*28</f>
        <v>458.13600000000008</v>
      </c>
      <c r="K107" s="27">
        <f>C107/100*0.04</f>
        <v>0.65448000000000006</v>
      </c>
      <c r="L107" s="379">
        <v>2020</v>
      </c>
      <c r="M107" s="75">
        <v>20</v>
      </c>
      <c r="N107" s="28">
        <f t="shared" si="5"/>
        <v>40400</v>
      </c>
      <c r="O107" s="153"/>
      <c r="P107" s="3"/>
    </row>
    <row r="108" spans="1:22" s="141" customFormat="1" ht="16.2" customHeight="1">
      <c r="A108" s="164">
        <v>9</v>
      </c>
      <c r="B108" s="149" t="s">
        <v>181</v>
      </c>
      <c r="C108" s="165">
        <f>L108/100*63</f>
        <v>1020.5999999999999</v>
      </c>
      <c r="D108" s="139">
        <f>C108/100*25</f>
        <v>255.14999999999998</v>
      </c>
      <c r="E108" s="136"/>
      <c r="F108" s="136">
        <f>C108/100*3.2</f>
        <v>32.659199999999998</v>
      </c>
      <c r="G108" s="136"/>
      <c r="H108" s="136">
        <f>C108/100*0.4</f>
        <v>4.0823999999999998</v>
      </c>
      <c r="I108" s="136">
        <f>C108/100*2.1</f>
        <v>21.432600000000001</v>
      </c>
      <c r="J108" s="140">
        <f>C108/100*100</f>
        <v>1020.5999999999999</v>
      </c>
      <c r="K108" s="136">
        <f>C108/100*0.1</f>
        <v>1.0206</v>
      </c>
      <c r="L108" s="137">
        <v>1620</v>
      </c>
      <c r="M108" s="166">
        <v>15</v>
      </c>
      <c r="N108" s="135">
        <f t="shared" si="5"/>
        <v>24300</v>
      </c>
      <c r="O108" s="381"/>
    </row>
    <row r="109" spans="1:22" s="2" customFormat="1" ht="16.2" customHeight="1">
      <c r="A109" s="9">
        <v>10</v>
      </c>
      <c r="B109" s="5" t="s">
        <v>134</v>
      </c>
      <c r="C109" s="23">
        <f>L109/100*100</f>
        <v>50</v>
      </c>
      <c r="D109" s="24">
        <f>C109/100*247</f>
        <v>123.5</v>
      </c>
      <c r="E109" s="29"/>
      <c r="F109" s="29">
        <f>C109/100*17.5</f>
        <v>8.75</v>
      </c>
      <c r="G109" s="29"/>
      <c r="H109" s="29">
        <f>C109/100*1.6</f>
        <v>0.8</v>
      </c>
      <c r="I109" s="29">
        <f>C109/100*39.2</f>
        <v>19.600000000000001</v>
      </c>
      <c r="J109" s="71"/>
      <c r="K109" s="71"/>
      <c r="L109" s="379">
        <v>50</v>
      </c>
      <c r="M109" s="75">
        <v>50</v>
      </c>
      <c r="N109" s="28">
        <f t="shared" si="5"/>
        <v>2500</v>
      </c>
      <c r="O109" s="153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123</v>
      </c>
      <c r="C110" s="23"/>
      <c r="D110" s="24"/>
      <c r="E110" s="25"/>
      <c r="F110" s="25"/>
      <c r="G110" s="25"/>
      <c r="H110" s="25"/>
      <c r="I110" s="25"/>
      <c r="J110" s="27"/>
      <c r="K110" s="27"/>
      <c r="L110" s="26"/>
      <c r="M110" s="26"/>
      <c r="N110" s="28">
        <v>3800</v>
      </c>
      <c r="O110" s="153"/>
      <c r="Q110" s="3"/>
      <c r="R110" s="3"/>
      <c r="S110" s="4"/>
      <c r="T110" s="3"/>
    </row>
    <row r="111" spans="1:22" s="2" customFormat="1" ht="16.2" customHeight="1">
      <c r="A111" s="21" t="s">
        <v>118</v>
      </c>
      <c r="B111" s="22"/>
      <c r="C111" s="34"/>
      <c r="D111" s="121">
        <f>SUM(D100:D110)</f>
        <v>17124.292000000001</v>
      </c>
      <c r="E111" s="43"/>
      <c r="F111" s="43"/>
      <c r="G111" s="43"/>
      <c r="H111" s="43"/>
      <c r="I111" s="43"/>
      <c r="J111" s="43"/>
      <c r="K111" s="43"/>
      <c r="L111" s="44"/>
      <c r="M111" s="319"/>
      <c r="N111" s="324">
        <f>SUM(N100:N110)</f>
        <v>721842</v>
      </c>
      <c r="O111" s="153"/>
    </row>
    <row r="112" spans="1:22" ht="16.2" customHeight="1">
      <c r="A112" s="21" t="s">
        <v>37</v>
      </c>
      <c r="B112" s="22"/>
      <c r="C112" s="45"/>
      <c r="D112" s="46">
        <f>D111/D94</f>
        <v>295.24641379310344</v>
      </c>
      <c r="E112" s="46"/>
      <c r="F112" s="46"/>
      <c r="G112" s="46"/>
      <c r="H112" s="46"/>
      <c r="I112" s="46"/>
      <c r="J112" s="46"/>
      <c r="K112" s="46"/>
      <c r="L112" s="47"/>
      <c r="M112" s="320"/>
      <c r="N112" s="325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304" t="s">
        <v>53</v>
      </c>
      <c r="B113" s="212"/>
      <c r="C113" s="382" t="s">
        <v>147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9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213"/>
      <c r="B114" s="214"/>
      <c r="C114" s="76" t="s">
        <v>60</v>
      </c>
      <c r="D114" s="78">
        <f>D112*100/930</f>
        <v>31.7469262143122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9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74" t="s">
        <v>38</v>
      </c>
      <c r="B115" s="274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3" s="2" customFormat="1" ht="16.2" customHeight="1">
      <c r="A116" s="9">
        <v>1</v>
      </c>
      <c r="B116" s="10" t="s">
        <v>2</v>
      </c>
      <c r="C116" s="23">
        <f>L116/100*100</f>
        <v>70</v>
      </c>
      <c r="D116" s="24">
        <f>C116/100*60</f>
        <v>42</v>
      </c>
      <c r="E116" s="25">
        <f>C116/100*15</f>
        <v>10.5</v>
      </c>
      <c r="F116" s="25"/>
      <c r="G116" s="25"/>
      <c r="H116" s="25"/>
      <c r="I116" s="25"/>
      <c r="J116" s="27">
        <f>C116/100*387</f>
        <v>270.89999999999998</v>
      </c>
      <c r="K116" s="27">
        <f>C116/100*0.09</f>
        <v>6.3E-2</v>
      </c>
      <c r="L116" s="137">
        <v>70</v>
      </c>
      <c r="M116" s="75">
        <v>20</v>
      </c>
      <c r="N116" s="135">
        <f>L116*M116</f>
        <v>1400</v>
      </c>
      <c r="O116" s="153"/>
    </row>
    <row r="117" spans="1:23" s="2" customFormat="1" ht="16.2" customHeight="1">
      <c r="A117" s="9">
        <v>2</v>
      </c>
      <c r="B117" s="146" t="s">
        <v>139</v>
      </c>
      <c r="C117" s="23">
        <f>L117/100*100</f>
        <v>280</v>
      </c>
      <c r="D117" s="24">
        <f>C117/100*899</f>
        <v>2517.1999999999998</v>
      </c>
      <c r="E117" s="25"/>
      <c r="F117" s="25"/>
      <c r="G117" s="25">
        <f>C117/100*100</f>
        <v>280</v>
      </c>
      <c r="H117" s="25"/>
      <c r="I117" s="25"/>
      <c r="J117" s="27"/>
      <c r="K117" s="27"/>
      <c r="L117" s="137">
        <v>280</v>
      </c>
      <c r="M117" s="75">
        <v>69</v>
      </c>
      <c r="N117" s="135">
        <f t="shared" ref="N117:N123" si="6">L117*M117</f>
        <v>19320</v>
      </c>
      <c r="O117" s="153"/>
    </row>
    <row r="118" spans="1:23" s="2" customFormat="1" ht="16.2" customHeight="1">
      <c r="A118" s="9">
        <v>3</v>
      </c>
      <c r="B118" s="5" t="s">
        <v>1</v>
      </c>
      <c r="C118" s="23">
        <f>L118/100*100</f>
        <v>2436</v>
      </c>
      <c r="D118" s="24">
        <f>C118/100*344</f>
        <v>8379.84</v>
      </c>
      <c r="E118" s="25"/>
      <c r="F118" s="25">
        <f>C118/100*7.9</f>
        <v>192.44400000000002</v>
      </c>
      <c r="G118" s="25"/>
      <c r="H118" s="25">
        <f>C118/100*1</f>
        <v>24.36</v>
      </c>
      <c r="I118" s="119">
        <f>C118/100*73.3</f>
        <v>1785.588</v>
      </c>
      <c r="J118" s="27">
        <f>C118/100*30</f>
        <v>730.8</v>
      </c>
      <c r="K118" s="27">
        <f>C118/100*0.1</f>
        <v>2.4359999999999999</v>
      </c>
      <c r="L118" s="137">
        <v>2436</v>
      </c>
      <c r="M118" s="75">
        <v>18</v>
      </c>
      <c r="N118" s="135">
        <f t="shared" si="6"/>
        <v>43848</v>
      </c>
      <c r="O118" s="153"/>
    </row>
    <row r="119" spans="1:23" s="2" customFormat="1" ht="16.2" customHeight="1">
      <c r="A119" s="9">
        <v>4</v>
      </c>
      <c r="B119" s="10" t="s">
        <v>64</v>
      </c>
      <c r="C119" s="23">
        <f>L119/100*40</f>
        <v>532</v>
      </c>
      <c r="D119" s="24">
        <f>C119/100*276</f>
        <v>1468.3200000000002</v>
      </c>
      <c r="E119" s="25">
        <f>C119/100*17.8</f>
        <v>94.696000000000012</v>
      </c>
      <c r="F119" s="25"/>
      <c r="G119" s="25">
        <f>C119/100*21.8</f>
        <v>115.97600000000001</v>
      </c>
      <c r="H119" s="25"/>
      <c r="I119" s="136"/>
      <c r="J119" s="27">
        <f>C119/100*13</f>
        <v>69.16</v>
      </c>
      <c r="K119" s="27">
        <f>C119/100*0.07</f>
        <v>0.37240000000000006</v>
      </c>
      <c r="L119" s="137">
        <v>1330</v>
      </c>
      <c r="M119" s="75">
        <v>63</v>
      </c>
      <c r="N119" s="28">
        <f t="shared" si="6"/>
        <v>83790</v>
      </c>
      <c r="O119" s="153"/>
    </row>
    <row r="120" spans="1:23" s="2" customFormat="1" ht="16.2" customHeight="1">
      <c r="A120" s="9">
        <v>5</v>
      </c>
      <c r="B120" s="5" t="s">
        <v>30</v>
      </c>
      <c r="C120" s="23">
        <f>L120/100*88</f>
        <v>1680.8000000000002</v>
      </c>
      <c r="D120" s="24">
        <f>C120/100*184</f>
        <v>3092.6720000000005</v>
      </c>
      <c r="E120" s="25">
        <f>C120/100*13</f>
        <v>218.50400000000005</v>
      </c>
      <c r="F120" s="25"/>
      <c r="G120" s="25">
        <f>C120/100*14.2</f>
        <v>238.67360000000005</v>
      </c>
      <c r="H120" s="25"/>
      <c r="I120" s="25">
        <f>C120/100*1</f>
        <v>16.808000000000003</v>
      </c>
      <c r="J120" s="81">
        <f>C120/100*71</f>
        <v>1193.3680000000002</v>
      </c>
      <c r="K120" s="27">
        <f>C120/100*0.15</f>
        <v>2.5212000000000003</v>
      </c>
      <c r="L120" s="137">
        <v>1910</v>
      </c>
      <c r="M120" s="75">
        <v>57</v>
      </c>
      <c r="N120" s="124">
        <f t="shared" si="6"/>
        <v>108870</v>
      </c>
      <c r="O120" s="153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23">
        <f>L121/100*95</f>
        <v>0</v>
      </c>
      <c r="D121" s="24">
        <f>C121/100*20</f>
        <v>0</v>
      </c>
      <c r="E121" s="136"/>
      <c r="F121" s="25">
        <f>C121/100*0.6</f>
        <v>0</v>
      </c>
      <c r="G121" s="25"/>
      <c r="H121" s="25">
        <f>C121/100*0.2</f>
        <v>0</v>
      </c>
      <c r="I121" s="25">
        <f>C121/100*4</f>
        <v>0</v>
      </c>
      <c r="J121" s="71">
        <f>C121/100*12</f>
        <v>0</v>
      </c>
      <c r="K121" s="71">
        <f>C121/100*0.04</f>
        <v>0</v>
      </c>
      <c r="L121" s="379">
        <v>0</v>
      </c>
      <c r="M121" s="75">
        <v>22</v>
      </c>
      <c r="N121" s="28">
        <f t="shared" si="6"/>
        <v>0</v>
      </c>
      <c r="O121" s="153"/>
      <c r="Q121" s="3"/>
      <c r="R121" s="3"/>
    </row>
    <row r="122" spans="1:23" s="2" customFormat="1" ht="16.2" customHeight="1">
      <c r="A122" s="9">
        <v>7</v>
      </c>
      <c r="B122" s="5" t="s">
        <v>93</v>
      </c>
      <c r="C122" s="23">
        <f>L122/100*81.7</f>
        <v>1421.58</v>
      </c>
      <c r="D122" s="24">
        <f>C122/100*27</f>
        <v>383.82659999999998</v>
      </c>
      <c r="E122" s="29"/>
      <c r="F122" s="29">
        <f>C122/100*0.3</f>
        <v>4.2647399999999998</v>
      </c>
      <c r="G122" s="29"/>
      <c r="H122" s="29">
        <f>C122/100*0.1</f>
        <v>1.4215800000000001</v>
      </c>
      <c r="I122" s="29">
        <f>C122/100*6.1</f>
        <v>86.716379999999987</v>
      </c>
      <c r="J122" s="71">
        <f>C122/100*24</f>
        <v>341.17919999999998</v>
      </c>
      <c r="K122" s="71">
        <f>C122/100*0.06</f>
        <v>0.85294799999999993</v>
      </c>
      <c r="L122" s="379">
        <v>1740</v>
      </c>
      <c r="M122" s="26">
        <v>22</v>
      </c>
      <c r="N122" s="28">
        <f t="shared" si="6"/>
        <v>38280</v>
      </c>
      <c r="O122" s="153"/>
      <c r="Q122" s="3"/>
      <c r="R122" s="3"/>
      <c r="S122" s="4"/>
    </row>
    <row r="123" spans="1:23" s="2" customFormat="1" ht="16.2" customHeight="1">
      <c r="A123" s="9">
        <v>8</v>
      </c>
      <c r="B123" s="5" t="s">
        <v>134</v>
      </c>
      <c r="C123" s="23">
        <f>L123/100*100</f>
        <v>50</v>
      </c>
      <c r="D123" s="24">
        <f>C123/100*247</f>
        <v>123.5</v>
      </c>
      <c r="E123" s="29"/>
      <c r="F123" s="29">
        <f>C123/100*17.5</f>
        <v>8.75</v>
      </c>
      <c r="G123" s="29"/>
      <c r="H123" s="29">
        <f>C123/100*1.6</f>
        <v>0.8</v>
      </c>
      <c r="I123" s="29">
        <f>C123/100*39.2</f>
        <v>19.600000000000001</v>
      </c>
      <c r="J123" s="71"/>
      <c r="K123" s="71"/>
      <c r="L123" s="379">
        <v>50</v>
      </c>
      <c r="M123" s="75">
        <v>50</v>
      </c>
      <c r="N123" s="28">
        <f t="shared" si="6"/>
        <v>2500</v>
      </c>
      <c r="O123" s="153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123</v>
      </c>
      <c r="C124" s="23"/>
      <c r="D124" s="24"/>
      <c r="E124" s="25"/>
      <c r="F124" s="25"/>
      <c r="G124" s="25"/>
      <c r="H124" s="25"/>
      <c r="I124" s="25"/>
      <c r="J124" s="27"/>
      <c r="K124" s="27"/>
      <c r="L124" s="26"/>
      <c r="M124" s="26"/>
      <c r="N124" s="28">
        <v>3800</v>
      </c>
      <c r="O124" s="153"/>
      <c r="Q124" s="3"/>
      <c r="R124" s="3"/>
      <c r="S124" s="4"/>
      <c r="T124" s="3"/>
    </row>
    <row r="125" spans="1:23" s="2" customFormat="1" ht="16.2" customHeight="1">
      <c r="A125" s="21" t="s">
        <v>119</v>
      </c>
      <c r="B125" s="22"/>
      <c r="C125" s="34"/>
      <c r="D125" s="121">
        <f>SUM(D116:D124)</f>
        <v>16007.358600000001</v>
      </c>
      <c r="E125" s="43"/>
      <c r="F125" s="43"/>
      <c r="G125" s="43"/>
      <c r="H125" s="43"/>
      <c r="I125" s="43"/>
      <c r="J125" s="43"/>
      <c r="K125" s="43"/>
      <c r="L125" s="44"/>
      <c r="M125" s="319"/>
      <c r="N125" s="324">
        <f>SUM(N116:N124)</f>
        <v>301808</v>
      </c>
      <c r="O125" s="153"/>
    </row>
    <row r="126" spans="1:23" ht="16.2" customHeight="1">
      <c r="A126" s="21" t="s">
        <v>36</v>
      </c>
      <c r="B126" s="22"/>
      <c r="C126" s="61"/>
      <c r="D126" s="48">
        <f>D125/D94</f>
        <v>275.98894137931035</v>
      </c>
      <c r="E126" s="48"/>
      <c r="F126" s="48"/>
      <c r="G126" s="48"/>
      <c r="H126" s="48"/>
      <c r="I126" s="48"/>
      <c r="J126" s="48"/>
      <c r="K126" s="48"/>
      <c r="L126" s="62"/>
      <c r="M126" s="320"/>
      <c r="N126" s="328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304" t="s">
        <v>54</v>
      </c>
      <c r="B127" s="212"/>
      <c r="C127" s="382" t="s">
        <v>147</v>
      </c>
      <c r="D127" s="20" t="s">
        <v>46</v>
      </c>
      <c r="E127" s="46"/>
      <c r="F127" s="46"/>
      <c r="G127" s="46"/>
      <c r="H127" s="46"/>
      <c r="I127" s="46"/>
      <c r="J127" s="48"/>
      <c r="K127" s="48"/>
      <c r="L127" s="47"/>
      <c r="M127" s="47"/>
      <c r="N127" s="179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213"/>
      <c r="B128" s="214"/>
      <c r="C128" s="76" t="s">
        <v>60</v>
      </c>
      <c r="D128" s="78">
        <f>D126*100/930</f>
        <v>29.676230255839823</v>
      </c>
      <c r="E128" s="46"/>
      <c r="F128" s="46"/>
      <c r="G128" s="45"/>
      <c r="H128" s="45"/>
      <c r="I128" s="45"/>
      <c r="J128" s="48"/>
      <c r="K128" s="48"/>
      <c r="L128" s="47"/>
      <c r="M128" s="47"/>
      <c r="N128" s="179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6.2" customHeight="1">
      <c r="A129" s="274" t="s">
        <v>35</v>
      </c>
      <c r="B129" s="274"/>
      <c r="C129" s="63"/>
      <c r="D129" s="64"/>
      <c r="E129" s="64"/>
      <c r="F129" s="64"/>
      <c r="G129" s="64"/>
      <c r="H129" s="64"/>
      <c r="I129" s="64"/>
      <c r="J129" s="64"/>
      <c r="K129" s="64"/>
      <c r="L129" s="65"/>
      <c r="M129" s="65"/>
      <c r="N129" s="66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70</v>
      </c>
      <c r="C130" s="23">
        <f>L130/100*90</f>
        <v>18</v>
      </c>
      <c r="D130" s="24">
        <f>C130/100*253</f>
        <v>45.54</v>
      </c>
      <c r="E130" s="25"/>
      <c r="F130" s="25">
        <f>C130/100*32.4</f>
        <v>5.8319999999999999</v>
      </c>
      <c r="G130" s="25"/>
      <c r="H130" s="25">
        <f>C130/100*3.6</f>
        <v>0.64800000000000002</v>
      </c>
      <c r="I130" s="25">
        <f>C130/100*21.1</f>
        <v>3.798</v>
      </c>
      <c r="J130" s="27">
        <f>C130/100*165.6</f>
        <v>29.807999999999996</v>
      </c>
      <c r="K130" s="27">
        <f>C130/100*0.14</f>
        <v>2.52E-2</v>
      </c>
      <c r="L130" s="137">
        <v>20</v>
      </c>
      <c r="M130" s="75">
        <v>275</v>
      </c>
      <c r="N130" s="28">
        <f t="shared" ref="N130:N134" si="7">L130*M130</f>
        <v>5500</v>
      </c>
      <c r="O130" s="153"/>
    </row>
    <row r="131" spans="1:23" s="2" customFormat="1" ht="16.2" customHeight="1">
      <c r="A131" s="9">
        <v>2</v>
      </c>
      <c r="B131" s="5" t="s">
        <v>136</v>
      </c>
      <c r="C131" s="23">
        <f>L131/100*100</f>
        <v>240</v>
      </c>
      <c r="D131" s="24">
        <f>C131/100*340</f>
        <v>816</v>
      </c>
      <c r="E131" s="29"/>
      <c r="F131" s="29">
        <f>C131/100*0.7</f>
        <v>1.68</v>
      </c>
      <c r="G131" s="29"/>
      <c r="H131" s="29"/>
      <c r="I131" s="29">
        <f>C131/100*84.3</f>
        <v>202.32</v>
      </c>
      <c r="J131" s="71"/>
      <c r="K131" s="71"/>
      <c r="L131" s="379">
        <v>240</v>
      </c>
      <c r="M131" s="75">
        <v>180</v>
      </c>
      <c r="N131" s="28">
        <f t="shared" si="7"/>
        <v>43200</v>
      </c>
      <c r="O131" s="153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162</v>
      </c>
      <c r="C132" s="23">
        <f>L132/100*55</f>
        <v>478.49999999999994</v>
      </c>
      <c r="D132" s="120">
        <f>C132/100*196</f>
        <v>937.8599999999999</v>
      </c>
      <c r="E132" s="25"/>
      <c r="F132" s="136">
        <f>C132/100*4.1</f>
        <v>19.618499999999994</v>
      </c>
      <c r="G132" s="25"/>
      <c r="H132" s="25">
        <f>C132/100*2.3</f>
        <v>11.005499999999998</v>
      </c>
      <c r="I132" s="25">
        <f>C132/100*39.6</f>
        <v>189.48599999999999</v>
      </c>
      <c r="J132" s="27">
        <f>C132/100*4</f>
        <v>19.139999999999997</v>
      </c>
      <c r="K132" s="27">
        <f>C132/100*0.15</f>
        <v>0.71774999999999989</v>
      </c>
      <c r="L132" s="401">
        <v>870</v>
      </c>
      <c r="M132" s="75">
        <v>22</v>
      </c>
      <c r="N132" s="28">
        <f t="shared" si="7"/>
        <v>19140</v>
      </c>
      <c r="O132" s="381"/>
      <c r="P132" s="141"/>
      <c r="Q132" s="141"/>
    </row>
    <row r="133" spans="1:23" s="2" customFormat="1" ht="16.2" customHeight="1">
      <c r="A133" s="9">
        <v>4</v>
      </c>
      <c r="B133" s="5" t="s">
        <v>69</v>
      </c>
      <c r="C133" s="23">
        <f>L133/100*48</f>
        <v>1046.4000000000001</v>
      </c>
      <c r="D133" s="24">
        <f>C133/100*199</f>
        <v>2082.3360000000002</v>
      </c>
      <c r="E133" s="25">
        <f>C133/100*20.3</f>
        <v>212.41920000000002</v>
      </c>
      <c r="F133" s="25"/>
      <c r="G133" s="25">
        <f>C133/100*13.1</f>
        <v>137.07839999999999</v>
      </c>
      <c r="H133" s="25"/>
      <c r="I133" s="25"/>
      <c r="J133" s="27">
        <f>C133/100*12</f>
        <v>125.56800000000001</v>
      </c>
      <c r="K133" s="27">
        <f>C133/100*0.15</f>
        <v>1.5696000000000001</v>
      </c>
      <c r="L133" s="26">
        <v>2180</v>
      </c>
      <c r="M133" s="137">
        <v>84</v>
      </c>
      <c r="N133" s="124">
        <f t="shared" si="7"/>
        <v>183120</v>
      </c>
      <c r="O133" s="153"/>
      <c r="Q133" s="3"/>
      <c r="R133" s="3"/>
      <c r="S133" s="4"/>
    </row>
    <row r="134" spans="1:23" s="2" customFormat="1" ht="16.2" customHeight="1">
      <c r="A134" s="103">
        <v>5</v>
      </c>
      <c r="B134" s="112" t="s">
        <v>163</v>
      </c>
      <c r="C134" s="104">
        <f>L134/100*85</f>
        <v>42.5</v>
      </c>
      <c r="D134" s="105">
        <f>C134/100*11</f>
        <v>4.6749999999999998</v>
      </c>
      <c r="E134" s="106"/>
      <c r="F134" s="106">
        <f>C134/100*2.2</f>
        <v>0.93500000000000005</v>
      </c>
      <c r="G134" s="106"/>
      <c r="H134" s="106"/>
      <c r="I134" s="106">
        <f>C134/100*0.6</f>
        <v>0.255</v>
      </c>
      <c r="J134" s="114"/>
      <c r="K134" s="114"/>
      <c r="L134" s="402">
        <v>50</v>
      </c>
      <c r="M134" s="145">
        <v>30</v>
      </c>
      <c r="N134" s="108">
        <f t="shared" si="7"/>
        <v>1500</v>
      </c>
      <c r="O134" s="153"/>
      <c r="Q134" s="3"/>
      <c r="R134" s="3"/>
    </row>
    <row r="135" spans="1:23" ht="20.399999999999999" customHeight="1">
      <c r="A135" s="191" t="s">
        <v>0</v>
      </c>
      <c r="B135" s="201" t="s">
        <v>19</v>
      </c>
      <c r="C135" s="204" t="s">
        <v>8</v>
      </c>
      <c r="D135" s="204" t="s">
        <v>9</v>
      </c>
      <c r="E135" s="194" t="s">
        <v>11</v>
      </c>
      <c r="F135" s="195"/>
      <c r="G135" s="194" t="s">
        <v>13</v>
      </c>
      <c r="H135" s="195"/>
      <c r="I135" s="198" t="s">
        <v>16</v>
      </c>
      <c r="J135" s="198" t="s">
        <v>41</v>
      </c>
      <c r="K135" s="198" t="s">
        <v>42</v>
      </c>
      <c r="L135" s="351" t="s">
        <v>17</v>
      </c>
      <c r="M135" s="198" t="s">
        <v>57</v>
      </c>
      <c r="N135" s="191" t="s">
        <v>18</v>
      </c>
      <c r="O135" s="378"/>
    </row>
    <row r="136" spans="1:23" ht="20.399999999999999" customHeight="1">
      <c r="A136" s="192"/>
      <c r="B136" s="202"/>
      <c r="C136" s="205"/>
      <c r="D136" s="205"/>
      <c r="E136" s="196"/>
      <c r="F136" s="197"/>
      <c r="G136" s="196"/>
      <c r="H136" s="197"/>
      <c r="I136" s="199"/>
      <c r="J136" s="199"/>
      <c r="K136" s="199"/>
      <c r="L136" s="352"/>
      <c r="M136" s="199"/>
      <c r="N136" s="192"/>
      <c r="O136" s="178"/>
    </row>
    <row r="137" spans="1:23" ht="20.399999999999999" customHeight="1">
      <c r="A137" s="192"/>
      <c r="B137" s="202"/>
      <c r="C137" s="205"/>
      <c r="D137" s="205"/>
      <c r="E137" s="198" t="s">
        <v>10</v>
      </c>
      <c r="F137" s="198" t="s">
        <v>12</v>
      </c>
      <c r="G137" s="198" t="s">
        <v>14</v>
      </c>
      <c r="H137" s="198" t="s">
        <v>15</v>
      </c>
      <c r="I137" s="199"/>
      <c r="J137" s="199"/>
      <c r="K137" s="199"/>
      <c r="L137" s="352"/>
      <c r="M137" s="199"/>
      <c r="N137" s="192"/>
      <c r="O137" s="178"/>
    </row>
    <row r="138" spans="1:23" ht="20.399999999999999" customHeight="1">
      <c r="A138" s="193"/>
      <c r="B138" s="203"/>
      <c r="C138" s="206"/>
      <c r="D138" s="206"/>
      <c r="E138" s="200"/>
      <c r="F138" s="200"/>
      <c r="G138" s="200"/>
      <c r="H138" s="200"/>
      <c r="I138" s="200"/>
      <c r="J138" s="200"/>
      <c r="K138" s="200"/>
      <c r="L138" s="353"/>
      <c r="M138" s="200"/>
      <c r="N138" s="193"/>
      <c r="O138" s="178"/>
    </row>
    <row r="139" spans="1:23" s="2" customFormat="1" ht="20.399999999999999" customHeight="1">
      <c r="A139" s="21" t="s">
        <v>106</v>
      </c>
      <c r="B139" s="22"/>
      <c r="C139" s="34"/>
      <c r="D139" s="35">
        <f>SUM(D130:D134)</f>
        <v>3886.4110000000001</v>
      </c>
      <c r="E139" s="43"/>
      <c r="F139" s="43"/>
      <c r="G139" s="43"/>
      <c r="H139" s="43"/>
      <c r="I139" s="43"/>
      <c r="J139" s="82"/>
      <c r="K139" s="43"/>
      <c r="L139" s="44"/>
      <c r="M139" s="319"/>
      <c r="N139" s="324">
        <f>SUM(N130:N134)</f>
        <v>252460</v>
      </c>
      <c r="O139" s="153"/>
    </row>
    <row r="140" spans="1:23" ht="20.399999999999999" customHeight="1">
      <c r="A140" s="21" t="s">
        <v>7</v>
      </c>
      <c r="B140" s="22"/>
      <c r="C140" s="45"/>
      <c r="D140" s="72">
        <f>D139/D94</f>
        <v>67.00708620689656</v>
      </c>
      <c r="E140" s="46"/>
      <c r="F140" s="46"/>
      <c r="G140" s="46"/>
      <c r="H140" s="46"/>
      <c r="I140" s="46"/>
      <c r="J140" s="83"/>
      <c r="K140" s="46"/>
      <c r="L140" s="47"/>
      <c r="M140" s="320"/>
      <c r="N140" s="325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304" t="s">
        <v>52</v>
      </c>
      <c r="B141" s="212"/>
      <c r="C141" s="382" t="s">
        <v>147</v>
      </c>
      <c r="D141" s="20" t="s">
        <v>50</v>
      </c>
      <c r="E141" s="46"/>
      <c r="F141" s="46"/>
      <c r="G141" s="46"/>
      <c r="H141" s="46"/>
      <c r="I141" s="46"/>
      <c r="J141" s="84"/>
      <c r="K141" s="48"/>
      <c r="L141" s="47"/>
      <c r="M141" s="47"/>
      <c r="N141" s="179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213"/>
      <c r="B142" s="214"/>
      <c r="C142" s="76" t="s">
        <v>60</v>
      </c>
      <c r="D142" s="78">
        <f>D140*100/930</f>
        <v>7.2050630329996297</v>
      </c>
      <c r="E142" s="46"/>
      <c r="F142" s="46"/>
      <c r="G142" s="46"/>
      <c r="H142" s="46"/>
      <c r="I142" s="46"/>
      <c r="J142" s="84"/>
      <c r="K142" s="48"/>
      <c r="L142" s="47"/>
      <c r="M142" s="47"/>
      <c r="N142" s="179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228" t="s">
        <v>107</v>
      </c>
      <c r="B143" s="229"/>
      <c r="C143" s="232"/>
      <c r="D143" s="299">
        <f>SUM(D111+D125+D139)</f>
        <v>37018.061600000001</v>
      </c>
      <c r="E143" s="123">
        <f t="shared" ref="E143:K143" si="8">SUM(E100:E134)</f>
        <v>1089.0432000000001</v>
      </c>
      <c r="F143" s="7">
        <f t="shared" si="8"/>
        <v>486.68524000000002</v>
      </c>
      <c r="G143" s="123">
        <f t="shared" si="8"/>
        <v>1032.3140000000001</v>
      </c>
      <c r="H143" s="7">
        <f t="shared" si="8"/>
        <v>441.32988000000006</v>
      </c>
      <c r="I143" s="348">
        <f t="shared" si="8"/>
        <v>4219.5195800000001</v>
      </c>
      <c r="J143" s="348">
        <f t="shared" si="8"/>
        <v>18640.623199999995</v>
      </c>
      <c r="K143" s="215">
        <f t="shared" si="8"/>
        <v>28.381778000000004</v>
      </c>
      <c r="L143" s="244"/>
      <c r="M143" s="244"/>
      <c r="N143" s="350">
        <f>N111+N125+N139</f>
        <v>1276110</v>
      </c>
      <c r="U143" s="12"/>
      <c r="V143" s="12"/>
    </row>
    <row r="144" spans="1:23" ht="20.399999999999999" customHeight="1">
      <c r="A144" s="230"/>
      <c r="B144" s="231"/>
      <c r="C144" s="233"/>
      <c r="D144" s="300"/>
      <c r="E144" s="226">
        <f>E143+F143</f>
        <v>1575.7284400000001</v>
      </c>
      <c r="F144" s="227"/>
      <c r="G144" s="226">
        <f>G143+H143</f>
        <v>1473.6438800000001</v>
      </c>
      <c r="H144" s="227"/>
      <c r="I144" s="349"/>
      <c r="J144" s="349"/>
      <c r="K144" s="216"/>
      <c r="L144" s="244"/>
      <c r="M144" s="244"/>
      <c r="N144" s="350"/>
      <c r="U144" s="12"/>
      <c r="V144" s="12"/>
    </row>
    <row r="145" spans="1:22" ht="20.399999999999999" customHeight="1">
      <c r="A145" s="248" t="s">
        <v>77</v>
      </c>
      <c r="B145" s="249"/>
      <c r="C145" s="250"/>
      <c r="D145" s="133">
        <f>D143/D94</f>
        <v>638.24244137931032</v>
      </c>
      <c r="E145" s="404">
        <f>E143/D94</f>
        <v>18.776606896551726</v>
      </c>
      <c r="F145" s="403">
        <f>F143/D94</f>
        <v>8.3911248275862071</v>
      </c>
      <c r="G145" s="404">
        <f>G143/D94</f>
        <v>17.798517241379312</v>
      </c>
      <c r="H145" s="403">
        <f>H143/D94</f>
        <v>7.6091358620689666</v>
      </c>
      <c r="I145" s="209">
        <f>I143/D94</f>
        <v>72.750337586206896</v>
      </c>
      <c r="J145" s="209">
        <f>J143/D94</f>
        <v>321.39005517241372</v>
      </c>
      <c r="K145" s="302">
        <f>K143/D94</f>
        <v>0.48934100000000008</v>
      </c>
      <c r="L145" s="244"/>
      <c r="M145" s="244"/>
      <c r="N145" s="350"/>
      <c r="P145" s="373"/>
      <c r="Q145" s="375"/>
      <c r="R145" s="375"/>
      <c r="S145" s="375"/>
      <c r="T145" s="375"/>
      <c r="U145" s="386"/>
      <c r="V145" s="386"/>
    </row>
    <row r="146" spans="1:22" ht="20.399999999999999" customHeight="1">
      <c r="A146" s="251"/>
      <c r="B146" s="252"/>
      <c r="C146" s="253"/>
      <c r="D146" s="127"/>
      <c r="E146" s="387">
        <f>E145+F145</f>
        <v>27.167731724137933</v>
      </c>
      <c r="F146" s="388"/>
      <c r="G146" s="387">
        <f>G145+H145</f>
        <v>25.407653103448279</v>
      </c>
      <c r="H146" s="388"/>
      <c r="I146" s="210"/>
      <c r="J146" s="210"/>
      <c r="K146" s="303"/>
      <c r="L146" s="244"/>
      <c r="M146" s="244"/>
      <c r="N146" s="350"/>
      <c r="P146" s="389"/>
      <c r="Q146" s="375"/>
      <c r="R146" s="375"/>
      <c r="S146" s="399"/>
      <c r="T146" s="399"/>
      <c r="U146" s="375"/>
      <c r="V146" s="375"/>
    </row>
    <row r="147" spans="1:22" ht="20.399999999999999" customHeight="1">
      <c r="A147" s="316" t="s">
        <v>80</v>
      </c>
      <c r="B147" s="317"/>
      <c r="C147" s="318"/>
      <c r="D147" s="183" t="s">
        <v>29</v>
      </c>
      <c r="E147" s="363" t="s">
        <v>24</v>
      </c>
      <c r="F147" s="363"/>
      <c r="G147" s="363" t="s">
        <v>25</v>
      </c>
      <c r="H147" s="363"/>
      <c r="I147" s="400" t="s">
        <v>26</v>
      </c>
      <c r="J147" s="181">
        <v>500</v>
      </c>
      <c r="K147" s="181">
        <v>0.5</v>
      </c>
      <c r="L147" s="244"/>
      <c r="M147" s="244"/>
      <c r="N147" s="350"/>
      <c r="O147" s="391"/>
      <c r="P147" s="373"/>
      <c r="Q147" s="373"/>
      <c r="R147" s="373"/>
      <c r="S147" s="373"/>
      <c r="T147" s="373"/>
      <c r="U147" s="373"/>
      <c r="V147" s="373"/>
    </row>
    <row r="148" spans="1:22" ht="20.399999999999999" customHeight="1">
      <c r="A148" s="219" t="s">
        <v>78</v>
      </c>
      <c r="B148" s="220"/>
      <c r="C148" s="221"/>
      <c r="D148" s="49"/>
      <c r="E148" s="207">
        <f>E146*4.1</f>
        <v>111.38770006896551</v>
      </c>
      <c r="F148" s="208"/>
      <c r="G148" s="207">
        <f>G146*9</f>
        <v>228.6688779310345</v>
      </c>
      <c r="H148" s="208"/>
      <c r="I148" s="85">
        <f>I145*4.1</f>
        <v>298.27638410344827</v>
      </c>
      <c r="J148" s="254"/>
      <c r="K148" s="254"/>
      <c r="L148" s="244"/>
      <c r="M148" s="244"/>
      <c r="N148" s="350"/>
      <c r="O148" s="391"/>
      <c r="P148" s="392"/>
      <c r="Q148" s="374"/>
      <c r="R148" s="374"/>
      <c r="S148" s="374"/>
      <c r="T148" s="373"/>
      <c r="U148" s="373"/>
      <c r="V148" s="373"/>
    </row>
    <row r="149" spans="1:22" ht="20.399999999999999" customHeight="1">
      <c r="A149" s="222" t="s">
        <v>87</v>
      </c>
      <c r="B149" s="223"/>
      <c r="C149" s="219" t="s">
        <v>59</v>
      </c>
      <c r="D149" s="221"/>
      <c r="E149" s="297">
        <f>E148*100/D145</f>
        <v>17.45225526341444</v>
      </c>
      <c r="F149" s="298"/>
      <c r="G149" s="297">
        <f>G148*100/D145</f>
        <v>35.827902236782712</v>
      </c>
      <c r="H149" s="298"/>
      <c r="I149" s="116">
        <f>I148*100/D145</f>
        <v>46.734025311579252</v>
      </c>
      <c r="J149" s="255"/>
      <c r="K149" s="255"/>
      <c r="L149" s="244"/>
      <c r="M149" s="244"/>
      <c r="N149" s="350"/>
      <c r="O149" s="391"/>
      <c r="P149" s="373"/>
      <c r="Q149" s="373"/>
      <c r="R149" s="373"/>
      <c r="S149" s="373"/>
      <c r="T149" s="373"/>
      <c r="U149" s="373"/>
      <c r="V149" s="373"/>
    </row>
    <row r="150" spans="1:22" ht="20.399999999999999" customHeight="1">
      <c r="A150" s="224"/>
      <c r="B150" s="225"/>
      <c r="C150" s="219" t="s">
        <v>79</v>
      </c>
      <c r="D150" s="221"/>
      <c r="E150" s="219" t="s">
        <v>82</v>
      </c>
      <c r="F150" s="221"/>
      <c r="G150" s="219" t="s">
        <v>85</v>
      </c>
      <c r="H150" s="221"/>
      <c r="I150" s="183" t="s">
        <v>86</v>
      </c>
      <c r="J150" s="235"/>
      <c r="K150" s="235"/>
      <c r="L150" s="244"/>
      <c r="M150" s="244"/>
      <c r="N150" s="350"/>
      <c r="O150" s="391"/>
      <c r="P150" s="132"/>
    </row>
    <row r="151" spans="1:22" ht="20.399999999999999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91"/>
    </row>
    <row r="152" spans="1:22" ht="21" customHeight="1">
      <c r="A152" s="294" t="s">
        <v>114</v>
      </c>
      <c r="B152" s="294"/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391"/>
    </row>
    <row r="153" spans="1:22" ht="21" customHeight="1">
      <c r="A153" s="117" t="s">
        <v>115</v>
      </c>
      <c r="B153" s="295" t="s">
        <v>116</v>
      </c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391"/>
    </row>
    <row r="154" spans="1:22" ht="21" customHeight="1">
      <c r="A154" s="118"/>
      <c r="B154" s="259" t="s">
        <v>216</v>
      </c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  <c r="M154" s="259"/>
      <c r="N154" s="259"/>
      <c r="O154" s="391"/>
    </row>
    <row r="155" spans="1:22" ht="21" customHeight="1">
      <c r="A155" s="118"/>
      <c r="B155" s="259" t="s">
        <v>217</v>
      </c>
      <c r="C155" s="259"/>
      <c r="D155" s="259"/>
      <c r="E155" s="259"/>
      <c r="F155" s="259"/>
      <c r="G155" s="259"/>
      <c r="H155" s="259"/>
      <c r="I155" s="259"/>
      <c r="J155" s="259"/>
      <c r="K155" s="259"/>
      <c r="L155" s="259"/>
      <c r="M155" s="259"/>
      <c r="N155" s="259"/>
      <c r="O155" s="391"/>
    </row>
    <row r="156" spans="1:22" ht="21" customHeight="1">
      <c r="A156" s="118"/>
      <c r="B156" s="259" t="s">
        <v>169</v>
      </c>
      <c r="C156" s="259"/>
      <c r="D156" s="259"/>
      <c r="E156" s="259"/>
      <c r="F156" s="259"/>
      <c r="G156" s="259"/>
      <c r="H156" s="259"/>
      <c r="I156" s="259"/>
      <c r="J156" s="259"/>
      <c r="K156" s="259"/>
      <c r="L156" s="259"/>
      <c r="M156" s="259"/>
      <c r="N156" s="259"/>
      <c r="O156" s="391"/>
    </row>
    <row r="157" spans="1:22" ht="21" customHeight="1">
      <c r="A157" s="90"/>
      <c r="B157" s="260" t="s">
        <v>117</v>
      </c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391"/>
    </row>
    <row r="158" spans="1:22" ht="21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4"/>
      <c r="M158" s="94"/>
      <c r="N158" s="95"/>
      <c r="O158" s="391"/>
    </row>
    <row r="159" spans="1:22" ht="21" customHeight="1">
      <c r="A159" s="261" t="s">
        <v>62</v>
      </c>
      <c r="B159" s="261"/>
      <c r="C159" s="261"/>
      <c r="D159" s="261"/>
      <c r="E159" s="393"/>
      <c r="F159" s="393"/>
      <c r="G159" s="393"/>
      <c r="H159" s="393"/>
      <c r="I159" s="393"/>
      <c r="J159" s="394" t="s">
        <v>33</v>
      </c>
      <c r="K159" s="394"/>
      <c r="L159" s="394"/>
      <c r="M159" s="394"/>
      <c r="N159" s="394"/>
      <c r="O159" s="391"/>
    </row>
    <row r="160" spans="1:22" ht="21" customHeight="1">
      <c r="A160" s="178"/>
      <c r="B160" s="178"/>
      <c r="C160" s="178"/>
      <c r="D160" s="393"/>
      <c r="E160" s="393"/>
      <c r="F160" s="393"/>
      <c r="G160" s="393"/>
      <c r="H160" s="395"/>
      <c r="I160" s="395"/>
      <c r="J160" s="395"/>
      <c r="K160" s="395"/>
      <c r="L160" s="395"/>
      <c r="M160" s="395"/>
      <c r="N160" s="395"/>
      <c r="O160" s="391"/>
    </row>
    <row r="161" spans="1:15" ht="21" customHeight="1">
      <c r="A161" s="178"/>
      <c r="B161" s="178"/>
      <c r="C161" s="178"/>
      <c r="D161" s="393"/>
      <c r="E161" s="393"/>
      <c r="F161" s="393"/>
      <c r="G161" s="393"/>
      <c r="H161" s="395"/>
      <c r="I161" s="395"/>
      <c r="J161" s="395"/>
      <c r="K161" s="395"/>
      <c r="L161" s="395"/>
      <c r="M161" s="395"/>
      <c r="N161" s="395"/>
      <c r="O161" s="391"/>
    </row>
    <row r="162" spans="1:15" ht="21" customHeight="1">
      <c r="A162" s="178"/>
      <c r="B162" s="178"/>
      <c r="C162" s="178"/>
      <c r="D162" s="393"/>
      <c r="E162" s="393"/>
      <c r="F162" s="393"/>
      <c r="G162" s="393"/>
      <c r="H162" s="395"/>
      <c r="I162" s="395"/>
      <c r="J162" s="396" t="s">
        <v>124</v>
      </c>
      <c r="K162" s="396"/>
      <c r="L162" s="396"/>
      <c r="M162" s="396"/>
      <c r="N162" s="396"/>
      <c r="O162" s="391"/>
    </row>
    <row r="163" spans="1:15" ht="21" customHeight="1">
      <c r="A163" s="262" t="s">
        <v>91</v>
      </c>
      <c r="B163" s="262"/>
      <c r="C163" s="262"/>
      <c r="D163" s="262"/>
      <c r="E163" s="393"/>
      <c r="F163" s="393"/>
      <c r="G163" s="393"/>
      <c r="H163" s="395"/>
      <c r="I163" s="395"/>
      <c r="J163" s="396"/>
      <c r="K163" s="396"/>
      <c r="L163" s="396"/>
      <c r="M163" s="396"/>
      <c r="N163" s="396"/>
      <c r="O163" s="391"/>
    </row>
    <row r="164" spans="1:15" ht="20.399999999999999" customHeight="1">
      <c r="J164" s="395"/>
      <c r="K164" s="395"/>
      <c r="L164" s="395"/>
      <c r="M164" s="395"/>
      <c r="N164" s="395"/>
    </row>
    <row r="165" spans="1:15" ht="20.399999999999999" customHeight="1">
      <c r="J165" s="396" t="s">
        <v>127</v>
      </c>
      <c r="K165" s="396"/>
      <c r="L165" s="396"/>
      <c r="M165" s="396"/>
      <c r="N165" s="396"/>
    </row>
  </sheetData>
  <mergeCells count="207"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Q10" sqref="Q10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61</v>
      </c>
      <c r="B1" s="8"/>
      <c r="C1" s="8"/>
      <c r="D1" s="8"/>
      <c r="E1" s="8"/>
      <c r="F1" s="189" t="s">
        <v>31</v>
      </c>
      <c r="G1" s="189"/>
      <c r="H1" s="189"/>
      <c r="I1" s="189"/>
      <c r="J1" s="189"/>
      <c r="K1" s="189"/>
      <c r="L1" s="189"/>
      <c r="M1" s="189"/>
      <c r="N1" s="189"/>
      <c r="O1" s="376"/>
      <c r="P1" s="376"/>
      <c r="T1" s="2"/>
    </row>
    <row r="2" spans="1:20" ht="21.6" customHeight="1">
      <c r="A2" s="8" t="s">
        <v>218</v>
      </c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6"/>
      <c r="P2" s="376"/>
      <c r="T2" s="2"/>
    </row>
    <row r="3" spans="1:20" s="2" customFormat="1" ht="21.6" customHeight="1">
      <c r="A3" s="236" t="s">
        <v>97</v>
      </c>
      <c r="B3" s="236"/>
      <c r="C3" s="236"/>
      <c r="D3" s="236"/>
      <c r="E3" s="236" t="s">
        <v>98</v>
      </c>
      <c r="F3" s="236"/>
      <c r="G3" s="236"/>
      <c r="H3" s="236"/>
      <c r="I3" s="236"/>
      <c r="J3" s="236"/>
      <c r="K3" s="236"/>
      <c r="L3" s="236"/>
      <c r="M3" s="236"/>
      <c r="N3" s="236"/>
      <c r="O3" s="377"/>
    </row>
    <row r="4" spans="1:20" s="2" customFormat="1" ht="21.6" customHeight="1">
      <c r="A4" s="266" t="s">
        <v>90</v>
      </c>
      <c r="B4" s="266"/>
      <c r="C4" s="266"/>
      <c r="D4" s="266"/>
      <c r="E4" s="267" t="s">
        <v>144</v>
      </c>
      <c r="F4" s="267"/>
      <c r="G4" s="267"/>
      <c r="H4" s="267"/>
      <c r="I4" s="267"/>
      <c r="J4" s="282" t="s">
        <v>164</v>
      </c>
      <c r="K4" s="283"/>
      <c r="L4" s="283"/>
      <c r="M4" s="283"/>
      <c r="N4" s="284"/>
      <c r="O4" s="377"/>
    </row>
    <row r="5" spans="1:20" s="2" customFormat="1" ht="21.6" customHeight="1">
      <c r="A5" s="344" t="s">
        <v>221</v>
      </c>
      <c r="B5" s="345"/>
      <c r="C5" s="345"/>
      <c r="D5" s="346"/>
      <c r="E5" s="267"/>
      <c r="F5" s="267"/>
      <c r="G5" s="267"/>
      <c r="H5" s="267"/>
      <c r="I5" s="267"/>
      <c r="J5" s="285"/>
      <c r="K5" s="286"/>
      <c r="L5" s="286"/>
      <c r="M5" s="286"/>
      <c r="N5" s="287"/>
      <c r="O5" s="377"/>
    </row>
    <row r="6" spans="1:20" s="2" customFormat="1" ht="21.6" customHeight="1">
      <c r="A6" s="188" t="s">
        <v>183</v>
      </c>
      <c r="B6" s="188"/>
      <c r="C6" s="188"/>
      <c r="D6" s="188"/>
      <c r="E6" s="267"/>
      <c r="F6" s="267"/>
      <c r="G6" s="267"/>
      <c r="H6" s="267"/>
      <c r="I6" s="267"/>
      <c r="J6" s="285"/>
      <c r="K6" s="286"/>
      <c r="L6" s="286"/>
      <c r="M6" s="286"/>
      <c r="N6" s="287"/>
      <c r="O6" s="377"/>
    </row>
    <row r="7" spans="1:20" s="2" customFormat="1" ht="21.6" customHeight="1">
      <c r="A7" s="347" t="s">
        <v>192</v>
      </c>
      <c r="B7" s="347"/>
      <c r="C7" s="347"/>
      <c r="D7" s="347"/>
      <c r="E7" s="267"/>
      <c r="F7" s="267"/>
      <c r="G7" s="267"/>
      <c r="H7" s="267"/>
      <c r="I7" s="267"/>
      <c r="J7" s="288"/>
      <c r="K7" s="289"/>
      <c r="L7" s="289"/>
      <c r="M7" s="289"/>
      <c r="N7" s="290"/>
      <c r="O7" s="377"/>
    </row>
    <row r="8" spans="1:20" s="2" customFormat="1" ht="21.6" customHeight="1">
      <c r="A8" s="276" t="s">
        <v>122</v>
      </c>
      <c r="B8" s="277"/>
      <c r="C8" s="278"/>
      <c r="D8" s="128">
        <v>99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377"/>
    </row>
    <row r="9" spans="1:20" ht="21.6" customHeight="1">
      <c r="A9" s="191" t="s">
        <v>0</v>
      </c>
      <c r="B9" s="201" t="s">
        <v>19</v>
      </c>
      <c r="C9" s="329" t="s">
        <v>8</v>
      </c>
      <c r="D9" s="204" t="s">
        <v>9</v>
      </c>
      <c r="E9" s="194" t="s">
        <v>11</v>
      </c>
      <c r="F9" s="195"/>
      <c r="G9" s="194" t="s">
        <v>13</v>
      </c>
      <c r="H9" s="195"/>
      <c r="I9" s="198" t="s">
        <v>16</v>
      </c>
      <c r="J9" s="198" t="s">
        <v>41</v>
      </c>
      <c r="K9" s="198" t="s">
        <v>42</v>
      </c>
      <c r="L9" s="198" t="s">
        <v>17</v>
      </c>
      <c r="M9" s="198" t="s">
        <v>57</v>
      </c>
      <c r="N9" s="191" t="s">
        <v>18</v>
      </c>
      <c r="O9" s="378"/>
    </row>
    <row r="10" spans="1:20" ht="21.6" customHeight="1">
      <c r="A10" s="192"/>
      <c r="B10" s="202"/>
      <c r="C10" s="330"/>
      <c r="D10" s="205"/>
      <c r="E10" s="196"/>
      <c r="F10" s="197"/>
      <c r="G10" s="196"/>
      <c r="H10" s="197"/>
      <c r="I10" s="199"/>
      <c r="J10" s="199"/>
      <c r="K10" s="199"/>
      <c r="L10" s="199"/>
      <c r="M10" s="199"/>
      <c r="N10" s="192"/>
      <c r="O10" s="178"/>
    </row>
    <row r="11" spans="1:20" ht="21.6" customHeight="1">
      <c r="A11" s="192"/>
      <c r="B11" s="202"/>
      <c r="C11" s="330"/>
      <c r="D11" s="205"/>
      <c r="E11" s="198" t="s">
        <v>10</v>
      </c>
      <c r="F11" s="198" t="s">
        <v>12</v>
      </c>
      <c r="G11" s="198" t="s">
        <v>14</v>
      </c>
      <c r="H11" s="198" t="s">
        <v>15</v>
      </c>
      <c r="I11" s="199"/>
      <c r="J11" s="199"/>
      <c r="K11" s="199"/>
      <c r="L11" s="199"/>
      <c r="M11" s="199"/>
      <c r="N11" s="192"/>
      <c r="O11" s="178"/>
    </row>
    <row r="12" spans="1:20" ht="21.6" customHeight="1">
      <c r="A12" s="193"/>
      <c r="B12" s="203"/>
      <c r="C12" s="331"/>
      <c r="D12" s="206"/>
      <c r="E12" s="200"/>
      <c r="F12" s="200"/>
      <c r="G12" s="200"/>
      <c r="H12" s="200"/>
      <c r="I12" s="200"/>
      <c r="J12" s="200"/>
      <c r="K12" s="200"/>
      <c r="L12" s="200"/>
      <c r="M12" s="200"/>
      <c r="N12" s="193"/>
      <c r="O12" s="178"/>
    </row>
    <row r="13" spans="1:20" ht="19.8" customHeight="1">
      <c r="A13" s="238" t="s">
        <v>34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  <c r="O13" s="178"/>
    </row>
    <row r="14" spans="1:20" s="2" customFormat="1" ht="19.8" customHeight="1">
      <c r="A14" s="9">
        <v>1</v>
      </c>
      <c r="B14" s="10" t="s">
        <v>2</v>
      </c>
      <c r="C14" s="23">
        <f>L14/100*100</f>
        <v>130</v>
      </c>
      <c r="D14" s="24">
        <f>C14/100*60</f>
        <v>78</v>
      </c>
      <c r="E14" s="25">
        <f>C14/100*15</f>
        <v>19.5</v>
      </c>
      <c r="F14" s="25"/>
      <c r="G14" s="25"/>
      <c r="H14" s="25"/>
      <c r="I14" s="25"/>
      <c r="J14" s="27">
        <f>C14/100*387</f>
        <v>503.1</v>
      </c>
      <c r="K14" s="27">
        <f>C14/100*0.09</f>
        <v>0.11699999999999999</v>
      </c>
      <c r="L14" s="137">
        <v>130</v>
      </c>
      <c r="M14" s="75">
        <v>20</v>
      </c>
      <c r="N14" s="28">
        <f>L14*M14</f>
        <v>2600</v>
      </c>
      <c r="O14" s="153"/>
    </row>
    <row r="15" spans="1:20" s="2" customFormat="1" ht="19.8" customHeight="1">
      <c r="A15" s="9">
        <v>2</v>
      </c>
      <c r="B15" s="146" t="s">
        <v>139</v>
      </c>
      <c r="C15" s="23">
        <f>L15/100*100</f>
        <v>300</v>
      </c>
      <c r="D15" s="24">
        <f>C15/100*899</f>
        <v>2697</v>
      </c>
      <c r="E15" s="25"/>
      <c r="F15" s="25"/>
      <c r="G15" s="119">
        <f>C15/100*100</f>
        <v>300</v>
      </c>
      <c r="H15" s="25"/>
      <c r="I15" s="25"/>
      <c r="J15" s="27"/>
      <c r="K15" s="27"/>
      <c r="L15" s="137">
        <v>300</v>
      </c>
      <c r="M15" s="75">
        <v>69</v>
      </c>
      <c r="N15" s="28">
        <f t="shared" ref="N15:N23" si="0">L15*M15</f>
        <v>20700</v>
      </c>
      <c r="O15" s="153"/>
    </row>
    <row r="16" spans="1:20" s="2" customFormat="1" ht="19.8" customHeight="1">
      <c r="A16" s="9">
        <v>3</v>
      </c>
      <c r="B16" s="5" t="s">
        <v>1</v>
      </c>
      <c r="C16" s="23">
        <f>L16/100*100</f>
        <v>9405</v>
      </c>
      <c r="D16" s="120">
        <f>C16/100*325</f>
        <v>30566.25</v>
      </c>
      <c r="E16" s="25"/>
      <c r="F16" s="119">
        <f>C16/100*7.9</f>
        <v>742.995</v>
      </c>
      <c r="G16" s="25"/>
      <c r="H16" s="25">
        <f>C16/100*1</f>
        <v>94.05</v>
      </c>
      <c r="I16" s="119">
        <f>C16/100*68.5</f>
        <v>6442.4250000000002</v>
      </c>
      <c r="J16" s="81">
        <f>C16/100*30</f>
        <v>2821.5</v>
      </c>
      <c r="K16" s="27">
        <f>C16/100*0.1</f>
        <v>9.4049999999999994</v>
      </c>
      <c r="L16" s="137">
        <v>9405</v>
      </c>
      <c r="M16" s="75">
        <v>18</v>
      </c>
      <c r="N16" s="28">
        <f t="shared" si="0"/>
        <v>169290</v>
      </c>
      <c r="O16" s="153"/>
    </row>
    <row r="17" spans="1:20" s="2" customFormat="1" ht="19.8" customHeight="1">
      <c r="A17" s="9">
        <v>4</v>
      </c>
      <c r="B17" s="5" t="s">
        <v>69</v>
      </c>
      <c r="C17" s="23">
        <f>L17/100*48</f>
        <v>2092.8000000000002</v>
      </c>
      <c r="D17" s="24">
        <f>C17/100*199</f>
        <v>4164.6720000000005</v>
      </c>
      <c r="E17" s="119">
        <f>C17/100*22</f>
        <v>460.416</v>
      </c>
      <c r="F17" s="119"/>
      <c r="G17" s="119">
        <f>C17/100*13.1</f>
        <v>274.15679999999998</v>
      </c>
      <c r="H17" s="25"/>
      <c r="I17" s="25"/>
      <c r="J17" s="27">
        <f>C17/100*12</f>
        <v>251.13600000000002</v>
      </c>
      <c r="K17" s="27">
        <f>C17/100*0.15</f>
        <v>3.1392000000000002</v>
      </c>
      <c r="L17" s="137">
        <v>4360</v>
      </c>
      <c r="M17" s="26">
        <v>84</v>
      </c>
      <c r="N17" s="28">
        <f t="shared" si="0"/>
        <v>366240</v>
      </c>
      <c r="O17" s="153"/>
      <c r="Q17" s="3"/>
      <c r="R17" s="3"/>
      <c r="S17" s="4"/>
    </row>
    <row r="18" spans="1:20" s="2" customFormat="1" ht="19.8" customHeight="1">
      <c r="A18" s="9">
        <v>5</v>
      </c>
      <c r="B18" s="10" t="s">
        <v>71</v>
      </c>
      <c r="C18" s="23">
        <f>L18/100*98</f>
        <v>1009.4000000000001</v>
      </c>
      <c r="D18" s="24">
        <f>C18/100*139</f>
        <v>1403.0660000000003</v>
      </c>
      <c r="E18" s="119">
        <f>C18/100*20</f>
        <v>201.88000000000002</v>
      </c>
      <c r="F18" s="25"/>
      <c r="G18" s="25">
        <f>C18/100*7</f>
        <v>70.658000000000015</v>
      </c>
      <c r="H18" s="25"/>
      <c r="I18" s="25"/>
      <c r="J18" s="25">
        <f>C18/100*7</f>
        <v>70.658000000000015</v>
      </c>
      <c r="K18" s="25">
        <f>C18/100*0.9</f>
        <v>9.0846000000000018</v>
      </c>
      <c r="L18" s="137">
        <v>1030</v>
      </c>
      <c r="M18" s="75">
        <v>133</v>
      </c>
      <c r="N18" s="28">
        <f t="shared" si="0"/>
        <v>136990</v>
      </c>
      <c r="O18" s="153"/>
    </row>
    <row r="19" spans="1:20" s="2" customFormat="1" ht="19.8" customHeight="1">
      <c r="A19" s="9">
        <v>6</v>
      </c>
      <c r="B19" s="79" t="s">
        <v>143</v>
      </c>
      <c r="C19" s="23">
        <f>L19/100*89</f>
        <v>2198.2999999999997</v>
      </c>
      <c r="D19" s="24">
        <f>C19/100*154</f>
        <v>3385.3819999999996</v>
      </c>
      <c r="E19" s="119">
        <f>C19/100*13.1</f>
        <v>287.97729999999996</v>
      </c>
      <c r="F19" s="119"/>
      <c r="G19" s="119">
        <f>C19/100*11.1</f>
        <v>244.01129999999995</v>
      </c>
      <c r="H19" s="25"/>
      <c r="I19" s="25">
        <f>C19/100*0.4</f>
        <v>8.7931999999999988</v>
      </c>
      <c r="J19" s="81">
        <f>C19/100*64</f>
        <v>1406.9119999999998</v>
      </c>
      <c r="K19" s="27">
        <f>C19/100*0.13</f>
        <v>2.8577899999999996</v>
      </c>
      <c r="L19" s="26">
        <v>2470</v>
      </c>
      <c r="M19" s="54">
        <v>77</v>
      </c>
      <c r="N19" s="151">
        <f t="shared" si="0"/>
        <v>190190</v>
      </c>
      <c r="O19" s="153"/>
    </row>
    <row r="20" spans="1:20" s="2" customFormat="1" ht="19.8" customHeight="1">
      <c r="A20" s="9">
        <v>7</v>
      </c>
      <c r="B20" s="5" t="s">
        <v>134</v>
      </c>
      <c r="C20" s="23">
        <f>L20/100*100</f>
        <v>100</v>
      </c>
      <c r="D20" s="24">
        <f>C20/100*247</f>
        <v>247</v>
      </c>
      <c r="E20" s="29"/>
      <c r="F20" s="29">
        <f>C20/100*17.5</f>
        <v>17.5</v>
      </c>
      <c r="G20" s="29"/>
      <c r="H20" s="29">
        <f>C20/100*1.6</f>
        <v>1.6</v>
      </c>
      <c r="I20" s="29">
        <f>C20/100*39.2</f>
        <v>39.200000000000003</v>
      </c>
      <c r="J20" s="71"/>
      <c r="K20" s="71"/>
      <c r="L20" s="379">
        <v>100</v>
      </c>
      <c r="M20" s="75">
        <v>50</v>
      </c>
      <c r="N20" s="28">
        <f t="shared" si="0"/>
        <v>5000</v>
      </c>
      <c r="O20" s="153"/>
      <c r="Q20" s="3"/>
      <c r="R20" s="3"/>
      <c r="S20" s="4"/>
      <c r="T20" s="3"/>
    </row>
    <row r="21" spans="1:20" s="2" customFormat="1" ht="20.399999999999999" customHeight="1">
      <c r="A21" s="9">
        <v>8</v>
      </c>
      <c r="B21" s="5" t="s">
        <v>20</v>
      </c>
      <c r="C21" s="23">
        <f>L21/100*95</f>
        <v>0</v>
      </c>
      <c r="D21" s="24">
        <f>C21/100*20</f>
        <v>0</v>
      </c>
      <c r="E21" s="25"/>
      <c r="F21" s="25">
        <f>C21/100*0.6</f>
        <v>0</v>
      </c>
      <c r="G21" s="25"/>
      <c r="H21" s="25">
        <f>C21/100*0.2</f>
        <v>0</v>
      </c>
      <c r="I21" s="25">
        <f>C21/100*4</f>
        <v>0</v>
      </c>
      <c r="J21" s="27">
        <f>C21/100*12</f>
        <v>0</v>
      </c>
      <c r="K21" s="24">
        <f>C21/100*0.04</f>
        <v>0</v>
      </c>
      <c r="L21" s="137">
        <v>0</v>
      </c>
      <c r="M21" s="77">
        <v>22</v>
      </c>
      <c r="N21" s="28">
        <f t="shared" si="0"/>
        <v>0</v>
      </c>
      <c r="O21" s="380"/>
      <c r="Q21" s="3"/>
      <c r="R21" s="3"/>
      <c r="S21" s="4"/>
    </row>
    <row r="22" spans="1:20" s="141" customFormat="1" ht="20.399999999999999" customHeight="1">
      <c r="A22" s="164">
        <v>9</v>
      </c>
      <c r="B22" s="149" t="s">
        <v>170</v>
      </c>
      <c r="C22" s="165">
        <f>L22/100*77</f>
        <v>2879.7999999999997</v>
      </c>
      <c r="D22" s="139">
        <f>C22/100*35</f>
        <v>1007.93</v>
      </c>
      <c r="E22" s="169"/>
      <c r="F22" s="184">
        <f>C22/100*5.3</f>
        <v>152.62939999999998</v>
      </c>
      <c r="G22" s="169"/>
      <c r="H22" s="169"/>
      <c r="I22" s="169">
        <f>C22/100*3.4</f>
        <v>97.913199999999989</v>
      </c>
      <c r="J22" s="169">
        <f>C22/100*169</f>
        <v>4866.8620000000001</v>
      </c>
      <c r="K22" s="169">
        <f>C22/100*0.07</f>
        <v>2.01586</v>
      </c>
      <c r="L22" s="379">
        <v>3740</v>
      </c>
      <c r="M22" s="137">
        <v>35</v>
      </c>
      <c r="N22" s="135">
        <f t="shared" si="0"/>
        <v>130900</v>
      </c>
      <c r="O22" s="381"/>
      <c r="Q22" s="170"/>
      <c r="R22" s="170"/>
      <c r="S22" s="167"/>
    </row>
    <row r="23" spans="1:20" s="2" customFormat="1" ht="19.8" customHeight="1">
      <c r="A23" s="9">
        <v>10</v>
      </c>
      <c r="B23" s="149" t="s">
        <v>75</v>
      </c>
      <c r="C23" s="23">
        <f>L23/100*75</f>
        <v>1545</v>
      </c>
      <c r="D23" s="24">
        <f>C23/100*12</f>
        <v>185.39999999999998</v>
      </c>
      <c r="E23" s="25"/>
      <c r="F23" s="25">
        <f>C23/100*0.6</f>
        <v>9.27</v>
      </c>
      <c r="G23" s="25"/>
      <c r="H23" s="25"/>
      <c r="I23" s="25">
        <f>C23/100*2.4</f>
        <v>37.08</v>
      </c>
      <c r="J23" s="25">
        <f>C23/100*26</f>
        <v>401.7</v>
      </c>
      <c r="K23" s="25">
        <f>C23/100*0.02</f>
        <v>0.309</v>
      </c>
      <c r="L23" s="137">
        <v>2060</v>
      </c>
      <c r="M23" s="75">
        <v>20</v>
      </c>
      <c r="N23" s="28">
        <f t="shared" si="0"/>
        <v>41200</v>
      </c>
      <c r="O23" s="153"/>
    </row>
    <row r="24" spans="1:20" s="2" customFormat="1" ht="19.8" customHeight="1">
      <c r="A24" s="9">
        <v>11</v>
      </c>
      <c r="B24" s="6" t="s">
        <v>123</v>
      </c>
      <c r="C24" s="23"/>
      <c r="D24" s="24"/>
      <c r="E24" s="25"/>
      <c r="F24" s="25"/>
      <c r="G24" s="25"/>
      <c r="H24" s="25"/>
      <c r="I24" s="25"/>
      <c r="J24" s="27"/>
      <c r="K24" s="27"/>
      <c r="L24" s="26"/>
      <c r="M24" s="26"/>
      <c r="N24" s="28">
        <v>7600</v>
      </c>
      <c r="O24" s="153"/>
    </row>
    <row r="25" spans="1:20" s="2" customFormat="1" ht="19.8" customHeight="1">
      <c r="A25" s="21" t="s">
        <v>105</v>
      </c>
      <c r="B25" s="22"/>
      <c r="C25" s="34"/>
      <c r="D25" s="121">
        <f>SUM(D14:D24)</f>
        <v>43734.7</v>
      </c>
      <c r="E25" s="36"/>
      <c r="F25" s="36"/>
      <c r="G25" s="36"/>
      <c r="H25" s="36"/>
      <c r="I25" s="36"/>
      <c r="J25" s="36"/>
      <c r="K25" s="36"/>
      <c r="L25" s="37"/>
      <c r="M25" s="321"/>
      <c r="N25" s="264">
        <f>SUM(N14:N24)</f>
        <v>1070710</v>
      </c>
      <c r="O25" s="153"/>
    </row>
    <row r="26" spans="1:20" s="2" customFormat="1" ht="19.8" customHeight="1">
      <c r="A26" s="21" t="s">
        <v>6</v>
      </c>
      <c r="B26" s="22"/>
      <c r="C26" s="34"/>
      <c r="D26" s="35">
        <f>D25/D8</f>
        <v>441.76464646464643</v>
      </c>
      <c r="E26" s="36"/>
      <c r="F26" s="36"/>
      <c r="G26" s="36"/>
      <c r="H26" s="36"/>
      <c r="I26" s="36"/>
      <c r="J26" s="36"/>
      <c r="K26" s="36"/>
      <c r="L26" s="37"/>
      <c r="M26" s="322"/>
      <c r="N26" s="265"/>
      <c r="O26" s="153"/>
    </row>
    <row r="27" spans="1:20" s="2" customFormat="1" ht="19.8" customHeight="1">
      <c r="A27" s="304" t="s">
        <v>51</v>
      </c>
      <c r="B27" s="360"/>
      <c r="C27" s="382" t="s">
        <v>147</v>
      </c>
      <c r="D27" s="20" t="s">
        <v>45</v>
      </c>
      <c r="E27" s="36"/>
      <c r="F27" s="36"/>
      <c r="G27" s="36"/>
      <c r="H27" s="36"/>
      <c r="I27" s="36"/>
      <c r="J27" s="36"/>
      <c r="K27" s="36"/>
      <c r="L27" s="37"/>
      <c r="M27" s="37"/>
      <c r="N27" s="38"/>
      <c r="O27" s="153"/>
    </row>
    <row r="28" spans="1:20" s="2" customFormat="1" ht="19.8" customHeight="1">
      <c r="A28" s="361"/>
      <c r="B28" s="362"/>
      <c r="C28" s="76" t="s">
        <v>60</v>
      </c>
      <c r="D28" s="20">
        <f>D26*100/1320</f>
        <v>33.467018671564126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19.8" customHeight="1">
      <c r="A29" s="274" t="s">
        <v>35</v>
      </c>
      <c r="B29" s="274"/>
      <c r="C29" s="56"/>
      <c r="D29" s="57"/>
      <c r="E29" s="58"/>
      <c r="F29" s="58"/>
      <c r="G29" s="58"/>
      <c r="H29" s="58"/>
      <c r="I29" s="58"/>
      <c r="J29" s="58"/>
      <c r="K29" s="58"/>
      <c r="L29" s="59"/>
      <c r="M29" s="59"/>
      <c r="N29" s="69"/>
      <c r="O29" s="153"/>
    </row>
    <row r="30" spans="1:20" s="2" customFormat="1" ht="19.8" customHeight="1">
      <c r="A30" s="9">
        <v>1</v>
      </c>
      <c r="B30" s="10" t="s">
        <v>2</v>
      </c>
      <c r="C30" s="23">
        <f t="shared" ref="C30:C36" si="1">L30/100*100</f>
        <v>120</v>
      </c>
      <c r="D30" s="24">
        <f>C30/100*60</f>
        <v>72</v>
      </c>
      <c r="E30" s="25">
        <f>C30/100*15</f>
        <v>18</v>
      </c>
      <c r="F30" s="25"/>
      <c r="G30" s="25"/>
      <c r="H30" s="25"/>
      <c r="I30" s="25"/>
      <c r="J30" s="27">
        <f>C30/100*387</f>
        <v>464.4</v>
      </c>
      <c r="K30" s="27">
        <f>C30/100*0.09</f>
        <v>0.108</v>
      </c>
      <c r="L30" s="137">
        <v>120</v>
      </c>
      <c r="M30" s="75">
        <v>20</v>
      </c>
      <c r="N30" s="135">
        <f>L30*M30</f>
        <v>2400</v>
      </c>
      <c r="O30" s="153"/>
    </row>
    <row r="31" spans="1:20" s="2" customFormat="1" ht="19.8" customHeight="1">
      <c r="A31" s="9">
        <v>2</v>
      </c>
      <c r="B31" s="146" t="s">
        <v>139</v>
      </c>
      <c r="C31" s="23">
        <f t="shared" si="1"/>
        <v>500</v>
      </c>
      <c r="D31" s="24">
        <f>C31/100*899</f>
        <v>4495</v>
      </c>
      <c r="E31" s="25"/>
      <c r="F31" s="25"/>
      <c r="G31" s="119">
        <f>C31/100*100</f>
        <v>500</v>
      </c>
      <c r="H31" s="25"/>
      <c r="I31" s="25"/>
      <c r="J31" s="25"/>
      <c r="K31" s="25"/>
      <c r="L31" s="137">
        <v>500</v>
      </c>
      <c r="M31" s="144">
        <v>69</v>
      </c>
      <c r="N31" s="135">
        <f t="shared" ref="N31:N40" si="2">L31*M31</f>
        <v>34500</v>
      </c>
      <c r="O31" s="383"/>
    </row>
    <row r="32" spans="1:20" s="2" customFormat="1" ht="19.8" customHeight="1">
      <c r="A32" s="9">
        <v>3</v>
      </c>
      <c r="B32" s="148" t="s">
        <v>142</v>
      </c>
      <c r="C32" s="23">
        <f>L32/100*100</f>
        <v>150</v>
      </c>
      <c r="D32" s="120">
        <f>C32/100*900</f>
        <v>1350</v>
      </c>
      <c r="E32" s="25"/>
      <c r="F32" s="25"/>
      <c r="G32" s="119"/>
      <c r="H32" s="119">
        <f>C32/100*100</f>
        <v>150</v>
      </c>
      <c r="I32" s="25"/>
      <c r="J32" s="25"/>
      <c r="K32" s="25"/>
      <c r="L32" s="137">
        <v>150</v>
      </c>
      <c r="M32" s="75">
        <v>65</v>
      </c>
      <c r="N32" s="135">
        <f t="shared" si="2"/>
        <v>9750</v>
      </c>
      <c r="O32" s="383"/>
    </row>
    <row r="33" spans="1:23" s="2" customFormat="1" ht="19.8" customHeight="1">
      <c r="A33" s="9">
        <v>4</v>
      </c>
      <c r="B33" s="5" t="s">
        <v>1</v>
      </c>
      <c r="C33" s="23">
        <f t="shared" si="1"/>
        <v>1485</v>
      </c>
      <c r="D33" s="24">
        <f>C33/100*325</f>
        <v>4826.25</v>
      </c>
      <c r="E33" s="25"/>
      <c r="F33" s="119">
        <f>C33/100*7.9</f>
        <v>117.315</v>
      </c>
      <c r="G33" s="25"/>
      <c r="H33" s="25">
        <f>C33/100*1</f>
        <v>14.85</v>
      </c>
      <c r="I33" s="119">
        <f>C33/100*68.5</f>
        <v>1017.225</v>
      </c>
      <c r="J33" s="27">
        <f>C33/100*30</f>
        <v>445.5</v>
      </c>
      <c r="K33" s="27">
        <f>C33/100*0.1</f>
        <v>1.4850000000000001</v>
      </c>
      <c r="L33" s="137">
        <v>1485</v>
      </c>
      <c r="M33" s="75">
        <v>18</v>
      </c>
      <c r="N33" s="135">
        <f t="shared" si="2"/>
        <v>26730</v>
      </c>
      <c r="O33" s="153"/>
    </row>
    <row r="34" spans="1:23" s="2" customFormat="1" ht="19.8" customHeight="1">
      <c r="A34" s="9">
        <v>5</v>
      </c>
      <c r="B34" s="5" t="s">
        <v>73</v>
      </c>
      <c r="C34" s="23">
        <f t="shared" si="1"/>
        <v>990</v>
      </c>
      <c r="D34" s="24">
        <f>C34/100*344</f>
        <v>3405.6</v>
      </c>
      <c r="E34" s="25"/>
      <c r="F34" s="25">
        <f>C34/100*8.6</f>
        <v>85.14</v>
      </c>
      <c r="G34" s="25"/>
      <c r="H34" s="25">
        <f>C34/100*1.5</f>
        <v>14.850000000000001</v>
      </c>
      <c r="I34" s="25">
        <f>C34/100*74.5</f>
        <v>737.55000000000007</v>
      </c>
      <c r="J34" s="25">
        <f>C34/100*32</f>
        <v>316.8</v>
      </c>
      <c r="K34" s="25">
        <f>C34/100*0.14</f>
        <v>1.3860000000000001</v>
      </c>
      <c r="L34" s="137">
        <v>990</v>
      </c>
      <c r="M34" s="75">
        <v>30</v>
      </c>
      <c r="N34" s="135">
        <f t="shared" si="2"/>
        <v>29700</v>
      </c>
      <c r="O34" s="153"/>
      <c r="P34" s="18"/>
    </row>
    <row r="35" spans="1:23" s="2" customFormat="1" ht="19.8" customHeight="1">
      <c r="A35" s="9">
        <v>6</v>
      </c>
      <c r="B35" s="5" t="s">
        <v>67</v>
      </c>
      <c r="C35" s="23">
        <f t="shared" si="1"/>
        <v>200</v>
      </c>
      <c r="D35" s="24">
        <f>C35/100*334</f>
        <v>668</v>
      </c>
      <c r="E35" s="25"/>
      <c r="F35" s="25">
        <f>C35/100*20</f>
        <v>40</v>
      </c>
      <c r="G35" s="25"/>
      <c r="H35" s="25">
        <f>C35/100*2.4</f>
        <v>4.8</v>
      </c>
      <c r="I35" s="25">
        <f>C35/100*58</f>
        <v>116</v>
      </c>
      <c r="J35" s="27">
        <f>C35/100*89</f>
        <v>178</v>
      </c>
      <c r="K35" s="27">
        <f>C35/100*0.64</f>
        <v>1.28</v>
      </c>
      <c r="L35" s="137">
        <v>200</v>
      </c>
      <c r="M35" s="75">
        <v>190</v>
      </c>
      <c r="N35" s="135">
        <f>L35*M35</f>
        <v>38000</v>
      </c>
      <c r="O35" s="153"/>
    </row>
    <row r="36" spans="1:23" s="2" customFormat="1" ht="19.8" customHeight="1">
      <c r="A36" s="9">
        <v>7</v>
      </c>
      <c r="B36" s="5" t="s">
        <v>134</v>
      </c>
      <c r="C36" s="23">
        <f t="shared" si="1"/>
        <v>60</v>
      </c>
      <c r="D36" s="24">
        <f>C36/100*247</f>
        <v>148.19999999999999</v>
      </c>
      <c r="E36" s="29"/>
      <c r="F36" s="29">
        <f>C36/100*17.5</f>
        <v>10.5</v>
      </c>
      <c r="G36" s="29"/>
      <c r="H36" s="29">
        <f>C36/100*1.6</f>
        <v>0.96</v>
      </c>
      <c r="I36" s="29">
        <f>C36/100*39.2</f>
        <v>23.52</v>
      </c>
      <c r="J36" s="71"/>
      <c r="K36" s="71"/>
      <c r="L36" s="379">
        <v>60</v>
      </c>
      <c r="M36" s="75">
        <v>50</v>
      </c>
      <c r="N36" s="135">
        <f t="shared" ref="N36:N39" si="3">L36*M36</f>
        <v>3000</v>
      </c>
      <c r="O36" s="153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23">
        <f>L37/100*98.5</f>
        <v>1526.75</v>
      </c>
      <c r="D37" s="24">
        <f>C37/100*39</f>
        <v>595.4325</v>
      </c>
      <c r="E37" s="29"/>
      <c r="F37" s="29">
        <f>C37/100*1.5</f>
        <v>22.901250000000001</v>
      </c>
      <c r="G37" s="29"/>
      <c r="H37" s="29">
        <f>C37/100*0.2</f>
        <v>3.0535000000000001</v>
      </c>
      <c r="I37" s="29">
        <f>C37/100*7.8</f>
        <v>119.0865</v>
      </c>
      <c r="J37" s="29">
        <f>C37/100*43</f>
        <v>656.50250000000005</v>
      </c>
      <c r="K37" s="29">
        <f>C37/100*0.06</f>
        <v>0.91604999999999992</v>
      </c>
      <c r="L37" s="379">
        <v>1550</v>
      </c>
      <c r="M37" s="26">
        <v>17</v>
      </c>
      <c r="N37" s="135">
        <f t="shared" si="3"/>
        <v>26350</v>
      </c>
      <c r="O37" s="153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23">
        <f>L38/100*98</f>
        <v>1058.4000000000001</v>
      </c>
      <c r="D38" s="24">
        <f>C38/100*118</f>
        <v>1248.9120000000003</v>
      </c>
      <c r="E38" s="119">
        <f>C38/100*23</f>
        <v>243.43200000000004</v>
      </c>
      <c r="F38" s="25"/>
      <c r="G38" s="25">
        <f>C38/100*3.8</f>
        <v>40.219200000000001</v>
      </c>
      <c r="H38" s="25"/>
      <c r="I38" s="25"/>
      <c r="J38" s="25">
        <f>C38/100*12</f>
        <v>127.00800000000001</v>
      </c>
      <c r="K38" s="25">
        <f>C38/100*0.1</f>
        <v>1.0584000000000002</v>
      </c>
      <c r="L38" s="137">
        <v>1080</v>
      </c>
      <c r="M38" s="143">
        <v>270</v>
      </c>
      <c r="N38" s="135">
        <f t="shared" si="3"/>
        <v>291600</v>
      </c>
      <c r="O38" s="153"/>
    </row>
    <row r="39" spans="1:23" s="2" customFormat="1" ht="19.8" customHeight="1">
      <c r="A39" s="9">
        <v>9</v>
      </c>
      <c r="B39" s="5" t="s">
        <v>69</v>
      </c>
      <c r="C39" s="23">
        <f>L39/100*48</f>
        <v>1272</v>
      </c>
      <c r="D39" s="24">
        <f>C39/100*199</f>
        <v>2531.2800000000002</v>
      </c>
      <c r="E39" s="119">
        <f>C39/100*22</f>
        <v>279.84000000000003</v>
      </c>
      <c r="F39" s="119"/>
      <c r="G39" s="119">
        <f>C39/100*13.1</f>
        <v>166.63200000000001</v>
      </c>
      <c r="H39" s="25"/>
      <c r="I39" s="25"/>
      <c r="J39" s="27">
        <f>C39/100*12</f>
        <v>152.64000000000001</v>
      </c>
      <c r="K39" s="27">
        <f>C39/100*0.15</f>
        <v>1.9079999999999999</v>
      </c>
      <c r="L39" s="137">
        <v>2650</v>
      </c>
      <c r="M39" s="137">
        <v>84</v>
      </c>
      <c r="N39" s="135">
        <f t="shared" si="3"/>
        <v>222600</v>
      </c>
      <c r="O39" s="153"/>
      <c r="Q39" s="3"/>
      <c r="R39" s="3"/>
      <c r="S39" s="4"/>
    </row>
    <row r="40" spans="1:23" s="2" customFormat="1" ht="19.8" customHeight="1">
      <c r="A40" s="9">
        <v>10</v>
      </c>
      <c r="B40" s="152" t="s">
        <v>145</v>
      </c>
      <c r="C40" s="23">
        <f>L40/100*100</f>
        <v>1600</v>
      </c>
      <c r="D40" s="24">
        <f>C40/100*487</f>
        <v>7792</v>
      </c>
      <c r="E40" s="29"/>
      <c r="F40" s="171">
        <f>C40/100*19.5</f>
        <v>312</v>
      </c>
      <c r="G40" s="171"/>
      <c r="H40" s="171">
        <f>C40/100*23.2</f>
        <v>371.2</v>
      </c>
      <c r="I40" s="29">
        <f>C40/100*46</f>
        <v>736</v>
      </c>
      <c r="J40" s="119">
        <f>C40/100*680</f>
        <v>10880</v>
      </c>
      <c r="K40" s="25">
        <f>C40/100*0.55</f>
        <v>8.8000000000000007</v>
      </c>
      <c r="L40" s="30">
        <v>1600</v>
      </c>
      <c r="M40" s="143">
        <v>260</v>
      </c>
      <c r="N40" s="135">
        <f t="shared" si="2"/>
        <v>416000</v>
      </c>
      <c r="O40" s="153"/>
      <c r="P40" s="3"/>
    </row>
    <row r="41" spans="1:23" s="2" customFormat="1" ht="19.8" customHeight="1">
      <c r="A41" s="103">
        <v>11</v>
      </c>
      <c r="B41" s="112" t="s">
        <v>123</v>
      </c>
      <c r="C41" s="104"/>
      <c r="D41" s="105"/>
      <c r="E41" s="106"/>
      <c r="F41" s="106"/>
      <c r="G41" s="106"/>
      <c r="H41" s="106"/>
      <c r="I41" s="106"/>
      <c r="J41" s="114"/>
      <c r="K41" s="114"/>
      <c r="L41" s="107"/>
      <c r="M41" s="107"/>
      <c r="N41" s="108">
        <v>6480</v>
      </c>
      <c r="O41" s="153"/>
      <c r="P41" s="153"/>
    </row>
    <row r="42" spans="1:23" ht="21" customHeight="1">
      <c r="A42" s="191" t="s">
        <v>0</v>
      </c>
      <c r="B42" s="201" t="s">
        <v>19</v>
      </c>
      <c r="C42" s="329" t="s">
        <v>8</v>
      </c>
      <c r="D42" s="204" t="s">
        <v>9</v>
      </c>
      <c r="E42" s="194" t="s">
        <v>11</v>
      </c>
      <c r="F42" s="195"/>
      <c r="G42" s="194" t="s">
        <v>13</v>
      </c>
      <c r="H42" s="195"/>
      <c r="I42" s="198" t="s">
        <v>16</v>
      </c>
      <c r="J42" s="198" t="s">
        <v>41</v>
      </c>
      <c r="K42" s="198" t="s">
        <v>42</v>
      </c>
      <c r="L42" s="198" t="s">
        <v>17</v>
      </c>
      <c r="M42" s="198" t="s">
        <v>57</v>
      </c>
      <c r="N42" s="191" t="s">
        <v>18</v>
      </c>
      <c r="O42" s="378"/>
    </row>
    <row r="43" spans="1:23" ht="21" customHeight="1">
      <c r="A43" s="192"/>
      <c r="B43" s="202"/>
      <c r="C43" s="330"/>
      <c r="D43" s="205"/>
      <c r="E43" s="196"/>
      <c r="F43" s="197"/>
      <c r="G43" s="196"/>
      <c r="H43" s="197"/>
      <c r="I43" s="199"/>
      <c r="J43" s="199"/>
      <c r="K43" s="199"/>
      <c r="L43" s="199"/>
      <c r="M43" s="199"/>
      <c r="N43" s="192"/>
      <c r="O43" s="178"/>
    </row>
    <row r="44" spans="1:23" ht="21" customHeight="1">
      <c r="A44" s="192"/>
      <c r="B44" s="202"/>
      <c r="C44" s="330"/>
      <c r="D44" s="205"/>
      <c r="E44" s="198" t="s">
        <v>10</v>
      </c>
      <c r="F44" s="198" t="s">
        <v>12</v>
      </c>
      <c r="G44" s="198" t="s">
        <v>14</v>
      </c>
      <c r="H44" s="198" t="s">
        <v>15</v>
      </c>
      <c r="I44" s="199"/>
      <c r="J44" s="199"/>
      <c r="K44" s="199"/>
      <c r="L44" s="199"/>
      <c r="M44" s="199"/>
      <c r="N44" s="192"/>
      <c r="O44" s="178"/>
    </row>
    <row r="45" spans="1:23" ht="21" customHeight="1">
      <c r="A45" s="193"/>
      <c r="B45" s="203"/>
      <c r="C45" s="331"/>
      <c r="D45" s="206"/>
      <c r="E45" s="200"/>
      <c r="F45" s="200"/>
      <c r="G45" s="200"/>
      <c r="H45" s="200"/>
      <c r="I45" s="200"/>
      <c r="J45" s="200"/>
      <c r="K45" s="200"/>
      <c r="L45" s="200"/>
      <c r="M45" s="200"/>
      <c r="N45" s="193"/>
      <c r="O45" s="178"/>
    </row>
    <row r="46" spans="1:23" s="2" customFormat="1" ht="21" customHeight="1">
      <c r="A46" s="21" t="s">
        <v>106</v>
      </c>
      <c r="B46" s="22"/>
      <c r="C46" s="34"/>
      <c r="D46" s="121">
        <f>SUM(D30:D41)</f>
        <v>27132.674500000001</v>
      </c>
      <c r="E46" s="43"/>
      <c r="F46" s="43"/>
      <c r="G46" s="43"/>
      <c r="H46" s="43"/>
      <c r="I46" s="43"/>
      <c r="J46" s="43"/>
      <c r="K46" s="43"/>
      <c r="L46" s="44"/>
      <c r="M46" s="319"/>
      <c r="N46" s="264">
        <f>SUM(N30:N41)</f>
        <v>1107110</v>
      </c>
      <c r="O46" s="153"/>
    </row>
    <row r="47" spans="1:23" ht="21" customHeight="1">
      <c r="A47" s="21" t="s">
        <v>7</v>
      </c>
      <c r="B47" s="22"/>
      <c r="C47" s="45"/>
      <c r="D47" s="46">
        <f>D46/D8</f>
        <v>274.06741919191921</v>
      </c>
      <c r="E47" s="46"/>
      <c r="F47" s="46"/>
      <c r="G47" s="46"/>
      <c r="H47" s="46"/>
      <c r="I47" s="46"/>
      <c r="J47" s="46"/>
      <c r="K47" s="46"/>
      <c r="L47" s="47"/>
      <c r="M47" s="320"/>
      <c r="N47" s="265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304" t="s">
        <v>52</v>
      </c>
      <c r="B48" s="212"/>
      <c r="C48" s="382" t="s">
        <v>147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9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3"/>
      <c r="B49" s="214"/>
      <c r="C49" s="76" t="s">
        <v>60</v>
      </c>
      <c r="D49" s="20">
        <f>D47*100/1320</f>
        <v>20.76268327211509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28" t="s">
        <v>107</v>
      </c>
      <c r="B50" s="229"/>
      <c r="C50" s="232"/>
      <c r="D50" s="299">
        <f>D25+D46</f>
        <v>70867.374500000005</v>
      </c>
      <c r="E50" s="123">
        <f>SUM(E14:E41)</f>
        <v>1511.0453000000002</v>
      </c>
      <c r="F50" s="123">
        <f t="shared" ref="F50:H50" si="4">SUM(F14:F41)</f>
        <v>1510.25065</v>
      </c>
      <c r="G50" s="123">
        <f t="shared" si="4"/>
        <v>1595.6773000000001</v>
      </c>
      <c r="H50" s="50">
        <f t="shared" si="4"/>
        <v>655.36349999999993</v>
      </c>
      <c r="I50" s="217">
        <f>SUM(I14:I41)</f>
        <v>9374.7929000000004</v>
      </c>
      <c r="J50" s="217">
        <f>SUM(J14:J41)</f>
        <v>23542.718499999999</v>
      </c>
      <c r="K50" s="215">
        <f>SUM(K14:K41)</f>
        <v>43.869900000000001</v>
      </c>
      <c r="L50" s="244"/>
      <c r="M50" s="244"/>
      <c r="N50" s="301">
        <f>N25+N46</f>
        <v>2177820</v>
      </c>
      <c r="U50" s="12"/>
      <c r="V50" s="12"/>
    </row>
    <row r="51" spans="1:23" ht="21" customHeight="1">
      <c r="A51" s="230"/>
      <c r="B51" s="231"/>
      <c r="C51" s="233"/>
      <c r="D51" s="300"/>
      <c r="E51" s="326">
        <f>E50+F50</f>
        <v>3021.2959500000002</v>
      </c>
      <c r="F51" s="327"/>
      <c r="G51" s="226">
        <f>G50+H50</f>
        <v>2251.0407999999998</v>
      </c>
      <c r="H51" s="227"/>
      <c r="I51" s="218"/>
      <c r="J51" s="218"/>
      <c r="K51" s="216"/>
      <c r="L51" s="244"/>
      <c r="M51" s="244"/>
      <c r="N51" s="301"/>
      <c r="U51" s="12"/>
      <c r="V51" s="12"/>
    </row>
    <row r="52" spans="1:23" ht="21" customHeight="1">
      <c r="A52" s="268" t="s">
        <v>77</v>
      </c>
      <c r="B52" s="269"/>
      <c r="C52" s="270"/>
      <c r="D52" s="138">
        <f>D50/D8</f>
        <v>715.83206565656576</v>
      </c>
      <c r="E52" s="384">
        <f>E50/D8</f>
        <v>15.263083838383841</v>
      </c>
      <c r="F52" s="385">
        <f>F50/D8</f>
        <v>15.255057070707069</v>
      </c>
      <c r="G52" s="384">
        <f>G50/D8</f>
        <v>16.117952525252527</v>
      </c>
      <c r="H52" s="385">
        <f>H50/D8</f>
        <v>6.6198333333333323</v>
      </c>
      <c r="I52" s="209">
        <f>I50/D8</f>
        <v>94.694877777777776</v>
      </c>
      <c r="J52" s="209">
        <f>J50/D8</f>
        <v>237.80523737373736</v>
      </c>
      <c r="K52" s="302">
        <f>K50/D8</f>
        <v>0.44313030303030304</v>
      </c>
      <c r="L52" s="244"/>
      <c r="M52" s="244"/>
      <c r="N52" s="301"/>
      <c r="P52" s="373"/>
      <c r="Q52" s="375"/>
      <c r="R52" s="375"/>
      <c r="S52" s="375"/>
      <c r="T52" s="375"/>
      <c r="U52" s="386"/>
      <c r="V52" s="386"/>
    </row>
    <row r="53" spans="1:23" ht="21" customHeight="1">
      <c r="A53" s="271"/>
      <c r="B53" s="272"/>
      <c r="C53" s="273"/>
      <c r="D53" s="127"/>
      <c r="E53" s="387">
        <f>E52+F52</f>
        <v>30.51814090909091</v>
      </c>
      <c r="F53" s="388"/>
      <c r="G53" s="387">
        <f>G52+H52</f>
        <v>22.737785858585859</v>
      </c>
      <c r="H53" s="388"/>
      <c r="I53" s="210"/>
      <c r="J53" s="210"/>
      <c r="K53" s="303"/>
      <c r="L53" s="244"/>
      <c r="M53" s="244"/>
      <c r="N53" s="301"/>
      <c r="P53" s="389"/>
      <c r="Q53" s="375"/>
      <c r="R53" s="375"/>
      <c r="S53" s="375"/>
      <c r="T53" s="375"/>
      <c r="U53" s="375"/>
      <c r="V53" s="375"/>
    </row>
    <row r="54" spans="1:23" ht="21" customHeight="1">
      <c r="A54" s="316" t="s">
        <v>80</v>
      </c>
      <c r="B54" s="317"/>
      <c r="C54" s="318"/>
      <c r="D54" s="183" t="s">
        <v>28</v>
      </c>
      <c r="E54" s="236" t="s">
        <v>21</v>
      </c>
      <c r="F54" s="236"/>
      <c r="G54" s="236" t="s">
        <v>22</v>
      </c>
      <c r="H54" s="236"/>
      <c r="I54" s="390" t="s">
        <v>23</v>
      </c>
      <c r="J54" s="390">
        <v>600</v>
      </c>
      <c r="K54" s="390">
        <v>0.7</v>
      </c>
      <c r="L54" s="244"/>
      <c r="M54" s="244"/>
      <c r="N54" s="301"/>
      <c r="O54" s="391"/>
      <c r="P54" s="373"/>
      <c r="Q54" s="373"/>
      <c r="R54" s="373"/>
      <c r="S54" s="373"/>
      <c r="T54" s="373"/>
      <c r="U54" s="373"/>
      <c r="V54" s="373"/>
    </row>
    <row r="55" spans="1:23" ht="21" customHeight="1">
      <c r="A55" s="219" t="s">
        <v>78</v>
      </c>
      <c r="B55" s="220"/>
      <c r="C55" s="221"/>
      <c r="D55" s="49"/>
      <c r="E55" s="207">
        <f>E53*4.1</f>
        <v>125.12437772727272</v>
      </c>
      <c r="F55" s="208"/>
      <c r="G55" s="207">
        <f>G53*9</f>
        <v>204.64007272727272</v>
      </c>
      <c r="H55" s="208"/>
      <c r="I55" s="122">
        <f>I52*4.1</f>
        <v>388.24899888888888</v>
      </c>
      <c r="J55" s="254"/>
      <c r="K55" s="254"/>
      <c r="L55" s="244"/>
      <c r="M55" s="244"/>
      <c r="N55" s="301"/>
      <c r="O55" s="391"/>
      <c r="P55" s="392"/>
      <c r="Q55" s="374"/>
      <c r="R55" s="374"/>
      <c r="S55" s="374"/>
      <c r="T55" s="373"/>
      <c r="U55" s="373"/>
      <c r="V55" s="373"/>
    </row>
    <row r="56" spans="1:23" ht="21" customHeight="1">
      <c r="A56" s="222" t="s">
        <v>81</v>
      </c>
      <c r="B56" s="223"/>
      <c r="C56" s="219" t="s">
        <v>59</v>
      </c>
      <c r="D56" s="221"/>
      <c r="E56" s="297">
        <f>E55*100/D52</f>
        <v>17.479571498729641</v>
      </c>
      <c r="F56" s="298"/>
      <c r="G56" s="297">
        <f>G55*100/D52</f>
        <v>28.587720855949016</v>
      </c>
      <c r="H56" s="298"/>
      <c r="I56" s="116">
        <f>I55*100/D52</f>
        <v>54.237441645308863</v>
      </c>
      <c r="J56" s="255"/>
      <c r="K56" s="255"/>
      <c r="L56" s="244"/>
      <c r="M56" s="244"/>
      <c r="N56" s="301"/>
      <c r="O56" s="391"/>
      <c r="P56" s="373"/>
      <c r="Q56" s="373"/>
      <c r="R56" s="373"/>
      <c r="S56" s="373"/>
      <c r="T56" s="373"/>
      <c r="U56" s="373"/>
      <c r="V56" s="373"/>
    </row>
    <row r="57" spans="1:23" ht="21" customHeight="1">
      <c r="A57" s="224"/>
      <c r="B57" s="225"/>
      <c r="C57" s="219" t="s">
        <v>79</v>
      </c>
      <c r="D57" s="221"/>
      <c r="E57" s="219" t="s">
        <v>82</v>
      </c>
      <c r="F57" s="221"/>
      <c r="G57" s="219" t="s">
        <v>83</v>
      </c>
      <c r="H57" s="221"/>
      <c r="I57" s="183" t="s">
        <v>84</v>
      </c>
      <c r="J57" s="235"/>
      <c r="K57" s="235"/>
      <c r="L57" s="244"/>
      <c r="M57" s="244"/>
      <c r="N57" s="301"/>
      <c r="O57" s="391"/>
      <c r="P57" s="132"/>
    </row>
    <row r="58" spans="1:23" ht="21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91"/>
    </row>
    <row r="59" spans="1:23" ht="21" customHeight="1">
      <c r="A59" s="294" t="s">
        <v>114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391"/>
    </row>
    <row r="60" spans="1:23" ht="21" customHeight="1">
      <c r="A60" s="117" t="s">
        <v>115</v>
      </c>
      <c r="B60" s="295" t="s">
        <v>116</v>
      </c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391"/>
    </row>
    <row r="61" spans="1:23" ht="21" customHeight="1">
      <c r="A61" s="118"/>
      <c r="B61" s="259" t="s">
        <v>219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391"/>
    </row>
    <row r="62" spans="1:23" ht="21" customHeight="1">
      <c r="A62" s="118"/>
      <c r="B62" s="259" t="s">
        <v>193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391"/>
    </row>
    <row r="63" spans="1:23" ht="21" customHeight="1">
      <c r="A63" s="118"/>
      <c r="B63" s="259" t="s">
        <v>220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391"/>
    </row>
    <row r="64" spans="1:23" ht="21" customHeight="1">
      <c r="A64" s="90"/>
      <c r="B64" s="260" t="s">
        <v>117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391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91"/>
    </row>
    <row r="66" spans="1:15" ht="21" customHeight="1">
      <c r="A66" s="261" t="s">
        <v>62</v>
      </c>
      <c r="B66" s="261"/>
      <c r="C66" s="261"/>
      <c r="D66" s="261"/>
      <c r="E66" s="393"/>
      <c r="F66" s="393"/>
      <c r="G66" s="393"/>
      <c r="H66" s="393"/>
      <c r="I66" s="393"/>
      <c r="J66" s="394" t="s">
        <v>33</v>
      </c>
      <c r="K66" s="394"/>
      <c r="L66" s="394"/>
      <c r="M66" s="394"/>
      <c r="N66" s="394"/>
      <c r="O66" s="391"/>
    </row>
    <row r="67" spans="1:15" ht="21" customHeight="1">
      <c r="A67" s="178"/>
      <c r="B67" s="178"/>
      <c r="C67" s="178"/>
      <c r="D67" s="393"/>
      <c r="E67" s="393"/>
      <c r="F67" s="393"/>
      <c r="G67" s="393"/>
      <c r="H67" s="395"/>
      <c r="I67" s="395"/>
      <c r="J67" s="395"/>
      <c r="K67" s="395"/>
      <c r="L67" s="395"/>
      <c r="M67" s="395"/>
      <c r="N67" s="395"/>
      <c r="O67" s="391"/>
    </row>
    <row r="68" spans="1:15" ht="21" customHeight="1">
      <c r="A68" s="178"/>
      <c r="B68" s="178"/>
      <c r="C68" s="178"/>
      <c r="D68" s="393"/>
      <c r="E68" s="393"/>
      <c r="F68" s="393"/>
      <c r="G68" s="393"/>
      <c r="H68" s="395"/>
      <c r="I68" s="395"/>
      <c r="J68" s="395"/>
      <c r="K68" s="395"/>
      <c r="L68" s="395"/>
      <c r="M68" s="395"/>
      <c r="N68" s="395"/>
      <c r="O68" s="391"/>
    </row>
    <row r="69" spans="1:15" ht="21" customHeight="1">
      <c r="A69" s="178"/>
      <c r="B69" s="178"/>
      <c r="C69" s="178"/>
      <c r="D69" s="393"/>
      <c r="E69" s="393"/>
      <c r="F69" s="393"/>
      <c r="G69" s="393"/>
      <c r="H69" s="395"/>
      <c r="I69" s="395"/>
      <c r="J69" s="396" t="s">
        <v>124</v>
      </c>
      <c r="K69" s="396"/>
      <c r="L69" s="396"/>
      <c r="M69" s="396"/>
      <c r="N69" s="396"/>
      <c r="O69" s="391"/>
    </row>
    <row r="70" spans="1:15" ht="21" customHeight="1">
      <c r="A70" s="262" t="s">
        <v>91</v>
      </c>
      <c r="B70" s="262"/>
      <c r="C70" s="262"/>
      <c r="D70" s="262"/>
      <c r="E70" s="393"/>
      <c r="F70" s="393"/>
      <c r="G70" s="393"/>
      <c r="H70" s="395"/>
      <c r="I70" s="395"/>
      <c r="O70" s="391"/>
    </row>
    <row r="71" spans="1:15" ht="21" customHeight="1">
      <c r="A71" s="178"/>
      <c r="B71" s="178"/>
      <c r="C71" s="178"/>
      <c r="D71" s="393"/>
      <c r="E71" s="393"/>
      <c r="F71" s="393"/>
      <c r="G71" s="393"/>
      <c r="H71" s="395"/>
      <c r="I71" s="395"/>
      <c r="J71" s="395"/>
      <c r="K71" s="395"/>
      <c r="L71" s="395"/>
      <c r="M71" s="395"/>
      <c r="N71" s="395"/>
      <c r="O71" s="391"/>
    </row>
    <row r="72" spans="1:15" ht="21" customHeight="1">
      <c r="A72" s="178"/>
      <c r="B72" s="178"/>
      <c r="C72" s="178"/>
      <c r="D72" s="393"/>
      <c r="E72" s="393"/>
      <c r="F72" s="393"/>
      <c r="G72" s="393"/>
      <c r="H72" s="395"/>
      <c r="I72" s="395"/>
      <c r="J72" s="396" t="s">
        <v>127</v>
      </c>
      <c r="K72" s="396"/>
      <c r="L72" s="396"/>
      <c r="M72" s="396"/>
      <c r="N72" s="396"/>
      <c r="O72" s="391"/>
    </row>
    <row r="73" spans="1:15" ht="21" customHeight="1">
      <c r="A73" s="178"/>
      <c r="B73" s="178"/>
      <c r="C73" s="178"/>
      <c r="D73" s="393"/>
      <c r="E73" s="393"/>
      <c r="F73" s="393"/>
      <c r="G73" s="393"/>
      <c r="H73" s="395"/>
      <c r="I73" s="395"/>
      <c r="J73" s="395"/>
      <c r="K73" s="395"/>
      <c r="L73" s="395"/>
      <c r="M73" s="395"/>
      <c r="N73" s="395"/>
      <c r="O73" s="391"/>
    </row>
    <row r="74" spans="1:15" ht="21" customHeight="1">
      <c r="A74" s="178"/>
      <c r="B74" s="178"/>
      <c r="C74" s="178"/>
      <c r="D74" s="393"/>
      <c r="E74" s="393"/>
      <c r="F74" s="393"/>
      <c r="G74" s="393"/>
      <c r="H74" s="395"/>
      <c r="I74" s="395"/>
      <c r="J74" s="395"/>
      <c r="K74" s="395"/>
      <c r="L74" s="395"/>
      <c r="M74" s="395"/>
      <c r="N74" s="395"/>
      <c r="O74" s="391"/>
    </row>
    <row r="75" spans="1:15" ht="21" customHeight="1">
      <c r="A75" s="178"/>
      <c r="B75" s="178"/>
      <c r="C75" s="178"/>
      <c r="D75" s="393"/>
      <c r="E75" s="393"/>
      <c r="F75" s="393"/>
      <c r="G75" s="393"/>
      <c r="H75" s="395"/>
      <c r="I75" s="395"/>
      <c r="J75" s="395"/>
      <c r="K75" s="395"/>
      <c r="L75" s="395"/>
      <c r="M75" s="395"/>
      <c r="N75" s="395"/>
      <c r="O75" s="391"/>
    </row>
    <row r="76" spans="1:15" ht="21" customHeight="1">
      <c r="A76" s="178"/>
      <c r="B76" s="178"/>
      <c r="C76" s="178"/>
      <c r="D76" s="393"/>
      <c r="E76" s="393"/>
      <c r="F76" s="393"/>
      <c r="G76" s="393"/>
      <c r="H76" s="395"/>
      <c r="I76" s="395"/>
      <c r="J76" s="395"/>
      <c r="K76" s="395"/>
      <c r="L76" s="395"/>
      <c r="M76" s="395"/>
      <c r="N76" s="395"/>
      <c r="O76" s="391"/>
    </row>
    <row r="77" spans="1:15" ht="21" customHeight="1">
      <c r="A77" s="178"/>
      <c r="B77" s="178"/>
      <c r="C77" s="178"/>
      <c r="D77" s="393"/>
      <c r="E77" s="393"/>
      <c r="F77" s="393"/>
      <c r="G77" s="393"/>
      <c r="H77" s="395"/>
      <c r="I77" s="395"/>
      <c r="J77" s="395"/>
      <c r="K77" s="395"/>
      <c r="L77" s="395"/>
      <c r="M77" s="395"/>
      <c r="N77" s="395"/>
      <c r="O77" s="391"/>
    </row>
    <row r="78" spans="1:15" ht="21" customHeight="1">
      <c r="A78" s="178"/>
      <c r="B78" s="178"/>
      <c r="C78" s="178"/>
      <c r="D78" s="393"/>
      <c r="E78" s="393"/>
      <c r="F78" s="393"/>
      <c r="G78" s="393"/>
      <c r="H78" s="395"/>
      <c r="I78" s="395"/>
      <c r="J78" s="395"/>
      <c r="K78" s="395"/>
      <c r="L78" s="395"/>
      <c r="M78" s="395"/>
      <c r="N78" s="395"/>
      <c r="O78" s="391"/>
    </row>
    <row r="79" spans="1:15" ht="21" customHeight="1">
      <c r="A79" s="178"/>
      <c r="B79" s="178"/>
      <c r="C79" s="178"/>
      <c r="D79" s="393"/>
      <c r="E79" s="393"/>
      <c r="F79" s="393"/>
      <c r="G79" s="393"/>
      <c r="H79" s="395"/>
      <c r="I79" s="395"/>
      <c r="J79" s="395"/>
      <c r="K79" s="395"/>
      <c r="L79" s="395"/>
      <c r="M79" s="395"/>
      <c r="N79" s="395"/>
      <c r="O79" s="391"/>
    </row>
    <row r="80" spans="1:15" ht="21" customHeight="1">
      <c r="A80" s="178"/>
      <c r="B80" s="178"/>
      <c r="C80" s="178"/>
      <c r="D80" s="393"/>
      <c r="E80" s="393"/>
      <c r="F80" s="393"/>
      <c r="G80" s="393"/>
      <c r="H80" s="395"/>
      <c r="I80" s="395"/>
      <c r="J80" s="395"/>
      <c r="K80" s="395"/>
      <c r="L80" s="395"/>
      <c r="M80" s="395"/>
      <c r="N80" s="395"/>
      <c r="O80" s="391"/>
    </row>
    <row r="81" spans="1:20" ht="21" customHeight="1">
      <c r="A81" s="178"/>
      <c r="B81" s="178"/>
      <c r="C81" s="178"/>
      <c r="D81" s="393"/>
      <c r="E81" s="393"/>
      <c r="F81" s="393"/>
      <c r="G81" s="393"/>
      <c r="H81" s="395"/>
      <c r="I81" s="395"/>
      <c r="J81" s="395"/>
      <c r="K81" s="395"/>
      <c r="L81" s="395"/>
      <c r="M81" s="395"/>
      <c r="N81" s="395"/>
      <c r="O81" s="391"/>
    </row>
    <row r="82" spans="1:20" ht="19.8" customHeight="1">
      <c r="A82" s="11" t="s">
        <v>61</v>
      </c>
      <c r="B82" s="8"/>
      <c r="C82" s="8"/>
      <c r="D82" s="8"/>
      <c r="E82" s="8"/>
      <c r="F82" s="189" t="s">
        <v>32</v>
      </c>
      <c r="G82" s="189"/>
      <c r="H82" s="189"/>
      <c r="I82" s="189"/>
      <c r="J82" s="189"/>
      <c r="K82" s="189"/>
      <c r="L82" s="189"/>
      <c r="M82" s="189"/>
      <c r="N82" s="189"/>
      <c r="O82" s="376"/>
      <c r="P82" s="376"/>
      <c r="T82" s="2"/>
    </row>
    <row r="83" spans="1:20" ht="19.8" customHeight="1">
      <c r="A83" s="8" t="s">
        <v>218</v>
      </c>
      <c r="B83" s="8"/>
      <c r="C83" s="8"/>
      <c r="D83" s="8"/>
      <c r="E83" s="8"/>
      <c r="F83" s="182"/>
      <c r="G83" s="182"/>
      <c r="H83" s="182"/>
      <c r="I83" s="182"/>
      <c r="J83" s="182"/>
      <c r="K83" s="182"/>
      <c r="L83" s="182"/>
      <c r="M83" s="182"/>
      <c r="N83" s="182"/>
      <c r="O83" s="376"/>
      <c r="P83" s="376"/>
      <c r="T83" s="2"/>
    </row>
    <row r="84" spans="1:20" s="2" customFormat="1" ht="18" customHeight="1">
      <c r="A84" s="236" t="s">
        <v>97</v>
      </c>
      <c r="B84" s="236"/>
      <c r="C84" s="236"/>
      <c r="D84" s="236"/>
      <c r="E84" s="236" t="s">
        <v>89</v>
      </c>
      <c r="F84" s="236"/>
      <c r="G84" s="236"/>
      <c r="H84" s="236"/>
      <c r="I84" s="236"/>
      <c r="J84" s="236"/>
      <c r="K84" s="236"/>
      <c r="L84" s="236"/>
      <c r="M84" s="236"/>
      <c r="N84" s="236"/>
      <c r="O84" s="377"/>
    </row>
    <row r="85" spans="1:20" s="2" customFormat="1" ht="18" customHeight="1">
      <c r="A85" s="236"/>
      <c r="B85" s="236"/>
      <c r="C85" s="236"/>
      <c r="D85" s="236"/>
      <c r="E85" s="236" t="s">
        <v>104</v>
      </c>
      <c r="F85" s="236"/>
      <c r="G85" s="236"/>
      <c r="H85" s="236"/>
      <c r="I85" s="236"/>
      <c r="J85" s="236" t="s">
        <v>101</v>
      </c>
      <c r="K85" s="236"/>
      <c r="L85" s="236"/>
      <c r="M85" s="236"/>
      <c r="N85" s="236"/>
      <c r="O85" s="377"/>
    </row>
    <row r="86" spans="1:20" s="2" customFormat="1" ht="18" customHeight="1">
      <c r="A86" s="266" t="s">
        <v>90</v>
      </c>
      <c r="B86" s="266"/>
      <c r="C86" s="266"/>
      <c r="D86" s="266"/>
      <c r="E86" s="267" t="s">
        <v>144</v>
      </c>
      <c r="F86" s="267"/>
      <c r="G86" s="267"/>
      <c r="H86" s="267"/>
      <c r="I86" s="267"/>
      <c r="J86" s="282" t="s">
        <v>164</v>
      </c>
      <c r="K86" s="283"/>
      <c r="L86" s="283"/>
      <c r="M86" s="283"/>
      <c r="N86" s="284"/>
      <c r="O86" s="377"/>
    </row>
    <row r="87" spans="1:20" s="2" customFormat="1" ht="18" customHeight="1">
      <c r="A87" s="344" t="s">
        <v>221</v>
      </c>
      <c r="B87" s="345"/>
      <c r="C87" s="345"/>
      <c r="D87" s="346"/>
      <c r="E87" s="267"/>
      <c r="F87" s="267"/>
      <c r="G87" s="267"/>
      <c r="H87" s="267"/>
      <c r="I87" s="267"/>
      <c r="J87" s="285"/>
      <c r="K87" s="286"/>
      <c r="L87" s="286"/>
      <c r="M87" s="286"/>
      <c r="N87" s="287"/>
      <c r="O87" s="377"/>
    </row>
    <row r="88" spans="1:20" s="2" customFormat="1" ht="18" customHeight="1">
      <c r="A88" s="347" t="s">
        <v>192</v>
      </c>
      <c r="B88" s="347"/>
      <c r="C88" s="347"/>
      <c r="D88" s="347"/>
      <c r="E88" s="267"/>
      <c r="F88" s="267"/>
      <c r="G88" s="267"/>
      <c r="H88" s="267"/>
      <c r="I88" s="267"/>
      <c r="J88" s="288"/>
      <c r="K88" s="289"/>
      <c r="L88" s="289"/>
      <c r="M88" s="289"/>
      <c r="N88" s="290"/>
      <c r="O88" s="377"/>
    </row>
    <row r="89" spans="1:20" ht="18" customHeight="1">
      <c r="A89" s="276" t="s">
        <v>122</v>
      </c>
      <c r="B89" s="277"/>
      <c r="C89" s="278"/>
      <c r="D89" s="128">
        <v>43</v>
      </c>
      <c r="E89" s="8"/>
      <c r="F89" s="182"/>
      <c r="G89" s="182"/>
      <c r="H89" s="182"/>
      <c r="I89" s="182"/>
      <c r="J89" s="182"/>
      <c r="K89" s="182"/>
      <c r="L89" s="182"/>
      <c r="M89" s="182"/>
      <c r="N89" s="182"/>
      <c r="O89" s="376"/>
      <c r="P89" s="376"/>
      <c r="T89" s="2"/>
    </row>
    <row r="90" spans="1:20" ht="19.8" customHeight="1">
      <c r="A90" s="191" t="s">
        <v>0</v>
      </c>
      <c r="B90" s="201" t="s">
        <v>19</v>
      </c>
      <c r="C90" s="368" t="s">
        <v>8</v>
      </c>
      <c r="D90" s="204" t="s">
        <v>9</v>
      </c>
      <c r="E90" s="364" t="s">
        <v>11</v>
      </c>
      <c r="F90" s="365"/>
      <c r="G90" s="364" t="s">
        <v>13</v>
      </c>
      <c r="H90" s="365"/>
      <c r="I90" s="198" t="s">
        <v>16</v>
      </c>
      <c r="J90" s="198" t="s">
        <v>41</v>
      </c>
      <c r="K90" s="198" t="s">
        <v>42</v>
      </c>
      <c r="L90" s="198" t="s">
        <v>17</v>
      </c>
      <c r="M90" s="198" t="s">
        <v>57</v>
      </c>
      <c r="N90" s="191" t="s">
        <v>18</v>
      </c>
      <c r="O90" s="378"/>
    </row>
    <row r="91" spans="1:20" ht="19.8" customHeight="1">
      <c r="A91" s="192"/>
      <c r="B91" s="202"/>
      <c r="C91" s="369"/>
      <c r="D91" s="205"/>
      <c r="E91" s="366"/>
      <c r="F91" s="367"/>
      <c r="G91" s="366"/>
      <c r="H91" s="367"/>
      <c r="I91" s="199"/>
      <c r="J91" s="199"/>
      <c r="K91" s="199"/>
      <c r="L91" s="199"/>
      <c r="M91" s="199"/>
      <c r="N91" s="192"/>
      <c r="O91" s="178"/>
    </row>
    <row r="92" spans="1:20" ht="19.8" customHeight="1">
      <c r="A92" s="192"/>
      <c r="B92" s="202"/>
      <c r="C92" s="369"/>
      <c r="D92" s="205"/>
      <c r="E92" s="198" t="s">
        <v>10</v>
      </c>
      <c r="F92" s="198" t="s">
        <v>12</v>
      </c>
      <c r="G92" s="198" t="s">
        <v>94</v>
      </c>
      <c r="H92" s="198" t="s">
        <v>15</v>
      </c>
      <c r="I92" s="199"/>
      <c r="J92" s="199"/>
      <c r="K92" s="199"/>
      <c r="L92" s="199"/>
      <c r="M92" s="199"/>
      <c r="N92" s="192"/>
      <c r="O92" s="178"/>
    </row>
    <row r="93" spans="1:20" ht="19.8" customHeight="1">
      <c r="A93" s="193"/>
      <c r="B93" s="203"/>
      <c r="C93" s="370"/>
      <c r="D93" s="206"/>
      <c r="E93" s="200"/>
      <c r="F93" s="200"/>
      <c r="G93" s="200"/>
      <c r="H93" s="200"/>
      <c r="I93" s="200"/>
      <c r="J93" s="200"/>
      <c r="K93" s="200"/>
      <c r="L93" s="200"/>
      <c r="M93" s="200"/>
      <c r="N93" s="193"/>
      <c r="O93" s="178"/>
    </row>
    <row r="94" spans="1:20" ht="19.8" customHeight="1">
      <c r="A94" s="238" t="s">
        <v>39</v>
      </c>
      <c r="B94" s="239"/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40"/>
      <c r="O94" s="178"/>
    </row>
    <row r="95" spans="1:20" s="2" customFormat="1" ht="19.2" customHeight="1">
      <c r="A95" s="9">
        <v>1</v>
      </c>
      <c r="B95" s="10" t="s">
        <v>2</v>
      </c>
      <c r="C95" s="23">
        <f>L95/100*100</f>
        <v>60</v>
      </c>
      <c r="D95" s="24">
        <f>C95/100*60</f>
        <v>36</v>
      </c>
      <c r="E95" s="25">
        <f>C95/100*15</f>
        <v>9</v>
      </c>
      <c r="F95" s="25"/>
      <c r="G95" s="25"/>
      <c r="H95" s="25"/>
      <c r="I95" s="25"/>
      <c r="J95" s="27">
        <f>C95/100*387</f>
        <v>232.2</v>
      </c>
      <c r="K95" s="27">
        <f>C95/100*0.09</f>
        <v>5.3999999999999999E-2</v>
      </c>
      <c r="L95" s="137">
        <v>60</v>
      </c>
      <c r="M95" s="75">
        <v>20</v>
      </c>
      <c r="N95" s="28">
        <f>L95*M95</f>
        <v>1200</v>
      </c>
      <c r="O95" s="153"/>
    </row>
    <row r="96" spans="1:20" s="2" customFormat="1" ht="19.2" customHeight="1">
      <c r="A96" s="9">
        <v>2</v>
      </c>
      <c r="B96" s="146" t="s">
        <v>139</v>
      </c>
      <c r="C96" s="23">
        <f>L96/100*100</f>
        <v>220.00000000000003</v>
      </c>
      <c r="D96" s="24">
        <f>C96/100*899</f>
        <v>1977.8000000000002</v>
      </c>
      <c r="E96" s="25"/>
      <c r="F96" s="25"/>
      <c r="G96" s="120">
        <f>C96/100*100</f>
        <v>220.00000000000003</v>
      </c>
      <c r="H96" s="119"/>
      <c r="I96" s="25"/>
      <c r="J96" s="27"/>
      <c r="K96" s="27"/>
      <c r="L96" s="137">
        <v>220</v>
      </c>
      <c r="M96" s="75">
        <v>69</v>
      </c>
      <c r="N96" s="28">
        <f t="shared" ref="N96:N102" si="5">L96*M96</f>
        <v>15180</v>
      </c>
      <c r="O96" s="153"/>
    </row>
    <row r="97" spans="1:23" s="2" customFormat="1" ht="19.2" customHeight="1">
      <c r="A97" s="9">
        <v>3</v>
      </c>
      <c r="B97" s="5" t="s">
        <v>1</v>
      </c>
      <c r="C97" s="23">
        <f>L97/100*100</f>
        <v>1848.9999999999998</v>
      </c>
      <c r="D97" s="24">
        <f>C97/100*343.5</f>
        <v>6351.3149999999996</v>
      </c>
      <c r="E97" s="25"/>
      <c r="F97" s="119">
        <f>C97/100*7.9</f>
        <v>146.071</v>
      </c>
      <c r="G97" s="25"/>
      <c r="H97" s="25">
        <f>C97/100*1</f>
        <v>18.489999999999998</v>
      </c>
      <c r="I97" s="119">
        <f>C97/100*75.9</f>
        <v>1403.3910000000001</v>
      </c>
      <c r="J97" s="27">
        <f>C97/100*30</f>
        <v>554.69999999999993</v>
      </c>
      <c r="K97" s="27">
        <f>C97/100*0.1</f>
        <v>1.849</v>
      </c>
      <c r="L97" s="137">
        <v>1849</v>
      </c>
      <c r="M97" s="75">
        <v>18</v>
      </c>
      <c r="N97" s="28">
        <f t="shared" si="5"/>
        <v>33282</v>
      </c>
      <c r="O97" s="153"/>
    </row>
    <row r="98" spans="1:23" s="2" customFormat="1" ht="19.2" customHeight="1">
      <c r="A98" s="9">
        <v>4</v>
      </c>
      <c r="B98" s="5" t="s">
        <v>69</v>
      </c>
      <c r="C98" s="23">
        <f>L98/100*48</f>
        <v>806.40000000000009</v>
      </c>
      <c r="D98" s="24">
        <f>C98/100*199</f>
        <v>1604.7360000000001</v>
      </c>
      <c r="E98" s="119">
        <f>C98/100*20.3</f>
        <v>163.69920000000002</v>
      </c>
      <c r="F98" s="119"/>
      <c r="G98" s="119">
        <f>C98/100*13.1</f>
        <v>105.6384</v>
      </c>
      <c r="H98" s="25"/>
      <c r="I98" s="25"/>
      <c r="J98" s="27">
        <f>C98/100*12</f>
        <v>96.768000000000001</v>
      </c>
      <c r="K98" s="27">
        <f>C98/100*0.15</f>
        <v>1.2096</v>
      </c>
      <c r="L98" s="137">
        <v>1680</v>
      </c>
      <c r="M98" s="26">
        <v>84</v>
      </c>
      <c r="N98" s="28">
        <f t="shared" si="5"/>
        <v>141120</v>
      </c>
      <c r="O98" s="153"/>
      <c r="Q98" s="3"/>
      <c r="R98" s="3"/>
      <c r="S98" s="4"/>
    </row>
    <row r="99" spans="1:23" s="2" customFormat="1" ht="19.2" customHeight="1">
      <c r="A99" s="9">
        <v>5</v>
      </c>
      <c r="B99" s="79" t="s">
        <v>143</v>
      </c>
      <c r="C99" s="23">
        <f>L99/100*89</f>
        <v>1415.1000000000001</v>
      </c>
      <c r="D99" s="24">
        <f>C99/100*154</f>
        <v>2179.2540000000004</v>
      </c>
      <c r="E99" s="119">
        <f>C99/100*13.1</f>
        <v>185.37810000000002</v>
      </c>
      <c r="F99" s="119"/>
      <c r="G99" s="119">
        <f>C99/100*8.3</f>
        <v>117.45330000000003</v>
      </c>
      <c r="H99" s="25"/>
      <c r="I99" s="25">
        <f>C99/100*0.4</f>
        <v>5.660400000000001</v>
      </c>
      <c r="J99" s="81">
        <f>C99/100*64</f>
        <v>905.6640000000001</v>
      </c>
      <c r="K99" s="27">
        <f>C99/100*0.13</f>
        <v>1.8396300000000003</v>
      </c>
      <c r="L99" s="26">
        <v>1590</v>
      </c>
      <c r="M99" s="54">
        <v>77</v>
      </c>
      <c r="N99" s="151">
        <f t="shared" si="5"/>
        <v>122430</v>
      </c>
      <c r="O99" s="153"/>
    </row>
    <row r="100" spans="1:23" s="2" customFormat="1" ht="19.2" customHeight="1">
      <c r="A100" s="9">
        <v>6</v>
      </c>
      <c r="B100" s="5" t="s">
        <v>134</v>
      </c>
      <c r="C100" s="23">
        <f>L100/100*100</f>
        <v>30</v>
      </c>
      <c r="D100" s="24">
        <f>C100/100*247</f>
        <v>74.099999999999994</v>
      </c>
      <c r="E100" s="29"/>
      <c r="F100" s="29">
        <f>C100/100*17.5</f>
        <v>5.25</v>
      </c>
      <c r="G100" s="29"/>
      <c r="H100" s="29">
        <f>C100/100*1.6</f>
        <v>0.48</v>
      </c>
      <c r="I100" s="29">
        <f>C100/100*39.2</f>
        <v>11.76</v>
      </c>
      <c r="J100" s="71"/>
      <c r="K100" s="71"/>
      <c r="L100" s="379">
        <v>30</v>
      </c>
      <c r="M100" s="75">
        <v>50</v>
      </c>
      <c r="N100" s="28">
        <f t="shared" si="5"/>
        <v>1500</v>
      </c>
      <c r="O100" s="153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23">
        <f>L101/100*95</f>
        <v>0</v>
      </c>
      <c r="D101" s="24">
        <f>C101/100*20</f>
        <v>0</v>
      </c>
      <c r="E101" s="25"/>
      <c r="F101" s="25">
        <f>C101/100*0.6</f>
        <v>0</v>
      </c>
      <c r="G101" s="25"/>
      <c r="H101" s="25">
        <f>C101/100*0.2</f>
        <v>0</v>
      </c>
      <c r="I101" s="25">
        <f>C101/100*4</f>
        <v>0</v>
      </c>
      <c r="J101" s="27">
        <f>C101/100*12</f>
        <v>0</v>
      </c>
      <c r="K101" s="24">
        <f>C101/100*0.04</f>
        <v>0</v>
      </c>
      <c r="L101" s="137">
        <v>0</v>
      </c>
      <c r="M101" s="77">
        <v>22</v>
      </c>
      <c r="N101" s="28">
        <f t="shared" si="5"/>
        <v>0</v>
      </c>
      <c r="O101" s="380"/>
      <c r="Q101" s="3"/>
      <c r="R101" s="3"/>
      <c r="S101" s="4"/>
    </row>
    <row r="102" spans="1:23" s="141" customFormat="1" ht="18.600000000000001" customHeight="1">
      <c r="A102" s="164">
        <v>8</v>
      </c>
      <c r="B102" s="149" t="s">
        <v>170</v>
      </c>
      <c r="C102" s="165">
        <f>L102/100*77</f>
        <v>723.80000000000007</v>
      </c>
      <c r="D102" s="139">
        <f>C102/100*35</f>
        <v>253.33</v>
      </c>
      <c r="E102" s="169"/>
      <c r="F102" s="169">
        <f>C102/100*5.3</f>
        <v>38.361400000000003</v>
      </c>
      <c r="G102" s="169"/>
      <c r="H102" s="169"/>
      <c r="I102" s="169">
        <f>C102/100*3.4</f>
        <v>24.609200000000001</v>
      </c>
      <c r="J102" s="169">
        <f>C102/100*169</f>
        <v>1223.222</v>
      </c>
      <c r="K102" s="169">
        <f>C102/100*0.07</f>
        <v>0.50666000000000011</v>
      </c>
      <c r="L102" s="379">
        <v>940</v>
      </c>
      <c r="M102" s="137">
        <v>35</v>
      </c>
      <c r="N102" s="135">
        <f t="shared" si="5"/>
        <v>32900</v>
      </c>
      <c r="O102" s="381"/>
      <c r="Q102" s="170"/>
      <c r="R102" s="170"/>
      <c r="S102" s="167"/>
    </row>
    <row r="103" spans="1:23" s="2" customFormat="1" ht="19.2" customHeight="1">
      <c r="A103" s="9">
        <v>9</v>
      </c>
      <c r="B103" s="6" t="s">
        <v>123</v>
      </c>
      <c r="C103" s="23"/>
      <c r="D103" s="24"/>
      <c r="E103" s="25"/>
      <c r="F103" s="25"/>
      <c r="G103" s="25"/>
      <c r="H103" s="25"/>
      <c r="I103" s="25"/>
      <c r="J103" s="27"/>
      <c r="K103" s="27"/>
      <c r="L103" s="26"/>
      <c r="M103" s="26"/>
      <c r="N103" s="28">
        <v>3040</v>
      </c>
      <c r="O103" s="153"/>
    </row>
    <row r="104" spans="1:23" s="2" customFormat="1" ht="19.2" customHeight="1">
      <c r="A104" s="21" t="s">
        <v>118</v>
      </c>
      <c r="B104" s="22"/>
      <c r="C104" s="34"/>
      <c r="D104" s="121">
        <f>SUM(D95:D103)</f>
        <v>12476.535000000002</v>
      </c>
      <c r="E104" s="43"/>
      <c r="F104" s="43"/>
      <c r="G104" s="43"/>
      <c r="H104" s="43"/>
      <c r="I104" s="43"/>
      <c r="J104" s="43"/>
      <c r="K104" s="43"/>
      <c r="L104" s="44"/>
      <c r="M104" s="319"/>
      <c r="N104" s="279">
        <f>SUM(N95:N103)</f>
        <v>350652</v>
      </c>
      <c r="O104" s="153"/>
    </row>
    <row r="105" spans="1:23" ht="19.2" customHeight="1">
      <c r="A105" s="21" t="s">
        <v>37</v>
      </c>
      <c r="B105" s="22"/>
      <c r="C105" s="45"/>
      <c r="D105" s="46">
        <f>D104/D89</f>
        <v>290.15197674418607</v>
      </c>
      <c r="E105" s="46"/>
      <c r="F105" s="46"/>
      <c r="G105" s="46"/>
      <c r="H105" s="46"/>
      <c r="I105" s="46"/>
      <c r="J105" s="46"/>
      <c r="K105" s="46"/>
      <c r="L105" s="47"/>
      <c r="M105" s="320"/>
      <c r="N105" s="281"/>
      <c r="O105" s="4"/>
      <c r="P105" s="2"/>
      <c r="Q105" s="2"/>
      <c r="R105" s="2"/>
      <c r="S105" s="2"/>
      <c r="T105" s="2"/>
      <c r="U105" s="2"/>
      <c r="V105" s="2"/>
    </row>
    <row r="106" spans="1:23" ht="19.2" customHeight="1">
      <c r="A106" s="304" t="s">
        <v>53</v>
      </c>
      <c r="B106" s="212"/>
      <c r="C106" s="382" t="s">
        <v>147</v>
      </c>
      <c r="D106" s="20" t="s">
        <v>45</v>
      </c>
      <c r="E106" s="46"/>
      <c r="F106" s="46"/>
      <c r="G106" s="46"/>
      <c r="H106" s="46"/>
      <c r="I106" s="46"/>
      <c r="J106" s="48"/>
      <c r="K106" s="48"/>
      <c r="L106" s="47"/>
      <c r="M106" s="47"/>
      <c r="N106" s="179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13"/>
      <c r="B107" s="214"/>
      <c r="C107" s="76" t="s">
        <v>60</v>
      </c>
      <c r="D107" s="20">
        <f>D105*100/930</f>
        <v>31.199137284321083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9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74" t="s">
        <v>38</v>
      </c>
      <c r="B108" s="274"/>
      <c r="C108" s="56"/>
      <c r="D108" s="57"/>
      <c r="E108" s="58"/>
      <c r="F108" s="58"/>
      <c r="G108" s="58"/>
      <c r="H108" s="58"/>
      <c r="I108" s="58"/>
      <c r="J108" s="58"/>
      <c r="K108" s="58"/>
      <c r="L108" s="59"/>
      <c r="M108" s="59"/>
      <c r="N108" s="60"/>
      <c r="O108" s="153"/>
    </row>
    <row r="109" spans="1:23" s="2" customFormat="1" ht="19.2" customHeight="1">
      <c r="A109" s="9">
        <v>1</v>
      </c>
      <c r="B109" s="10" t="s">
        <v>2</v>
      </c>
      <c r="C109" s="23">
        <f t="shared" ref="C109:C114" si="6">L109/100*100</f>
        <v>60</v>
      </c>
      <c r="D109" s="24">
        <f>C109/100*60</f>
        <v>36</v>
      </c>
      <c r="E109" s="25">
        <f>C109/100*15</f>
        <v>9</v>
      </c>
      <c r="F109" s="25"/>
      <c r="G109" s="25"/>
      <c r="H109" s="25"/>
      <c r="I109" s="25"/>
      <c r="J109" s="27">
        <f>C109/100*387</f>
        <v>232.2</v>
      </c>
      <c r="K109" s="27">
        <f>C109/100*0.09</f>
        <v>5.3999999999999999E-2</v>
      </c>
      <c r="L109" s="137">
        <v>60</v>
      </c>
      <c r="M109" s="75">
        <v>20</v>
      </c>
      <c r="N109" s="28">
        <f>L109*M109</f>
        <v>1200</v>
      </c>
      <c r="O109" s="153"/>
    </row>
    <row r="110" spans="1:23" s="2" customFormat="1" ht="19.2" customHeight="1">
      <c r="A110" s="9">
        <v>2</v>
      </c>
      <c r="B110" s="146" t="s">
        <v>139</v>
      </c>
      <c r="C110" s="23">
        <f t="shared" si="6"/>
        <v>210</v>
      </c>
      <c r="D110" s="24">
        <f>C110/100*899</f>
        <v>1887.9</v>
      </c>
      <c r="E110" s="25"/>
      <c r="F110" s="25"/>
      <c r="G110" s="119">
        <f>C110/100*100</f>
        <v>210</v>
      </c>
      <c r="H110" s="25"/>
      <c r="I110" s="25"/>
      <c r="J110" s="25"/>
      <c r="K110" s="25"/>
      <c r="L110" s="137">
        <v>210</v>
      </c>
      <c r="M110" s="144">
        <v>69</v>
      </c>
      <c r="N110" s="28">
        <f t="shared" ref="N110:N113" si="7">L110*M110</f>
        <v>14490</v>
      </c>
      <c r="O110" s="383"/>
    </row>
    <row r="111" spans="1:23" s="2" customFormat="1" ht="19.2" customHeight="1">
      <c r="A111" s="9">
        <v>3</v>
      </c>
      <c r="B111" s="148" t="s">
        <v>142</v>
      </c>
      <c r="C111" s="23">
        <f t="shared" si="6"/>
        <v>110.00000000000001</v>
      </c>
      <c r="D111" s="120">
        <f>C111/100*900</f>
        <v>990.00000000000011</v>
      </c>
      <c r="E111" s="25"/>
      <c r="F111" s="25"/>
      <c r="G111" s="119"/>
      <c r="H111" s="119">
        <f>C111/100*100</f>
        <v>110.00000000000001</v>
      </c>
      <c r="I111" s="25"/>
      <c r="J111" s="25"/>
      <c r="K111" s="25"/>
      <c r="L111" s="137">
        <v>110</v>
      </c>
      <c r="M111" s="75">
        <v>65</v>
      </c>
      <c r="N111" s="28">
        <f t="shared" si="7"/>
        <v>7150</v>
      </c>
      <c r="O111" s="383"/>
    </row>
    <row r="112" spans="1:23" s="2" customFormat="1" ht="19.2" customHeight="1">
      <c r="A112" s="9">
        <v>4</v>
      </c>
      <c r="B112" s="5" t="s">
        <v>1</v>
      </c>
      <c r="C112" s="23">
        <f t="shared" si="6"/>
        <v>1032</v>
      </c>
      <c r="D112" s="24">
        <f>C112/100*343.5</f>
        <v>3544.92</v>
      </c>
      <c r="E112" s="25"/>
      <c r="F112" s="25">
        <f>C112/100*7.9</f>
        <v>81.528000000000006</v>
      </c>
      <c r="G112" s="25"/>
      <c r="H112" s="25">
        <f>C112/100*1</f>
        <v>10.32</v>
      </c>
      <c r="I112" s="25">
        <f>C112/100*75.9</f>
        <v>783.28800000000012</v>
      </c>
      <c r="J112" s="27">
        <f>C112/100*30</f>
        <v>309.60000000000002</v>
      </c>
      <c r="K112" s="27">
        <f>C112/100*0.1</f>
        <v>1.032</v>
      </c>
      <c r="L112" s="137">
        <v>1032</v>
      </c>
      <c r="M112" s="75">
        <v>18</v>
      </c>
      <c r="N112" s="28">
        <f t="shared" si="7"/>
        <v>18576</v>
      </c>
      <c r="O112" s="153"/>
    </row>
    <row r="113" spans="1:23" s="2" customFormat="1" ht="19.2" customHeight="1">
      <c r="A113" s="9">
        <v>5</v>
      </c>
      <c r="B113" s="5" t="s">
        <v>73</v>
      </c>
      <c r="C113" s="23">
        <f t="shared" si="6"/>
        <v>690</v>
      </c>
      <c r="D113" s="24">
        <f>C113/100*344</f>
        <v>2373.6</v>
      </c>
      <c r="E113" s="25"/>
      <c r="F113" s="25">
        <f>C113/100*8.6</f>
        <v>59.34</v>
      </c>
      <c r="G113" s="25"/>
      <c r="H113" s="25">
        <f>C113/100*1.5</f>
        <v>10.350000000000001</v>
      </c>
      <c r="I113" s="25">
        <f>C113/100*74.5</f>
        <v>514.05000000000007</v>
      </c>
      <c r="J113" s="25">
        <f>C113/100*32</f>
        <v>220.8</v>
      </c>
      <c r="K113" s="27">
        <f>C113/100*0.14</f>
        <v>0.96600000000000019</v>
      </c>
      <c r="L113" s="137">
        <v>690</v>
      </c>
      <c r="M113" s="75">
        <v>30</v>
      </c>
      <c r="N113" s="28">
        <f t="shared" si="7"/>
        <v>20700</v>
      </c>
      <c r="O113" s="153"/>
      <c r="P113" s="18"/>
    </row>
    <row r="114" spans="1:23" s="2" customFormat="1" ht="19.2" customHeight="1">
      <c r="A114" s="9">
        <v>6</v>
      </c>
      <c r="B114" s="5" t="s">
        <v>67</v>
      </c>
      <c r="C114" s="23">
        <f t="shared" si="6"/>
        <v>90</v>
      </c>
      <c r="D114" s="24">
        <f>C114/100*334</f>
        <v>300.60000000000002</v>
      </c>
      <c r="E114" s="25"/>
      <c r="F114" s="25">
        <f>C114/100*20</f>
        <v>18</v>
      </c>
      <c r="G114" s="25"/>
      <c r="H114" s="25">
        <f>C114/100*2.4</f>
        <v>2.16</v>
      </c>
      <c r="I114" s="25">
        <f>C114/100*58</f>
        <v>52.2</v>
      </c>
      <c r="J114" s="27">
        <f>C114/100*89</f>
        <v>80.100000000000009</v>
      </c>
      <c r="K114" s="27">
        <f>C114/100*0.64</f>
        <v>0.57600000000000007</v>
      </c>
      <c r="L114" s="137">
        <v>90</v>
      </c>
      <c r="M114" s="75">
        <v>190</v>
      </c>
      <c r="N114" s="28">
        <f>L114*M114</f>
        <v>17100</v>
      </c>
      <c r="O114" s="153"/>
    </row>
    <row r="115" spans="1:23" s="2" customFormat="1" ht="16.2" customHeight="1">
      <c r="A115" s="9">
        <v>7</v>
      </c>
      <c r="B115" s="5" t="s">
        <v>4</v>
      </c>
      <c r="C115" s="23">
        <f>L115/100*98.5</f>
        <v>640.25</v>
      </c>
      <c r="D115" s="24">
        <f>C115/100*39</f>
        <v>249.69749999999999</v>
      </c>
      <c r="E115" s="29"/>
      <c r="F115" s="29">
        <f>C115/100*1.5</f>
        <v>9.6037499999999998</v>
      </c>
      <c r="G115" s="29"/>
      <c r="H115" s="29">
        <f>C115/100*0.2</f>
        <v>1.2805</v>
      </c>
      <c r="I115" s="29">
        <f>C115/100*7.8</f>
        <v>49.939499999999995</v>
      </c>
      <c r="J115" s="29">
        <f>C115/100*43</f>
        <v>275.3075</v>
      </c>
      <c r="K115" s="29">
        <f>C115/100*0.06</f>
        <v>0.38414999999999999</v>
      </c>
      <c r="L115" s="379">
        <v>650</v>
      </c>
      <c r="M115" s="26">
        <v>17</v>
      </c>
      <c r="N115" s="135">
        <f t="shared" ref="N115:N117" si="8">L115*M115</f>
        <v>11050</v>
      </c>
      <c r="O115" s="153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23">
        <f>L116/100*98</f>
        <v>725.2</v>
      </c>
      <c r="D116" s="24">
        <f>C116/100*118</f>
        <v>855.7360000000001</v>
      </c>
      <c r="E116" s="119">
        <f>C116/100*21</f>
        <v>152.292</v>
      </c>
      <c r="F116" s="25"/>
      <c r="G116" s="25">
        <f>C116/100*3.8</f>
        <v>27.557600000000001</v>
      </c>
      <c r="H116" s="25"/>
      <c r="I116" s="25"/>
      <c r="J116" s="25">
        <f>C116/100*12</f>
        <v>87.024000000000001</v>
      </c>
      <c r="K116" s="25">
        <f>C116/100*0.1</f>
        <v>0.72520000000000007</v>
      </c>
      <c r="L116" s="137">
        <v>740</v>
      </c>
      <c r="M116" s="143">
        <v>270</v>
      </c>
      <c r="N116" s="135">
        <f t="shared" si="8"/>
        <v>199800</v>
      </c>
      <c r="O116" s="153"/>
    </row>
    <row r="117" spans="1:23" s="2" customFormat="1" ht="18.600000000000001" customHeight="1">
      <c r="A117" s="9">
        <v>9</v>
      </c>
      <c r="B117" s="5" t="s">
        <v>69</v>
      </c>
      <c r="C117" s="23">
        <f>L117/100*48</f>
        <v>667.2</v>
      </c>
      <c r="D117" s="24">
        <f>C117/100*199</f>
        <v>1327.7280000000001</v>
      </c>
      <c r="E117" s="119">
        <f>C117/100*20.3</f>
        <v>135.44160000000002</v>
      </c>
      <c r="F117" s="25"/>
      <c r="G117" s="25">
        <f>C117/100*13.1</f>
        <v>87.403200000000012</v>
      </c>
      <c r="H117" s="25"/>
      <c r="I117" s="25"/>
      <c r="J117" s="27">
        <f>C117/100*12</f>
        <v>80.064000000000007</v>
      </c>
      <c r="K117" s="27">
        <f>C117/100*0.15</f>
        <v>1.0008000000000001</v>
      </c>
      <c r="L117" s="137">
        <v>1390</v>
      </c>
      <c r="M117" s="137">
        <v>84</v>
      </c>
      <c r="N117" s="28">
        <f t="shared" si="8"/>
        <v>116760</v>
      </c>
      <c r="O117" s="153"/>
      <c r="Q117" s="3"/>
      <c r="R117" s="3"/>
      <c r="S117" s="4"/>
    </row>
    <row r="118" spans="1:23" s="2" customFormat="1" ht="19.2" customHeight="1">
      <c r="A118" s="9">
        <v>10</v>
      </c>
      <c r="B118" s="5" t="s">
        <v>134</v>
      </c>
      <c r="C118" s="23">
        <f>L118/100*100</f>
        <v>30</v>
      </c>
      <c r="D118" s="24">
        <f>C118/100*247</f>
        <v>74.099999999999994</v>
      </c>
      <c r="E118" s="29"/>
      <c r="F118" s="29">
        <f>C118/100*17.5</f>
        <v>5.25</v>
      </c>
      <c r="G118" s="29"/>
      <c r="H118" s="29">
        <f>C118/100*1.6</f>
        <v>0.48</v>
      </c>
      <c r="I118" s="29">
        <f>C118/100*39.2</f>
        <v>11.76</v>
      </c>
      <c r="J118" s="71"/>
      <c r="K118" s="71"/>
      <c r="L118" s="379">
        <v>30</v>
      </c>
      <c r="M118" s="75">
        <v>50</v>
      </c>
      <c r="N118" s="28">
        <f t="shared" ref="N118" si="9">L118*M118</f>
        <v>1500</v>
      </c>
      <c r="O118" s="153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123</v>
      </c>
      <c r="C119" s="23"/>
      <c r="D119" s="24"/>
      <c r="E119" s="25"/>
      <c r="F119" s="25"/>
      <c r="G119" s="25"/>
      <c r="H119" s="25"/>
      <c r="I119" s="25"/>
      <c r="J119" s="27"/>
      <c r="K119" s="27"/>
      <c r="L119" s="26"/>
      <c r="M119" s="26"/>
      <c r="N119" s="28">
        <v>3040</v>
      </c>
      <c r="O119" s="153"/>
    </row>
    <row r="120" spans="1:23" s="2" customFormat="1" ht="19.2" customHeight="1">
      <c r="A120" s="21" t="s">
        <v>119</v>
      </c>
      <c r="B120" s="22"/>
      <c r="C120" s="34"/>
      <c r="D120" s="121">
        <f>SUM(D109:D119)</f>
        <v>11640.281500000003</v>
      </c>
      <c r="E120" s="43"/>
      <c r="F120" s="43"/>
      <c r="G120" s="43"/>
      <c r="H120" s="43"/>
      <c r="I120" s="43"/>
      <c r="J120" s="43"/>
      <c r="K120" s="43"/>
      <c r="L120" s="44"/>
      <c r="M120" s="319"/>
      <c r="N120" s="279">
        <f>SUM(N109:N119)</f>
        <v>411366</v>
      </c>
      <c r="O120" s="153"/>
    </row>
    <row r="121" spans="1:23" ht="19.2" customHeight="1">
      <c r="A121" s="21" t="s">
        <v>36</v>
      </c>
      <c r="B121" s="22"/>
      <c r="C121" s="61"/>
      <c r="D121" s="48">
        <f>D120/D89</f>
        <v>270.70422093023262</v>
      </c>
      <c r="E121" s="48"/>
      <c r="F121" s="48"/>
      <c r="G121" s="48"/>
      <c r="H121" s="48"/>
      <c r="I121" s="48"/>
      <c r="J121" s="48"/>
      <c r="K121" s="48"/>
      <c r="L121" s="62"/>
      <c r="M121" s="320"/>
      <c r="N121" s="280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304" t="s">
        <v>54</v>
      </c>
      <c r="B122" s="212"/>
      <c r="C122" s="382" t="s">
        <v>147</v>
      </c>
      <c r="D122" s="20" t="s">
        <v>46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9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13"/>
      <c r="B123" s="214"/>
      <c r="C123" s="76" t="s">
        <v>60</v>
      </c>
      <c r="D123" s="20">
        <f>D121*100/930</f>
        <v>29.107980745186303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9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74" t="s">
        <v>35</v>
      </c>
      <c r="B124" s="274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09">
        <v>1</v>
      </c>
      <c r="B125" s="154" t="s">
        <v>145</v>
      </c>
      <c r="C125" s="34">
        <f>L125/100*100</f>
        <v>710</v>
      </c>
      <c r="D125" s="110">
        <f>C125/100*487</f>
        <v>3457.7</v>
      </c>
      <c r="E125" s="36"/>
      <c r="F125" s="129">
        <f>C125/100*19.5</f>
        <v>138.44999999999999</v>
      </c>
      <c r="G125" s="129"/>
      <c r="H125" s="129">
        <f>C125/100*23.2</f>
        <v>164.72</v>
      </c>
      <c r="I125" s="36">
        <f>C125/100*46</f>
        <v>326.59999999999997</v>
      </c>
      <c r="J125" s="129">
        <f>C125/100*680</f>
        <v>4828</v>
      </c>
      <c r="K125" s="36">
        <f>C125/100*0.55</f>
        <v>3.9050000000000002</v>
      </c>
      <c r="L125" s="37">
        <v>710</v>
      </c>
      <c r="M125" s="155">
        <v>260</v>
      </c>
      <c r="N125" s="111">
        <f t="shared" ref="N125" si="10">L125*M125</f>
        <v>184600</v>
      </c>
      <c r="O125" s="153"/>
      <c r="P125" s="3"/>
    </row>
    <row r="126" spans="1:23" ht="20.399999999999999" customHeight="1">
      <c r="A126" s="191" t="s">
        <v>0</v>
      </c>
      <c r="B126" s="201" t="s">
        <v>19</v>
      </c>
      <c r="C126" s="368" t="s">
        <v>8</v>
      </c>
      <c r="D126" s="204" t="s">
        <v>9</v>
      </c>
      <c r="E126" s="364" t="s">
        <v>11</v>
      </c>
      <c r="F126" s="365"/>
      <c r="G126" s="364" t="s">
        <v>13</v>
      </c>
      <c r="H126" s="365"/>
      <c r="I126" s="198" t="s">
        <v>16</v>
      </c>
      <c r="J126" s="198" t="s">
        <v>41</v>
      </c>
      <c r="K126" s="198" t="s">
        <v>42</v>
      </c>
      <c r="L126" s="198" t="s">
        <v>17</v>
      </c>
      <c r="M126" s="198" t="s">
        <v>57</v>
      </c>
      <c r="N126" s="191" t="s">
        <v>18</v>
      </c>
      <c r="O126" s="378"/>
    </row>
    <row r="127" spans="1:23" ht="20.399999999999999" customHeight="1">
      <c r="A127" s="192"/>
      <c r="B127" s="202"/>
      <c r="C127" s="369"/>
      <c r="D127" s="205"/>
      <c r="E127" s="366"/>
      <c r="F127" s="367"/>
      <c r="G127" s="366"/>
      <c r="H127" s="367"/>
      <c r="I127" s="199"/>
      <c r="J127" s="199"/>
      <c r="K127" s="199"/>
      <c r="L127" s="199"/>
      <c r="M127" s="199"/>
      <c r="N127" s="192"/>
      <c r="O127" s="178"/>
    </row>
    <row r="128" spans="1:23" ht="20.399999999999999" customHeight="1">
      <c r="A128" s="192"/>
      <c r="B128" s="202"/>
      <c r="C128" s="369"/>
      <c r="D128" s="205"/>
      <c r="E128" s="198" t="s">
        <v>10</v>
      </c>
      <c r="F128" s="198" t="s">
        <v>12</v>
      </c>
      <c r="G128" s="198" t="s">
        <v>94</v>
      </c>
      <c r="H128" s="198" t="s">
        <v>15</v>
      </c>
      <c r="I128" s="199"/>
      <c r="J128" s="199"/>
      <c r="K128" s="199"/>
      <c r="L128" s="199"/>
      <c r="M128" s="199"/>
      <c r="N128" s="192"/>
      <c r="O128" s="178"/>
    </row>
    <row r="129" spans="1:23" ht="20.399999999999999" customHeight="1">
      <c r="A129" s="193"/>
      <c r="B129" s="203"/>
      <c r="C129" s="370"/>
      <c r="D129" s="206"/>
      <c r="E129" s="200"/>
      <c r="F129" s="200"/>
      <c r="G129" s="200"/>
      <c r="H129" s="200"/>
      <c r="I129" s="200"/>
      <c r="J129" s="200"/>
      <c r="K129" s="200"/>
      <c r="L129" s="200"/>
      <c r="M129" s="200"/>
      <c r="N129" s="193"/>
      <c r="O129" s="178"/>
    </row>
    <row r="130" spans="1:23" s="2" customFormat="1" ht="21" customHeight="1">
      <c r="A130" s="21" t="s">
        <v>110</v>
      </c>
      <c r="B130" s="22"/>
      <c r="C130" s="34"/>
      <c r="D130" s="35">
        <f>SUM(D124:D125)</f>
        <v>3457.7</v>
      </c>
      <c r="E130" s="43"/>
      <c r="F130" s="43"/>
      <c r="G130" s="43"/>
      <c r="H130" s="43"/>
      <c r="I130" s="43"/>
      <c r="J130" s="82"/>
      <c r="K130" s="43"/>
      <c r="L130" s="44"/>
      <c r="M130" s="319"/>
      <c r="N130" s="279">
        <f>SUM(N124:N125)</f>
        <v>184600</v>
      </c>
      <c r="O130" s="153"/>
    </row>
    <row r="131" spans="1:23" ht="21" customHeight="1">
      <c r="A131" s="21" t="s">
        <v>7</v>
      </c>
      <c r="B131" s="22"/>
      <c r="C131" s="45"/>
      <c r="D131" s="46">
        <f>D130/D89</f>
        <v>80.411627906976733</v>
      </c>
      <c r="E131" s="46"/>
      <c r="F131" s="46"/>
      <c r="G131" s="46"/>
      <c r="H131" s="46"/>
      <c r="I131" s="46"/>
      <c r="J131" s="83"/>
      <c r="K131" s="46"/>
      <c r="L131" s="47"/>
      <c r="M131" s="320"/>
      <c r="N131" s="281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304" t="s">
        <v>52</v>
      </c>
      <c r="B132" s="212"/>
      <c r="C132" s="382" t="s">
        <v>147</v>
      </c>
      <c r="D132" s="20" t="s">
        <v>50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9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3"/>
      <c r="B133" s="214"/>
      <c r="C133" s="76" t="s">
        <v>60</v>
      </c>
      <c r="D133" s="20">
        <f>D131*100/930</f>
        <v>8.6464116029007236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9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28" t="s">
        <v>107</v>
      </c>
      <c r="B134" s="229"/>
      <c r="C134" s="232"/>
      <c r="D134" s="299">
        <f>D104+D120+D130</f>
        <v>27574.516500000005</v>
      </c>
      <c r="E134" s="50">
        <f t="shared" ref="E134:K134" si="11">SUM(E95:E125)</f>
        <v>654.81090000000006</v>
      </c>
      <c r="F134" s="50">
        <f t="shared" si="11"/>
        <v>501.85414999999995</v>
      </c>
      <c r="G134" s="50">
        <f t="shared" si="11"/>
        <v>768.05250000000001</v>
      </c>
      <c r="H134" s="50">
        <f t="shared" si="11"/>
        <v>318.28049999999996</v>
      </c>
      <c r="I134" s="217">
        <f t="shared" si="11"/>
        <v>3183.2581000000005</v>
      </c>
      <c r="J134" s="215">
        <f t="shared" si="11"/>
        <v>9125.6494999999995</v>
      </c>
      <c r="K134" s="215">
        <f t="shared" si="11"/>
        <v>14.102039999999999</v>
      </c>
      <c r="L134" s="97"/>
      <c r="M134" s="97"/>
      <c r="N134" s="371">
        <f>N104+N120+N130</f>
        <v>946618</v>
      </c>
      <c r="U134" s="12"/>
      <c r="V134" s="12"/>
    </row>
    <row r="135" spans="1:23" ht="21" customHeight="1">
      <c r="A135" s="230"/>
      <c r="B135" s="231"/>
      <c r="C135" s="233"/>
      <c r="D135" s="300"/>
      <c r="E135" s="326">
        <f>E134+F134</f>
        <v>1156.6650500000001</v>
      </c>
      <c r="F135" s="327"/>
      <c r="G135" s="326">
        <f>G134+H134</f>
        <v>1086.3330000000001</v>
      </c>
      <c r="H135" s="327"/>
      <c r="I135" s="218"/>
      <c r="J135" s="216"/>
      <c r="K135" s="216"/>
      <c r="L135" s="99"/>
      <c r="M135" s="99"/>
      <c r="N135" s="372"/>
      <c r="U135" s="12"/>
      <c r="V135" s="12"/>
    </row>
    <row r="136" spans="1:23" ht="21" customHeight="1">
      <c r="A136" s="248" t="s">
        <v>77</v>
      </c>
      <c r="B136" s="249"/>
      <c r="C136" s="250"/>
      <c r="D136" s="133">
        <f>D134/D89</f>
        <v>641.26782558139541</v>
      </c>
      <c r="E136" s="384">
        <f>E134/D89</f>
        <v>15.228160465116281</v>
      </c>
      <c r="F136" s="385">
        <f>F134/D89</f>
        <v>11.671026744186046</v>
      </c>
      <c r="G136" s="384">
        <f>G134/D89</f>
        <v>17.861686046511629</v>
      </c>
      <c r="H136" s="385">
        <f>H134/D89</f>
        <v>7.4018720930232549</v>
      </c>
      <c r="I136" s="209">
        <f>I134/D89</f>
        <v>74.029258139534889</v>
      </c>
      <c r="J136" s="342">
        <f>J134/D89</f>
        <v>212.22440697674418</v>
      </c>
      <c r="K136" s="342">
        <f>K134/D89</f>
        <v>0.32795441860465113</v>
      </c>
      <c r="L136" s="97"/>
      <c r="M136" s="97"/>
      <c r="N136" s="100"/>
      <c r="P136" s="373"/>
      <c r="Q136" s="375"/>
      <c r="R136" s="375"/>
      <c r="S136" s="375"/>
      <c r="T136" s="375"/>
      <c r="U136" s="386"/>
      <c r="V136" s="386"/>
    </row>
    <row r="137" spans="1:23" ht="21" customHeight="1">
      <c r="A137" s="251"/>
      <c r="B137" s="252"/>
      <c r="C137" s="253"/>
      <c r="D137" s="127"/>
      <c r="E137" s="397">
        <f>E136+F136</f>
        <v>26.899187209302326</v>
      </c>
      <c r="F137" s="398"/>
      <c r="G137" s="397">
        <f>G136+H136</f>
        <v>25.263558139534883</v>
      </c>
      <c r="H137" s="398"/>
      <c r="I137" s="210"/>
      <c r="J137" s="342"/>
      <c r="K137" s="342"/>
      <c r="L137" s="98"/>
      <c r="M137" s="98"/>
      <c r="N137" s="101"/>
      <c r="P137" s="389"/>
      <c r="Q137" s="375"/>
      <c r="R137" s="375"/>
      <c r="S137" s="399"/>
      <c r="T137" s="399"/>
      <c r="U137" s="375"/>
      <c r="V137" s="375"/>
    </row>
    <row r="138" spans="1:23" ht="21" customHeight="1">
      <c r="A138" s="316" t="s">
        <v>80</v>
      </c>
      <c r="B138" s="317"/>
      <c r="C138" s="318"/>
      <c r="D138" s="183" t="s">
        <v>29</v>
      </c>
      <c r="E138" s="293" t="s">
        <v>24</v>
      </c>
      <c r="F138" s="293"/>
      <c r="G138" s="293" t="s">
        <v>25</v>
      </c>
      <c r="H138" s="293"/>
      <c r="I138" s="400" t="s">
        <v>26</v>
      </c>
      <c r="J138" s="181">
        <v>500</v>
      </c>
      <c r="K138" s="181">
        <v>0.5</v>
      </c>
      <c r="L138" s="98"/>
      <c r="M138" s="98"/>
      <c r="N138" s="101"/>
      <c r="O138" s="391"/>
      <c r="P138" s="373"/>
      <c r="Q138" s="373"/>
      <c r="R138" s="373"/>
      <c r="S138" s="373"/>
      <c r="T138" s="373"/>
      <c r="U138" s="373"/>
      <c r="V138" s="373"/>
    </row>
    <row r="139" spans="1:23" ht="21" customHeight="1">
      <c r="A139" s="219" t="s">
        <v>78</v>
      </c>
      <c r="B139" s="220"/>
      <c r="C139" s="221"/>
      <c r="D139" s="49"/>
      <c r="E139" s="207">
        <f>E137*4.1</f>
        <v>110.28666755813953</v>
      </c>
      <c r="F139" s="208"/>
      <c r="G139" s="207">
        <f>G137*9</f>
        <v>227.37202325581396</v>
      </c>
      <c r="H139" s="208"/>
      <c r="I139" s="85">
        <f>I136*4.1</f>
        <v>303.51995837209301</v>
      </c>
      <c r="J139" s="254"/>
      <c r="K139" s="254"/>
      <c r="L139" s="98"/>
      <c r="M139" s="98"/>
      <c r="N139" s="101"/>
      <c r="O139" s="391"/>
      <c r="P139" s="392"/>
      <c r="Q139" s="374"/>
      <c r="R139" s="374"/>
      <c r="S139" s="374"/>
      <c r="T139" s="373"/>
      <c r="U139" s="373"/>
      <c r="V139" s="373"/>
    </row>
    <row r="140" spans="1:23" ht="21" customHeight="1">
      <c r="A140" s="222" t="s">
        <v>87</v>
      </c>
      <c r="B140" s="223"/>
      <c r="C140" s="219" t="s">
        <v>59</v>
      </c>
      <c r="D140" s="221"/>
      <c r="E140" s="256">
        <f>E139*100/D136</f>
        <v>17.198222514617797</v>
      </c>
      <c r="F140" s="257"/>
      <c r="G140" s="256">
        <f>G139*100/D136</f>
        <v>35.456639829024738</v>
      </c>
      <c r="H140" s="257"/>
      <c r="I140" s="115">
        <f>I139*100/D136</f>
        <v>47.331231392579447</v>
      </c>
      <c r="J140" s="255"/>
      <c r="K140" s="255"/>
      <c r="L140" s="98"/>
      <c r="M140" s="98"/>
      <c r="N140" s="101"/>
      <c r="O140" s="391"/>
      <c r="P140" s="373"/>
      <c r="Q140" s="373"/>
      <c r="R140" s="373"/>
      <c r="S140" s="373"/>
      <c r="T140" s="373"/>
      <c r="U140" s="373"/>
      <c r="V140" s="373"/>
    </row>
    <row r="141" spans="1:23" ht="21" customHeight="1">
      <c r="A141" s="224"/>
      <c r="B141" s="225"/>
      <c r="C141" s="219" t="s">
        <v>79</v>
      </c>
      <c r="D141" s="221"/>
      <c r="E141" s="219" t="s">
        <v>82</v>
      </c>
      <c r="F141" s="221"/>
      <c r="G141" s="219" t="s">
        <v>85</v>
      </c>
      <c r="H141" s="221"/>
      <c r="I141" s="183" t="s">
        <v>86</v>
      </c>
      <c r="J141" s="235"/>
      <c r="K141" s="235"/>
      <c r="L141" s="99"/>
      <c r="M141" s="99"/>
      <c r="N141" s="102"/>
      <c r="O141" s="391"/>
      <c r="P141" s="132"/>
    </row>
    <row r="142" spans="1:23" ht="2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391"/>
    </row>
    <row r="143" spans="1:23" ht="21" customHeight="1">
      <c r="A143" s="294" t="s">
        <v>114</v>
      </c>
      <c r="B143" s="294"/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391"/>
    </row>
    <row r="144" spans="1:23" ht="21" customHeight="1">
      <c r="A144" s="117" t="s">
        <v>115</v>
      </c>
      <c r="B144" s="295" t="s">
        <v>116</v>
      </c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391"/>
    </row>
    <row r="145" spans="1:15" ht="21" customHeight="1">
      <c r="A145" s="118"/>
      <c r="B145" s="259" t="s">
        <v>222</v>
      </c>
      <c r="C145" s="259"/>
      <c r="D145" s="259"/>
      <c r="E145" s="259"/>
      <c r="F145" s="259"/>
      <c r="G145" s="259"/>
      <c r="H145" s="259"/>
      <c r="I145" s="259"/>
      <c r="J145" s="259"/>
      <c r="K145" s="259"/>
      <c r="L145" s="259"/>
      <c r="M145" s="259"/>
      <c r="N145" s="259"/>
      <c r="O145" s="391"/>
    </row>
    <row r="146" spans="1:15" ht="21" customHeight="1">
      <c r="A146" s="118"/>
      <c r="B146" s="259" t="s">
        <v>223</v>
      </c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391"/>
    </row>
    <row r="147" spans="1:15" ht="21" customHeight="1">
      <c r="A147" s="118"/>
      <c r="B147" s="259" t="s">
        <v>224</v>
      </c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391"/>
    </row>
    <row r="148" spans="1:15" ht="21" customHeight="1">
      <c r="A148" s="90"/>
      <c r="B148" s="260" t="s">
        <v>129</v>
      </c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391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391"/>
    </row>
    <row r="150" spans="1:15" ht="21" customHeight="1">
      <c r="A150" s="261" t="s">
        <v>62</v>
      </c>
      <c r="B150" s="261"/>
      <c r="C150" s="261"/>
      <c r="D150" s="261"/>
      <c r="E150" s="393"/>
      <c r="F150" s="393"/>
      <c r="G150" s="393"/>
      <c r="H150" s="393"/>
      <c r="I150" s="393"/>
      <c r="J150" s="394" t="s">
        <v>33</v>
      </c>
      <c r="K150" s="394"/>
      <c r="L150" s="394"/>
      <c r="M150" s="394"/>
      <c r="N150" s="394"/>
      <c r="O150" s="391"/>
    </row>
    <row r="151" spans="1:15" ht="21" customHeight="1">
      <c r="A151" s="178"/>
      <c r="B151" s="178"/>
      <c r="C151" s="178"/>
      <c r="D151" s="393"/>
      <c r="E151" s="393"/>
      <c r="F151" s="393"/>
      <c r="G151" s="393"/>
      <c r="H151" s="395"/>
      <c r="I151" s="395"/>
      <c r="J151" s="395"/>
      <c r="K151" s="395"/>
      <c r="L151" s="395"/>
      <c r="M151" s="395"/>
      <c r="N151" s="395"/>
      <c r="O151" s="391"/>
    </row>
    <row r="152" spans="1:15" ht="21" customHeight="1">
      <c r="A152" s="178"/>
      <c r="B152" s="178"/>
      <c r="C152" s="178"/>
      <c r="D152" s="393"/>
      <c r="E152" s="393"/>
      <c r="F152" s="393"/>
      <c r="G152" s="393"/>
      <c r="H152" s="395"/>
      <c r="I152" s="395"/>
      <c r="J152" s="395"/>
      <c r="K152" s="395"/>
      <c r="L152" s="395"/>
      <c r="M152" s="395"/>
      <c r="N152" s="395"/>
      <c r="O152" s="391"/>
    </row>
    <row r="153" spans="1:15" ht="21" customHeight="1">
      <c r="A153" s="178"/>
      <c r="B153" s="178"/>
      <c r="C153" s="178"/>
      <c r="D153" s="393"/>
      <c r="E153" s="393"/>
      <c r="F153" s="393"/>
      <c r="G153" s="393"/>
      <c r="H153" s="395"/>
      <c r="I153" s="395"/>
      <c r="J153" s="396" t="s">
        <v>124</v>
      </c>
      <c r="K153" s="396"/>
      <c r="L153" s="396"/>
      <c r="M153" s="396"/>
      <c r="N153" s="396"/>
      <c r="O153" s="391"/>
    </row>
    <row r="154" spans="1:15" ht="21" customHeight="1">
      <c r="A154" s="262" t="s">
        <v>91</v>
      </c>
      <c r="B154" s="262"/>
      <c r="C154" s="262"/>
      <c r="D154" s="262"/>
      <c r="E154" s="393"/>
      <c r="F154" s="393"/>
      <c r="G154" s="393"/>
      <c r="H154" s="395"/>
      <c r="I154" s="395"/>
      <c r="O154" s="391"/>
    </row>
    <row r="156" spans="1:15" ht="21" customHeight="1">
      <c r="J156" s="396" t="s">
        <v>127</v>
      </c>
      <c r="K156" s="396"/>
      <c r="L156" s="396"/>
      <c r="M156" s="396"/>
      <c r="N156" s="396"/>
    </row>
  </sheetData>
  <mergeCells count="201"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2026-05-09T06:35:48Z</cp:lastPrinted>
  <dcterms:created xsi:type="dcterms:W3CDTF">2015-10-28T22:11:29Z</dcterms:created>
  <dcterms:modified xsi:type="dcterms:W3CDTF">2026-05-09T06:43:13Z</dcterms:modified>
</cp:coreProperties>
</file>