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3" sheetId="12" r:id="rId1"/>
    <sheet name="T3-T3" sheetId="15" r:id="rId2"/>
  </sheets>
  <calcPr calcId="124519"/>
</workbook>
</file>

<file path=xl/calcChain.xml><?xml version="1.0" encoding="utf-8"?>
<calcChain xmlns="http://schemas.openxmlformats.org/spreadsheetml/2006/main">
  <c r="N101" i="12"/>
  <c r="C101"/>
  <c r="K101" s="1"/>
  <c r="N19"/>
  <c r="C19"/>
  <c r="J19" s="1"/>
  <c r="J101" l="1"/>
  <c r="I101"/>
  <c r="D101"/>
  <c r="I19"/>
  <c r="D19"/>
  <c r="K19"/>
  <c r="N124"/>
  <c r="C124"/>
  <c r="H124" s="1"/>
  <c r="N107"/>
  <c r="C107"/>
  <c r="H107" s="1"/>
  <c r="C39"/>
  <c r="D39" s="1"/>
  <c r="C23"/>
  <c r="D23" s="1"/>
  <c r="F124" l="1"/>
  <c r="K107"/>
  <c r="I23"/>
  <c r="F23"/>
  <c r="J23"/>
  <c r="J107"/>
  <c r="J124"/>
  <c r="I124"/>
  <c r="D124"/>
  <c r="K124"/>
  <c r="I107"/>
  <c r="F107"/>
  <c r="D107"/>
  <c r="K39"/>
  <c r="J39"/>
  <c r="H39"/>
  <c r="I39"/>
  <c r="F39"/>
  <c r="N103" i="15" l="1"/>
  <c r="C103"/>
  <c r="D103" s="1"/>
  <c r="N21"/>
  <c r="C21"/>
  <c r="J21" s="1"/>
  <c r="N20"/>
  <c r="C20"/>
  <c r="F20" s="1"/>
  <c r="N24"/>
  <c r="C24"/>
  <c r="D24" s="1"/>
  <c r="N102" i="12"/>
  <c r="C102"/>
  <c r="D102" s="1"/>
  <c r="N104"/>
  <c r="C104"/>
  <c r="J104" s="1"/>
  <c r="N103"/>
  <c r="C103"/>
  <c r="E103" s="1"/>
  <c r="N108"/>
  <c r="C108"/>
  <c r="H108" s="1"/>
  <c r="N39"/>
  <c r="N20"/>
  <c r="C20"/>
  <c r="N22"/>
  <c r="C22"/>
  <c r="E22" s="1"/>
  <c r="N24"/>
  <c r="C24"/>
  <c r="H24" s="1"/>
  <c r="N23"/>
  <c r="J20" i="15" l="1"/>
  <c r="H20"/>
  <c r="F21"/>
  <c r="D20"/>
  <c r="I21"/>
  <c r="D20" i="12"/>
  <c r="E20"/>
  <c r="J24" i="15"/>
  <c r="G24"/>
  <c r="K24"/>
  <c r="E24"/>
  <c r="D21"/>
  <c r="K21"/>
  <c r="K103" i="12"/>
  <c r="K23"/>
  <c r="E104"/>
  <c r="D104"/>
  <c r="J103"/>
  <c r="K104"/>
  <c r="G104"/>
  <c r="K103" i="15"/>
  <c r="I103"/>
  <c r="H103"/>
  <c r="J103"/>
  <c r="F103"/>
  <c r="K20"/>
  <c r="I20"/>
  <c r="J108" i="12"/>
  <c r="F108"/>
  <c r="H23"/>
  <c r="D108"/>
  <c r="E102"/>
  <c r="G102"/>
  <c r="K102"/>
  <c r="J102"/>
  <c r="D103"/>
  <c r="G103"/>
  <c r="K108"/>
  <c r="I108"/>
  <c r="K20"/>
  <c r="J20"/>
  <c r="G20"/>
  <c r="D22"/>
  <c r="K22"/>
  <c r="J22"/>
  <c r="G22"/>
  <c r="F24"/>
  <c r="D24"/>
  <c r="K24"/>
  <c r="J24"/>
  <c r="I24"/>
  <c r="N127" i="15" l="1"/>
  <c r="C127"/>
  <c r="J127" s="1"/>
  <c r="N42"/>
  <c r="C42"/>
  <c r="N131" i="12"/>
  <c r="C131"/>
  <c r="N36"/>
  <c r="C36"/>
  <c r="D36" s="1"/>
  <c r="N41"/>
  <c r="C41"/>
  <c r="D41" s="1"/>
  <c r="K127" i="15" l="1"/>
  <c r="D127"/>
  <c r="I127"/>
  <c r="D42"/>
  <c r="I42"/>
  <c r="D131" i="12"/>
  <c r="I131"/>
  <c r="K42" i="15"/>
  <c r="H127"/>
  <c r="J42"/>
  <c r="H42"/>
  <c r="F127"/>
  <c r="F42"/>
  <c r="K131" i="12"/>
  <c r="J131"/>
  <c r="H131"/>
  <c r="F131"/>
  <c r="H36"/>
  <c r="K41"/>
  <c r="J41"/>
  <c r="I41"/>
  <c r="H41"/>
  <c r="F41"/>
  <c r="C116" i="15" l="1"/>
  <c r="H116" s="1"/>
  <c r="N116"/>
  <c r="D116" l="1"/>
  <c r="G116"/>
  <c r="N39" l="1"/>
  <c r="C39"/>
  <c r="D39" s="1"/>
  <c r="N117" i="12"/>
  <c r="C117"/>
  <c r="H117" s="1"/>
  <c r="C118"/>
  <c r="I118" s="1"/>
  <c r="N118"/>
  <c r="J118" l="1"/>
  <c r="K118"/>
  <c r="H39" i="15"/>
  <c r="D117" i="12"/>
  <c r="D118"/>
  <c r="F118"/>
  <c r="H118"/>
  <c r="N41" i="15" l="1"/>
  <c r="C41"/>
  <c r="E41" s="1"/>
  <c r="K41" l="1"/>
  <c r="J41"/>
  <c r="G41"/>
  <c r="D41"/>
  <c r="N119" i="12" l="1"/>
  <c r="C119"/>
  <c r="D119" s="1"/>
  <c r="N109"/>
  <c r="C109"/>
  <c r="F109" s="1"/>
  <c r="N38"/>
  <c r="C38"/>
  <c r="D38" s="1"/>
  <c r="N34"/>
  <c r="C34"/>
  <c r="D34" s="1"/>
  <c r="N27"/>
  <c r="C27"/>
  <c r="D27" s="1"/>
  <c r="H109" l="1"/>
  <c r="D109"/>
  <c r="I109"/>
  <c r="F38"/>
  <c r="I38"/>
  <c r="H38"/>
  <c r="I119"/>
  <c r="H119"/>
  <c r="F119"/>
  <c r="I34"/>
  <c r="H34"/>
  <c r="F34"/>
  <c r="H27"/>
  <c r="I27"/>
  <c r="F27"/>
  <c r="N121" i="15" l="1"/>
  <c r="C121"/>
  <c r="D121" s="1"/>
  <c r="N104"/>
  <c r="C104"/>
  <c r="D104" s="1"/>
  <c r="N17"/>
  <c r="C17"/>
  <c r="N38"/>
  <c r="C38"/>
  <c r="D38" s="1"/>
  <c r="N37"/>
  <c r="C37"/>
  <c r="D37" s="1"/>
  <c r="N22"/>
  <c r="C22"/>
  <c r="D22" s="1"/>
  <c r="F37" l="1"/>
  <c r="G17"/>
  <c r="D17"/>
  <c r="I121"/>
  <c r="H121"/>
  <c r="F121"/>
  <c r="I104"/>
  <c r="H104"/>
  <c r="F104"/>
  <c r="G38"/>
  <c r="H22"/>
  <c r="F22"/>
  <c r="I37"/>
  <c r="H37"/>
  <c r="I22"/>
  <c r="N132" l="1"/>
  <c r="D132"/>
  <c r="D133" s="1"/>
  <c r="D135" s="1"/>
  <c r="N120"/>
  <c r="C120"/>
  <c r="G120" s="1"/>
  <c r="N119"/>
  <c r="C119"/>
  <c r="I119" s="1"/>
  <c r="N118"/>
  <c r="C118"/>
  <c r="K118" s="1"/>
  <c r="N117"/>
  <c r="C117"/>
  <c r="K117" s="1"/>
  <c r="N115"/>
  <c r="C115"/>
  <c r="K115" s="1"/>
  <c r="N114"/>
  <c r="C114"/>
  <c r="N107"/>
  <c r="C107"/>
  <c r="I107" s="1"/>
  <c r="N106"/>
  <c r="C106"/>
  <c r="N105"/>
  <c r="C105"/>
  <c r="E105" s="1"/>
  <c r="N102"/>
  <c r="C102"/>
  <c r="D102" s="1"/>
  <c r="N101"/>
  <c r="C101"/>
  <c r="N100"/>
  <c r="C100"/>
  <c r="N99"/>
  <c r="C99"/>
  <c r="E99" s="1"/>
  <c r="N40"/>
  <c r="C40"/>
  <c r="H40" s="1"/>
  <c r="N36"/>
  <c r="C36"/>
  <c r="J36" s="1"/>
  <c r="N35"/>
  <c r="C35"/>
  <c r="H35" s="1"/>
  <c r="N34"/>
  <c r="C34"/>
  <c r="D34" s="1"/>
  <c r="N26"/>
  <c r="C26"/>
  <c r="E26" s="1"/>
  <c r="N25"/>
  <c r="C25"/>
  <c r="K25" s="1"/>
  <c r="N23"/>
  <c r="C23"/>
  <c r="J23" s="1"/>
  <c r="N19"/>
  <c r="C19"/>
  <c r="I19" s="1"/>
  <c r="N18"/>
  <c r="C18"/>
  <c r="I18" s="1"/>
  <c r="N16"/>
  <c r="C16"/>
  <c r="D16" s="1"/>
  <c r="D114" l="1"/>
  <c r="I114"/>
  <c r="D101"/>
  <c r="I101"/>
  <c r="D99"/>
  <c r="D35"/>
  <c r="H34"/>
  <c r="I34"/>
  <c r="G25"/>
  <c r="H19"/>
  <c r="E36"/>
  <c r="H119"/>
  <c r="F19"/>
  <c r="D19"/>
  <c r="J25"/>
  <c r="I118"/>
  <c r="F34"/>
  <c r="E118"/>
  <c r="D26"/>
  <c r="D115"/>
  <c r="H117"/>
  <c r="F119"/>
  <c r="G106"/>
  <c r="D106"/>
  <c r="J115"/>
  <c r="J118"/>
  <c r="G100"/>
  <c r="D100"/>
  <c r="E120"/>
  <c r="E25"/>
  <c r="D25"/>
  <c r="K119"/>
  <c r="J119"/>
  <c r="D119"/>
  <c r="D120"/>
  <c r="E106"/>
  <c r="D36"/>
  <c r="F18"/>
  <c r="H114"/>
  <c r="D18"/>
  <c r="F114"/>
  <c r="E115"/>
  <c r="F117"/>
  <c r="D117"/>
  <c r="D118"/>
  <c r="K99"/>
  <c r="D105"/>
  <c r="H107"/>
  <c r="K114"/>
  <c r="J99"/>
  <c r="F107"/>
  <c r="J114"/>
  <c r="J117"/>
  <c r="H18"/>
  <c r="F23"/>
  <c r="F35"/>
  <c r="D107"/>
  <c r="I117"/>
  <c r="F40"/>
  <c r="D40"/>
  <c r="I23"/>
  <c r="D23"/>
  <c r="H23"/>
  <c r="N28"/>
  <c r="K120"/>
  <c r="J120"/>
  <c r="N122"/>
  <c r="N108"/>
  <c r="N47"/>
  <c r="K26"/>
  <c r="J26"/>
  <c r="G26"/>
  <c r="K101"/>
  <c r="J102"/>
  <c r="K34"/>
  <c r="I102"/>
  <c r="J16"/>
  <c r="K18"/>
  <c r="K19"/>
  <c r="J34"/>
  <c r="J35"/>
  <c r="J40"/>
  <c r="H101"/>
  <c r="H102"/>
  <c r="J105"/>
  <c r="K106"/>
  <c r="K107"/>
  <c r="K35"/>
  <c r="E16"/>
  <c r="J18"/>
  <c r="J19"/>
  <c r="K23"/>
  <c r="I35"/>
  <c r="K36"/>
  <c r="I40"/>
  <c r="F101"/>
  <c r="F102"/>
  <c r="G105"/>
  <c r="J106"/>
  <c r="J107"/>
  <c r="K102"/>
  <c r="J101"/>
  <c r="K16"/>
  <c r="K40"/>
  <c r="K105"/>
  <c r="G51" l="1"/>
  <c r="G53" s="1"/>
  <c r="D28"/>
  <c r="D29" s="1"/>
  <c r="D31" s="1"/>
  <c r="G136"/>
  <c r="G138" s="1"/>
  <c r="D122"/>
  <c r="D123" s="1"/>
  <c r="D125" s="1"/>
  <c r="E136"/>
  <c r="E138" s="1"/>
  <c r="N136"/>
  <c r="I136"/>
  <c r="I138" s="1"/>
  <c r="F51"/>
  <c r="F53" s="1"/>
  <c r="D108"/>
  <c r="D109" s="1"/>
  <c r="D111" s="1"/>
  <c r="E51"/>
  <c r="D47"/>
  <c r="D48" s="1"/>
  <c r="D50" s="1"/>
  <c r="H51"/>
  <c r="H53" s="1"/>
  <c r="N51"/>
  <c r="J136"/>
  <c r="J138" s="1"/>
  <c r="K136"/>
  <c r="K138" s="1"/>
  <c r="H136"/>
  <c r="H138" s="1"/>
  <c r="I51"/>
  <c r="I53" s="1"/>
  <c r="K51"/>
  <c r="K53" s="1"/>
  <c r="F136"/>
  <c r="F138" s="1"/>
  <c r="J51"/>
  <c r="J53" s="1"/>
  <c r="G54" l="1"/>
  <c r="I141"/>
  <c r="E52"/>
  <c r="E53"/>
  <c r="E54" s="1"/>
  <c r="D136"/>
  <c r="D138" s="1"/>
  <c r="D51"/>
  <c r="D53" s="1"/>
  <c r="G52"/>
  <c r="G137"/>
  <c r="I56"/>
  <c r="G139"/>
  <c r="E139"/>
  <c r="E137"/>
  <c r="G56" l="1"/>
  <c r="G57" s="1"/>
  <c r="I142"/>
  <c r="I57"/>
  <c r="E56"/>
  <c r="G141"/>
  <c r="G142" s="1"/>
  <c r="E141"/>
  <c r="E57" l="1"/>
  <c r="E142"/>
  <c r="N123" i="12" l="1"/>
  <c r="C123"/>
  <c r="D123" s="1"/>
  <c r="K123" l="1"/>
  <c r="J123"/>
  <c r="G123"/>
  <c r="E123"/>
  <c r="N116" l="1"/>
  <c r="N98"/>
  <c r="N16"/>
  <c r="N17"/>
  <c r="N136" l="1"/>
  <c r="N122"/>
  <c r="C122"/>
  <c r="I122" s="1"/>
  <c r="N121"/>
  <c r="C121"/>
  <c r="I121" s="1"/>
  <c r="N120"/>
  <c r="C120"/>
  <c r="J120" s="1"/>
  <c r="C116"/>
  <c r="J116" s="1"/>
  <c r="N106"/>
  <c r="C106"/>
  <c r="D106" s="1"/>
  <c r="N105"/>
  <c r="C105"/>
  <c r="K105" s="1"/>
  <c r="N100"/>
  <c r="C100"/>
  <c r="I100" s="1"/>
  <c r="N99"/>
  <c r="C99"/>
  <c r="C98"/>
  <c r="J98" s="1"/>
  <c r="N40"/>
  <c r="C40"/>
  <c r="E40" s="1"/>
  <c r="N37"/>
  <c r="C37"/>
  <c r="E37" s="1"/>
  <c r="N35"/>
  <c r="C35"/>
  <c r="N26"/>
  <c r="C26"/>
  <c r="J26" s="1"/>
  <c r="N25"/>
  <c r="C25"/>
  <c r="I25" s="1"/>
  <c r="N21"/>
  <c r="C21"/>
  <c r="E21" s="1"/>
  <c r="N18"/>
  <c r="C18"/>
  <c r="D18" s="1"/>
  <c r="C17"/>
  <c r="K16"/>
  <c r="J16"/>
  <c r="E16"/>
  <c r="D16"/>
  <c r="F121" l="1"/>
  <c r="K100"/>
  <c r="D99"/>
  <c r="G99"/>
  <c r="G35"/>
  <c r="D35"/>
  <c r="D17"/>
  <c r="G17"/>
  <c r="H121"/>
  <c r="D40"/>
  <c r="G40"/>
  <c r="J40"/>
  <c r="K40"/>
  <c r="G122"/>
  <c r="D121"/>
  <c r="D136"/>
  <c r="D137" s="1"/>
  <c r="D139" s="1"/>
  <c r="J105"/>
  <c r="I105"/>
  <c r="H105"/>
  <c r="F105"/>
  <c r="D105"/>
  <c r="H120"/>
  <c r="F120"/>
  <c r="D120"/>
  <c r="I120" s="1"/>
  <c r="E122"/>
  <c r="D122"/>
  <c r="K106"/>
  <c r="J106"/>
  <c r="I106"/>
  <c r="F106"/>
  <c r="E116"/>
  <c r="D116"/>
  <c r="N126"/>
  <c r="H100"/>
  <c r="F100"/>
  <c r="D100"/>
  <c r="J100"/>
  <c r="I26"/>
  <c r="F26"/>
  <c r="D37"/>
  <c r="K116"/>
  <c r="E98"/>
  <c r="D98"/>
  <c r="N111"/>
  <c r="D21"/>
  <c r="H25"/>
  <c r="F25"/>
  <c r="D25"/>
  <c r="D26"/>
  <c r="K37"/>
  <c r="N47"/>
  <c r="J37"/>
  <c r="N29"/>
  <c r="K120"/>
  <c r="K121"/>
  <c r="K122"/>
  <c r="K18"/>
  <c r="K21"/>
  <c r="K98"/>
  <c r="J121"/>
  <c r="J122"/>
  <c r="J18"/>
  <c r="I18"/>
  <c r="H18"/>
  <c r="J21"/>
  <c r="K25"/>
  <c r="F18"/>
  <c r="G21"/>
  <c r="J25"/>
  <c r="K26"/>
  <c r="D47" l="1"/>
  <c r="D48" s="1"/>
  <c r="F140"/>
  <c r="F142" s="1"/>
  <c r="E51"/>
  <c r="E53" s="1"/>
  <c r="N140"/>
  <c r="D111"/>
  <c r="D126"/>
  <c r="H140"/>
  <c r="H142" s="1"/>
  <c r="I140"/>
  <c r="I142" s="1"/>
  <c r="G140"/>
  <c r="G142" s="1"/>
  <c r="E140"/>
  <c r="E142" s="1"/>
  <c r="J140"/>
  <c r="J142" s="1"/>
  <c r="G51"/>
  <c r="G53" s="1"/>
  <c r="H51"/>
  <c r="H53" s="1"/>
  <c r="D29"/>
  <c r="D30" s="1"/>
  <c r="F51"/>
  <c r="F53" s="1"/>
  <c r="I51"/>
  <c r="I53" s="1"/>
  <c r="I56" s="1"/>
  <c r="K51"/>
  <c r="K53" s="1"/>
  <c r="N51"/>
  <c r="J51"/>
  <c r="J53" s="1"/>
  <c r="K140"/>
  <c r="K142" s="1"/>
  <c r="I145" l="1"/>
  <c r="D127"/>
  <c r="D129" s="1"/>
  <c r="D112"/>
  <c r="D114" s="1"/>
  <c r="D140"/>
  <c r="D142" s="1"/>
  <c r="G141"/>
  <c r="D50"/>
  <c r="D32"/>
  <c r="G143"/>
  <c r="E141"/>
  <c r="G52"/>
  <c r="E52"/>
  <c r="D51"/>
  <c r="D53" s="1"/>
  <c r="E54"/>
  <c r="E143"/>
  <c r="E145" s="1"/>
  <c r="G54"/>
  <c r="I57" l="1"/>
  <c r="E146"/>
  <c r="I146"/>
  <c r="E56"/>
  <c r="E57" s="1"/>
  <c r="G56"/>
  <c r="G57" s="1"/>
  <c r="G145"/>
  <c r="G146" s="1"/>
</calcChain>
</file>

<file path=xl/sharedStrings.xml><?xml version="1.0" encoding="utf-8"?>
<sst xmlns="http://schemas.openxmlformats.org/spreadsheetml/2006/main" count="447" uniqueCount="146">
  <si>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</si>
  <si>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</si>
  <si>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</si>
  <si>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</si>
  <si>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</si>
  <si>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</si>
  <si>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</si>
  <si>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</si>
  <si>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</si>
  <si>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</si>
  <si>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</si>
  <si>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</si>
  <si>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</si>
  <si>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</si>
  <si>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</si>
  <si>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</si>
  <si>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</si>
  <si>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</si>
  <si>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</si>
  <si>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</si>
  <si>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</si>
  <si>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</si>
  <si>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</si>
  <si>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</si>
  <si>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</si>
  <si>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</si>
  <si>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</si>
  <si>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</si>
  <si>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</si>
  <si>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</si>
  <si>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</si>
  <si>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</si>
  <si>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</si>
  <si>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</si>
  <si>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</si>
  <si>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</si>
  <si>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</si>
  <si>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</si>
  <si>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</si>
  <si>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</si>
  <si>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</si>
  <si>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</si>
  <si>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</si>
  <si>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</si>
  <si>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</si>
  <si>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</si>
  <si>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</si>
  <si>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</si>
  <si>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</si>
  <si>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</si>
  <si>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</si>
  <si>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</si>
  <si>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</si>
  <si>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</si>
  <si>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</si>
  <si>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</si>
  <si>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</si>
  <si>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</si>
  <si>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</si>
  <si>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</si>
  <si>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</si>
  <si>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t>Thịt gà</t>
  </si>
  <si>
    <t>Thì là</t>
  </si>
  <si>
    <t>Gạo nếp</t>
  </si>
  <si>
    <t>Thịt lợn nạc</t>
  </si>
  <si>
    <t>Bí đao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</si>
  <si>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</si>
  <si>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</si>
  <si>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</si>
  <si>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</si>
  <si>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</si>
  <si>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</si>
  <si>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</si>
  <si>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</si>
  <si>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</si>
  <si>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</si>
  <si>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</si>
  <si>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</si>
  <si>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</si>
  <si>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</si>
  <si>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Đặng Thị Phượng</t>
  </si>
  <si>
    <t>Bí đỏ</t>
  </si>
  <si>
    <t>Canh bí đao, cà rốt nấu thịt vịt</t>
  </si>
  <si>
    <t>BỮA CHÍNH TRƯA</t>
  </si>
  <si>
    <t>BỮA PHỤ CHIỀU</t>
  </si>
  <si>
    <t>BỮA  CHÍNH TRƯA</t>
  </si>
  <si>
    <t xml:space="preserve">BỮA PHỤ </t>
  </si>
  <si>
    <t>BỮA CHÍNH CHIỀU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</si>
  <si>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</si>
  <si>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</si>
  <si>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</si>
  <si>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</si>
  <si>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</si>
  <si>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</si>
  <si>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</si>
  <si>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</si>
  <si>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</si>
  <si>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</si>
  <si>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</si>
  <si>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</si>
  <si>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</si>
  <si>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</si>
  <si>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</si>
  <si>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Số xuất ăn</t>
  </si>
  <si>
    <t>Bột canh, hạt nêm</t>
  </si>
  <si>
    <t>Trần Thị Thu</t>
  </si>
  <si>
    <t>Trần Thị Minh Thu</t>
  </si>
  <si>
    <r>
      <t xml:space="preserve">Cách khắc phục: </t>
    </r>
    <r>
      <rPr>
        <sz val="11"/>
        <rFont val="Times New Roman"/>
        <family val="1"/>
      </rPr>
      <t>Duy trì định lượng lương thực, thực phẩm trong khẩu phần ăn của trẻ.</t>
    </r>
  </si>
  <si>
    <t>Thịt bò sốt cà chua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</si>
  <si>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</si>
  <si>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</si>
  <si>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Nước tương</t>
  </si>
  <si>
    <t>Bánh đa</t>
  </si>
  <si>
    <t>Dầu cá Ranee</t>
  </si>
  <si>
    <t>Cháo thịt vịt - cà rốt</t>
  </si>
  <si>
    <t>Dầu Simply</t>
  </si>
  <si>
    <t>Uống sữa Nuvi Grow</t>
  </si>
  <si>
    <t>Sữa bột Nuvi Grow</t>
  </si>
  <si>
    <t>Thịt vịt om nước tương</t>
  </si>
  <si>
    <t>Khuyến
 nghị</t>
  </si>
  <si>
    <t>Cá quả sốt cà chua</t>
  </si>
  <si>
    <t>Dứa xào thịt bò</t>
  </si>
  <si>
    <t>Dứa</t>
  </si>
  <si>
    <t>Cá quả</t>
  </si>
  <si>
    <t>Bí đao, cà rốt xào thịt gà</t>
  </si>
  <si>
    <t>Canh bí đỏ, cà rốt nấu thịt lợn</t>
  </si>
  <si>
    <t>Bánh đa - thịt lợn rau bắp cải</t>
  </si>
  <si>
    <t>Su hào</t>
  </si>
  <si>
    <t>Rau bắp cải</t>
  </si>
  <si>
    <t>Canh su hào nấu thịt gà</t>
  </si>
  <si>
    <t>Canh rau bắp cải nấu thịt lợn</t>
  </si>
  <si>
    <t>Đường kính</t>
  </si>
  <si>
    <t>Tỷ lệ L động vật đạt 70%; so với khẩu phần khuyến nghị đảm bảo đạt</t>
  </si>
  <si>
    <t>Tỷ lệ P động vật đạt 50%; so với khẩu phần khuyến nghị tương đối đạt</t>
  </si>
  <si>
    <t>Tỷ lệ L động vật đạt 70.4%; so với khẩu phần khuyến nghị đảm bảo đạt</t>
  </si>
  <si>
    <t>Thứ hai, ngày 30 tháng 3 năm 2026</t>
  </si>
  <si>
    <t>Kcal đạt 666.31. So với khẩu phần khuyến nghị đảm bảo đạt</t>
  </si>
  <si>
    <t>Kcal đạt 625.8 So với khẩu phần khuyến nghị đảm bảo đạt</t>
  </si>
  <si>
    <t>Tỷ lệ P động vật đạt 57.6%; so với khẩu phần khuyến nghị đảm bảo đạt</t>
  </si>
  <si>
    <t>Tỷ lệ L động vật đạt 70.2%; so với khẩu phần khuyến nghị đảm bảo đạt</t>
  </si>
  <si>
    <t>Thứ ba, ngày 31 tháng 3 năm 2026</t>
  </si>
  <si>
    <t>Kcal đạt 712.47. So với khẩu phần khuyến nghị đảm bảo đạt</t>
  </si>
  <si>
    <t>Tỷ lệ P động vật đạt 50.8%; so với khẩu phần khuyến nghị tương đối đạt</t>
  </si>
  <si>
    <t>Kcal đạt 687.76. So với khẩu phần khuyến nghị đảm bảo đạt</t>
  </si>
  <si>
    <t>Tỷ lệ P động vật đạt 54.5%; so với khẩu phần khuyến nghị tương đối đạt</t>
  </si>
  <si>
    <t>Tỷ lệ L động vật đạt 71.1%; cao hơn so với khẩu phần khuyến nghị 1.1%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</si>
</sst>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16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314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5" xfId="0" applyFont="1" applyFill="1" applyBorder="1"/>
    <xf numFmtId="0" fontId="7" fillId="0" borderId="6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5" xfId="0" applyFont="1" applyFill="1" applyBorder="1" applyAlignment="1">
      <alignment horizontal="center"/>
    </xf>
    <xf numFmtId="3" fontId="7" fillId="0" borderId="5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3" fontId="7" fillId="0" borderId="13" xfId="1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10" fillId="0" borderId="17" xfId="0" applyFont="1" applyFill="1" applyBorder="1" applyAlignment="1"/>
    <xf numFmtId="0" fontId="10" fillId="0" borderId="7" xfId="0" applyFont="1" applyFill="1" applyBorder="1" applyAlignment="1"/>
    <xf numFmtId="3" fontId="11" fillId="0" borderId="5" xfId="0" applyNumberFormat="1" applyFont="1" applyFill="1" applyBorder="1"/>
    <xf numFmtId="2" fontId="11" fillId="0" borderId="5" xfId="0" applyNumberFormat="1" applyFont="1" applyFill="1" applyBorder="1"/>
    <xf numFmtId="4" fontId="11" fillId="0" borderId="5" xfId="0" applyNumberFormat="1" applyFont="1" applyFill="1" applyBorder="1"/>
    <xf numFmtId="1" fontId="11" fillId="0" borderId="5" xfId="0" applyNumberFormat="1" applyFont="1" applyFill="1" applyBorder="1"/>
    <xf numFmtId="164" fontId="11" fillId="0" borderId="5" xfId="0" applyNumberFormat="1" applyFont="1" applyFill="1" applyBorder="1"/>
    <xf numFmtId="3" fontId="11" fillId="0" borderId="5" xfId="0" applyNumberFormat="1" applyFont="1" applyFill="1" applyBorder="1" applyAlignment="1"/>
    <xf numFmtId="4" fontId="11" fillId="0" borderId="6" xfId="0" applyNumberFormat="1" applyFont="1" applyFill="1" applyBorder="1"/>
    <xf numFmtId="1" fontId="11" fillId="0" borderId="6" xfId="0" applyNumberFormat="1" applyFont="1" applyFill="1" applyBorder="1"/>
    <xf numFmtId="3" fontId="11" fillId="0" borderId="6" xfId="0" applyNumberFormat="1" applyFont="1" applyFill="1" applyBorder="1"/>
    <xf numFmtId="2" fontId="11" fillId="0" borderId="6" xfId="0" applyNumberFormat="1" applyFont="1" applyFill="1" applyBorder="1"/>
    <xf numFmtId="3" fontId="11" fillId="0" borderId="6" xfId="0" applyNumberFormat="1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5" xfId="0" applyFont="1" applyBorder="1"/>
    <xf numFmtId="0" fontId="6" fillId="0" borderId="2" xfId="0" applyFont="1" applyBorder="1" applyAlignment="1">
      <alignment vertical="center"/>
    </xf>
    <xf numFmtId="3" fontId="11" fillId="0" borderId="13" xfId="0" applyNumberFormat="1" applyFont="1" applyFill="1" applyBorder="1"/>
    <xf numFmtId="2" fontId="11" fillId="0" borderId="13" xfId="0" applyNumberFormat="1" applyFont="1" applyFill="1" applyBorder="1"/>
    <xf numFmtId="4" fontId="11" fillId="0" borderId="13" xfId="0" applyNumberFormat="1" applyFont="1" applyFill="1" applyBorder="1"/>
    <xf numFmtId="1" fontId="11" fillId="0" borderId="13" xfId="0" applyNumberFormat="1" applyFont="1" applyFill="1" applyBorder="1"/>
    <xf numFmtId="3" fontId="11" fillId="0" borderId="13" xfId="0" applyNumberFormat="1" applyFont="1" applyFill="1" applyBorder="1" applyAlignment="1"/>
    <xf numFmtId="3" fontId="11" fillId="0" borderId="14" xfId="0" applyNumberFormat="1" applyFont="1" applyFill="1" applyBorder="1"/>
    <xf numFmtId="2" fontId="11" fillId="0" borderId="14" xfId="0" applyNumberFormat="1" applyFont="1" applyFill="1" applyBorder="1"/>
    <xf numFmtId="4" fontId="11" fillId="0" borderId="14" xfId="0" applyNumberFormat="1" applyFont="1" applyFill="1" applyBorder="1"/>
    <xf numFmtId="1" fontId="11" fillId="0" borderId="14" xfId="0" applyNumberFormat="1" applyFont="1" applyFill="1" applyBorder="1"/>
    <xf numFmtId="3" fontId="11" fillId="0" borderId="14" xfId="0" applyNumberFormat="1" applyFont="1" applyFill="1" applyBorder="1" applyAlignment="1"/>
    <xf numFmtId="0" fontId="11" fillId="0" borderId="15" xfId="0" applyFont="1" applyBorder="1"/>
    <xf numFmtId="1" fontId="6" fillId="0" borderId="15" xfId="0" applyNumberFormat="1" applyFont="1" applyBorder="1"/>
    <xf numFmtId="0" fontId="11" fillId="0" borderId="14" xfId="0" applyFont="1" applyBorder="1"/>
    <xf numFmtId="0" fontId="6" fillId="0" borderId="14" xfId="0" applyFont="1" applyBorder="1"/>
    <xf numFmtId="1" fontId="6" fillId="0" borderId="14" xfId="0" applyNumberFormat="1" applyFont="1" applyBorder="1"/>
    <xf numFmtId="3" fontId="6" fillId="0" borderId="14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/>
    <xf numFmtId="1" fontId="6" fillId="0" borderId="3" xfId="0" applyNumberFormat="1" applyFont="1" applyBorder="1"/>
    <xf numFmtId="3" fontId="11" fillId="0" borderId="7" xfId="0" applyNumberFormat="1" applyFont="1" applyFill="1" applyBorder="1" applyAlignment="1"/>
    <xf numFmtId="0" fontId="11" fillId="0" borderId="4" xfId="0" applyFont="1" applyBorder="1" applyAlignment="1">
      <alignment horizontal="left" vertical="center"/>
    </xf>
    <xf numFmtId="164" fontId="11" fillId="0" borderId="6" xfId="0" applyNumberFormat="1" applyFont="1" applyFill="1" applyBorder="1"/>
    <xf numFmtId="2" fontId="6" fillId="0" borderId="2" xfId="0" applyNumberFormat="1" applyFont="1" applyBorder="1"/>
    <xf numFmtId="167" fontId="11" fillId="0" borderId="5" xfId="0" applyNumberFormat="1" applyFont="1" applyFill="1" applyBorder="1"/>
    <xf numFmtId="3" fontId="9" fillId="0" borderId="3" xfId="0" applyNumberFormat="1" applyFont="1" applyFill="1" applyBorder="1" applyAlignment="1">
      <alignment horizontal="center"/>
    </xf>
    <xf numFmtId="167" fontId="11" fillId="0" borderId="13" xfId="0" applyNumberFormat="1" applyFont="1" applyFill="1" applyBorder="1"/>
    <xf numFmtId="167" fontId="6" fillId="0" borderId="2" xfId="0" applyNumberFormat="1" applyFont="1" applyFill="1" applyBorder="1" applyAlignment="1">
      <alignment horizontal="center"/>
    </xf>
    <xf numFmtId="3" fontId="11" fillId="0" borderId="5" xfId="1" applyNumberFormat="1" applyFont="1" applyFill="1" applyBorder="1" applyAlignment="1">
      <alignment horizontal="left"/>
    </xf>
    <xf numFmtId="164" fontId="13" fillId="0" borderId="5" xfId="0" applyNumberFormat="1" applyFont="1" applyFill="1" applyBorder="1"/>
    <xf numFmtId="2" fontId="6" fillId="0" borderId="2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64" fontId="11" fillId="0" borderId="13" xfId="0" applyNumberFormat="1" applyFont="1" applyFill="1" applyBorder="1"/>
    <xf numFmtId="0" fontId="7" fillId="0" borderId="18" xfId="0" applyFont="1" applyFill="1" applyBorder="1" applyAlignment="1">
      <alignment horizontal="center"/>
    </xf>
    <xf numFmtId="3" fontId="11" fillId="0" borderId="18" xfId="0" applyNumberFormat="1" applyFont="1" applyFill="1" applyBorder="1"/>
    <xf numFmtId="2" fontId="11" fillId="0" borderId="18" xfId="0" applyNumberFormat="1" applyFont="1" applyFill="1" applyBorder="1"/>
    <xf numFmtId="4" fontId="11" fillId="0" borderId="18" xfId="0" applyNumberFormat="1" applyFont="1" applyFill="1" applyBorder="1"/>
    <xf numFmtId="1" fontId="11" fillId="0" borderId="18" xfId="0" applyNumberFormat="1" applyFont="1" applyFill="1" applyBorder="1"/>
    <xf numFmtId="3" fontId="11" fillId="0" borderId="18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7" fillId="0" borderId="18" xfId="0" applyFont="1" applyFill="1" applyBorder="1"/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3" fillId="0" borderId="5" xfId="0" applyNumberFormat="1" applyFont="1" applyFill="1" applyBorder="1"/>
    <xf numFmtId="2" fontId="13" fillId="0" borderId="5" xfId="0" applyNumberFormat="1" applyFont="1" applyFill="1" applyBorder="1"/>
    <xf numFmtId="2" fontId="12" fillId="0" borderId="2" xfId="0" applyNumberFormat="1" applyFont="1" applyFill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2" fontId="1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4" fontId="13" fillId="0" borderId="2" xfId="0" applyNumberFormat="1" applyFont="1" applyFill="1" applyBorder="1"/>
    <xf numFmtId="0" fontId="12" fillId="2" borderId="15" xfId="0" applyFont="1" applyFill="1" applyBorder="1" applyAlignment="1">
      <alignment vertical="center"/>
    </xf>
    <xf numFmtId="2" fontId="3" fillId="0" borderId="0" xfId="0" applyNumberFormat="1" applyFont="1"/>
    <xf numFmtId="0" fontId="6" fillId="0" borderId="15" xfId="0" applyFont="1" applyFill="1" applyBorder="1" applyAlignment="1">
      <alignment vertical="center"/>
    </xf>
    <xf numFmtId="2" fontId="6" fillId="2" borderId="15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/>
    <xf numFmtId="4" fontId="11" fillId="2" borderId="5" xfId="0" applyNumberFormat="1" applyFont="1" applyFill="1" applyBorder="1"/>
    <xf numFmtId="167" fontId="13" fillId="0" borderId="5" xfId="0" applyNumberFormat="1" applyFont="1" applyFill="1" applyBorder="1"/>
    <xf numFmtId="2" fontId="9" fillId="0" borderId="5" xfId="0" applyNumberFormat="1" applyFont="1" applyFill="1" applyBorder="1"/>
    <xf numFmtId="3" fontId="3" fillId="0" borderId="5" xfId="1" applyNumberFormat="1" applyFont="1" applyFill="1" applyBorder="1" applyAlignment="1">
      <alignment horizontal="left"/>
    </xf>
    <xf numFmtId="4" fontId="13" fillId="0" borderId="18" xfId="0" applyNumberFormat="1" applyFont="1" applyFill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9" fillId="0" borderId="5" xfId="3" applyNumberFormat="1" applyFont="1" applyFill="1" applyBorder="1" applyAlignment="1">
      <alignment horizontal="left" vertical="center" wrapText="1"/>
    </xf>
    <xf numFmtId="3" fontId="9" fillId="0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3" fontId="9" fillId="0" borderId="18" xfId="3" applyNumberFormat="1" applyFont="1" applyFill="1" applyBorder="1" applyAlignment="1">
      <alignment horizontal="left" vertical="center" wrapText="1"/>
    </xf>
    <xf numFmtId="167" fontId="13" fillId="0" borderId="18" xfId="0" applyNumberFormat="1" applyFont="1" applyFill="1" applyBorder="1"/>
    <xf numFmtId="4" fontId="13" fillId="0" borderId="6" xfId="0" applyNumberFormat="1" applyFont="1" applyFill="1" applyBorder="1"/>
    <xf numFmtId="2" fontId="13" fillId="0" borderId="18" xfId="0" applyNumberFormat="1" applyFont="1" applyFill="1" applyBorder="1"/>
    <xf numFmtId="1" fontId="6" fillId="0" borderId="2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5" fillId="0" borderId="1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10" fillId="0" borderId="15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6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10" fillId="0" borderId="15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11" fillId="2" borderId="13" xfId="0" applyNumberFormat="1" applyFont="1" applyFill="1" applyBorder="1"/>
    <xf numFmtId="167" fontId="3" fillId="0" borderId="0" xfId="0" applyNumberFormat="1" applyFont="1" applyFill="1" applyBorder="1"/>
    <xf numFmtId="1" fontId="11" fillId="2" borderId="5" xfId="0" applyNumberFormat="1" applyFont="1" applyFill="1" applyBorder="1"/>
    <xf numFmtId="4" fontId="3" fillId="0" borderId="0" xfId="0" applyNumberFormat="1" applyFont="1" applyFill="1" applyBorder="1"/>
    <xf numFmtId="1" fontId="11" fillId="2" borderId="6" xfId="0" applyNumberFormat="1" applyFont="1" applyFill="1" applyBorder="1"/>
    <xf numFmtId="3" fontId="15" fillId="0" borderId="2" xfId="0" applyNumberFormat="1" applyFont="1" applyFill="1" applyBorder="1" applyAlignment="1">
      <alignment horizontal="center" wrapText="1"/>
    </xf>
    <xf numFmtId="167" fontId="3" fillId="0" borderId="0" xfId="0" applyNumberFormat="1" applyFont="1" applyFill="1"/>
    <xf numFmtId="1" fontId="3" fillId="0" borderId="0" xfId="0" applyNumberFormat="1" applyFont="1" applyFill="1" applyBorder="1"/>
    <xf numFmtId="164" fontId="12" fillId="2" borderId="2" xfId="0" applyNumberFormat="1" applyFont="1" applyFill="1" applyBorder="1" applyAlignment="1"/>
    <xf numFmtId="164" fontId="12" fillId="2" borderId="7" xfId="0" applyNumberFormat="1" applyFont="1" applyFill="1" applyBorder="1" applyAlignment="1"/>
    <xf numFmtId="164" fontId="6" fillId="2" borderId="7" xfId="0" applyNumberFormat="1" applyFont="1" applyFill="1" applyBorder="1" applyAlignment="1"/>
    <xf numFmtId="165" fontId="6" fillId="2" borderId="1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2" fontId="11" fillId="0" borderId="4" xfId="0" applyNumberFormat="1" applyFont="1" applyFill="1" applyBorder="1"/>
    <xf numFmtId="4" fontId="11" fillId="2" borderId="6" xfId="0" applyNumberFormat="1" applyFont="1" applyFill="1" applyBorder="1"/>
    <xf numFmtId="164" fontId="6" fillId="2" borderId="2" xfId="0" applyNumberFormat="1" applyFont="1" applyFill="1" applyBorder="1" applyAlignment="1"/>
    <xf numFmtId="0" fontId="6" fillId="0" borderId="2" xfId="0" applyFont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9" fillId="2" borderId="0" xfId="0" applyFont="1" applyFill="1" applyBorder="1"/>
    <xf numFmtId="166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2" fontId="3" fillId="2" borderId="0" xfId="0" applyNumberFormat="1" applyFont="1" applyFill="1" applyBorder="1"/>
    <xf numFmtId="3" fontId="9" fillId="0" borderId="2" xfId="0" applyNumberFormat="1" applyFont="1" applyFill="1" applyBorder="1" applyAlignment="1">
      <alignment horizontal="center" wrapText="1"/>
    </xf>
    <xf numFmtId="2" fontId="11" fillId="2" borderId="18" xfId="0" applyNumberFormat="1" applyFont="1" applyFill="1" applyBorder="1"/>
    <xf numFmtId="4" fontId="3" fillId="2" borderId="0" xfId="0" applyNumberFormat="1" applyFont="1" applyFill="1"/>
    <xf numFmtId="3" fontId="3" fillId="0" borderId="0" xfId="0" applyNumberFormat="1" applyFont="1"/>
    <xf numFmtId="165" fontId="12" fillId="2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3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166" fontId="3" fillId="2" borderId="0" xfId="0" applyNumberFormat="1" applyFont="1" applyFill="1" applyBorder="1" applyAlignment="1"/>
    <xf numFmtId="0" fontId="10" fillId="0" borderId="2" xfId="0" applyFont="1" applyBorder="1" applyAlignment="1">
      <alignment horizontal="center" vertical="center"/>
    </xf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3"/>
  <sheetViews>
    <sheetView tabSelected="1" workbookViewId="0">
      <selection activeCell="P13" sqref="P13"/>
    </sheetView>
  </sheetViews>
  <sheetFormatPr defaultColWidth="9.109375" defaultRowHeight="21.6" customHeight="1"/>
  <cols>
    <col min="1" max="1" width="4" style="1" customWidth="1"/>
    <col min="2" max="2" width="12.5546875" style="1" customWidth="1"/>
    <col min="3" max="3" width="8" style="1" customWidth="1"/>
    <col min="4" max="4" width="8.88671875" style="1" customWidth="1"/>
    <col min="5" max="8" width="6.6640625" style="1" customWidth="1"/>
    <col min="9" max="9" width="6.88671875" style="1" customWidth="1"/>
    <col min="10" max="10" width="7.6640625" style="1" customWidth="1"/>
    <col min="11" max="11" width="5.44140625" style="1" customWidth="1"/>
    <col min="12" max="12" width="5.88671875" style="1" customWidth="1"/>
    <col min="13" max="13" width="7.77734375" style="1" customWidth="1"/>
    <col min="14" max="14" width="7.33203125" style="1" customWidth="1"/>
    <col min="15" max="15" width="10" style="1" customWidth="1"/>
    <col min="16" max="16" width="9.88671875" style="1" bestFit="1" customWidth="1"/>
    <col min="17" max="17" width="10.33203125" style="1" bestFit="1" customWidth="1"/>
    <col min="18" max="19" width="9.33203125" style="1" bestFit="1" customWidth="1"/>
    <col min="20" max="20" width="12.44140625" style="1" customWidth="1"/>
    <col min="21" max="21" width="9.33203125" style="1" bestFit="1" customWidth="1"/>
    <col min="22" max="16384" width="9.109375" style="1"/>
  </cols>
  <sheetData>
    <row r="1" spans="1:20" ht="22.2" customHeight="1">
      <c r="A1" s="11" t="s">
        <v>57</v>
      </c>
      <c r="B1" s="8"/>
      <c r="C1" s="8"/>
      <c r="D1" s="8"/>
      <c r="E1" s="8"/>
      <c r="F1" s="249" t="s">
        <v>30</v>
      </c>
      <c r="G1" s="249"/>
      <c r="H1" s="249"/>
      <c r="I1" s="249"/>
      <c r="J1" s="249"/>
      <c r="K1" s="249"/>
      <c r="L1" s="249"/>
      <c r="M1" s="249"/>
      <c r="N1" s="249"/>
      <c r="O1" s="261"/>
      <c r="P1" s="261"/>
      <c r="T1" s="2"/>
    </row>
    <row r="2" spans="1:20" ht="22.2" customHeight="1">
      <c r="A2" s="11"/>
      <c r="B2" s="8"/>
      <c r="C2" s="8"/>
      <c r="D2" s="8"/>
      <c r="E2" s="8"/>
      <c r="F2" s="132"/>
      <c r="G2" s="132"/>
      <c r="H2" s="132"/>
      <c r="I2" s="132"/>
      <c r="J2" s="132"/>
      <c r="K2" s="132"/>
      <c r="L2" s="132"/>
      <c r="M2" s="132"/>
      <c r="N2" s="132"/>
      <c r="O2" s="261"/>
      <c r="P2" s="261"/>
      <c r="T2" s="2"/>
    </row>
    <row r="3" spans="1:20" ht="21" customHeight="1">
      <c r="A3" s="79" t="s">
        <v>135</v>
      </c>
      <c r="B3" s="79"/>
      <c r="C3" s="79"/>
      <c r="D3" s="79"/>
      <c r="E3" s="79"/>
      <c r="F3" s="80"/>
      <c r="G3" s="80"/>
      <c r="H3" s="80"/>
      <c r="I3" s="132"/>
      <c r="J3" s="132"/>
      <c r="K3" s="132"/>
      <c r="L3" s="132"/>
      <c r="M3" s="132"/>
      <c r="N3" s="132"/>
      <c r="O3" s="261"/>
      <c r="P3" s="261"/>
      <c r="T3" s="2"/>
    </row>
    <row r="4" spans="1:20" s="2" customFormat="1" ht="19.2" customHeight="1">
      <c r="A4" s="150" t="s">
        <v>77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262"/>
    </row>
    <row r="5" spans="1:20" s="2" customFormat="1" ht="19.2" customHeight="1">
      <c r="A5" s="153" t="s">
        <v>85</v>
      </c>
      <c r="B5" s="153"/>
      <c r="C5" s="153"/>
      <c r="D5" s="153"/>
      <c r="E5" s="153" t="s">
        <v>84</v>
      </c>
      <c r="F5" s="153"/>
      <c r="G5" s="153"/>
      <c r="H5" s="153"/>
      <c r="I5" s="153"/>
      <c r="J5" s="153"/>
      <c r="K5" s="153"/>
      <c r="L5" s="153"/>
      <c r="M5" s="153"/>
      <c r="N5" s="153"/>
      <c r="O5" s="262"/>
    </row>
    <row r="6" spans="1:20" s="2" customFormat="1" ht="19.2" customHeight="1">
      <c r="A6" s="154" t="s">
        <v>79</v>
      </c>
      <c r="B6" s="154"/>
      <c r="C6" s="154"/>
      <c r="D6" s="154"/>
      <c r="E6" s="157" t="s">
        <v>116</v>
      </c>
      <c r="F6" s="157"/>
      <c r="G6" s="157"/>
      <c r="H6" s="157"/>
      <c r="I6" s="157"/>
      <c r="J6" s="158" t="s">
        <v>126</v>
      </c>
      <c r="K6" s="159"/>
      <c r="L6" s="159"/>
      <c r="M6" s="159"/>
      <c r="N6" s="160"/>
      <c r="O6" s="262"/>
    </row>
    <row r="7" spans="1:20" s="2" customFormat="1" ht="19.2" customHeight="1">
      <c r="A7" s="155" t="s">
        <v>120</v>
      </c>
      <c r="B7" s="155"/>
      <c r="C7" s="155"/>
      <c r="D7" s="155"/>
      <c r="E7" s="157"/>
      <c r="F7" s="157"/>
      <c r="G7" s="157"/>
      <c r="H7" s="157"/>
      <c r="I7" s="157"/>
      <c r="J7" s="161"/>
      <c r="K7" s="162"/>
      <c r="L7" s="162"/>
      <c r="M7" s="162"/>
      <c r="N7" s="163"/>
      <c r="O7" s="262"/>
    </row>
    <row r="8" spans="1:20" s="2" customFormat="1" ht="19.2" customHeight="1">
      <c r="A8" s="190" t="s">
        <v>121</v>
      </c>
      <c r="B8" s="191"/>
      <c r="C8" s="191"/>
      <c r="D8" s="192"/>
      <c r="E8" s="157"/>
      <c r="F8" s="157"/>
      <c r="G8" s="157"/>
      <c r="H8" s="157"/>
      <c r="I8" s="157"/>
      <c r="J8" s="161"/>
      <c r="K8" s="162"/>
      <c r="L8" s="162"/>
      <c r="M8" s="162"/>
      <c r="N8" s="163"/>
      <c r="O8" s="262"/>
    </row>
    <row r="9" spans="1:20" s="2" customFormat="1" ht="19.2" customHeight="1">
      <c r="A9" s="156" t="s">
        <v>129</v>
      </c>
      <c r="B9" s="156"/>
      <c r="C9" s="156"/>
      <c r="D9" s="156"/>
      <c r="E9" s="157"/>
      <c r="F9" s="157"/>
      <c r="G9" s="157"/>
      <c r="H9" s="157"/>
      <c r="I9" s="157"/>
      <c r="J9" s="164"/>
      <c r="K9" s="165"/>
      <c r="L9" s="165"/>
      <c r="M9" s="165"/>
      <c r="N9" s="166"/>
      <c r="O9" s="262"/>
    </row>
    <row r="10" spans="1:20" s="2" customFormat="1" ht="19.2" customHeight="1">
      <c r="A10" s="187" t="s">
        <v>103</v>
      </c>
      <c r="B10" s="188"/>
      <c r="C10" s="189"/>
      <c r="D10" s="107">
        <v>213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262"/>
    </row>
    <row r="11" spans="1:20" ht="19.2" customHeight="1">
      <c r="A11" s="167" t="s">
        <v>0</v>
      </c>
      <c r="B11" s="170" t="s">
        <v>19</v>
      </c>
      <c r="C11" s="173" t="s">
        <v>8</v>
      </c>
      <c r="D11" s="173" t="s">
        <v>9</v>
      </c>
      <c r="E11" s="176" t="s">
        <v>11</v>
      </c>
      <c r="F11" s="177"/>
      <c r="G11" s="176" t="s">
        <v>42</v>
      </c>
      <c r="H11" s="177"/>
      <c r="I11" s="180" t="s">
        <v>16</v>
      </c>
      <c r="J11" s="180" t="s">
        <v>40</v>
      </c>
      <c r="K11" s="180" t="s">
        <v>41</v>
      </c>
      <c r="L11" s="180" t="s">
        <v>17</v>
      </c>
      <c r="M11" s="180" t="s">
        <v>39</v>
      </c>
      <c r="N11" s="167" t="s">
        <v>18</v>
      </c>
      <c r="O11" s="263"/>
    </row>
    <row r="12" spans="1:20" ht="19.2" customHeight="1">
      <c r="A12" s="168"/>
      <c r="B12" s="171"/>
      <c r="C12" s="174"/>
      <c r="D12" s="174"/>
      <c r="E12" s="178"/>
      <c r="F12" s="179"/>
      <c r="G12" s="178"/>
      <c r="H12" s="179"/>
      <c r="I12" s="181"/>
      <c r="J12" s="181"/>
      <c r="K12" s="181"/>
      <c r="L12" s="181"/>
      <c r="M12" s="181"/>
      <c r="N12" s="168"/>
      <c r="O12" s="135"/>
    </row>
    <row r="13" spans="1:20" ht="19.2" customHeight="1">
      <c r="A13" s="168"/>
      <c r="B13" s="171"/>
      <c r="C13" s="174"/>
      <c r="D13" s="174"/>
      <c r="E13" s="180" t="s">
        <v>10</v>
      </c>
      <c r="F13" s="180" t="s">
        <v>12</v>
      </c>
      <c r="G13" s="180" t="s">
        <v>14</v>
      </c>
      <c r="H13" s="180" t="s">
        <v>15</v>
      </c>
      <c r="I13" s="181"/>
      <c r="J13" s="181"/>
      <c r="K13" s="181"/>
      <c r="L13" s="181"/>
      <c r="M13" s="181"/>
      <c r="N13" s="168"/>
      <c r="O13" s="135"/>
    </row>
    <row r="14" spans="1:20" ht="19.2" customHeight="1">
      <c r="A14" s="169"/>
      <c r="B14" s="172"/>
      <c r="C14" s="175"/>
      <c r="D14" s="175"/>
      <c r="E14" s="182"/>
      <c r="F14" s="182"/>
      <c r="G14" s="182"/>
      <c r="H14" s="182"/>
      <c r="I14" s="182"/>
      <c r="J14" s="182"/>
      <c r="K14" s="182"/>
      <c r="L14" s="182"/>
      <c r="M14" s="182"/>
      <c r="N14" s="169"/>
      <c r="O14" s="135"/>
    </row>
    <row r="15" spans="1:20" ht="19.8" customHeight="1">
      <c r="A15" s="196" t="s">
        <v>33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8"/>
      <c r="O15" s="135"/>
    </row>
    <row r="16" spans="1:20" s="2" customFormat="1" ht="19.8" customHeight="1">
      <c r="A16" s="15">
        <v>1</v>
      </c>
      <c r="B16" s="16" t="s">
        <v>2</v>
      </c>
      <c r="C16" s="49">
        <v>12</v>
      </c>
      <c r="D16" s="50">
        <f>C16/100*60</f>
        <v>7.1999999999999993</v>
      </c>
      <c r="E16" s="51">
        <f>C16/100*15</f>
        <v>1.7999999999999998</v>
      </c>
      <c r="F16" s="51"/>
      <c r="G16" s="51"/>
      <c r="H16" s="51"/>
      <c r="I16" s="51"/>
      <c r="J16" s="51">
        <f>C16/100*387</f>
        <v>46.44</v>
      </c>
      <c r="K16" s="51">
        <f>C16/100*0.09</f>
        <v>1.0799999999999999E-2</v>
      </c>
      <c r="L16" s="264">
        <v>270</v>
      </c>
      <c r="M16" s="73">
        <v>20</v>
      </c>
      <c r="N16" s="27">
        <f t="shared" ref="N16:N27" si="0">L16*M16</f>
        <v>5400</v>
      </c>
      <c r="O16" s="271"/>
    </row>
    <row r="17" spans="1:20" s="2" customFormat="1" ht="19.8" customHeight="1">
      <c r="A17" s="9">
        <v>2</v>
      </c>
      <c r="B17" s="10" t="s">
        <v>113</v>
      </c>
      <c r="C17" s="22">
        <f>L17/100*100</f>
        <v>1130</v>
      </c>
      <c r="D17" s="23">
        <f>C17/100*899</f>
        <v>10158.700000000001</v>
      </c>
      <c r="E17" s="24"/>
      <c r="F17" s="24"/>
      <c r="G17" s="101">
        <f>C17/100*100</f>
        <v>1130</v>
      </c>
      <c r="H17" s="24"/>
      <c r="I17" s="24"/>
      <c r="J17" s="24"/>
      <c r="K17" s="24"/>
      <c r="L17" s="266">
        <v>1130</v>
      </c>
      <c r="M17" s="23">
        <v>68</v>
      </c>
      <c r="N17" s="27">
        <f t="shared" si="0"/>
        <v>76840</v>
      </c>
      <c r="O17" s="271"/>
    </row>
    <row r="18" spans="1:20" s="2" customFormat="1" ht="19.8" customHeight="1">
      <c r="A18" s="9">
        <v>3</v>
      </c>
      <c r="B18" s="5" t="s">
        <v>1</v>
      </c>
      <c r="C18" s="22">
        <f>L18/100*100</f>
        <v>20235</v>
      </c>
      <c r="D18" s="23">
        <f>C18/100*318.3</f>
        <v>64408.004999999997</v>
      </c>
      <c r="E18" s="24"/>
      <c r="F18" s="101">
        <f>C18/100*7.9</f>
        <v>1598.5650000000001</v>
      </c>
      <c r="G18" s="24"/>
      <c r="H18" s="24">
        <f>C18/100*1</f>
        <v>202.35</v>
      </c>
      <c r="I18" s="101">
        <f>C18/100*75.9</f>
        <v>15358.365000000002</v>
      </c>
      <c r="J18" s="24">
        <f>C18/100*30</f>
        <v>6070.5</v>
      </c>
      <c r="K18" s="24">
        <f>C18/100*0.1</f>
        <v>20.234999999999999</v>
      </c>
      <c r="L18" s="266">
        <v>20235</v>
      </c>
      <c r="M18" s="71">
        <v>18</v>
      </c>
      <c r="N18" s="27">
        <f t="shared" si="0"/>
        <v>364230</v>
      </c>
      <c r="O18" s="267"/>
      <c r="P18" s="270"/>
    </row>
    <row r="19" spans="1:20" s="2" customFormat="1" ht="19.8" customHeight="1">
      <c r="A19" s="9">
        <v>4</v>
      </c>
      <c r="B19" s="10" t="s">
        <v>131</v>
      </c>
      <c r="C19" s="22">
        <f>L19/100*100</f>
        <v>170</v>
      </c>
      <c r="D19" s="23">
        <f>C19/100*390</f>
        <v>663</v>
      </c>
      <c r="E19" s="24"/>
      <c r="F19" s="24"/>
      <c r="G19" s="24"/>
      <c r="H19" s="24"/>
      <c r="I19" s="24">
        <f>C19/100*97.4</f>
        <v>165.58</v>
      </c>
      <c r="J19" s="26">
        <f>C19/100*178</f>
        <v>302.59999999999997</v>
      </c>
      <c r="K19" s="26">
        <f>C19/100*0.05</f>
        <v>8.5000000000000006E-2</v>
      </c>
      <c r="L19" s="266">
        <v>170</v>
      </c>
      <c r="M19" s="71">
        <v>25</v>
      </c>
      <c r="N19" s="27">
        <f t="shared" si="0"/>
        <v>4250</v>
      </c>
      <c r="O19" s="265"/>
    </row>
    <row r="20" spans="1:20" s="2" customFormat="1" ht="19.8" customHeight="1">
      <c r="A20" s="9">
        <v>5</v>
      </c>
      <c r="B20" s="10" t="s">
        <v>123</v>
      </c>
      <c r="C20" s="22">
        <f>L20/100*60</f>
        <v>8562</v>
      </c>
      <c r="D20" s="23">
        <f>C20/100*97</f>
        <v>8305.1400000000012</v>
      </c>
      <c r="E20" s="101">
        <f>C20/100*19.2</f>
        <v>1643.904</v>
      </c>
      <c r="F20" s="24"/>
      <c r="G20" s="24">
        <f>C20/100*2.7</f>
        <v>231.17400000000004</v>
      </c>
      <c r="H20" s="24"/>
      <c r="I20" s="24"/>
      <c r="J20" s="76">
        <f>C20/100*90</f>
        <v>7705.8</v>
      </c>
      <c r="K20" s="26">
        <f>C20/100*0.04</f>
        <v>3.4248000000000003</v>
      </c>
      <c r="L20" s="266">
        <v>14270</v>
      </c>
      <c r="M20" s="71">
        <v>95</v>
      </c>
      <c r="N20" s="106">
        <f t="shared" si="0"/>
        <v>1355650</v>
      </c>
      <c r="O20" s="267"/>
    </row>
    <row r="21" spans="1:20" s="2" customFormat="1" ht="19.8" customHeight="1">
      <c r="A21" s="9">
        <v>6</v>
      </c>
      <c r="B21" s="5" t="s">
        <v>61</v>
      </c>
      <c r="C21" s="22">
        <f>L21/100*48</f>
        <v>1809.6000000000001</v>
      </c>
      <c r="D21" s="23">
        <f>C21/100*199</f>
        <v>3601.1039999999998</v>
      </c>
      <c r="E21" s="24">
        <f>C21/100*20.3</f>
        <v>367.34880000000004</v>
      </c>
      <c r="F21" s="24"/>
      <c r="G21" s="24">
        <f>C21/100*13.1</f>
        <v>237.05760000000001</v>
      </c>
      <c r="H21" s="24"/>
      <c r="I21" s="24"/>
      <c r="J21" s="26">
        <f>C21/100*12</f>
        <v>217.15199999999999</v>
      </c>
      <c r="K21" s="26">
        <f>C21/100*0.15</f>
        <v>2.7143999999999999</v>
      </c>
      <c r="L21" s="266">
        <v>3770</v>
      </c>
      <c r="M21" s="25">
        <v>84</v>
      </c>
      <c r="N21" s="27">
        <f t="shared" si="0"/>
        <v>316680</v>
      </c>
      <c r="O21" s="267"/>
      <c r="Q21" s="3"/>
      <c r="R21" s="3"/>
      <c r="S21" s="4"/>
    </row>
    <row r="22" spans="1:20" s="2" customFormat="1" ht="19.8" customHeight="1">
      <c r="A22" s="9">
        <v>7</v>
      </c>
      <c r="B22" s="5" t="s">
        <v>3</v>
      </c>
      <c r="C22" s="22">
        <f>L22/100*98</f>
        <v>2087.4</v>
      </c>
      <c r="D22" s="23">
        <f>C22/100*118</f>
        <v>2463.1320000000001</v>
      </c>
      <c r="E22" s="24">
        <f>C22/100*21</f>
        <v>438.35400000000004</v>
      </c>
      <c r="F22" s="24"/>
      <c r="G22" s="24">
        <f>C22/100*3.8</f>
        <v>79.321200000000005</v>
      </c>
      <c r="H22" s="24"/>
      <c r="I22" s="24"/>
      <c r="J22" s="26">
        <f>C22/100*12</f>
        <v>250.48800000000003</v>
      </c>
      <c r="K22" s="26">
        <f>C22/100*0.1</f>
        <v>2.0874000000000001</v>
      </c>
      <c r="L22" s="266">
        <v>2130</v>
      </c>
      <c r="M22" s="25">
        <v>260</v>
      </c>
      <c r="N22" s="106">
        <f t="shared" si="0"/>
        <v>553800</v>
      </c>
      <c r="O22" s="267"/>
      <c r="Q22" s="3"/>
      <c r="R22" s="3"/>
      <c r="S22" s="4"/>
    </row>
    <row r="23" spans="1:20" s="2" customFormat="1" ht="19.8" customHeight="1">
      <c r="A23" s="9">
        <v>8</v>
      </c>
      <c r="B23" s="5" t="s">
        <v>127</v>
      </c>
      <c r="C23" s="22">
        <f>L23/100*78</f>
        <v>6645.6</v>
      </c>
      <c r="D23" s="23">
        <f>C23/100*37</f>
        <v>2458.8720000000003</v>
      </c>
      <c r="E23" s="28"/>
      <c r="F23" s="28">
        <f>C23/100*2.8</f>
        <v>186.07679999999999</v>
      </c>
      <c r="G23" s="28"/>
      <c r="H23" s="28">
        <f>C23/100*0.1</f>
        <v>6.6456000000000008</v>
      </c>
      <c r="I23" s="28">
        <f>C23/100*6.2</f>
        <v>412.02720000000005</v>
      </c>
      <c r="J23" s="28">
        <f>C23/100*46</f>
        <v>3056.9760000000001</v>
      </c>
      <c r="K23" s="28">
        <f>C23/100*0.06</f>
        <v>3.9873600000000002</v>
      </c>
      <c r="L23" s="268">
        <v>8520</v>
      </c>
      <c r="M23" s="25">
        <v>20</v>
      </c>
      <c r="N23" s="27">
        <f t="shared" si="0"/>
        <v>170400</v>
      </c>
      <c r="O23" s="267"/>
      <c r="Q23" s="3"/>
      <c r="R23" s="3"/>
      <c r="S23" s="4"/>
    </row>
    <row r="24" spans="1:20" s="2" customFormat="1" ht="19.8" customHeight="1">
      <c r="A24" s="9">
        <v>9</v>
      </c>
      <c r="B24" s="5" t="s">
        <v>122</v>
      </c>
      <c r="C24" s="22">
        <f>L24/100*81</f>
        <v>4309.2</v>
      </c>
      <c r="D24" s="23">
        <f>C24/100*17</f>
        <v>732.56399999999996</v>
      </c>
      <c r="E24" s="28"/>
      <c r="F24" s="28">
        <f>C24/100*0.9</f>
        <v>38.782800000000002</v>
      </c>
      <c r="G24" s="28"/>
      <c r="H24" s="28">
        <f>C24/100*0.2</f>
        <v>8.6183999999999994</v>
      </c>
      <c r="I24" s="28">
        <f>C24/100*2.8</f>
        <v>120.65759999999999</v>
      </c>
      <c r="J24" s="24">
        <f>C24/100*28</f>
        <v>1206.576</v>
      </c>
      <c r="K24" s="26">
        <f>C24/100*0.04</f>
        <v>1.7236799999999999</v>
      </c>
      <c r="L24" s="268">
        <v>5320</v>
      </c>
      <c r="M24" s="71">
        <v>20</v>
      </c>
      <c r="N24" s="27">
        <f t="shared" si="0"/>
        <v>106400</v>
      </c>
      <c r="O24" s="267"/>
      <c r="P24" s="3"/>
    </row>
    <row r="25" spans="1:20" s="2" customFormat="1" ht="19.8" customHeight="1">
      <c r="A25" s="9">
        <v>10</v>
      </c>
      <c r="B25" s="5" t="s">
        <v>20</v>
      </c>
      <c r="C25" s="22">
        <f>L25/100*95</f>
        <v>3040</v>
      </c>
      <c r="D25" s="23">
        <f>C25/100*20</f>
        <v>608</v>
      </c>
      <c r="E25" s="24"/>
      <c r="F25" s="24">
        <f>C25/100*0.6</f>
        <v>18.239999999999998</v>
      </c>
      <c r="G25" s="24"/>
      <c r="H25" s="24">
        <f>C25/100*0.2</f>
        <v>6.08</v>
      </c>
      <c r="I25" s="24">
        <f>C25/100*4</f>
        <v>121.6</v>
      </c>
      <c r="J25" s="26">
        <f>C25/100*12</f>
        <v>364.79999999999995</v>
      </c>
      <c r="K25" s="23">
        <f>C25/100*0.04</f>
        <v>1.216</v>
      </c>
      <c r="L25" s="266">
        <v>3200</v>
      </c>
      <c r="M25" s="73">
        <v>22</v>
      </c>
      <c r="N25" s="27">
        <f t="shared" si="0"/>
        <v>70400</v>
      </c>
      <c r="O25" s="265"/>
      <c r="Q25" s="3"/>
      <c r="R25" s="3"/>
      <c r="S25" s="4"/>
    </row>
    <row r="26" spans="1:20" s="2" customFormat="1" ht="19.8" customHeight="1">
      <c r="A26" s="9">
        <v>11</v>
      </c>
      <c r="B26" s="5" t="s">
        <v>62</v>
      </c>
      <c r="C26" s="22">
        <f>L26/100*75</f>
        <v>322.5</v>
      </c>
      <c r="D26" s="23">
        <f>C26/100*17</f>
        <v>54.825000000000003</v>
      </c>
      <c r="E26" s="28"/>
      <c r="F26" s="28">
        <f>C26/100*1.9</f>
        <v>6.1274999999999995</v>
      </c>
      <c r="G26" s="28"/>
      <c r="H26" s="28"/>
      <c r="I26" s="28">
        <f>C26/100*2.2</f>
        <v>7.0950000000000006</v>
      </c>
      <c r="J26" s="26">
        <f>C26/100*150</f>
        <v>483.75</v>
      </c>
      <c r="K26" s="23">
        <f>C26/100*0.04</f>
        <v>0.129</v>
      </c>
      <c r="L26" s="268">
        <v>430</v>
      </c>
      <c r="M26" s="73">
        <v>30</v>
      </c>
      <c r="N26" s="27">
        <f t="shared" si="0"/>
        <v>12900</v>
      </c>
      <c r="O26" s="265"/>
      <c r="Q26" s="3"/>
      <c r="R26" s="3"/>
      <c r="S26" s="4"/>
    </row>
    <row r="27" spans="1:20" s="2" customFormat="1" ht="19.8" customHeight="1">
      <c r="A27" s="9">
        <v>12</v>
      </c>
      <c r="B27" s="5" t="s">
        <v>110</v>
      </c>
      <c r="C27" s="22">
        <f>L27/100*100</f>
        <v>210</v>
      </c>
      <c r="D27" s="23">
        <f>C27/100*247</f>
        <v>518.70000000000005</v>
      </c>
      <c r="E27" s="28"/>
      <c r="F27" s="28">
        <f>C27/100*17.5</f>
        <v>36.75</v>
      </c>
      <c r="G27" s="28"/>
      <c r="H27" s="28">
        <f>C27/100*1.6</f>
        <v>3.3600000000000003</v>
      </c>
      <c r="I27" s="28">
        <f>C27/100*39.2</f>
        <v>82.320000000000007</v>
      </c>
      <c r="J27" s="69"/>
      <c r="K27" s="69"/>
      <c r="L27" s="268">
        <v>210</v>
      </c>
      <c r="M27" s="71">
        <v>50</v>
      </c>
      <c r="N27" s="27">
        <f t="shared" si="0"/>
        <v>10500</v>
      </c>
      <c r="O27" s="267"/>
      <c r="Q27" s="3"/>
      <c r="R27" s="3"/>
      <c r="S27" s="4"/>
      <c r="T27" s="3"/>
    </row>
    <row r="28" spans="1:20" s="2" customFormat="1" ht="19.8" customHeight="1">
      <c r="A28" s="13">
        <v>13</v>
      </c>
      <c r="B28" s="6" t="s">
        <v>104</v>
      </c>
      <c r="C28" s="30"/>
      <c r="D28" s="31"/>
      <c r="E28" s="28"/>
      <c r="F28" s="28"/>
      <c r="G28" s="28"/>
      <c r="H28" s="28"/>
      <c r="I28" s="28"/>
      <c r="J28" s="24"/>
      <c r="K28" s="24"/>
      <c r="L28" s="29"/>
      <c r="M28" s="26"/>
      <c r="N28" s="32">
        <v>15750</v>
      </c>
      <c r="O28" s="267"/>
    </row>
    <row r="29" spans="1:20" s="2" customFormat="1" ht="19.8" customHeight="1">
      <c r="A29" s="20" t="s">
        <v>88</v>
      </c>
      <c r="B29" s="21"/>
      <c r="C29" s="33"/>
      <c r="D29" s="34">
        <f>SUM(D16:D28)</f>
        <v>93979.241999999998</v>
      </c>
      <c r="E29" s="35"/>
      <c r="F29" s="35"/>
      <c r="G29" s="35"/>
      <c r="H29" s="35"/>
      <c r="I29" s="35"/>
      <c r="J29" s="35"/>
      <c r="K29" s="35"/>
      <c r="L29" s="36"/>
      <c r="M29" s="36"/>
      <c r="N29" s="199">
        <f>SUM(N16:N28)</f>
        <v>3063200</v>
      </c>
      <c r="O29" s="267"/>
    </row>
    <row r="30" spans="1:20" s="2" customFormat="1" ht="19.8" customHeight="1">
      <c r="A30" s="20" t="s">
        <v>6</v>
      </c>
      <c r="B30" s="21"/>
      <c r="C30" s="33"/>
      <c r="D30" s="34">
        <f>D29/D10</f>
        <v>441.2170985915493</v>
      </c>
      <c r="E30" s="35"/>
      <c r="F30" s="35"/>
      <c r="G30" s="35"/>
      <c r="H30" s="35"/>
      <c r="I30" s="35"/>
      <c r="J30" s="35"/>
      <c r="K30" s="35"/>
      <c r="L30" s="36"/>
      <c r="M30" s="36"/>
      <c r="N30" s="200"/>
      <c r="O30" s="267"/>
    </row>
    <row r="31" spans="1:20" s="2" customFormat="1" ht="19.8" customHeight="1">
      <c r="A31" s="183" t="s">
        <v>47</v>
      </c>
      <c r="B31" s="184"/>
      <c r="C31" s="300" t="s">
        <v>119</v>
      </c>
      <c r="D31" s="19" t="s">
        <v>44</v>
      </c>
      <c r="E31" s="35"/>
      <c r="F31" s="35"/>
      <c r="G31" s="35"/>
      <c r="H31" s="35"/>
      <c r="I31" s="35"/>
      <c r="J31" s="35"/>
      <c r="K31" s="35"/>
      <c r="L31" s="36"/>
      <c r="M31" s="36"/>
      <c r="N31" s="37"/>
      <c r="O31" s="267"/>
    </row>
    <row r="32" spans="1:20" s="2" customFormat="1" ht="19.8" customHeight="1">
      <c r="A32" s="185"/>
      <c r="B32" s="186"/>
      <c r="C32" s="18" t="s">
        <v>55</v>
      </c>
      <c r="D32" s="19">
        <f>D30*100/1320</f>
        <v>33.425537772087068</v>
      </c>
      <c r="E32" s="35"/>
      <c r="F32" s="35"/>
      <c r="G32" s="35"/>
      <c r="H32" s="35"/>
      <c r="I32" s="35"/>
      <c r="J32" s="35"/>
      <c r="K32" s="35"/>
      <c r="L32" s="36"/>
      <c r="M32" s="36"/>
      <c r="N32" s="37"/>
      <c r="O32" s="267"/>
    </row>
    <row r="33" spans="1:22" s="2" customFormat="1" ht="19.8" customHeight="1">
      <c r="A33" s="194" t="s">
        <v>34</v>
      </c>
      <c r="B33" s="194"/>
      <c r="C33" s="54"/>
      <c r="D33" s="55"/>
      <c r="E33" s="56"/>
      <c r="F33" s="56"/>
      <c r="G33" s="56"/>
      <c r="H33" s="56"/>
      <c r="I33" s="56"/>
      <c r="J33" s="56"/>
      <c r="K33" s="56"/>
      <c r="L33" s="57"/>
      <c r="M33" s="57"/>
      <c r="N33" s="67"/>
      <c r="O33" s="267"/>
    </row>
    <row r="34" spans="1:22" s="2" customFormat="1" ht="19.8" customHeight="1">
      <c r="A34" s="9">
        <v>1</v>
      </c>
      <c r="B34" s="5" t="s">
        <v>112</v>
      </c>
      <c r="C34" s="22">
        <f>L34/100*100</f>
        <v>5110</v>
      </c>
      <c r="D34" s="23">
        <f>C34/100*295</f>
        <v>15074.5</v>
      </c>
      <c r="E34" s="24"/>
      <c r="F34" s="24">
        <f>C34/100*6</f>
        <v>306.60000000000002</v>
      </c>
      <c r="G34" s="24"/>
      <c r="H34" s="24">
        <f>C34/100*0.8</f>
        <v>40.880000000000003</v>
      </c>
      <c r="I34" s="101">
        <f>C34/100*28.8</f>
        <v>1471.68</v>
      </c>
      <c r="J34" s="26"/>
      <c r="K34" s="26"/>
      <c r="L34" s="266">
        <v>5110</v>
      </c>
      <c r="M34" s="73">
        <v>32</v>
      </c>
      <c r="N34" s="27">
        <f>L34*M34</f>
        <v>163520</v>
      </c>
      <c r="O34" s="267"/>
    </row>
    <row r="35" spans="1:22" s="2" customFormat="1" ht="19.8" customHeight="1">
      <c r="A35" s="9">
        <v>2</v>
      </c>
      <c r="B35" s="122" t="s">
        <v>113</v>
      </c>
      <c r="C35" s="22">
        <f>L35/100*100</f>
        <v>1010</v>
      </c>
      <c r="D35" s="23">
        <f>C35/100*899</f>
        <v>9079.9</v>
      </c>
      <c r="E35" s="24"/>
      <c r="F35" s="24"/>
      <c r="G35" s="101">
        <f>C35/100*100</f>
        <v>1010</v>
      </c>
      <c r="H35" s="24"/>
      <c r="I35" s="101"/>
      <c r="J35" s="26"/>
      <c r="K35" s="26"/>
      <c r="L35" s="266">
        <v>1010</v>
      </c>
      <c r="M35" s="71">
        <v>68</v>
      </c>
      <c r="N35" s="27">
        <f t="shared" ref="N35:N36" si="1">L35*M35</f>
        <v>68680</v>
      </c>
      <c r="O35" s="267"/>
    </row>
    <row r="36" spans="1:22" s="2" customFormat="1" ht="19.8" customHeight="1">
      <c r="A36" s="9">
        <v>3</v>
      </c>
      <c r="B36" s="122" t="s">
        <v>115</v>
      </c>
      <c r="C36" s="22">
        <f>L36/100*100</f>
        <v>110.00000000000001</v>
      </c>
      <c r="D36" s="102">
        <f>C36/100*900</f>
        <v>990.00000000000011</v>
      </c>
      <c r="E36" s="24"/>
      <c r="F36" s="24"/>
      <c r="G36" s="101"/>
      <c r="H36" s="24">
        <f>C36/100*100</f>
        <v>110.00000000000001</v>
      </c>
      <c r="I36" s="101"/>
      <c r="J36" s="24"/>
      <c r="K36" s="24"/>
      <c r="L36" s="266">
        <v>110</v>
      </c>
      <c r="M36" s="71">
        <v>63.5</v>
      </c>
      <c r="N36" s="27">
        <f t="shared" si="1"/>
        <v>6985</v>
      </c>
      <c r="O36" s="271"/>
    </row>
    <row r="37" spans="1:22" s="2" customFormat="1" ht="19.8" customHeight="1">
      <c r="A37" s="9">
        <v>3</v>
      </c>
      <c r="B37" s="122" t="s">
        <v>2</v>
      </c>
      <c r="C37" s="22">
        <f>L37/100*100</f>
        <v>260</v>
      </c>
      <c r="D37" s="23">
        <f>C37/100*60</f>
        <v>156</v>
      </c>
      <c r="E37" s="24">
        <f>C37/100*15</f>
        <v>39</v>
      </c>
      <c r="F37" s="24"/>
      <c r="G37" s="24"/>
      <c r="H37" s="24"/>
      <c r="I37" s="24"/>
      <c r="J37" s="24">
        <f>C37/100*387</f>
        <v>1006.2</v>
      </c>
      <c r="K37" s="24">
        <f>C37/100*0.09</f>
        <v>0.23399999999999999</v>
      </c>
      <c r="L37" s="266">
        <v>260</v>
      </c>
      <c r="M37" s="71">
        <v>20</v>
      </c>
      <c r="N37" s="27">
        <f>L37*M37</f>
        <v>5200</v>
      </c>
      <c r="O37" s="267"/>
    </row>
    <row r="38" spans="1:22" s="2" customFormat="1" ht="19.8" customHeight="1">
      <c r="A38" s="9">
        <v>4</v>
      </c>
      <c r="B38" s="123" t="s">
        <v>110</v>
      </c>
      <c r="C38" s="22">
        <f>L38/100*100</f>
        <v>130</v>
      </c>
      <c r="D38" s="23">
        <f>C38/100*247</f>
        <v>321.10000000000002</v>
      </c>
      <c r="E38" s="28"/>
      <c r="F38" s="28">
        <f>C38/100*17.5</f>
        <v>22.75</v>
      </c>
      <c r="G38" s="28"/>
      <c r="H38" s="28">
        <f>C38/100*1.6</f>
        <v>2.08</v>
      </c>
      <c r="I38" s="28">
        <f>C38/100*39.2</f>
        <v>50.960000000000008</v>
      </c>
      <c r="J38" s="69"/>
      <c r="K38" s="69"/>
      <c r="L38" s="268">
        <v>130</v>
      </c>
      <c r="M38" s="71">
        <v>50</v>
      </c>
      <c r="N38" s="27">
        <f t="shared" ref="N38:N39" si="2">L38*M38</f>
        <v>6500</v>
      </c>
      <c r="O38" s="267"/>
      <c r="Q38" s="3"/>
      <c r="R38" s="3"/>
      <c r="S38" s="4"/>
      <c r="T38" s="3"/>
    </row>
    <row r="39" spans="1:22" s="2" customFormat="1" ht="19.8" customHeight="1">
      <c r="A39" s="9">
        <v>5</v>
      </c>
      <c r="B39" s="5" t="s">
        <v>128</v>
      </c>
      <c r="C39" s="22">
        <f>L39/100*90</f>
        <v>3834</v>
      </c>
      <c r="D39" s="23">
        <f>C39/100*29</f>
        <v>1111.8600000000001</v>
      </c>
      <c r="E39" s="24"/>
      <c r="F39" s="24">
        <f>C39/100*1.8</f>
        <v>69.012000000000015</v>
      </c>
      <c r="G39" s="24"/>
      <c r="H39" s="24">
        <f>C39/100*0.1</f>
        <v>3.8340000000000005</v>
      </c>
      <c r="I39" s="24">
        <f>C39/100*5.3</f>
        <v>203.202</v>
      </c>
      <c r="J39" s="24">
        <f>C39/100*48</f>
        <v>1840.3200000000002</v>
      </c>
      <c r="K39" s="24">
        <f>C39/100*0.05</f>
        <v>1.9170000000000003</v>
      </c>
      <c r="L39" s="266">
        <v>4260</v>
      </c>
      <c r="M39" s="71">
        <v>13</v>
      </c>
      <c r="N39" s="27">
        <f t="shared" si="2"/>
        <v>55380</v>
      </c>
      <c r="O39" s="267"/>
    </row>
    <row r="40" spans="1:22" s="2" customFormat="1" ht="19.8" customHeight="1">
      <c r="A40" s="9">
        <v>6</v>
      </c>
      <c r="B40" s="122" t="s">
        <v>64</v>
      </c>
      <c r="C40" s="22">
        <f>L40/100*98</f>
        <v>2577.4</v>
      </c>
      <c r="D40" s="23">
        <f>C40/100*139</f>
        <v>3582.5860000000002</v>
      </c>
      <c r="E40" s="24">
        <f>C40/100*19</f>
        <v>489.70600000000002</v>
      </c>
      <c r="F40" s="24"/>
      <c r="G40" s="24">
        <f>C40/100*7</f>
        <v>180.41800000000001</v>
      </c>
      <c r="H40" s="24"/>
      <c r="I40" s="24"/>
      <c r="J40" s="24">
        <f>C40/100*7</f>
        <v>180.41800000000001</v>
      </c>
      <c r="K40" s="24">
        <f>C40/100*0.9</f>
        <v>23.1966</v>
      </c>
      <c r="L40" s="266">
        <v>2630</v>
      </c>
      <c r="M40" s="71">
        <v>137</v>
      </c>
      <c r="N40" s="27">
        <f t="shared" ref="N40:N41" si="3">L40*M40</f>
        <v>360310</v>
      </c>
      <c r="O40" s="267"/>
      <c r="P40" s="292"/>
    </row>
    <row r="41" spans="1:22" s="2" customFormat="1" ht="19.8" customHeight="1">
      <c r="A41" s="9">
        <v>7</v>
      </c>
      <c r="B41" s="124" t="s">
        <v>117</v>
      </c>
      <c r="C41" s="22">
        <f>L41/100*100</f>
        <v>3620.0000000000005</v>
      </c>
      <c r="D41" s="23">
        <f>C41/100*487</f>
        <v>17629.400000000001</v>
      </c>
      <c r="E41" s="28"/>
      <c r="F41" s="28">
        <f>C41/100*19.5</f>
        <v>705.90000000000009</v>
      </c>
      <c r="G41" s="28"/>
      <c r="H41" s="28">
        <f>C41/100*23.2</f>
        <v>839.84</v>
      </c>
      <c r="I41" s="129">
        <f>C41/100*46</f>
        <v>1665.2</v>
      </c>
      <c r="J41" s="101">
        <f>C41/100*680</f>
        <v>24616.000000000004</v>
      </c>
      <c r="K41" s="24">
        <f>C41/100*0.55</f>
        <v>19.910000000000004</v>
      </c>
      <c r="L41" s="29">
        <v>3620</v>
      </c>
      <c r="M41" s="118">
        <v>260</v>
      </c>
      <c r="N41" s="27">
        <f t="shared" si="3"/>
        <v>941200</v>
      </c>
      <c r="O41" s="267"/>
      <c r="P41" s="3"/>
    </row>
    <row r="42" spans="1:22" s="2" customFormat="1" ht="19.8" customHeight="1">
      <c r="A42" s="88">
        <v>8</v>
      </c>
      <c r="B42" s="97" t="s">
        <v>104</v>
      </c>
      <c r="C42" s="89"/>
      <c r="D42" s="301"/>
      <c r="E42" s="91"/>
      <c r="F42" s="91"/>
      <c r="G42" s="91"/>
      <c r="H42" s="91"/>
      <c r="I42" s="91"/>
      <c r="J42" s="91"/>
      <c r="K42" s="91"/>
      <c r="L42" s="92"/>
      <c r="M42" s="92"/>
      <c r="N42" s="93">
        <v>13550</v>
      </c>
      <c r="O42" s="267"/>
    </row>
    <row r="43" spans="1:22" ht="21.6" customHeight="1">
      <c r="A43" s="167" t="s">
        <v>0</v>
      </c>
      <c r="B43" s="170" t="s">
        <v>19</v>
      </c>
      <c r="C43" s="173" t="s">
        <v>8</v>
      </c>
      <c r="D43" s="173" t="s">
        <v>9</v>
      </c>
      <c r="E43" s="176" t="s">
        <v>11</v>
      </c>
      <c r="F43" s="177"/>
      <c r="G43" s="176" t="s">
        <v>42</v>
      </c>
      <c r="H43" s="177"/>
      <c r="I43" s="180" t="s">
        <v>16</v>
      </c>
      <c r="J43" s="180" t="s">
        <v>40</v>
      </c>
      <c r="K43" s="180" t="s">
        <v>41</v>
      </c>
      <c r="L43" s="180" t="s">
        <v>17</v>
      </c>
      <c r="M43" s="180" t="s">
        <v>39</v>
      </c>
      <c r="N43" s="167" t="s">
        <v>18</v>
      </c>
      <c r="O43" s="263"/>
    </row>
    <row r="44" spans="1:22" ht="21.6" customHeight="1">
      <c r="A44" s="168"/>
      <c r="B44" s="171"/>
      <c r="C44" s="174"/>
      <c r="D44" s="174"/>
      <c r="E44" s="178"/>
      <c r="F44" s="179"/>
      <c r="G44" s="178"/>
      <c r="H44" s="179"/>
      <c r="I44" s="181"/>
      <c r="J44" s="181"/>
      <c r="K44" s="181"/>
      <c r="L44" s="181"/>
      <c r="M44" s="181"/>
      <c r="N44" s="168"/>
      <c r="O44" s="135"/>
    </row>
    <row r="45" spans="1:22" ht="21.6" customHeight="1">
      <c r="A45" s="168"/>
      <c r="B45" s="171"/>
      <c r="C45" s="174"/>
      <c r="D45" s="174"/>
      <c r="E45" s="180" t="s">
        <v>10</v>
      </c>
      <c r="F45" s="180" t="s">
        <v>12</v>
      </c>
      <c r="G45" s="180" t="s">
        <v>14</v>
      </c>
      <c r="H45" s="180" t="s">
        <v>15</v>
      </c>
      <c r="I45" s="181"/>
      <c r="J45" s="181"/>
      <c r="K45" s="181"/>
      <c r="L45" s="181"/>
      <c r="M45" s="181"/>
      <c r="N45" s="168"/>
      <c r="O45" s="135"/>
    </row>
    <row r="46" spans="1:22" ht="21.6" customHeight="1">
      <c r="A46" s="169"/>
      <c r="B46" s="172"/>
      <c r="C46" s="175"/>
      <c r="D46" s="175"/>
      <c r="E46" s="182"/>
      <c r="F46" s="182"/>
      <c r="G46" s="182"/>
      <c r="H46" s="182"/>
      <c r="I46" s="182"/>
      <c r="J46" s="182"/>
      <c r="K46" s="182"/>
      <c r="L46" s="182"/>
      <c r="M46" s="182"/>
      <c r="N46" s="169"/>
      <c r="O46" s="135"/>
    </row>
    <row r="47" spans="1:22" s="2" customFormat="1" ht="21.6" customHeight="1">
      <c r="A47" s="195" t="s">
        <v>89</v>
      </c>
      <c r="B47" s="195"/>
      <c r="C47" s="33"/>
      <c r="D47" s="34">
        <f>SUM(D34:D42)</f>
        <v>47945.346000000005</v>
      </c>
      <c r="E47" s="42"/>
      <c r="F47" s="42"/>
      <c r="G47" s="42"/>
      <c r="H47" s="42"/>
      <c r="I47" s="42"/>
      <c r="J47" s="42"/>
      <c r="K47" s="42"/>
      <c r="L47" s="43"/>
      <c r="M47" s="43"/>
      <c r="N47" s="199">
        <f>SUM(N34:N42)</f>
        <v>1621325</v>
      </c>
      <c r="O47" s="267"/>
    </row>
    <row r="48" spans="1:22" ht="21.6" customHeight="1">
      <c r="A48" s="195" t="s">
        <v>7</v>
      </c>
      <c r="B48" s="195"/>
      <c r="C48" s="44"/>
      <c r="D48" s="45">
        <f>D47/D10</f>
        <v>225.09552112676059</v>
      </c>
      <c r="E48" s="45"/>
      <c r="F48" s="45"/>
      <c r="G48" s="45"/>
      <c r="H48" s="45"/>
      <c r="I48" s="45"/>
      <c r="J48" s="45"/>
      <c r="K48" s="45"/>
      <c r="L48" s="46"/>
      <c r="M48" s="46"/>
      <c r="N48" s="200"/>
      <c r="O48" s="302"/>
      <c r="P48" s="2"/>
      <c r="Q48" s="2"/>
      <c r="R48" s="2"/>
      <c r="S48" s="2"/>
      <c r="T48" s="2"/>
      <c r="U48" s="2"/>
      <c r="V48" s="2"/>
    </row>
    <row r="49" spans="1:22" ht="21.6" customHeight="1">
      <c r="A49" s="183" t="s">
        <v>46</v>
      </c>
      <c r="B49" s="184"/>
      <c r="C49" s="300" t="s">
        <v>119</v>
      </c>
      <c r="D49" s="19" t="s">
        <v>54</v>
      </c>
      <c r="E49" s="45"/>
      <c r="F49" s="45"/>
      <c r="G49" s="45"/>
      <c r="H49" s="45"/>
      <c r="I49" s="45"/>
      <c r="J49" s="47"/>
      <c r="K49" s="47"/>
      <c r="L49" s="46"/>
      <c r="M49" s="46"/>
      <c r="N49" s="136"/>
      <c r="O49" s="4"/>
      <c r="P49" s="2"/>
      <c r="Q49" s="2"/>
      <c r="R49" s="2"/>
      <c r="S49" s="2"/>
      <c r="T49" s="2"/>
      <c r="U49" s="2"/>
      <c r="V49" s="2"/>
    </row>
    <row r="50" spans="1:22" ht="21.6" customHeight="1">
      <c r="A50" s="185"/>
      <c r="B50" s="186"/>
      <c r="C50" s="18" t="s">
        <v>55</v>
      </c>
      <c r="D50" s="19">
        <f>D48*100/1320</f>
        <v>17.052690994451559</v>
      </c>
      <c r="E50" s="45"/>
      <c r="F50" s="45"/>
      <c r="G50" s="45"/>
      <c r="H50" s="45"/>
      <c r="I50" s="45"/>
      <c r="J50" s="47"/>
      <c r="K50" s="47"/>
      <c r="L50" s="46"/>
      <c r="M50" s="46"/>
      <c r="N50" s="136"/>
      <c r="O50" s="4"/>
      <c r="P50" s="2"/>
      <c r="Q50" s="2"/>
      <c r="R50" s="2"/>
      <c r="S50" s="2"/>
      <c r="T50" s="2"/>
      <c r="U50" s="2"/>
      <c r="V50" s="2"/>
    </row>
    <row r="51" spans="1:22" ht="21.6" customHeight="1">
      <c r="A51" s="223" t="s">
        <v>90</v>
      </c>
      <c r="B51" s="223"/>
      <c r="C51" s="222"/>
      <c r="D51" s="140">
        <f>D29+D47</f>
        <v>141924.58799999999</v>
      </c>
      <c r="E51" s="105">
        <f t="shared" ref="E51:K51" si="4">SUM(E16:E42)</f>
        <v>2980.1127999999999</v>
      </c>
      <c r="F51" s="105">
        <f t="shared" si="4"/>
        <v>2988.8041000000003</v>
      </c>
      <c r="G51" s="105">
        <f t="shared" si="4"/>
        <v>2867.9708000000005</v>
      </c>
      <c r="H51" s="105">
        <f t="shared" si="4"/>
        <v>1223.6880000000001</v>
      </c>
      <c r="I51" s="219">
        <f t="shared" si="4"/>
        <v>19658.686800000003</v>
      </c>
      <c r="J51" s="210">
        <f t="shared" si="4"/>
        <v>47348.020000000004</v>
      </c>
      <c r="K51" s="210">
        <f t="shared" si="4"/>
        <v>80.871040000000022</v>
      </c>
      <c r="L51" s="210"/>
      <c r="M51" s="210"/>
      <c r="N51" s="216">
        <f>N29+N47</f>
        <v>4684525</v>
      </c>
      <c r="P51" s="303"/>
      <c r="U51" s="12"/>
      <c r="V51" s="12"/>
    </row>
    <row r="52" spans="1:22" ht="21.6" customHeight="1">
      <c r="A52" s="223"/>
      <c r="B52" s="223"/>
      <c r="C52" s="222"/>
      <c r="D52" s="141"/>
      <c r="E52" s="203">
        <f>E51+F51</f>
        <v>5968.9169000000002</v>
      </c>
      <c r="F52" s="203"/>
      <c r="G52" s="203">
        <f>G51+H51</f>
        <v>4091.6588000000006</v>
      </c>
      <c r="H52" s="203"/>
      <c r="I52" s="219"/>
      <c r="J52" s="212"/>
      <c r="K52" s="212"/>
      <c r="L52" s="211"/>
      <c r="M52" s="211"/>
      <c r="N52" s="217"/>
      <c r="U52" s="12"/>
      <c r="V52" s="12"/>
    </row>
    <row r="53" spans="1:22" ht="21.6" customHeight="1">
      <c r="A53" s="204" t="s">
        <v>66</v>
      </c>
      <c r="B53" s="205"/>
      <c r="C53" s="206"/>
      <c r="D53" s="112">
        <f>D51/D10</f>
        <v>666.31261971830986</v>
      </c>
      <c r="E53" s="272">
        <f>E51/D10</f>
        <v>13.991139906103285</v>
      </c>
      <c r="F53" s="272">
        <f>F51/D10</f>
        <v>14.031944131455401</v>
      </c>
      <c r="G53" s="272">
        <f>G51/D10</f>
        <v>13.464651643192491</v>
      </c>
      <c r="H53" s="272">
        <f>H51/D10</f>
        <v>5.7450140845070425</v>
      </c>
      <c r="I53" s="139">
        <f>I51/D10</f>
        <v>92.294304225352121</v>
      </c>
      <c r="J53" s="220">
        <f>J51/D10</f>
        <v>222.29117370892021</v>
      </c>
      <c r="K53" s="220">
        <f>K51/D10</f>
        <v>0.37967624413145551</v>
      </c>
      <c r="L53" s="211"/>
      <c r="M53" s="211"/>
      <c r="N53" s="217"/>
      <c r="P53" s="293"/>
      <c r="Q53" s="294"/>
      <c r="R53" s="294"/>
      <c r="S53" s="294"/>
      <c r="T53" s="294"/>
      <c r="U53" s="295"/>
      <c r="V53" s="295"/>
    </row>
    <row r="54" spans="1:22" ht="21.6" customHeight="1">
      <c r="A54" s="207"/>
      <c r="B54" s="208"/>
      <c r="C54" s="209"/>
      <c r="D54" s="108"/>
      <c r="E54" s="304">
        <f>E53+F53</f>
        <v>28.023084037558686</v>
      </c>
      <c r="F54" s="304"/>
      <c r="G54" s="304">
        <f>G53+H53</f>
        <v>19.209665727699534</v>
      </c>
      <c r="H54" s="304"/>
      <c r="I54" s="139"/>
      <c r="J54" s="221"/>
      <c r="K54" s="221"/>
      <c r="L54" s="211"/>
      <c r="M54" s="211"/>
      <c r="N54" s="217"/>
      <c r="P54" s="296"/>
      <c r="Q54" s="294"/>
      <c r="R54" s="294"/>
      <c r="S54" s="294"/>
      <c r="T54" s="294"/>
      <c r="U54" s="294"/>
      <c r="V54" s="294"/>
    </row>
    <row r="55" spans="1:22" ht="21.6" customHeight="1">
      <c r="A55" s="201" t="s">
        <v>69</v>
      </c>
      <c r="B55" s="231"/>
      <c r="C55" s="202"/>
      <c r="D55" s="137" t="s">
        <v>28</v>
      </c>
      <c r="E55" s="305" t="s">
        <v>21</v>
      </c>
      <c r="F55" s="305"/>
      <c r="G55" s="305" t="s">
        <v>22</v>
      </c>
      <c r="H55" s="305"/>
      <c r="I55" s="306" t="s">
        <v>23</v>
      </c>
      <c r="J55" s="306">
        <v>600</v>
      </c>
      <c r="K55" s="306">
        <v>0.7</v>
      </c>
      <c r="L55" s="211"/>
      <c r="M55" s="211"/>
      <c r="N55" s="217"/>
      <c r="O55" s="282"/>
      <c r="P55" s="293"/>
      <c r="Q55" s="298"/>
      <c r="R55" s="298"/>
      <c r="S55" s="298"/>
      <c r="T55" s="298"/>
      <c r="U55" s="293"/>
      <c r="V55" s="293"/>
    </row>
    <row r="56" spans="1:22" ht="21.6" customHeight="1">
      <c r="A56" s="201" t="s">
        <v>67</v>
      </c>
      <c r="B56" s="231"/>
      <c r="C56" s="202"/>
      <c r="D56" s="48"/>
      <c r="E56" s="232">
        <f>E54*4.1</f>
        <v>114.8946445539906</v>
      </c>
      <c r="F56" s="233"/>
      <c r="G56" s="232">
        <f>G54*9</f>
        <v>172.8869915492958</v>
      </c>
      <c r="H56" s="233"/>
      <c r="I56" s="104">
        <f>I53*4.1</f>
        <v>378.40664732394367</v>
      </c>
      <c r="J56" s="213"/>
      <c r="K56" s="213"/>
      <c r="L56" s="211"/>
      <c r="M56" s="211"/>
      <c r="N56" s="217"/>
      <c r="O56" s="282"/>
      <c r="P56" s="299"/>
      <c r="Q56" s="293"/>
      <c r="R56" s="293"/>
      <c r="S56" s="293"/>
      <c r="T56" s="293"/>
      <c r="U56" s="293"/>
      <c r="V56" s="293"/>
    </row>
    <row r="57" spans="1:22" ht="21.6" customHeight="1">
      <c r="A57" s="234" t="s">
        <v>70</v>
      </c>
      <c r="B57" s="235"/>
      <c r="C57" s="201" t="s">
        <v>55</v>
      </c>
      <c r="D57" s="202"/>
      <c r="E57" s="307">
        <f>E56*100/D53</f>
        <v>17.243354118456203</v>
      </c>
      <c r="F57" s="308"/>
      <c r="G57" s="147">
        <f>G56*100/D53</f>
        <v>25.946828325476631</v>
      </c>
      <c r="H57" s="148"/>
      <c r="I57" s="98">
        <f>I56*100/D53</f>
        <v>56.791157202443316</v>
      </c>
      <c r="J57" s="214"/>
      <c r="K57" s="214"/>
      <c r="L57" s="211"/>
      <c r="M57" s="211"/>
      <c r="N57" s="217"/>
      <c r="O57" s="282"/>
    </row>
    <row r="58" spans="1:22" ht="21.6" customHeight="1">
      <c r="A58" s="236"/>
      <c r="B58" s="237"/>
      <c r="C58" s="201" t="s">
        <v>68</v>
      </c>
      <c r="D58" s="202"/>
      <c r="E58" s="201" t="s">
        <v>71</v>
      </c>
      <c r="F58" s="202"/>
      <c r="G58" s="201" t="s">
        <v>72</v>
      </c>
      <c r="H58" s="202"/>
      <c r="I58" s="280" t="s">
        <v>73</v>
      </c>
      <c r="J58" s="215"/>
      <c r="K58" s="215"/>
      <c r="L58" s="212"/>
      <c r="M58" s="212"/>
      <c r="N58" s="218"/>
      <c r="O58" s="282"/>
      <c r="P58" s="113"/>
    </row>
    <row r="59" spans="1:22" ht="21.6" customHeight="1">
      <c r="A59" s="81"/>
      <c r="B59" s="84"/>
      <c r="C59" s="81"/>
      <c r="D59" s="81"/>
      <c r="E59" s="81"/>
      <c r="F59" s="81"/>
      <c r="G59" s="81"/>
      <c r="H59" s="81"/>
      <c r="I59" s="81"/>
      <c r="J59" s="81"/>
      <c r="K59" s="81"/>
      <c r="L59" s="82"/>
      <c r="M59" s="82"/>
      <c r="N59" s="83"/>
      <c r="O59" s="282"/>
      <c r="Q59" s="113"/>
    </row>
    <row r="60" spans="1:22" ht="21" customHeight="1">
      <c r="A60" s="142" t="s">
        <v>97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282"/>
    </row>
    <row r="61" spans="1:22" ht="21" customHeight="1">
      <c r="A61" s="99" t="s">
        <v>98</v>
      </c>
      <c r="B61" s="143" t="s">
        <v>99</v>
      </c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282"/>
    </row>
    <row r="62" spans="1:22" ht="21" customHeight="1">
      <c r="A62" s="100"/>
      <c r="B62" s="144" t="s">
        <v>136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282"/>
    </row>
    <row r="63" spans="1:22" ht="21" customHeight="1">
      <c r="A63" s="100"/>
      <c r="B63" s="144" t="s">
        <v>133</v>
      </c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282"/>
    </row>
    <row r="64" spans="1:22" ht="21" customHeight="1">
      <c r="A64" s="100"/>
      <c r="B64" s="144" t="s">
        <v>132</v>
      </c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282"/>
    </row>
    <row r="65" spans="1:15" ht="21" customHeight="1">
      <c r="A65" s="81"/>
      <c r="B65" s="145" t="s">
        <v>100</v>
      </c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282"/>
    </row>
    <row r="66" spans="1:15" ht="21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5"/>
      <c r="M66" s="85"/>
      <c r="N66" s="86"/>
      <c r="O66" s="282"/>
    </row>
    <row r="67" spans="1:15" ht="21" customHeight="1">
      <c r="A67" s="146" t="s">
        <v>58</v>
      </c>
      <c r="B67" s="146"/>
      <c r="C67" s="146"/>
      <c r="D67" s="146"/>
      <c r="E67" s="283"/>
      <c r="F67" s="283"/>
      <c r="G67" s="283"/>
      <c r="H67" s="283"/>
      <c r="I67" s="283"/>
      <c r="J67" s="284" t="s">
        <v>32</v>
      </c>
      <c r="K67" s="284"/>
      <c r="L67" s="284"/>
      <c r="M67" s="284"/>
      <c r="N67" s="284"/>
      <c r="O67" s="282"/>
    </row>
    <row r="68" spans="1:15" ht="21" customHeight="1">
      <c r="A68" s="135"/>
      <c r="B68" s="135"/>
      <c r="C68" s="135"/>
      <c r="D68" s="283"/>
      <c r="E68" s="283"/>
      <c r="F68" s="283"/>
      <c r="G68" s="283"/>
      <c r="H68" s="285"/>
      <c r="I68" s="285"/>
      <c r="J68" s="285"/>
      <c r="K68" s="285"/>
      <c r="L68" s="285"/>
      <c r="M68" s="285"/>
      <c r="N68" s="285"/>
      <c r="O68" s="282"/>
    </row>
    <row r="69" spans="1:15" ht="21" customHeight="1">
      <c r="A69" s="135"/>
      <c r="B69" s="135"/>
      <c r="C69" s="135"/>
      <c r="D69" s="283"/>
      <c r="E69" s="283"/>
      <c r="F69" s="283"/>
      <c r="G69" s="283"/>
      <c r="H69" s="285"/>
      <c r="I69" s="285"/>
      <c r="J69" s="285"/>
      <c r="K69" s="285"/>
      <c r="L69" s="285"/>
      <c r="M69" s="285"/>
      <c r="N69" s="285"/>
      <c r="O69" s="282"/>
    </row>
    <row r="70" spans="1:15" ht="21" customHeight="1">
      <c r="A70" s="135"/>
      <c r="B70" s="135"/>
      <c r="C70" s="135"/>
      <c r="D70" s="283"/>
      <c r="E70" s="283"/>
      <c r="F70" s="283"/>
      <c r="G70" s="283"/>
      <c r="H70" s="285"/>
      <c r="I70" s="285"/>
      <c r="J70" s="286" t="s">
        <v>105</v>
      </c>
      <c r="K70" s="286"/>
      <c r="L70" s="286"/>
      <c r="M70" s="286"/>
      <c r="N70" s="286"/>
      <c r="O70" s="282"/>
    </row>
    <row r="71" spans="1:15" ht="21" customHeight="1">
      <c r="A71" s="138" t="s">
        <v>80</v>
      </c>
      <c r="B71" s="138"/>
      <c r="C71" s="138"/>
      <c r="D71" s="138"/>
      <c r="E71" s="283"/>
      <c r="F71" s="283"/>
      <c r="G71" s="283"/>
      <c r="H71" s="285"/>
      <c r="I71" s="285"/>
      <c r="J71" s="286"/>
      <c r="K71" s="286"/>
      <c r="L71" s="286"/>
      <c r="M71" s="286"/>
      <c r="N71" s="286"/>
      <c r="O71" s="282"/>
    </row>
    <row r="72" spans="1:15" ht="21.6" customHeight="1">
      <c r="A72" s="135"/>
      <c r="B72" s="135"/>
      <c r="C72" s="135"/>
      <c r="D72" s="283"/>
      <c r="E72" s="283"/>
      <c r="F72" s="283"/>
      <c r="G72" s="283"/>
      <c r="H72" s="285"/>
      <c r="I72" s="285"/>
      <c r="J72" s="285"/>
      <c r="K72" s="285"/>
      <c r="L72" s="285"/>
      <c r="M72" s="285"/>
      <c r="N72" s="285"/>
      <c r="O72" s="282"/>
    </row>
    <row r="73" spans="1:15" ht="21.6" customHeight="1">
      <c r="A73" s="135"/>
      <c r="B73" s="135"/>
      <c r="C73" s="135"/>
      <c r="D73" s="283"/>
      <c r="E73" s="283"/>
      <c r="F73" s="283"/>
      <c r="G73" s="283"/>
      <c r="H73" s="285"/>
      <c r="I73" s="285"/>
      <c r="J73" s="285"/>
      <c r="K73" s="285"/>
      <c r="L73" s="285"/>
      <c r="M73" s="285"/>
      <c r="N73" s="285"/>
      <c r="O73" s="282"/>
    </row>
    <row r="74" spans="1:15" ht="21.6" customHeight="1">
      <c r="A74" s="135"/>
      <c r="B74" s="135"/>
      <c r="C74" s="135"/>
      <c r="D74" s="283"/>
      <c r="E74" s="283"/>
      <c r="F74" s="283"/>
      <c r="G74" s="283"/>
      <c r="H74" s="285"/>
      <c r="I74" s="285"/>
      <c r="J74" s="286" t="s">
        <v>106</v>
      </c>
      <c r="K74" s="286"/>
      <c r="L74" s="286"/>
      <c r="M74" s="286"/>
      <c r="N74" s="286"/>
      <c r="O74" s="282"/>
    </row>
    <row r="75" spans="1:15" ht="21.6" customHeight="1">
      <c r="A75" s="135"/>
      <c r="B75" s="135"/>
      <c r="C75" s="135"/>
      <c r="D75" s="283"/>
      <c r="E75" s="283"/>
      <c r="F75" s="283"/>
      <c r="G75" s="283"/>
      <c r="H75" s="285"/>
      <c r="I75" s="285"/>
      <c r="J75" s="285"/>
      <c r="K75" s="285"/>
      <c r="L75" s="285"/>
      <c r="M75" s="285"/>
      <c r="N75" s="285"/>
      <c r="O75" s="282"/>
    </row>
    <row r="76" spans="1:15" ht="21.6" customHeight="1">
      <c r="A76" s="135"/>
      <c r="B76" s="135"/>
      <c r="C76" s="135"/>
      <c r="D76" s="283"/>
      <c r="E76" s="283"/>
      <c r="F76" s="283"/>
      <c r="G76" s="283"/>
      <c r="H76" s="285"/>
      <c r="I76" s="285"/>
      <c r="J76" s="285"/>
      <c r="K76" s="285"/>
      <c r="L76" s="285"/>
      <c r="M76" s="285"/>
      <c r="N76" s="285"/>
      <c r="O76" s="282"/>
    </row>
    <row r="77" spans="1:15" ht="21.6" customHeight="1">
      <c r="A77" s="135"/>
      <c r="B77" s="135"/>
      <c r="C77" s="135"/>
      <c r="D77" s="283"/>
      <c r="E77" s="283"/>
      <c r="F77" s="283"/>
      <c r="G77" s="283"/>
      <c r="H77" s="285"/>
      <c r="I77" s="285"/>
      <c r="J77" s="285"/>
      <c r="K77" s="285"/>
      <c r="L77" s="285"/>
      <c r="M77" s="285"/>
      <c r="N77" s="285"/>
      <c r="O77" s="282"/>
    </row>
    <row r="78" spans="1:15" ht="21.6" customHeight="1">
      <c r="A78" s="135"/>
      <c r="B78" s="135"/>
      <c r="C78" s="135"/>
      <c r="D78" s="283"/>
      <c r="E78" s="283"/>
      <c r="F78" s="283"/>
      <c r="G78" s="283"/>
      <c r="H78" s="285"/>
      <c r="I78" s="285"/>
      <c r="J78" s="285"/>
      <c r="K78" s="285"/>
      <c r="L78" s="285"/>
      <c r="M78" s="285"/>
      <c r="N78" s="285"/>
      <c r="O78" s="282"/>
    </row>
    <row r="79" spans="1:15" ht="24" customHeight="1">
      <c r="A79" s="135"/>
      <c r="B79" s="135"/>
      <c r="C79" s="135"/>
      <c r="D79" s="283"/>
      <c r="E79" s="283"/>
      <c r="F79" s="283"/>
      <c r="G79" s="283"/>
      <c r="H79" s="285"/>
      <c r="I79" s="285"/>
      <c r="J79" s="285"/>
      <c r="K79" s="285"/>
      <c r="L79" s="285"/>
      <c r="M79" s="285"/>
      <c r="N79" s="285"/>
      <c r="O79" s="282"/>
    </row>
    <row r="80" spans="1:15" ht="26.4" customHeight="1">
      <c r="A80" s="135"/>
      <c r="B80" s="135"/>
      <c r="C80" s="135"/>
      <c r="D80" s="283"/>
      <c r="E80" s="283"/>
      <c r="F80" s="283"/>
      <c r="G80" s="283"/>
      <c r="H80" s="285"/>
      <c r="I80" s="285"/>
      <c r="J80" s="285"/>
      <c r="K80" s="285"/>
      <c r="L80" s="285"/>
      <c r="M80" s="285"/>
      <c r="N80" s="285"/>
      <c r="O80" s="282"/>
    </row>
    <row r="81" spans="1:20" ht="17.399999999999999" customHeight="1">
      <c r="A81" s="11" t="s">
        <v>57</v>
      </c>
      <c r="B81" s="8"/>
      <c r="C81" s="8"/>
      <c r="D81" s="8"/>
      <c r="E81" s="8"/>
      <c r="F81" s="249" t="s">
        <v>31</v>
      </c>
      <c r="G81" s="249"/>
      <c r="H81" s="249"/>
      <c r="I81" s="249"/>
      <c r="J81" s="249"/>
      <c r="K81" s="249"/>
      <c r="L81" s="249"/>
      <c r="M81" s="249"/>
      <c r="N81" s="249"/>
      <c r="O81" s="261"/>
      <c r="P81" s="261"/>
      <c r="T81" s="2"/>
    </row>
    <row r="82" spans="1:20" ht="8.4" customHeight="1">
      <c r="A82" s="8"/>
      <c r="B82" s="8"/>
      <c r="C82" s="8"/>
      <c r="D82" s="8"/>
      <c r="E82" s="8"/>
      <c r="F82" s="132"/>
      <c r="G82" s="132"/>
      <c r="H82" s="132"/>
      <c r="I82" s="132"/>
      <c r="J82" s="132"/>
      <c r="K82" s="132"/>
      <c r="L82" s="132"/>
      <c r="M82" s="132"/>
      <c r="N82" s="132"/>
      <c r="O82" s="261"/>
      <c r="P82" s="261"/>
      <c r="T82" s="2"/>
    </row>
    <row r="83" spans="1:20" ht="17.399999999999999" customHeight="1">
      <c r="A83" s="8" t="s">
        <v>135</v>
      </c>
      <c r="B83" s="8"/>
      <c r="C83" s="8"/>
      <c r="D83" s="8"/>
      <c r="E83" s="8"/>
      <c r="F83" s="132"/>
      <c r="G83" s="132"/>
      <c r="H83" s="132"/>
      <c r="I83" s="132"/>
      <c r="J83" s="132"/>
      <c r="K83" s="132"/>
      <c r="L83" s="132"/>
      <c r="M83" s="132"/>
      <c r="N83" s="132"/>
      <c r="O83" s="261"/>
      <c r="P83" s="261"/>
      <c r="T83" s="2"/>
    </row>
    <row r="84" spans="1:20" s="2" customFormat="1" ht="7.8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262"/>
    </row>
    <row r="85" spans="1:20" s="2" customFormat="1" ht="16.2" customHeight="1">
      <c r="A85" s="150" t="s">
        <v>77</v>
      </c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262"/>
    </row>
    <row r="86" spans="1:20" s="2" customFormat="1" ht="16.2" customHeight="1">
      <c r="A86" s="153" t="s">
        <v>83</v>
      </c>
      <c r="B86" s="153"/>
      <c r="C86" s="153"/>
      <c r="D86" s="153"/>
      <c r="E86" s="153" t="s">
        <v>78</v>
      </c>
      <c r="F86" s="153"/>
      <c r="G86" s="153"/>
      <c r="H86" s="153"/>
      <c r="I86" s="153"/>
      <c r="J86" s="153"/>
      <c r="K86" s="153"/>
      <c r="L86" s="153"/>
      <c r="M86" s="153"/>
      <c r="N86" s="153"/>
      <c r="O86" s="262"/>
    </row>
    <row r="87" spans="1:20" s="2" customFormat="1" ht="16.2" customHeight="1">
      <c r="A87" s="153"/>
      <c r="B87" s="153"/>
      <c r="C87" s="153"/>
      <c r="D87" s="153"/>
      <c r="E87" s="153" t="s">
        <v>86</v>
      </c>
      <c r="F87" s="153"/>
      <c r="G87" s="153"/>
      <c r="H87" s="153"/>
      <c r="I87" s="153"/>
      <c r="J87" s="153" t="s">
        <v>87</v>
      </c>
      <c r="K87" s="153"/>
      <c r="L87" s="153"/>
      <c r="M87" s="153"/>
      <c r="N87" s="153"/>
      <c r="O87" s="262"/>
    </row>
    <row r="88" spans="1:20" s="2" customFormat="1" ht="17.399999999999999" customHeight="1">
      <c r="A88" s="154" t="s">
        <v>79</v>
      </c>
      <c r="B88" s="154"/>
      <c r="C88" s="154"/>
      <c r="D88" s="154"/>
      <c r="E88" s="157" t="s">
        <v>116</v>
      </c>
      <c r="F88" s="157"/>
      <c r="G88" s="157"/>
      <c r="H88" s="157"/>
      <c r="I88" s="157"/>
      <c r="J88" s="154" t="s">
        <v>79</v>
      </c>
      <c r="K88" s="154"/>
      <c r="L88" s="154"/>
      <c r="M88" s="154"/>
      <c r="N88" s="154"/>
      <c r="O88" s="262"/>
    </row>
    <row r="89" spans="1:20" s="2" customFormat="1" ht="17.399999999999999" customHeight="1">
      <c r="A89" s="155" t="s">
        <v>120</v>
      </c>
      <c r="B89" s="155"/>
      <c r="C89" s="155"/>
      <c r="D89" s="155"/>
      <c r="E89" s="157"/>
      <c r="F89" s="157"/>
      <c r="G89" s="157"/>
      <c r="H89" s="157"/>
      <c r="I89" s="157"/>
      <c r="J89" s="155" t="s">
        <v>95</v>
      </c>
      <c r="K89" s="155"/>
      <c r="L89" s="155"/>
      <c r="M89" s="155"/>
      <c r="N89" s="155"/>
      <c r="O89" s="262"/>
    </row>
    <row r="90" spans="1:20" s="2" customFormat="1" ht="17.399999999999999" customHeight="1">
      <c r="A90" s="190" t="s">
        <v>121</v>
      </c>
      <c r="B90" s="191"/>
      <c r="C90" s="191"/>
      <c r="D90" s="192"/>
      <c r="E90" s="157"/>
      <c r="F90" s="157"/>
      <c r="G90" s="157"/>
      <c r="H90" s="157"/>
      <c r="I90" s="157"/>
      <c r="J90" s="155" t="s">
        <v>130</v>
      </c>
      <c r="K90" s="155"/>
      <c r="L90" s="155"/>
      <c r="M90" s="155"/>
      <c r="N90" s="155"/>
      <c r="O90" s="262"/>
    </row>
    <row r="91" spans="1:20" s="2" customFormat="1" ht="17.399999999999999" customHeight="1">
      <c r="A91" s="156" t="s">
        <v>129</v>
      </c>
      <c r="B91" s="156"/>
      <c r="C91" s="156"/>
      <c r="D91" s="156"/>
      <c r="E91" s="157"/>
      <c r="F91" s="157"/>
      <c r="G91" s="157"/>
      <c r="H91" s="157"/>
      <c r="I91" s="157"/>
      <c r="J91" s="156"/>
      <c r="K91" s="156"/>
      <c r="L91" s="156"/>
      <c r="M91" s="156"/>
      <c r="N91" s="156"/>
      <c r="O91" s="262"/>
    </row>
    <row r="92" spans="1:20" s="2" customFormat="1" ht="17.399999999999999" customHeight="1">
      <c r="A92" s="187" t="s">
        <v>103</v>
      </c>
      <c r="B92" s="188"/>
      <c r="C92" s="189"/>
      <c r="D92" s="107">
        <v>63</v>
      </c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262"/>
    </row>
    <row r="93" spans="1:20" ht="17.399999999999999" customHeight="1">
      <c r="A93" s="167" t="s">
        <v>0</v>
      </c>
      <c r="B93" s="170" t="s">
        <v>19</v>
      </c>
      <c r="C93" s="173" t="s">
        <v>8</v>
      </c>
      <c r="D93" s="173" t="s">
        <v>9</v>
      </c>
      <c r="E93" s="176" t="s">
        <v>11</v>
      </c>
      <c r="F93" s="177"/>
      <c r="G93" s="176" t="s">
        <v>42</v>
      </c>
      <c r="H93" s="177"/>
      <c r="I93" s="180" t="s">
        <v>16</v>
      </c>
      <c r="J93" s="180" t="s">
        <v>40</v>
      </c>
      <c r="K93" s="180" t="s">
        <v>41</v>
      </c>
      <c r="L93" s="180" t="s">
        <v>17</v>
      </c>
      <c r="M93" s="180" t="s">
        <v>39</v>
      </c>
      <c r="N93" s="167" t="s">
        <v>18</v>
      </c>
      <c r="O93" s="263"/>
    </row>
    <row r="94" spans="1:20" ht="17.399999999999999" customHeight="1">
      <c r="A94" s="168"/>
      <c r="B94" s="171"/>
      <c r="C94" s="174"/>
      <c r="D94" s="174"/>
      <c r="E94" s="178"/>
      <c r="F94" s="179"/>
      <c r="G94" s="178"/>
      <c r="H94" s="179"/>
      <c r="I94" s="181"/>
      <c r="J94" s="181"/>
      <c r="K94" s="181"/>
      <c r="L94" s="181"/>
      <c r="M94" s="181"/>
      <c r="N94" s="168"/>
      <c r="O94" s="135"/>
    </row>
    <row r="95" spans="1:20" ht="17.399999999999999" customHeight="1">
      <c r="A95" s="168"/>
      <c r="B95" s="171"/>
      <c r="C95" s="174"/>
      <c r="D95" s="174"/>
      <c r="E95" s="180" t="s">
        <v>10</v>
      </c>
      <c r="F95" s="180" t="s">
        <v>12</v>
      </c>
      <c r="G95" s="180" t="s">
        <v>14</v>
      </c>
      <c r="H95" s="180" t="s">
        <v>15</v>
      </c>
      <c r="I95" s="181"/>
      <c r="J95" s="181"/>
      <c r="K95" s="181"/>
      <c r="L95" s="181"/>
      <c r="M95" s="181"/>
      <c r="N95" s="168"/>
      <c r="O95" s="135"/>
    </row>
    <row r="96" spans="1:20" ht="17.399999999999999" customHeight="1">
      <c r="A96" s="169"/>
      <c r="B96" s="172"/>
      <c r="C96" s="175"/>
      <c r="D96" s="175"/>
      <c r="E96" s="182"/>
      <c r="F96" s="182"/>
      <c r="G96" s="182"/>
      <c r="H96" s="182"/>
      <c r="I96" s="182"/>
      <c r="J96" s="182"/>
      <c r="K96" s="182"/>
      <c r="L96" s="182"/>
      <c r="M96" s="182"/>
      <c r="N96" s="169"/>
      <c r="O96" s="135"/>
    </row>
    <row r="97" spans="1:22" ht="16.2" customHeight="1">
      <c r="A97" s="196" t="s">
        <v>38</v>
      </c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8"/>
      <c r="O97" s="135"/>
    </row>
    <row r="98" spans="1:22" s="2" customFormat="1" ht="16.2" customHeight="1">
      <c r="A98" s="15">
        <v>1</v>
      </c>
      <c r="B98" s="16" t="s">
        <v>2</v>
      </c>
      <c r="C98" s="49">
        <f>L98/100*100</f>
        <v>80</v>
      </c>
      <c r="D98" s="50">
        <f>C98/100*60</f>
        <v>48</v>
      </c>
      <c r="E98" s="51">
        <f>C98/100*15</f>
        <v>12</v>
      </c>
      <c r="F98" s="51"/>
      <c r="G98" s="51"/>
      <c r="H98" s="51"/>
      <c r="I98" s="51"/>
      <c r="J98" s="24">
        <f>C98/100*387</f>
        <v>309.60000000000002</v>
      </c>
      <c r="K98" s="24">
        <f>C98/100*0.09</f>
        <v>7.1999999999999995E-2</v>
      </c>
      <c r="L98" s="264">
        <v>80</v>
      </c>
      <c r="M98" s="73">
        <v>20</v>
      </c>
      <c r="N98" s="27">
        <f t="shared" ref="N98:N109" si="5">L98*M98</f>
        <v>1600</v>
      </c>
      <c r="O98" s="267"/>
    </row>
    <row r="99" spans="1:22" s="2" customFormat="1" ht="16.2" customHeight="1">
      <c r="A99" s="9">
        <v>2</v>
      </c>
      <c r="B99" s="10" t="s">
        <v>113</v>
      </c>
      <c r="C99" s="22">
        <f>L99/100*100</f>
        <v>550</v>
      </c>
      <c r="D99" s="23">
        <f>C99/100*899</f>
        <v>4944.5</v>
      </c>
      <c r="E99" s="24"/>
      <c r="F99" s="24"/>
      <c r="G99" s="24">
        <f>C99/100*100</f>
        <v>550</v>
      </c>
      <c r="H99" s="24"/>
      <c r="I99" s="24"/>
      <c r="J99" s="24"/>
      <c r="K99" s="24"/>
      <c r="L99" s="266">
        <v>550</v>
      </c>
      <c r="M99" s="23">
        <v>68</v>
      </c>
      <c r="N99" s="27">
        <f t="shared" si="5"/>
        <v>37400</v>
      </c>
      <c r="O99" s="271"/>
    </row>
    <row r="100" spans="1:22" s="2" customFormat="1" ht="16.2" customHeight="1">
      <c r="A100" s="9">
        <v>3</v>
      </c>
      <c r="B100" s="5" t="s">
        <v>1</v>
      </c>
      <c r="C100" s="22">
        <f>L100/100*100</f>
        <v>2709</v>
      </c>
      <c r="D100" s="23">
        <f>C100/100*344</f>
        <v>9318.9599999999991</v>
      </c>
      <c r="E100" s="24"/>
      <c r="F100" s="24">
        <f>C100/100*7.9</f>
        <v>214.011</v>
      </c>
      <c r="G100" s="24"/>
      <c r="H100" s="24">
        <f>C100/100*1</f>
        <v>27.09</v>
      </c>
      <c r="I100" s="101">
        <f>C100/100*72</f>
        <v>1950.48</v>
      </c>
      <c r="J100" s="24">
        <f>C100/100*30</f>
        <v>812.7</v>
      </c>
      <c r="K100" s="24">
        <f>C100/100*0.1</f>
        <v>2.7090000000000001</v>
      </c>
      <c r="L100" s="266">
        <v>2709</v>
      </c>
      <c r="M100" s="73">
        <v>18</v>
      </c>
      <c r="N100" s="27">
        <f t="shared" si="5"/>
        <v>48762</v>
      </c>
      <c r="O100" s="267"/>
    </row>
    <row r="101" spans="1:22" s="2" customFormat="1" ht="19.8" customHeight="1">
      <c r="A101" s="9">
        <v>4</v>
      </c>
      <c r="B101" s="10" t="s">
        <v>131</v>
      </c>
      <c r="C101" s="22">
        <f>L101/100*100</f>
        <v>50</v>
      </c>
      <c r="D101" s="23">
        <f>C101/100*390</f>
        <v>195</v>
      </c>
      <c r="E101" s="24"/>
      <c r="F101" s="24"/>
      <c r="G101" s="24"/>
      <c r="H101" s="24"/>
      <c r="I101" s="24">
        <f>C101/100*97.4</f>
        <v>48.7</v>
      </c>
      <c r="J101" s="26">
        <f>C101/100*178</f>
        <v>89</v>
      </c>
      <c r="K101" s="26">
        <f>C101/100*0.05</f>
        <v>2.5000000000000001E-2</v>
      </c>
      <c r="L101" s="266">
        <v>50</v>
      </c>
      <c r="M101" s="71">
        <v>25</v>
      </c>
      <c r="N101" s="27">
        <f t="shared" si="5"/>
        <v>1250</v>
      </c>
      <c r="O101" s="265"/>
    </row>
    <row r="102" spans="1:22" s="2" customFormat="1" ht="16.2" customHeight="1">
      <c r="A102" s="9">
        <v>5</v>
      </c>
      <c r="B102" s="10" t="s">
        <v>123</v>
      </c>
      <c r="C102" s="22">
        <f>L102/100*60</f>
        <v>2268</v>
      </c>
      <c r="D102" s="23">
        <f>C102/100*97</f>
        <v>2199.96</v>
      </c>
      <c r="E102" s="101">
        <f>C102/100*18.2</f>
        <v>412.77599999999995</v>
      </c>
      <c r="F102" s="24"/>
      <c r="G102" s="24">
        <f>C102/100*2.7</f>
        <v>61.236000000000004</v>
      </c>
      <c r="H102" s="24"/>
      <c r="I102" s="24"/>
      <c r="J102" s="76">
        <f>C102/100*90</f>
        <v>2041.2</v>
      </c>
      <c r="K102" s="26">
        <f>C102/100*0.04</f>
        <v>0.90720000000000001</v>
      </c>
      <c r="L102" s="266">
        <v>3780</v>
      </c>
      <c r="M102" s="71">
        <v>95</v>
      </c>
      <c r="N102" s="27">
        <f t="shared" si="5"/>
        <v>359100</v>
      </c>
      <c r="O102" s="267"/>
    </row>
    <row r="103" spans="1:22" s="2" customFormat="1" ht="16.2" customHeight="1">
      <c r="A103" s="9">
        <v>6</v>
      </c>
      <c r="B103" s="5" t="s">
        <v>61</v>
      </c>
      <c r="C103" s="22">
        <f>L103/100*48</f>
        <v>456</v>
      </c>
      <c r="D103" s="23">
        <f>C103/100*199</f>
        <v>907.43999999999994</v>
      </c>
      <c r="E103" s="24">
        <f>C103/100*20.3</f>
        <v>92.567999999999998</v>
      </c>
      <c r="F103" s="24"/>
      <c r="G103" s="24">
        <f>C103/100*13.1</f>
        <v>59.73599999999999</v>
      </c>
      <c r="H103" s="24"/>
      <c r="I103" s="24"/>
      <c r="J103" s="26">
        <f>C103/100*12</f>
        <v>54.72</v>
      </c>
      <c r="K103" s="26">
        <f>C103/100*0.15</f>
        <v>0.68399999999999994</v>
      </c>
      <c r="L103" s="266">
        <v>950</v>
      </c>
      <c r="M103" s="25">
        <v>84</v>
      </c>
      <c r="N103" s="27">
        <f t="shared" si="5"/>
        <v>79800</v>
      </c>
      <c r="O103" s="267"/>
      <c r="Q103" s="3"/>
      <c r="R103" s="3"/>
      <c r="S103" s="4"/>
    </row>
    <row r="104" spans="1:22" s="2" customFormat="1" ht="16.2" customHeight="1">
      <c r="A104" s="9">
        <v>7</v>
      </c>
      <c r="B104" s="5" t="s">
        <v>3</v>
      </c>
      <c r="C104" s="22">
        <f>L104/100*98</f>
        <v>617.4</v>
      </c>
      <c r="D104" s="23">
        <f>C104/100*118</f>
        <v>728.53199999999993</v>
      </c>
      <c r="E104" s="24">
        <f>C104/100*21</f>
        <v>129.654</v>
      </c>
      <c r="F104" s="24"/>
      <c r="G104" s="24">
        <f>C104/100*3.8</f>
        <v>23.461199999999998</v>
      </c>
      <c r="H104" s="24"/>
      <c r="I104" s="24"/>
      <c r="J104" s="26">
        <f>C104/100*12</f>
        <v>74.087999999999994</v>
      </c>
      <c r="K104" s="26">
        <f>C104/100*0.1</f>
        <v>0.61739999999999995</v>
      </c>
      <c r="L104" s="266">
        <v>630</v>
      </c>
      <c r="M104" s="25">
        <v>260</v>
      </c>
      <c r="N104" s="106">
        <f t="shared" si="5"/>
        <v>163800</v>
      </c>
      <c r="O104" s="267"/>
      <c r="Q104" s="3"/>
      <c r="R104" s="3"/>
      <c r="S104" s="4"/>
    </row>
    <row r="105" spans="1:22" s="2" customFormat="1" ht="16.2" customHeight="1">
      <c r="A105" s="9">
        <v>8</v>
      </c>
      <c r="B105" s="5" t="s">
        <v>20</v>
      </c>
      <c r="C105" s="22">
        <f>L105/100*95</f>
        <v>598.5</v>
      </c>
      <c r="D105" s="23">
        <f>C105/100*20</f>
        <v>119.7</v>
      </c>
      <c r="E105" s="24"/>
      <c r="F105" s="24">
        <f>C105/100*0.6</f>
        <v>3.5910000000000002</v>
      </c>
      <c r="G105" s="24"/>
      <c r="H105" s="24">
        <f>C105/100*0.2</f>
        <v>1.1970000000000001</v>
      </c>
      <c r="I105" s="24">
        <f>C105/100*4</f>
        <v>23.94</v>
      </c>
      <c r="J105" s="26">
        <f>C105/100*12</f>
        <v>71.820000000000007</v>
      </c>
      <c r="K105" s="23">
        <f>C105/100*0.04</f>
        <v>0.23940000000000003</v>
      </c>
      <c r="L105" s="266">
        <v>630</v>
      </c>
      <c r="M105" s="73">
        <v>22</v>
      </c>
      <c r="N105" s="27">
        <f t="shared" si="5"/>
        <v>13860</v>
      </c>
      <c r="O105" s="265"/>
      <c r="Q105" s="3"/>
      <c r="R105" s="3"/>
      <c r="S105" s="4"/>
    </row>
    <row r="106" spans="1:22" s="2" customFormat="1" ht="16.2" customHeight="1">
      <c r="A106" s="9">
        <v>9</v>
      </c>
      <c r="B106" s="5" t="s">
        <v>62</v>
      </c>
      <c r="C106" s="22">
        <f>L106/100*75</f>
        <v>97.5</v>
      </c>
      <c r="D106" s="23">
        <f>C106/100*17</f>
        <v>16.574999999999999</v>
      </c>
      <c r="E106" s="28"/>
      <c r="F106" s="28">
        <f>C106/100*1.9</f>
        <v>1.8524999999999998</v>
      </c>
      <c r="G106" s="28"/>
      <c r="H106" s="28"/>
      <c r="I106" s="28">
        <f>C106/100*2.2</f>
        <v>2.145</v>
      </c>
      <c r="J106" s="26">
        <f>C106/100*150</f>
        <v>146.25</v>
      </c>
      <c r="K106" s="23">
        <f>C106/100*0.04</f>
        <v>3.9E-2</v>
      </c>
      <c r="L106" s="268">
        <v>130</v>
      </c>
      <c r="M106" s="73">
        <v>30</v>
      </c>
      <c r="N106" s="27">
        <f t="shared" si="5"/>
        <v>3900</v>
      </c>
      <c r="O106" s="265"/>
      <c r="Q106" s="3"/>
      <c r="R106" s="3"/>
      <c r="S106" s="4"/>
    </row>
    <row r="107" spans="1:22" s="2" customFormat="1" ht="15" customHeight="1">
      <c r="A107" s="9">
        <v>10</v>
      </c>
      <c r="B107" s="5" t="s">
        <v>127</v>
      </c>
      <c r="C107" s="22">
        <f>L107/100*78</f>
        <v>1575.6</v>
      </c>
      <c r="D107" s="23">
        <f>C107/100*37</f>
        <v>582.97199999999998</v>
      </c>
      <c r="E107" s="28"/>
      <c r="F107" s="28">
        <f>C107/100*2.8</f>
        <v>44.116799999999991</v>
      </c>
      <c r="G107" s="28"/>
      <c r="H107" s="28">
        <f>C107/100*0.1</f>
        <v>1.5755999999999999</v>
      </c>
      <c r="I107" s="28">
        <f>C107/100*6.2</f>
        <v>97.68719999999999</v>
      </c>
      <c r="J107" s="28">
        <f>C107/100*46</f>
        <v>724.77599999999995</v>
      </c>
      <c r="K107" s="28">
        <f>C107/100*0.06</f>
        <v>0.94535999999999987</v>
      </c>
      <c r="L107" s="268">
        <v>2020</v>
      </c>
      <c r="M107" s="25">
        <v>20</v>
      </c>
      <c r="N107" s="27">
        <f t="shared" si="5"/>
        <v>40400</v>
      </c>
      <c r="O107" s="267"/>
      <c r="Q107" s="3"/>
      <c r="R107" s="3"/>
      <c r="S107" s="4"/>
    </row>
    <row r="108" spans="1:22" s="2" customFormat="1" ht="16.2" customHeight="1">
      <c r="A108" s="9">
        <v>11</v>
      </c>
      <c r="B108" s="5" t="s">
        <v>122</v>
      </c>
      <c r="C108" s="22">
        <f>L108/100*81</f>
        <v>1020.6</v>
      </c>
      <c r="D108" s="23">
        <f>C108/100*17</f>
        <v>173.50199999999998</v>
      </c>
      <c r="E108" s="28"/>
      <c r="F108" s="28">
        <f>C108/100*0.9</f>
        <v>9.1853999999999996</v>
      </c>
      <c r="G108" s="28"/>
      <c r="H108" s="28">
        <f>C108/100*0.2</f>
        <v>2.0411999999999999</v>
      </c>
      <c r="I108" s="28">
        <f>C108/100*2.8</f>
        <v>28.576799999999995</v>
      </c>
      <c r="J108" s="24">
        <f>C108/100*28</f>
        <v>285.76799999999997</v>
      </c>
      <c r="K108" s="26">
        <f>C108/100*0.04</f>
        <v>0.40823999999999999</v>
      </c>
      <c r="L108" s="268">
        <v>1260</v>
      </c>
      <c r="M108" s="71">
        <v>20</v>
      </c>
      <c r="N108" s="27">
        <f t="shared" si="5"/>
        <v>25200</v>
      </c>
      <c r="O108" s="267"/>
      <c r="P108" s="3"/>
    </row>
    <row r="109" spans="1:22" s="2" customFormat="1" ht="16.2" customHeight="1">
      <c r="A109" s="9">
        <v>12</v>
      </c>
      <c r="B109" s="5" t="s">
        <v>110</v>
      </c>
      <c r="C109" s="22">
        <f>L109/100*100</f>
        <v>50</v>
      </c>
      <c r="D109" s="23">
        <f>C109/100*247</f>
        <v>123.5</v>
      </c>
      <c r="E109" s="28"/>
      <c r="F109" s="28">
        <f>C109/100*17.5</f>
        <v>8.75</v>
      </c>
      <c r="G109" s="28"/>
      <c r="H109" s="28">
        <f>C109/100*1.6</f>
        <v>0.8</v>
      </c>
      <c r="I109" s="28">
        <f>C109/100*39.2</f>
        <v>19.600000000000001</v>
      </c>
      <c r="J109" s="69"/>
      <c r="K109" s="69"/>
      <c r="L109" s="268">
        <v>50</v>
      </c>
      <c r="M109" s="71">
        <v>50</v>
      </c>
      <c r="N109" s="27">
        <f t="shared" si="5"/>
        <v>2500</v>
      </c>
      <c r="O109" s="267"/>
      <c r="Q109" s="3"/>
      <c r="R109" s="3"/>
      <c r="S109" s="4"/>
      <c r="T109" s="3"/>
    </row>
    <row r="110" spans="1:22" s="2" customFormat="1" ht="16.2" customHeight="1">
      <c r="A110" s="9">
        <v>13</v>
      </c>
      <c r="B110" s="6" t="s">
        <v>104</v>
      </c>
      <c r="C110" s="22"/>
      <c r="D110" s="23"/>
      <c r="E110" s="28"/>
      <c r="F110" s="28"/>
      <c r="G110" s="28"/>
      <c r="H110" s="28"/>
      <c r="I110" s="28"/>
      <c r="J110" s="28"/>
      <c r="K110" s="28"/>
      <c r="L110" s="29"/>
      <c r="M110" s="73"/>
      <c r="N110" s="27">
        <v>4150</v>
      </c>
      <c r="O110" s="267"/>
    </row>
    <row r="111" spans="1:22" s="2" customFormat="1" ht="16.2" customHeight="1">
      <c r="A111" s="195" t="s">
        <v>91</v>
      </c>
      <c r="B111" s="195"/>
      <c r="C111" s="33"/>
      <c r="D111" s="34">
        <f>SUM(D98:D110)</f>
        <v>19358.641</v>
      </c>
      <c r="E111" s="42"/>
      <c r="F111" s="42"/>
      <c r="G111" s="42"/>
      <c r="H111" s="42"/>
      <c r="I111" s="42"/>
      <c r="J111" s="42"/>
      <c r="K111" s="42"/>
      <c r="L111" s="43"/>
      <c r="M111" s="43"/>
      <c r="N111" s="151">
        <f>SUM(N98:N110)</f>
        <v>781722</v>
      </c>
      <c r="O111" s="267"/>
    </row>
    <row r="112" spans="1:22" ht="16.2" customHeight="1">
      <c r="A112" s="195" t="s">
        <v>36</v>
      </c>
      <c r="B112" s="195"/>
      <c r="C112" s="44"/>
      <c r="D112" s="45">
        <f>D111/D92</f>
        <v>307.28001587301588</v>
      </c>
      <c r="E112" s="45"/>
      <c r="F112" s="45"/>
      <c r="G112" s="45"/>
      <c r="H112" s="45"/>
      <c r="I112" s="45"/>
      <c r="J112" s="45"/>
      <c r="K112" s="45"/>
      <c r="L112" s="46"/>
      <c r="M112" s="46"/>
      <c r="N112" s="152"/>
      <c r="O112" s="4"/>
      <c r="P112" s="2"/>
      <c r="Q112" s="2"/>
      <c r="R112" s="2"/>
      <c r="S112" s="2"/>
      <c r="T112" s="2"/>
      <c r="U112" s="2"/>
      <c r="V112" s="2"/>
    </row>
    <row r="113" spans="1:22" ht="16.2" customHeight="1">
      <c r="A113" s="183" t="s">
        <v>43</v>
      </c>
      <c r="B113" s="184"/>
      <c r="C113" s="269" t="s">
        <v>119</v>
      </c>
      <c r="D113" s="19" t="s">
        <v>44</v>
      </c>
      <c r="E113" s="45"/>
      <c r="F113" s="45"/>
      <c r="G113" s="45"/>
      <c r="H113" s="45"/>
      <c r="I113" s="45"/>
      <c r="J113" s="47"/>
      <c r="K113" s="47"/>
      <c r="L113" s="46"/>
      <c r="M113" s="46"/>
      <c r="N113" s="136"/>
      <c r="O113" s="4"/>
      <c r="P113" s="2"/>
      <c r="Q113" s="2"/>
      <c r="R113" s="2"/>
      <c r="S113" s="2"/>
      <c r="T113" s="2"/>
      <c r="U113" s="2"/>
      <c r="V113" s="2"/>
    </row>
    <row r="114" spans="1:22" ht="16.2" customHeight="1">
      <c r="A114" s="185"/>
      <c r="B114" s="186"/>
      <c r="C114" s="18" t="s">
        <v>55</v>
      </c>
      <c r="D114" s="74">
        <f>D112*100/930</f>
        <v>33.040861921829666</v>
      </c>
      <c r="E114" s="45"/>
      <c r="F114" s="45"/>
      <c r="G114" s="45"/>
      <c r="H114" s="45"/>
      <c r="I114" s="45"/>
      <c r="J114" s="47"/>
      <c r="K114" s="47"/>
      <c r="L114" s="46"/>
      <c r="M114" s="46"/>
      <c r="N114" s="136"/>
      <c r="O114" s="4"/>
      <c r="P114" s="2"/>
      <c r="Q114" s="2"/>
      <c r="R114" s="2"/>
      <c r="S114" s="2"/>
      <c r="T114" s="2"/>
      <c r="U114" s="2"/>
      <c r="V114" s="2"/>
    </row>
    <row r="115" spans="1:22" s="2" customFormat="1" ht="16.2" customHeight="1">
      <c r="A115" s="194" t="s">
        <v>37</v>
      </c>
      <c r="B115" s="194"/>
      <c r="C115" s="54"/>
      <c r="D115" s="55"/>
      <c r="E115" s="56"/>
      <c r="F115" s="56"/>
      <c r="G115" s="56"/>
      <c r="H115" s="56"/>
      <c r="I115" s="56"/>
      <c r="J115" s="56"/>
      <c r="K115" s="56"/>
      <c r="L115" s="57"/>
      <c r="M115" s="57"/>
      <c r="N115" s="58"/>
      <c r="O115" s="267"/>
    </row>
    <row r="116" spans="1:22" s="2" customFormat="1" ht="16.2" customHeight="1">
      <c r="A116" s="15">
        <v>1</v>
      </c>
      <c r="B116" s="16" t="s">
        <v>2</v>
      </c>
      <c r="C116" s="49">
        <f>L116/100*100</f>
        <v>80</v>
      </c>
      <c r="D116" s="50">
        <f>C116/100*60</f>
        <v>48</v>
      </c>
      <c r="E116" s="51">
        <f>C116/100*15</f>
        <v>12</v>
      </c>
      <c r="F116" s="51"/>
      <c r="G116" s="51"/>
      <c r="H116" s="51"/>
      <c r="I116" s="51"/>
      <c r="J116" s="24">
        <f>C116/100*387</f>
        <v>309.60000000000002</v>
      </c>
      <c r="K116" s="24">
        <f>C116/100*0.09</f>
        <v>7.1999999999999995E-2</v>
      </c>
      <c r="L116" s="264">
        <v>80</v>
      </c>
      <c r="M116" s="73">
        <v>20</v>
      </c>
      <c r="N116" s="27">
        <f>L116*M116</f>
        <v>1600</v>
      </c>
      <c r="O116" s="267"/>
    </row>
    <row r="117" spans="1:22" s="2" customFormat="1" ht="16.2" customHeight="1">
      <c r="A117" s="9">
        <v>2</v>
      </c>
      <c r="B117" s="122" t="s">
        <v>115</v>
      </c>
      <c r="C117" s="22">
        <f>L117/100*100</f>
        <v>90</v>
      </c>
      <c r="D117" s="102">
        <f>C117/100*900</f>
        <v>810</v>
      </c>
      <c r="E117" s="24"/>
      <c r="F117" s="24"/>
      <c r="G117" s="101"/>
      <c r="H117" s="24">
        <f>C117/100*100</f>
        <v>90</v>
      </c>
      <c r="I117" s="24"/>
      <c r="J117" s="24"/>
      <c r="K117" s="24"/>
      <c r="L117" s="266">
        <v>90</v>
      </c>
      <c r="M117" s="71">
        <v>63.5</v>
      </c>
      <c r="N117" s="27">
        <f t="shared" ref="N117" si="6">L117*M117</f>
        <v>5715</v>
      </c>
      <c r="O117" s="271"/>
    </row>
    <row r="118" spans="1:22" s="2" customFormat="1" ht="16.2" customHeight="1">
      <c r="A118" s="9">
        <v>3</v>
      </c>
      <c r="B118" s="5" t="s">
        <v>1</v>
      </c>
      <c r="C118" s="22">
        <f>L118/100*100</f>
        <v>2646</v>
      </c>
      <c r="D118" s="23">
        <f>C118/100*344</f>
        <v>9102.24</v>
      </c>
      <c r="E118" s="24"/>
      <c r="F118" s="24">
        <f>C118/100*7.9</f>
        <v>209.03400000000002</v>
      </c>
      <c r="G118" s="24"/>
      <c r="H118" s="24">
        <f>C118/100*1</f>
        <v>26.46</v>
      </c>
      <c r="I118" s="101">
        <f>C118/100*72</f>
        <v>1905.1200000000001</v>
      </c>
      <c r="J118" s="24">
        <f>C118/100*30</f>
        <v>793.80000000000007</v>
      </c>
      <c r="K118" s="24">
        <f>C118/100*0.1</f>
        <v>2.6460000000000004</v>
      </c>
      <c r="L118" s="266">
        <v>2646</v>
      </c>
      <c r="M118" s="73">
        <v>18</v>
      </c>
      <c r="N118" s="27">
        <f t="shared" ref="N118:N124" si="7">L118*M118</f>
        <v>47628</v>
      </c>
      <c r="O118" s="267"/>
    </row>
    <row r="119" spans="1:22" s="2" customFormat="1" ht="16.2" customHeight="1">
      <c r="A119" s="9">
        <v>4</v>
      </c>
      <c r="B119" s="5" t="s">
        <v>110</v>
      </c>
      <c r="C119" s="22">
        <f>L119/100*100</f>
        <v>50</v>
      </c>
      <c r="D119" s="23">
        <f>C119/100*247</f>
        <v>123.5</v>
      </c>
      <c r="E119" s="28"/>
      <c r="F119" s="28">
        <f>C119/100*17.5</f>
        <v>8.75</v>
      </c>
      <c r="G119" s="28"/>
      <c r="H119" s="28">
        <f>C119/100*1.6</f>
        <v>0.8</v>
      </c>
      <c r="I119" s="28">
        <f>C119/100*39.2</f>
        <v>19.600000000000001</v>
      </c>
      <c r="J119" s="69"/>
      <c r="K119" s="69"/>
      <c r="L119" s="268">
        <v>50</v>
      </c>
      <c r="M119" s="71">
        <v>50</v>
      </c>
      <c r="N119" s="27">
        <f t="shared" si="7"/>
        <v>2500</v>
      </c>
      <c r="O119" s="267"/>
      <c r="Q119" s="3"/>
      <c r="R119" s="3"/>
      <c r="S119" s="4"/>
      <c r="T119" s="3"/>
    </row>
    <row r="120" spans="1:22" s="2" customFormat="1" ht="16.2" customHeight="1">
      <c r="A120" s="9">
        <v>5</v>
      </c>
      <c r="B120" s="10" t="s">
        <v>5</v>
      </c>
      <c r="C120" s="22">
        <f>L120/100*90</f>
        <v>81</v>
      </c>
      <c r="D120" s="23">
        <f>C120/100*281</f>
        <v>227.61</v>
      </c>
      <c r="E120" s="24"/>
      <c r="F120" s="24">
        <f>C120/100*9.5</f>
        <v>7.6950000000000003</v>
      </c>
      <c r="G120" s="24"/>
      <c r="H120" s="24">
        <f>C120/100*0.2</f>
        <v>0.16200000000000003</v>
      </c>
      <c r="I120" s="24">
        <f>D120/100*58.5</f>
        <v>133.15185</v>
      </c>
      <c r="J120" s="26">
        <f>C120/100*321</f>
        <v>260.01</v>
      </c>
      <c r="K120" s="26">
        <f>C120/100*0.14</f>
        <v>0.11340000000000001</v>
      </c>
      <c r="L120" s="266">
        <v>90</v>
      </c>
      <c r="M120" s="73">
        <v>120</v>
      </c>
      <c r="N120" s="27">
        <f t="shared" si="7"/>
        <v>10800</v>
      </c>
      <c r="O120" s="265"/>
    </row>
    <row r="121" spans="1:22" s="2" customFormat="1" ht="16.2" customHeight="1">
      <c r="A121" s="9">
        <v>6</v>
      </c>
      <c r="B121" s="10" t="s">
        <v>27</v>
      </c>
      <c r="C121" s="22">
        <f>L121/100*90</f>
        <v>62.999999999999993</v>
      </c>
      <c r="D121" s="23">
        <f>C121/100*253</f>
        <v>159.38999999999999</v>
      </c>
      <c r="E121" s="24"/>
      <c r="F121" s="24">
        <f>C121/100*32.4</f>
        <v>20.411999999999995</v>
      </c>
      <c r="G121" s="24"/>
      <c r="H121" s="24">
        <f>C121/100*3.6</f>
        <v>2.2679999999999998</v>
      </c>
      <c r="I121" s="24">
        <f>C121/100*21.1</f>
        <v>13.292999999999999</v>
      </c>
      <c r="J121" s="26">
        <f>C121/100*165</f>
        <v>103.94999999999999</v>
      </c>
      <c r="K121" s="26">
        <f>C121/100*0.14</f>
        <v>8.8199999999999987E-2</v>
      </c>
      <c r="L121" s="266">
        <v>70</v>
      </c>
      <c r="M121" s="73">
        <v>275</v>
      </c>
      <c r="N121" s="27">
        <f t="shared" si="7"/>
        <v>19250</v>
      </c>
      <c r="O121" s="265"/>
    </row>
    <row r="122" spans="1:22" s="2" customFormat="1" ht="16.2" customHeight="1">
      <c r="A122" s="9">
        <v>7</v>
      </c>
      <c r="B122" s="10" t="s">
        <v>59</v>
      </c>
      <c r="C122" s="22">
        <f>L122/100*86</f>
        <v>1900.6000000000001</v>
      </c>
      <c r="D122" s="23">
        <f>C122/100*166</f>
        <v>3154.9960000000001</v>
      </c>
      <c r="E122" s="24">
        <f>C122/100*14.8</f>
        <v>281.28880000000004</v>
      </c>
      <c r="F122" s="24"/>
      <c r="G122" s="24">
        <f>C122/100*11.6</f>
        <v>220.46959999999999</v>
      </c>
      <c r="H122" s="24"/>
      <c r="I122" s="24">
        <f>C122/100*0.5</f>
        <v>9.5030000000000001</v>
      </c>
      <c r="J122" s="24">
        <f>C122/100*55</f>
        <v>1045.33</v>
      </c>
      <c r="K122" s="24">
        <f>C122/100*0.16</f>
        <v>3.0409600000000001</v>
      </c>
      <c r="L122" s="266">
        <v>2210</v>
      </c>
      <c r="M122" s="73">
        <v>62</v>
      </c>
      <c r="N122" s="27">
        <f t="shared" si="7"/>
        <v>137020</v>
      </c>
      <c r="O122" s="267"/>
      <c r="Q122" s="3"/>
      <c r="R122" s="3"/>
      <c r="S122" s="4"/>
      <c r="T122" s="3"/>
    </row>
    <row r="123" spans="1:22" s="2" customFormat="1" ht="16.2" customHeight="1">
      <c r="A123" s="9">
        <v>8</v>
      </c>
      <c r="B123" s="122" t="s">
        <v>64</v>
      </c>
      <c r="C123" s="22">
        <f>L123/100*98</f>
        <v>529.20000000000005</v>
      </c>
      <c r="D123" s="23">
        <f>C123/100*139</f>
        <v>735.58800000000008</v>
      </c>
      <c r="E123" s="24">
        <f>C123/100*19</f>
        <v>100.54800000000002</v>
      </c>
      <c r="F123" s="24"/>
      <c r="G123" s="24">
        <f>C123/100*7</f>
        <v>37.044000000000004</v>
      </c>
      <c r="H123" s="24"/>
      <c r="I123" s="24"/>
      <c r="J123" s="24">
        <f>C123/100*7</f>
        <v>37.044000000000004</v>
      </c>
      <c r="K123" s="24">
        <f>C123/100*0.9</f>
        <v>4.7628000000000004</v>
      </c>
      <c r="L123" s="266">
        <v>540</v>
      </c>
      <c r="M123" s="71">
        <v>137</v>
      </c>
      <c r="N123" s="27">
        <f t="shared" si="7"/>
        <v>73980</v>
      </c>
      <c r="O123" s="267"/>
    </row>
    <row r="124" spans="1:22" s="2" customFormat="1" ht="16.8" customHeight="1">
      <c r="A124" s="9">
        <v>9</v>
      </c>
      <c r="B124" s="5" t="s">
        <v>128</v>
      </c>
      <c r="C124" s="22">
        <f>L124/100*90</f>
        <v>1539.0000000000002</v>
      </c>
      <c r="D124" s="23">
        <f>C124/100*29</f>
        <v>446.31000000000006</v>
      </c>
      <c r="E124" s="24"/>
      <c r="F124" s="24">
        <f>C124/100*1.8</f>
        <v>27.702000000000005</v>
      </c>
      <c r="G124" s="24"/>
      <c r="H124" s="24">
        <f>C124/100*0.1</f>
        <v>1.5390000000000004</v>
      </c>
      <c r="I124" s="24">
        <f>C124/100*5.3</f>
        <v>81.567000000000007</v>
      </c>
      <c r="J124" s="24">
        <f>C124/100*48</f>
        <v>738.72000000000014</v>
      </c>
      <c r="K124" s="24">
        <f>C124/100*0.05</f>
        <v>0.76950000000000018</v>
      </c>
      <c r="L124" s="266">
        <v>1710</v>
      </c>
      <c r="M124" s="71">
        <v>13</v>
      </c>
      <c r="N124" s="27">
        <f t="shared" si="7"/>
        <v>22230</v>
      </c>
      <c r="O124" s="267"/>
    </row>
    <row r="125" spans="1:22" s="2" customFormat="1" ht="16.2" customHeight="1">
      <c r="A125" s="9">
        <v>10</v>
      </c>
      <c r="B125" s="6" t="s">
        <v>104</v>
      </c>
      <c r="C125" s="22"/>
      <c r="D125" s="23"/>
      <c r="E125" s="24"/>
      <c r="F125" s="24"/>
      <c r="G125" s="24"/>
      <c r="H125" s="24"/>
      <c r="I125" s="24"/>
      <c r="J125" s="24"/>
      <c r="K125" s="24"/>
      <c r="L125" s="25"/>
      <c r="M125" s="25"/>
      <c r="N125" s="27">
        <v>4150</v>
      </c>
      <c r="O125" s="267"/>
    </row>
    <row r="126" spans="1:22" s="2" customFormat="1" ht="16.2" customHeight="1">
      <c r="A126" s="20" t="s">
        <v>92</v>
      </c>
      <c r="B126" s="21"/>
      <c r="C126" s="33"/>
      <c r="D126" s="34">
        <f>SUM(D116:D125)</f>
        <v>14807.634</v>
      </c>
      <c r="E126" s="42"/>
      <c r="F126" s="42"/>
      <c r="G126" s="42"/>
      <c r="H126" s="42"/>
      <c r="I126" s="42"/>
      <c r="J126" s="42"/>
      <c r="K126" s="42"/>
      <c r="L126" s="43"/>
      <c r="M126" s="43"/>
      <c r="N126" s="151">
        <f>SUM(N116:N125)</f>
        <v>324873</v>
      </c>
      <c r="O126" s="267"/>
    </row>
    <row r="127" spans="1:22" ht="16.2" customHeight="1">
      <c r="A127" s="20" t="s">
        <v>35</v>
      </c>
      <c r="B127" s="21"/>
      <c r="C127" s="59"/>
      <c r="D127" s="47">
        <f>D126/D92</f>
        <v>235.04180952380952</v>
      </c>
      <c r="E127" s="47"/>
      <c r="F127" s="47"/>
      <c r="G127" s="47"/>
      <c r="H127" s="47"/>
      <c r="I127" s="47"/>
      <c r="J127" s="47"/>
      <c r="K127" s="47"/>
      <c r="L127" s="60"/>
      <c r="M127" s="46"/>
      <c r="N127" s="193"/>
      <c r="O127" s="4"/>
      <c r="P127" s="309"/>
      <c r="Q127" s="2"/>
      <c r="R127" s="2"/>
      <c r="S127" s="2"/>
      <c r="T127" s="2"/>
      <c r="U127" s="2"/>
      <c r="V127" s="2"/>
    </row>
    <row r="128" spans="1:22" ht="16.2" customHeight="1">
      <c r="A128" s="183" t="s">
        <v>48</v>
      </c>
      <c r="B128" s="184"/>
      <c r="C128" s="269" t="s">
        <v>119</v>
      </c>
      <c r="D128" s="19" t="s">
        <v>45</v>
      </c>
      <c r="E128" s="45"/>
      <c r="F128" s="45"/>
      <c r="G128" s="45"/>
      <c r="H128" s="45"/>
      <c r="I128" s="45"/>
      <c r="J128" s="47"/>
      <c r="K128" s="47"/>
      <c r="L128" s="46"/>
      <c r="M128" s="46"/>
      <c r="N128" s="136"/>
      <c r="O128" s="4"/>
      <c r="P128" s="2"/>
      <c r="Q128" s="2"/>
      <c r="R128" s="2"/>
      <c r="S128" s="2"/>
      <c r="T128" s="2"/>
      <c r="U128" s="2"/>
      <c r="V128" s="2"/>
    </row>
    <row r="129" spans="1:22" ht="16.2" customHeight="1">
      <c r="A129" s="185"/>
      <c r="B129" s="186"/>
      <c r="C129" s="18" t="s">
        <v>56</v>
      </c>
      <c r="D129" s="74">
        <f>D127*100/930</f>
        <v>25.273312852022531</v>
      </c>
      <c r="E129" s="45"/>
      <c r="F129" s="45"/>
      <c r="G129" s="45"/>
      <c r="H129" s="45"/>
      <c r="I129" s="45"/>
      <c r="J129" s="47"/>
      <c r="K129" s="47"/>
      <c r="L129" s="46"/>
      <c r="M129" s="46"/>
      <c r="N129" s="136"/>
      <c r="O129" s="4"/>
      <c r="P129" s="2"/>
      <c r="Q129" s="2"/>
      <c r="R129" s="2"/>
      <c r="S129" s="2"/>
      <c r="T129" s="2"/>
      <c r="U129" s="2"/>
      <c r="V129" s="2"/>
    </row>
    <row r="130" spans="1:22" ht="16.2" customHeight="1">
      <c r="A130" s="194" t="s">
        <v>34</v>
      </c>
      <c r="B130" s="194"/>
      <c r="C130" s="61"/>
      <c r="D130" s="62"/>
      <c r="E130" s="62"/>
      <c r="F130" s="62"/>
      <c r="G130" s="62"/>
      <c r="H130" s="62"/>
      <c r="I130" s="62"/>
      <c r="J130" s="62"/>
      <c r="K130" s="62"/>
      <c r="L130" s="63"/>
      <c r="M130" s="63"/>
      <c r="N130" s="64"/>
      <c r="O130" s="4"/>
      <c r="P130" s="2"/>
      <c r="Q130" s="2"/>
      <c r="R130" s="2"/>
      <c r="S130" s="2"/>
      <c r="T130" s="2"/>
      <c r="U130" s="2"/>
      <c r="V130" s="2"/>
    </row>
    <row r="131" spans="1:22" s="2" customFormat="1" ht="16.2" customHeight="1">
      <c r="A131" s="94">
        <v>1</v>
      </c>
      <c r="B131" s="125" t="s">
        <v>117</v>
      </c>
      <c r="C131" s="33">
        <f>L131/100*100</f>
        <v>1080</v>
      </c>
      <c r="D131" s="95">
        <f>C131/100*487</f>
        <v>5259.6</v>
      </c>
      <c r="E131" s="35"/>
      <c r="F131" s="35">
        <f>C131/100*19.5</f>
        <v>210.60000000000002</v>
      </c>
      <c r="G131" s="35"/>
      <c r="H131" s="35">
        <f>C131/100*23.2</f>
        <v>250.56</v>
      </c>
      <c r="I131" s="35">
        <f>C131/100*46</f>
        <v>496.8</v>
      </c>
      <c r="J131" s="111">
        <f>C131/100*680</f>
        <v>7344.0000000000009</v>
      </c>
      <c r="K131" s="35">
        <f>C131/100*0.55</f>
        <v>5.9400000000000013</v>
      </c>
      <c r="L131" s="36">
        <v>1080</v>
      </c>
      <c r="M131" s="126">
        <v>260</v>
      </c>
      <c r="N131" s="96">
        <f t="shared" ref="N131" si="8">L131*M131</f>
        <v>280800</v>
      </c>
      <c r="O131" s="267"/>
      <c r="P131" s="3"/>
    </row>
    <row r="132" spans="1:22" ht="17.399999999999999" customHeight="1">
      <c r="A132" s="167" t="s">
        <v>0</v>
      </c>
      <c r="B132" s="170" t="s">
        <v>19</v>
      </c>
      <c r="C132" s="173" t="s">
        <v>8</v>
      </c>
      <c r="D132" s="173" t="s">
        <v>9</v>
      </c>
      <c r="E132" s="176" t="s">
        <v>11</v>
      </c>
      <c r="F132" s="177"/>
      <c r="G132" s="176" t="s">
        <v>42</v>
      </c>
      <c r="H132" s="177"/>
      <c r="I132" s="180" t="s">
        <v>16</v>
      </c>
      <c r="J132" s="180" t="s">
        <v>40</v>
      </c>
      <c r="K132" s="180" t="s">
        <v>41</v>
      </c>
      <c r="L132" s="180" t="s">
        <v>17</v>
      </c>
      <c r="M132" s="180" t="s">
        <v>39</v>
      </c>
      <c r="N132" s="167" t="s">
        <v>18</v>
      </c>
      <c r="O132" s="263"/>
    </row>
    <row r="133" spans="1:22" ht="17.399999999999999" customHeight="1">
      <c r="A133" s="168"/>
      <c r="B133" s="171"/>
      <c r="C133" s="174"/>
      <c r="D133" s="174"/>
      <c r="E133" s="178"/>
      <c r="F133" s="179"/>
      <c r="G133" s="178"/>
      <c r="H133" s="179"/>
      <c r="I133" s="181"/>
      <c r="J133" s="181"/>
      <c r="K133" s="181"/>
      <c r="L133" s="181"/>
      <c r="M133" s="181"/>
      <c r="N133" s="168"/>
      <c r="O133" s="135"/>
    </row>
    <row r="134" spans="1:22" ht="17.399999999999999" customHeight="1">
      <c r="A134" s="168"/>
      <c r="B134" s="171"/>
      <c r="C134" s="174"/>
      <c r="D134" s="174"/>
      <c r="E134" s="180" t="s">
        <v>10</v>
      </c>
      <c r="F134" s="180" t="s">
        <v>12</v>
      </c>
      <c r="G134" s="180" t="s">
        <v>14</v>
      </c>
      <c r="H134" s="180" t="s">
        <v>15</v>
      </c>
      <c r="I134" s="181"/>
      <c r="J134" s="181"/>
      <c r="K134" s="181"/>
      <c r="L134" s="181"/>
      <c r="M134" s="181"/>
      <c r="N134" s="168"/>
      <c r="O134" s="135"/>
    </row>
    <row r="135" spans="1:22" ht="17.399999999999999" customHeight="1">
      <c r="A135" s="169"/>
      <c r="B135" s="172"/>
      <c r="C135" s="175"/>
      <c r="D135" s="175"/>
      <c r="E135" s="182"/>
      <c r="F135" s="182"/>
      <c r="G135" s="182"/>
      <c r="H135" s="182"/>
      <c r="I135" s="182"/>
      <c r="J135" s="182"/>
      <c r="K135" s="182"/>
      <c r="L135" s="182"/>
      <c r="M135" s="182"/>
      <c r="N135" s="169"/>
      <c r="O135" s="135"/>
    </row>
    <row r="136" spans="1:22" s="2" customFormat="1" ht="21.6" customHeight="1">
      <c r="A136" s="195" t="s">
        <v>93</v>
      </c>
      <c r="B136" s="195"/>
      <c r="C136" s="33"/>
      <c r="D136" s="34">
        <f>SUM(D131:D131)</f>
        <v>5259.6</v>
      </c>
      <c r="E136" s="42"/>
      <c r="F136" s="42"/>
      <c r="G136" s="42"/>
      <c r="H136" s="42"/>
      <c r="I136" s="42"/>
      <c r="J136" s="42"/>
      <c r="K136" s="42"/>
      <c r="L136" s="43"/>
      <c r="M136" s="65"/>
      <c r="N136" s="151">
        <f>SUM(N131:N131)</f>
        <v>280800</v>
      </c>
      <c r="O136" s="267"/>
    </row>
    <row r="137" spans="1:22" ht="21.6" customHeight="1">
      <c r="A137" s="195" t="s">
        <v>7</v>
      </c>
      <c r="B137" s="195"/>
      <c r="C137" s="44"/>
      <c r="D137" s="45">
        <f>D136/D92</f>
        <v>83.485714285714295</v>
      </c>
      <c r="E137" s="45"/>
      <c r="F137" s="45"/>
      <c r="G137" s="45"/>
      <c r="H137" s="45"/>
      <c r="I137" s="45"/>
      <c r="J137" s="45"/>
      <c r="K137" s="45"/>
      <c r="L137" s="46"/>
      <c r="M137" s="66"/>
      <c r="N137" s="152"/>
      <c r="O137" s="4"/>
      <c r="P137" s="2"/>
      <c r="Q137" s="2"/>
      <c r="R137" s="2"/>
      <c r="S137" s="2"/>
      <c r="T137" s="2"/>
      <c r="U137" s="2"/>
      <c r="V137" s="2"/>
    </row>
    <row r="138" spans="1:22" ht="21.6" customHeight="1">
      <c r="A138" s="183" t="s">
        <v>46</v>
      </c>
      <c r="B138" s="184"/>
      <c r="C138" s="269" t="s">
        <v>119</v>
      </c>
      <c r="D138" s="19" t="s">
        <v>49</v>
      </c>
      <c r="E138" s="45"/>
      <c r="F138" s="45"/>
      <c r="G138" s="45"/>
      <c r="H138" s="45"/>
      <c r="I138" s="45"/>
      <c r="J138" s="47"/>
      <c r="K138" s="47"/>
      <c r="L138" s="46"/>
      <c r="M138" s="46"/>
      <c r="N138" s="136"/>
      <c r="O138" s="4"/>
      <c r="P138" s="2"/>
      <c r="Q138" s="2"/>
      <c r="R138" s="2"/>
      <c r="S138" s="2"/>
      <c r="T138" s="2"/>
      <c r="U138" s="2"/>
      <c r="V138" s="2"/>
    </row>
    <row r="139" spans="1:22" ht="21.6" customHeight="1">
      <c r="A139" s="185"/>
      <c r="B139" s="186"/>
      <c r="C139" s="18" t="s">
        <v>55</v>
      </c>
      <c r="D139" s="19">
        <f>D137*100/930</f>
        <v>8.9769585253456228</v>
      </c>
      <c r="E139" s="45"/>
      <c r="F139" s="45"/>
      <c r="G139" s="45"/>
      <c r="H139" s="45"/>
      <c r="I139" s="45"/>
      <c r="J139" s="47"/>
      <c r="K139" s="47"/>
      <c r="L139" s="46"/>
      <c r="M139" s="46"/>
      <c r="N139" s="136"/>
      <c r="O139" s="4"/>
      <c r="P139" s="2"/>
      <c r="Q139" s="2"/>
      <c r="R139" s="2"/>
      <c r="S139" s="2"/>
      <c r="T139" s="2"/>
      <c r="U139" s="2"/>
      <c r="V139" s="2"/>
    </row>
    <row r="140" spans="1:22" ht="21.6" customHeight="1">
      <c r="A140" s="242" t="s">
        <v>94</v>
      </c>
      <c r="B140" s="243"/>
      <c r="C140" s="246"/>
      <c r="D140" s="248">
        <f>D111+D126+D136</f>
        <v>39425.875</v>
      </c>
      <c r="E140" s="105">
        <f t="shared" ref="E140:K140" si="9">SUM(E98:E131)</f>
        <v>1040.8348000000001</v>
      </c>
      <c r="F140" s="7">
        <f t="shared" si="9"/>
        <v>765.69970000000001</v>
      </c>
      <c r="G140" s="7">
        <f t="shared" si="9"/>
        <v>951.94679999999994</v>
      </c>
      <c r="H140" s="7">
        <f t="shared" si="9"/>
        <v>404.49279999999999</v>
      </c>
      <c r="I140" s="210">
        <f t="shared" si="9"/>
        <v>4830.163849999999</v>
      </c>
      <c r="J140" s="210">
        <f t="shared" si="9"/>
        <v>15242.376000000002</v>
      </c>
      <c r="K140" s="240">
        <f t="shared" si="9"/>
        <v>24.079460000000001</v>
      </c>
      <c r="L140" s="224"/>
      <c r="M140" s="224"/>
      <c r="N140" s="216">
        <f>N111+N126+N136</f>
        <v>1387395</v>
      </c>
      <c r="U140" s="12"/>
      <c r="V140" s="12"/>
    </row>
    <row r="141" spans="1:22" ht="21.6" customHeight="1">
      <c r="A141" s="244"/>
      <c r="B141" s="245"/>
      <c r="C141" s="247"/>
      <c r="D141" s="215"/>
      <c r="E141" s="238">
        <f>E140+F140</f>
        <v>1806.5345000000002</v>
      </c>
      <c r="F141" s="239"/>
      <c r="G141" s="238">
        <f>G140+H140</f>
        <v>1356.4395999999999</v>
      </c>
      <c r="H141" s="239"/>
      <c r="I141" s="212"/>
      <c r="J141" s="212"/>
      <c r="K141" s="241"/>
      <c r="L141" s="224"/>
      <c r="M141" s="224"/>
      <c r="N141" s="217"/>
      <c r="U141" s="12"/>
      <c r="V141" s="12"/>
    </row>
    <row r="142" spans="1:22" ht="21.6" customHeight="1">
      <c r="A142" s="225" t="s">
        <v>66</v>
      </c>
      <c r="B142" s="226"/>
      <c r="C142" s="227"/>
      <c r="D142" s="114">
        <f>D140/D92</f>
        <v>625.80753968253964</v>
      </c>
      <c r="E142" s="290">
        <f>E140/D92</f>
        <v>16.521187301587304</v>
      </c>
      <c r="F142" s="274">
        <f>F140/D92</f>
        <v>12.153963492063491</v>
      </c>
      <c r="G142" s="290">
        <f>G140/D92</f>
        <v>15.110266666666666</v>
      </c>
      <c r="H142" s="274">
        <f>H140/D92</f>
        <v>6.420520634920635</v>
      </c>
      <c r="I142" s="220">
        <f>I140/D92</f>
        <v>76.669267460317442</v>
      </c>
      <c r="J142" s="256">
        <f>J140/D92</f>
        <v>241.94247619047621</v>
      </c>
      <c r="K142" s="256">
        <f>K140/D92</f>
        <v>0.38221365079365083</v>
      </c>
      <c r="L142" s="224"/>
      <c r="M142" s="224"/>
      <c r="N142" s="217"/>
      <c r="P142" s="293"/>
      <c r="Q142" s="310"/>
      <c r="R142" s="310"/>
      <c r="S142" s="310"/>
      <c r="T142" s="310"/>
      <c r="U142" s="311"/>
      <c r="V142" s="293"/>
    </row>
    <row r="143" spans="1:22" ht="21.6" customHeight="1">
      <c r="A143" s="228"/>
      <c r="B143" s="229"/>
      <c r="C143" s="230"/>
      <c r="D143" s="109"/>
      <c r="E143" s="275">
        <f>E142+F142</f>
        <v>28.675150793650793</v>
      </c>
      <c r="F143" s="276"/>
      <c r="G143" s="275">
        <f>G142+H142</f>
        <v>21.530787301587303</v>
      </c>
      <c r="H143" s="276"/>
      <c r="I143" s="221"/>
      <c r="J143" s="257"/>
      <c r="K143" s="257"/>
      <c r="L143" s="224"/>
      <c r="M143" s="224"/>
      <c r="N143" s="217"/>
      <c r="P143" s="296"/>
      <c r="Q143" s="310"/>
      <c r="R143" s="310"/>
      <c r="S143" s="312"/>
      <c r="T143" s="312"/>
      <c r="U143" s="298"/>
      <c r="V143" s="293"/>
    </row>
    <row r="144" spans="1:22" ht="21.6" customHeight="1">
      <c r="A144" s="201" t="s">
        <v>69</v>
      </c>
      <c r="B144" s="231"/>
      <c r="C144" s="202"/>
      <c r="D144" s="280" t="s">
        <v>29</v>
      </c>
      <c r="E144" s="291" t="s">
        <v>24</v>
      </c>
      <c r="F144" s="291"/>
      <c r="G144" s="291" t="s">
        <v>25</v>
      </c>
      <c r="H144" s="291"/>
      <c r="I144" s="313" t="s">
        <v>26</v>
      </c>
      <c r="J144" s="133">
        <v>500</v>
      </c>
      <c r="K144" s="133">
        <v>0.5</v>
      </c>
      <c r="L144" s="224"/>
      <c r="M144" s="224"/>
      <c r="N144" s="217"/>
      <c r="O144" s="282"/>
      <c r="P144" s="293"/>
      <c r="Q144" s="298"/>
      <c r="R144" s="298"/>
      <c r="S144" s="298"/>
      <c r="T144" s="298"/>
      <c r="U144" s="293"/>
      <c r="V144" s="293"/>
    </row>
    <row r="145" spans="1:22" ht="21.6" customHeight="1">
      <c r="A145" s="201" t="s">
        <v>67</v>
      </c>
      <c r="B145" s="231"/>
      <c r="C145" s="202"/>
      <c r="D145" s="48"/>
      <c r="E145" s="232">
        <f>E143*4.1</f>
        <v>117.56811825396824</v>
      </c>
      <c r="F145" s="233"/>
      <c r="G145" s="232">
        <f>G143*9</f>
        <v>193.77708571428573</v>
      </c>
      <c r="H145" s="233"/>
      <c r="I145" s="77">
        <f>I142*4.1</f>
        <v>314.34399658730149</v>
      </c>
      <c r="J145" s="213"/>
      <c r="K145" s="213"/>
      <c r="L145" s="224"/>
      <c r="M145" s="224"/>
      <c r="N145" s="217"/>
      <c r="O145" s="282"/>
      <c r="P145" s="299"/>
      <c r="Q145" s="293"/>
      <c r="R145" s="293"/>
      <c r="S145" s="293"/>
      <c r="T145" s="293"/>
      <c r="U145" s="293"/>
      <c r="V145" s="293"/>
    </row>
    <row r="146" spans="1:22" ht="21.6" customHeight="1">
      <c r="A146" s="234" t="s">
        <v>70</v>
      </c>
      <c r="B146" s="235"/>
      <c r="C146" s="201" t="s">
        <v>55</v>
      </c>
      <c r="D146" s="202"/>
      <c r="E146" s="147">
        <f>E145*100/D142</f>
        <v>18.786625407806422</v>
      </c>
      <c r="F146" s="148"/>
      <c r="G146" s="147">
        <f>G145*100/D142</f>
        <v>30.964325839312387</v>
      </c>
      <c r="H146" s="148"/>
      <c r="I146" s="131">
        <f>I145*100/D142</f>
        <v>50.230138925261635</v>
      </c>
      <c r="J146" s="214"/>
      <c r="K146" s="214"/>
      <c r="L146" s="224"/>
      <c r="M146" s="224"/>
      <c r="N146" s="217"/>
      <c r="O146" s="282"/>
    </row>
    <row r="147" spans="1:22" ht="21.6" customHeight="1">
      <c r="A147" s="236"/>
      <c r="B147" s="237"/>
      <c r="C147" s="201" t="s">
        <v>68</v>
      </c>
      <c r="D147" s="202"/>
      <c r="E147" s="201" t="s">
        <v>71</v>
      </c>
      <c r="F147" s="202"/>
      <c r="G147" s="201" t="s">
        <v>74</v>
      </c>
      <c r="H147" s="202"/>
      <c r="I147" s="280" t="s">
        <v>75</v>
      </c>
      <c r="J147" s="215"/>
      <c r="K147" s="215"/>
      <c r="L147" s="224"/>
      <c r="M147" s="224"/>
      <c r="N147" s="218"/>
      <c r="O147" s="282"/>
      <c r="P147" s="113"/>
    </row>
    <row r="148" spans="1:22" ht="21.6" customHeight="1">
      <c r="A148" s="81"/>
      <c r="B148" s="84"/>
      <c r="C148" s="81"/>
      <c r="D148" s="81"/>
      <c r="E148" s="81"/>
      <c r="F148" s="81"/>
      <c r="G148" s="81"/>
      <c r="H148" s="81"/>
      <c r="I148" s="81"/>
      <c r="J148" s="81"/>
      <c r="K148" s="81"/>
      <c r="L148" s="82"/>
      <c r="M148" s="82"/>
      <c r="N148" s="83"/>
      <c r="O148" s="282"/>
      <c r="P148" s="113"/>
    </row>
    <row r="149" spans="1:22" ht="21" customHeight="1">
      <c r="A149" s="142" t="s">
        <v>97</v>
      </c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282"/>
    </row>
    <row r="150" spans="1:22" ht="21" customHeight="1">
      <c r="A150" s="99" t="s">
        <v>98</v>
      </c>
      <c r="B150" s="143" t="s">
        <v>99</v>
      </c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282"/>
    </row>
    <row r="151" spans="1:22" ht="21" customHeight="1">
      <c r="A151" s="100"/>
      <c r="B151" s="144" t="s">
        <v>137</v>
      </c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282"/>
    </row>
    <row r="152" spans="1:22" ht="21" customHeight="1">
      <c r="A152" s="100"/>
      <c r="B152" s="144" t="s">
        <v>138</v>
      </c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282"/>
    </row>
    <row r="153" spans="1:22" ht="21" customHeight="1">
      <c r="A153" s="100"/>
      <c r="B153" s="144" t="s">
        <v>139</v>
      </c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282"/>
    </row>
    <row r="154" spans="1:22" ht="21" customHeight="1">
      <c r="A154" s="81"/>
      <c r="B154" s="145" t="s">
        <v>109</v>
      </c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282"/>
    </row>
    <row r="155" spans="1:22" ht="21" customHeight="1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5"/>
      <c r="M155" s="85"/>
      <c r="N155" s="86"/>
      <c r="O155" s="282"/>
    </row>
    <row r="156" spans="1:22" ht="21" customHeight="1">
      <c r="A156" s="146" t="s">
        <v>58</v>
      </c>
      <c r="B156" s="146"/>
      <c r="C156" s="146"/>
      <c r="D156" s="146"/>
      <c r="E156" s="283"/>
      <c r="F156" s="283"/>
      <c r="G156" s="283"/>
      <c r="H156" s="283"/>
      <c r="I156" s="283"/>
      <c r="J156" s="284" t="s">
        <v>32</v>
      </c>
      <c r="K156" s="284"/>
      <c r="L156" s="284"/>
      <c r="M156" s="284"/>
      <c r="N156" s="284"/>
      <c r="O156" s="282"/>
    </row>
    <row r="157" spans="1:22" ht="21" customHeight="1">
      <c r="A157" s="135"/>
      <c r="B157" s="135"/>
      <c r="C157" s="135"/>
      <c r="D157" s="283"/>
      <c r="E157" s="283"/>
      <c r="F157" s="283"/>
      <c r="G157" s="283"/>
      <c r="H157" s="285"/>
      <c r="I157" s="285"/>
      <c r="J157" s="285"/>
      <c r="K157" s="285"/>
      <c r="L157" s="285"/>
      <c r="M157" s="285"/>
      <c r="N157" s="285"/>
      <c r="O157" s="282"/>
    </row>
    <row r="158" spans="1:22" ht="21" customHeight="1">
      <c r="A158" s="135"/>
      <c r="B158" s="135"/>
      <c r="C158" s="135"/>
      <c r="D158" s="283"/>
      <c r="E158" s="283"/>
      <c r="F158" s="283"/>
      <c r="G158" s="283"/>
      <c r="H158" s="285"/>
      <c r="I158" s="285"/>
      <c r="J158" s="285"/>
      <c r="K158" s="285"/>
      <c r="L158" s="285"/>
      <c r="M158" s="285"/>
      <c r="N158" s="285"/>
      <c r="O158" s="282"/>
    </row>
    <row r="159" spans="1:22" ht="21" customHeight="1">
      <c r="A159" s="135"/>
      <c r="B159" s="135"/>
      <c r="C159" s="135"/>
      <c r="D159" s="283"/>
      <c r="E159" s="283"/>
      <c r="F159" s="283"/>
      <c r="G159" s="283"/>
      <c r="H159" s="285"/>
      <c r="I159" s="285"/>
      <c r="J159" s="286" t="s">
        <v>105</v>
      </c>
      <c r="K159" s="286"/>
      <c r="L159" s="286"/>
      <c r="M159" s="286"/>
      <c r="N159" s="286"/>
      <c r="O159" s="282"/>
    </row>
    <row r="160" spans="1:22" ht="21" customHeight="1">
      <c r="A160" s="138" t="s">
        <v>80</v>
      </c>
      <c r="B160" s="138"/>
      <c r="C160" s="138"/>
      <c r="D160" s="138"/>
      <c r="E160" s="283"/>
      <c r="F160" s="283"/>
      <c r="G160" s="283"/>
      <c r="H160" s="285"/>
      <c r="I160" s="285"/>
      <c r="J160" s="286"/>
      <c r="K160" s="286"/>
      <c r="L160" s="286"/>
      <c r="M160" s="286"/>
      <c r="N160" s="286"/>
      <c r="O160" s="282"/>
    </row>
    <row r="163" spans="10:14" ht="21.6" customHeight="1">
      <c r="J163" s="286" t="s">
        <v>106</v>
      </c>
      <c r="K163" s="286"/>
      <c r="L163" s="286"/>
      <c r="M163" s="286"/>
      <c r="N163" s="286"/>
    </row>
  </sheetData>
  <mergeCells count="207">
    <mergeCell ref="A90:D90"/>
    <mergeCell ref="J90:N90"/>
    <mergeCell ref="J159:N159"/>
    <mergeCell ref="J163:N163"/>
    <mergeCell ref="F1:N1"/>
    <mergeCell ref="F81:N81"/>
    <mergeCell ref="A4:N4"/>
    <mergeCell ref="A11:A14"/>
    <mergeCell ref="E11:F12"/>
    <mergeCell ref="G11:H12"/>
    <mergeCell ref="I11:I14"/>
    <mergeCell ref="N11:N14"/>
    <mergeCell ref="B11:B14"/>
    <mergeCell ref="C11:C14"/>
    <mergeCell ref="D11:D14"/>
    <mergeCell ref="L11:L14"/>
    <mergeCell ref="E13:E14"/>
    <mergeCell ref="E55:F55"/>
    <mergeCell ref="G55:H55"/>
    <mergeCell ref="F13:F14"/>
    <mergeCell ref="G13:G14"/>
    <mergeCell ref="H13:H14"/>
    <mergeCell ref="E56:F56"/>
    <mergeCell ref="G56:H56"/>
    <mergeCell ref="J53:J54"/>
    <mergeCell ref="E144:F144"/>
    <mergeCell ref="G144:H144"/>
    <mergeCell ref="A113:B114"/>
    <mergeCell ref="A128:B129"/>
    <mergeCell ref="K140:K141"/>
    <mergeCell ref="G54:H54"/>
    <mergeCell ref="I140:I141"/>
    <mergeCell ref="I142:I143"/>
    <mergeCell ref="E143:F143"/>
    <mergeCell ref="G143:H143"/>
    <mergeCell ref="A56:C56"/>
    <mergeCell ref="A57:B58"/>
    <mergeCell ref="G141:H141"/>
    <mergeCell ref="A140:B141"/>
    <mergeCell ref="C140:C141"/>
    <mergeCell ref="D140:D141"/>
    <mergeCell ref="E86:N86"/>
    <mergeCell ref="E87:I87"/>
    <mergeCell ref="J87:N87"/>
    <mergeCell ref="A132:A135"/>
    <mergeCell ref="J70:N70"/>
    <mergeCell ref="J74:N74"/>
    <mergeCell ref="A136:B136"/>
    <mergeCell ref="A137:B137"/>
    <mergeCell ref="A111:B111"/>
    <mergeCell ref="E93:F94"/>
    <mergeCell ref="G93:H94"/>
    <mergeCell ref="A97:N97"/>
    <mergeCell ref="I132:I135"/>
    <mergeCell ref="J132:J135"/>
    <mergeCell ref="K132:K135"/>
    <mergeCell ref="F134:F135"/>
    <mergeCell ref="G134:G135"/>
    <mergeCell ref="H134:H135"/>
    <mergeCell ref="B132:B135"/>
    <mergeCell ref="C132:C135"/>
    <mergeCell ref="D132:D135"/>
    <mergeCell ref="M132:M135"/>
    <mergeCell ref="U53:V53"/>
    <mergeCell ref="U54:V54"/>
    <mergeCell ref="A138:B139"/>
    <mergeCell ref="J142:J143"/>
    <mergeCell ref="K142:K143"/>
    <mergeCell ref="J140:J141"/>
    <mergeCell ref="C51:C52"/>
    <mergeCell ref="E54:F54"/>
    <mergeCell ref="E52:F52"/>
    <mergeCell ref="A51:B52"/>
    <mergeCell ref="L140:L147"/>
    <mergeCell ref="M140:M147"/>
    <mergeCell ref="N140:N147"/>
    <mergeCell ref="A142:C143"/>
    <mergeCell ref="A144:C144"/>
    <mergeCell ref="A145:C145"/>
    <mergeCell ref="E145:F145"/>
    <mergeCell ref="G145:H145"/>
    <mergeCell ref="J145:J147"/>
    <mergeCell ref="K145:K147"/>
    <mergeCell ref="A146:B147"/>
    <mergeCell ref="C146:D146"/>
    <mergeCell ref="E146:F146"/>
    <mergeCell ref="E141:F141"/>
    <mergeCell ref="Q53:R53"/>
    <mergeCell ref="S53:T53"/>
    <mergeCell ref="Q54:R54"/>
    <mergeCell ref="S54:T54"/>
    <mergeCell ref="L93:L96"/>
    <mergeCell ref="N93:N96"/>
    <mergeCell ref="L51:L58"/>
    <mergeCell ref="M51:M58"/>
    <mergeCell ref="J56:J58"/>
    <mergeCell ref="K56:K58"/>
    <mergeCell ref="J51:J52"/>
    <mergeCell ref="J93:J96"/>
    <mergeCell ref="K93:K96"/>
    <mergeCell ref="K51:K52"/>
    <mergeCell ref="N51:N58"/>
    <mergeCell ref="B64:N64"/>
    <mergeCell ref="B65:N65"/>
    <mergeCell ref="A67:D67"/>
    <mergeCell ref="J67:N67"/>
    <mergeCell ref="A71:D71"/>
    <mergeCell ref="J71:N71"/>
    <mergeCell ref="I51:I52"/>
    <mergeCell ref="K53:K54"/>
    <mergeCell ref="A86:D87"/>
    <mergeCell ref="A15:N15"/>
    <mergeCell ref="E95:E96"/>
    <mergeCell ref="A47:B47"/>
    <mergeCell ref="A48:B48"/>
    <mergeCell ref="N29:N30"/>
    <mergeCell ref="N47:N48"/>
    <mergeCell ref="E45:E46"/>
    <mergeCell ref="F45:F46"/>
    <mergeCell ref="G45:G46"/>
    <mergeCell ref="H45:H46"/>
    <mergeCell ref="C57:D57"/>
    <mergeCell ref="C58:D58"/>
    <mergeCell ref="E57:F57"/>
    <mergeCell ref="G57:H57"/>
    <mergeCell ref="E58:F58"/>
    <mergeCell ref="G52:H52"/>
    <mergeCell ref="A88:D88"/>
    <mergeCell ref="A49:B50"/>
    <mergeCell ref="E88:I91"/>
    <mergeCell ref="J88:N88"/>
    <mergeCell ref="F95:F96"/>
    <mergeCell ref="A53:C54"/>
    <mergeCell ref="A55:C55"/>
    <mergeCell ref="A33:B33"/>
    <mergeCell ref="N43:N46"/>
    <mergeCell ref="A89:D89"/>
    <mergeCell ref="J89:N89"/>
    <mergeCell ref="A91:D91"/>
    <mergeCell ref="J91:N91"/>
    <mergeCell ref="I93:I96"/>
    <mergeCell ref="E132:F133"/>
    <mergeCell ref="G132:H133"/>
    <mergeCell ref="M93:M96"/>
    <mergeCell ref="A92:C92"/>
    <mergeCell ref="G95:G96"/>
    <mergeCell ref="H95:H96"/>
    <mergeCell ref="N126:N127"/>
    <mergeCell ref="A130:B130"/>
    <mergeCell ref="A112:B112"/>
    <mergeCell ref="A115:B115"/>
    <mergeCell ref="A93:A96"/>
    <mergeCell ref="B93:B96"/>
    <mergeCell ref="C93:C96"/>
    <mergeCell ref="L132:L135"/>
    <mergeCell ref="N111:N112"/>
    <mergeCell ref="N132:N135"/>
    <mergeCell ref="E134:E135"/>
    <mergeCell ref="D93:D96"/>
    <mergeCell ref="E5:N5"/>
    <mergeCell ref="A5:D5"/>
    <mergeCell ref="A6:D6"/>
    <mergeCell ref="A7:D7"/>
    <mergeCell ref="A9:D9"/>
    <mergeCell ref="E6:I9"/>
    <mergeCell ref="J6:N9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M11:M14"/>
    <mergeCell ref="J11:J14"/>
    <mergeCell ref="K11:K14"/>
    <mergeCell ref="A31:B32"/>
    <mergeCell ref="A10:C10"/>
    <mergeCell ref="L43:L46"/>
    <mergeCell ref="M43:M46"/>
    <mergeCell ref="A8:D8"/>
    <mergeCell ref="A160:D160"/>
    <mergeCell ref="J160:N160"/>
    <mergeCell ref="I53:I54"/>
    <mergeCell ref="D51:D52"/>
    <mergeCell ref="A149:N149"/>
    <mergeCell ref="B150:N150"/>
    <mergeCell ref="B151:N151"/>
    <mergeCell ref="B152:N152"/>
    <mergeCell ref="B153:N153"/>
    <mergeCell ref="B154:N154"/>
    <mergeCell ref="A156:D156"/>
    <mergeCell ref="J156:N156"/>
    <mergeCell ref="G58:H58"/>
    <mergeCell ref="A60:N60"/>
    <mergeCell ref="B61:N61"/>
    <mergeCell ref="B62:N62"/>
    <mergeCell ref="B63:N63"/>
    <mergeCell ref="G146:H146"/>
    <mergeCell ref="C147:D147"/>
    <mergeCell ref="E147:F147"/>
    <mergeCell ref="G147:H147"/>
    <mergeCell ref="A84:N84"/>
    <mergeCell ref="A85:N85"/>
    <mergeCell ref="N136:N137"/>
  </mergeCells>
  <pageMargins left="0.25" right="8.3333333333333332E-3" top="0.44791666666666702" bottom="0.427083333333332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P52" sqref="P52:V57"/>
    </sheetView>
  </sheetViews>
  <sheetFormatPr defaultColWidth="9.109375" defaultRowHeight="18" customHeight="1"/>
  <cols>
    <col min="1" max="1" width="4" style="1" customWidth="1"/>
    <col min="2" max="2" width="10.88671875" style="1" customWidth="1"/>
    <col min="3" max="3" width="6.6640625" style="1" customWidth="1"/>
    <col min="4" max="4" width="7.21875" style="1" customWidth="1"/>
    <col min="5" max="8" width="6.6640625" style="1" customWidth="1"/>
    <col min="9" max="9" width="7.7773437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" customWidth="1"/>
    <col min="16" max="16" width="9.109375" style="1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20" ht="22.2" customHeight="1">
      <c r="A1" s="11" t="s">
        <v>57</v>
      </c>
      <c r="B1" s="8"/>
      <c r="C1" s="8"/>
      <c r="D1" s="8"/>
      <c r="E1" s="8"/>
      <c r="F1" s="249" t="s">
        <v>30</v>
      </c>
      <c r="G1" s="249"/>
      <c r="H1" s="249"/>
      <c r="I1" s="249"/>
      <c r="J1" s="249"/>
      <c r="K1" s="249"/>
      <c r="L1" s="249"/>
      <c r="M1" s="249"/>
      <c r="N1" s="249"/>
      <c r="O1" s="261"/>
      <c r="P1" s="261"/>
      <c r="T1" s="2"/>
    </row>
    <row r="2" spans="1:20" ht="12" customHeight="1">
      <c r="A2" s="11"/>
      <c r="B2" s="8"/>
      <c r="C2" s="8"/>
      <c r="D2" s="8"/>
      <c r="E2" s="8"/>
      <c r="F2" s="132"/>
      <c r="G2" s="132"/>
      <c r="H2" s="132"/>
      <c r="I2" s="132"/>
      <c r="J2" s="132"/>
      <c r="K2" s="132"/>
      <c r="L2" s="132"/>
      <c r="M2" s="132"/>
      <c r="N2" s="132"/>
      <c r="O2" s="261"/>
      <c r="P2" s="261"/>
      <c r="T2" s="2"/>
    </row>
    <row r="3" spans="1:20" ht="22.2" customHeight="1">
      <c r="A3" s="8" t="s">
        <v>140</v>
      </c>
      <c r="B3" s="8"/>
      <c r="C3" s="8"/>
      <c r="D3" s="8"/>
      <c r="E3" s="8"/>
      <c r="F3" s="132"/>
      <c r="G3" s="132"/>
      <c r="H3" s="132"/>
      <c r="I3" s="132"/>
      <c r="J3" s="132"/>
      <c r="K3" s="132"/>
      <c r="L3" s="132"/>
      <c r="M3" s="132"/>
      <c r="N3" s="132"/>
      <c r="O3" s="261"/>
      <c r="P3" s="261"/>
      <c r="T3" s="2"/>
    </row>
    <row r="4" spans="1:20" ht="12" customHeight="1">
      <c r="A4" s="8"/>
      <c r="B4" s="8"/>
      <c r="C4" s="8"/>
      <c r="D4" s="8"/>
      <c r="E4" s="8"/>
      <c r="F4" s="132"/>
      <c r="G4" s="132"/>
      <c r="H4" s="132"/>
      <c r="I4" s="132"/>
      <c r="J4" s="132"/>
      <c r="K4" s="132"/>
      <c r="L4" s="132"/>
      <c r="M4" s="132"/>
      <c r="N4" s="132"/>
      <c r="O4" s="261"/>
      <c r="P4" s="261"/>
      <c r="T4" s="2"/>
    </row>
    <row r="5" spans="1:20" s="2" customFormat="1" ht="19.2" customHeight="1">
      <c r="A5" s="153" t="s">
        <v>83</v>
      </c>
      <c r="B5" s="153"/>
      <c r="C5" s="153"/>
      <c r="D5" s="153"/>
      <c r="E5" s="153" t="s">
        <v>84</v>
      </c>
      <c r="F5" s="153"/>
      <c r="G5" s="153"/>
      <c r="H5" s="153"/>
      <c r="I5" s="153"/>
      <c r="J5" s="153"/>
      <c r="K5" s="153"/>
      <c r="L5" s="153"/>
      <c r="M5" s="153"/>
      <c r="N5" s="153"/>
      <c r="O5" s="262"/>
    </row>
    <row r="6" spans="1:20" s="2" customFormat="1" ht="19.2" customHeight="1">
      <c r="A6" s="154" t="s">
        <v>79</v>
      </c>
      <c r="B6" s="154"/>
      <c r="C6" s="154"/>
      <c r="D6" s="154"/>
      <c r="E6" s="157" t="s">
        <v>116</v>
      </c>
      <c r="F6" s="157"/>
      <c r="G6" s="157"/>
      <c r="H6" s="157"/>
      <c r="I6" s="157"/>
      <c r="J6" s="158" t="s">
        <v>114</v>
      </c>
      <c r="K6" s="159"/>
      <c r="L6" s="159"/>
      <c r="M6" s="159"/>
      <c r="N6" s="160"/>
      <c r="O6" s="262"/>
    </row>
    <row r="7" spans="1:20" s="2" customFormat="1" ht="19.2" customHeight="1">
      <c r="A7" s="155" t="s">
        <v>108</v>
      </c>
      <c r="B7" s="155"/>
      <c r="C7" s="155"/>
      <c r="D7" s="155"/>
      <c r="E7" s="157"/>
      <c r="F7" s="157"/>
      <c r="G7" s="157"/>
      <c r="H7" s="157"/>
      <c r="I7" s="157"/>
      <c r="J7" s="161"/>
      <c r="K7" s="162"/>
      <c r="L7" s="162"/>
      <c r="M7" s="162"/>
      <c r="N7" s="163"/>
      <c r="O7" s="262"/>
    </row>
    <row r="8" spans="1:20" s="2" customFormat="1" ht="19.2" customHeight="1">
      <c r="A8" s="190" t="s">
        <v>124</v>
      </c>
      <c r="B8" s="191"/>
      <c r="C8" s="191"/>
      <c r="D8" s="192"/>
      <c r="E8" s="157"/>
      <c r="F8" s="157"/>
      <c r="G8" s="157"/>
      <c r="H8" s="157"/>
      <c r="I8" s="157"/>
      <c r="J8" s="161"/>
      <c r="K8" s="162"/>
      <c r="L8" s="162"/>
      <c r="M8" s="162"/>
      <c r="N8" s="163"/>
      <c r="O8" s="262"/>
    </row>
    <row r="9" spans="1:20" s="2" customFormat="1" ht="19.2" customHeight="1">
      <c r="A9" s="156" t="s">
        <v>125</v>
      </c>
      <c r="B9" s="156"/>
      <c r="C9" s="156"/>
      <c r="D9" s="156"/>
      <c r="E9" s="157"/>
      <c r="F9" s="157"/>
      <c r="G9" s="157"/>
      <c r="H9" s="157"/>
      <c r="I9" s="157"/>
      <c r="J9" s="164"/>
      <c r="K9" s="165"/>
      <c r="L9" s="165"/>
      <c r="M9" s="165"/>
      <c r="N9" s="166"/>
      <c r="O9" s="262"/>
    </row>
    <row r="10" spans="1:20" ht="19.2" customHeight="1">
      <c r="A10" s="187" t="s">
        <v>103</v>
      </c>
      <c r="B10" s="188"/>
      <c r="C10" s="189"/>
      <c r="D10" s="110">
        <v>222</v>
      </c>
      <c r="E10" s="8"/>
      <c r="F10" s="132"/>
      <c r="G10" s="132"/>
      <c r="H10" s="132"/>
      <c r="I10" s="132"/>
      <c r="J10" s="132"/>
      <c r="K10" s="132"/>
      <c r="L10" s="132"/>
      <c r="M10" s="132"/>
      <c r="N10" s="132"/>
      <c r="O10" s="261"/>
      <c r="P10" s="261"/>
      <c r="T10" s="2"/>
    </row>
    <row r="11" spans="1:20" ht="22.2" customHeight="1">
      <c r="A11" s="167" t="s">
        <v>0</v>
      </c>
      <c r="B11" s="170" t="s">
        <v>19</v>
      </c>
      <c r="C11" s="173" t="s">
        <v>8</v>
      </c>
      <c r="D11" s="173" t="s">
        <v>9</v>
      </c>
      <c r="E11" s="176" t="s">
        <v>11</v>
      </c>
      <c r="F11" s="177"/>
      <c r="G11" s="176" t="s">
        <v>13</v>
      </c>
      <c r="H11" s="177"/>
      <c r="I11" s="180" t="s">
        <v>16</v>
      </c>
      <c r="J11" s="180" t="s">
        <v>40</v>
      </c>
      <c r="K11" s="180" t="s">
        <v>41</v>
      </c>
      <c r="L11" s="180" t="s">
        <v>17</v>
      </c>
      <c r="M11" s="180" t="s">
        <v>39</v>
      </c>
      <c r="N11" s="167" t="s">
        <v>18</v>
      </c>
      <c r="O11" s="263"/>
    </row>
    <row r="12" spans="1:20" ht="22.2" customHeight="1">
      <c r="A12" s="168"/>
      <c r="B12" s="171"/>
      <c r="C12" s="174"/>
      <c r="D12" s="174"/>
      <c r="E12" s="178"/>
      <c r="F12" s="179"/>
      <c r="G12" s="178"/>
      <c r="H12" s="179"/>
      <c r="I12" s="181"/>
      <c r="J12" s="181"/>
      <c r="K12" s="181"/>
      <c r="L12" s="181"/>
      <c r="M12" s="181"/>
      <c r="N12" s="168"/>
      <c r="O12" s="135"/>
    </row>
    <row r="13" spans="1:20" ht="22.2" customHeight="1">
      <c r="A13" s="168"/>
      <c r="B13" s="171"/>
      <c r="C13" s="174"/>
      <c r="D13" s="174"/>
      <c r="E13" s="180" t="s">
        <v>10</v>
      </c>
      <c r="F13" s="180" t="s">
        <v>12</v>
      </c>
      <c r="G13" s="180" t="s">
        <v>14</v>
      </c>
      <c r="H13" s="180" t="s">
        <v>15</v>
      </c>
      <c r="I13" s="181"/>
      <c r="J13" s="181"/>
      <c r="K13" s="181"/>
      <c r="L13" s="181"/>
      <c r="M13" s="181"/>
      <c r="N13" s="168"/>
      <c r="O13" s="135"/>
    </row>
    <row r="14" spans="1:20" ht="22.2" customHeight="1">
      <c r="A14" s="169"/>
      <c r="B14" s="172"/>
      <c r="C14" s="175"/>
      <c r="D14" s="175"/>
      <c r="E14" s="182"/>
      <c r="F14" s="182"/>
      <c r="G14" s="182"/>
      <c r="H14" s="182"/>
      <c r="I14" s="182"/>
      <c r="J14" s="182"/>
      <c r="K14" s="182"/>
      <c r="L14" s="182"/>
      <c r="M14" s="182"/>
      <c r="N14" s="169"/>
      <c r="O14" s="135"/>
    </row>
    <row r="15" spans="1:20" ht="19.8" customHeight="1">
      <c r="A15" s="196" t="s">
        <v>33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8"/>
      <c r="O15" s="135"/>
    </row>
    <row r="16" spans="1:20" s="2" customFormat="1" ht="19.8" customHeight="1">
      <c r="A16" s="15">
        <v>1</v>
      </c>
      <c r="B16" s="16" t="s">
        <v>2</v>
      </c>
      <c r="C16" s="49">
        <f>L16/100*100</f>
        <v>290</v>
      </c>
      <c r="D16" s="50">
        <f>C16/100*60</f>
        <v>174</v>
      </c>
      <c r="E16" s="51">
        <f>C16/100*15</f>
        <v>43.5</v>
      </c>
      <c r="F16" s="51"/>
      <c r="G16" s="51"/>
      <c r="H16" s="51"/>
      <c r="I16" s="51"/>
      <c r="J16" s="87">
        <f>C16/100*387</f>
        <v>1122.3</v>
      </c>
      <c r="K16" s="87">
        <f>C16/100*0.09</f>
        <v>0.26100000000000001</v>
      </c>
      <c r="L16" s="264">
        <v>290</v>
      </c>
      <c r="M16" s="73">
        <v>20</v>
      </c>
      <c r="N16" s="53">
        <f>L16*M16</f>
        <v>5800</v>
      </c>
      <c r="O16" s="265"/>
    </row>
    <row r="17" spans="1:20" s="2" customFormat="1" ht="19.8" customHeight="1">
      <c r="A17" s="9">
        <v>2</v>
      </c>
      <c r="B17" s="120" t="s">
        <v>113</v>
      </c>
      <c r="C17" s="22">
        <f>L17/100*100</f>
        <v>660</v>
      </c>
      <c r="D17" s="23">
        <f>C17/100*899</f>
        <v>5933.4</v>
      </c>
      <c r="E17" s="24"/>
      <c r="F17" s="24"/>
      <c r="G17" s="24">
        <f>C17/100*100</f>
        <v>660</v>
      </c>
      <c r="H17" s="24"/>
      <c r="I17" s="24"/>
      <c r="J17" s="26"/>
      <c r="K17" s="26"/>
      <c r="L17" s="266">
        <v>660</v>
      </c>
      <c r="M17" s="71">
        <v>68</v>
      </c>
      <c r="N17" s="27">
        <f t="shared" ref="N17" si="0">L17*M17</f>
        <v>44880</v>
      </c>
      <c r="O17" s="267"/>
    </row>
    <row r="18" spans="1:20" s="2" customFormat="1" ht="19.8" customHeight="1">
      <c r="A18" s="9">
        <v>3</v>
      </c>
      <c r="B18" s="5" t="s">
        <v>1</v>
      </c>
      <c r="C18" s="22">
        <f>L18/100*100</f>
        <v>21090</v>
      </c>
      <c r="D18" s="102">
        <f>C18/100*344</f>
        <v>72549.600000000006</v>
      </c>
      <c r="E18" s="117"/>
      <c r="F18" s="101">
        <f>C18/100*7.9</f>
        <v>1666.1100000000001</v>
      </c>
      <c r="G18" s="117"/>
      <c r="H18" s="24">
        <f>C18/100*1</f>
        <v>210.9</v>
      </c>
      <c r="I18" s="101">
        <f>C18/100*72</f>
        <v>15184.800000000001</v>
      </c>
      <c r="J18" s="26">
        <f>C18/100*30</f>
        <v>6327</v>
      </c>
      <c r="K18" s="26">
        <f>C18/100*0.1</f>
        <v>21.090000000000003</v>
      </c>
      <c r="L18" s="266">
        <v>21090</v>
      </c>
      <c r="M18" s="73">
        <v>18</v>
      </c>
      <c r="N18" s="27">
        <f t="shared" ref="N18:N26" si="1">L18*M18</f>
        <v>379620</v>
      </c>
      <c r="O18" s="265"/>
    </row>
    <row r="19" spans="1:20" s="2" customFormat="1" ht="19.8" customHeight="1">
      <c r="A19" s="9">
        <v>4</v>
      </c>
      <c r="B19" s="5" t="s">
        <v>81</v>
      </c>
      <c r="C19" s="22">
        <f>L19/100*81.7</f>
        <v>6356.26</v>
      </c>
      <c r="D19" s="23">
        <f>C19/100*27</f>
        <v>1716.1902</v>
      </c>
      <c r="E19" s="28"/>
      <c r="F19" s="28">
        <f>C19/100*0.3</f>
        <v>19.06878</v>
      </c>
      <c r="G19" s="28"/>
      <c r="H19" s="28">
        <f>C19/100*0.1</f>
        <v>6.3562600000000007</v>
      </c>
      <c r="I19" s="28">
        <f>C19/100*6.1</f>
        <v>387.73185999999998</v>
      </c>
      <c r="J19" s="69">
        <f>C19/100*24</f>
        <v>1525.5024000000001</v>
      </c>
      <c r="K19" s="69">
        <f>C19/100*0.06</f>
        <v>3.8137560000000001</v>
      </c>
      <c r="L19" s="268">
        <v>7780</v>
      </c>
      <c r="M19" s="25">
        <v>22</v>
      </c>
      <c r="N19" s="27">
        <f t="shared" si="1"/>
        <v>171160</v>
      </c>
      <c r="O19" s="267"/>
      <c r="Q19" s="3"/>
      <c r="R19" s="3"/>
      <c r="S19" s="4"/>
    </row>
    <row r="20" spans="1:20" s="2" customFormat="1" ht="19.8" customHeight="1">
      <c r="A20" s="9">
        <v>5</v>
      </c>
      <c r="B20" s="5" t="s">
        <v>4</v>
      </c>
      <c r="C20" s="22">
        <f>L20/100*98.5</f>
        <v>2186.6999999999998</v>
      </c>
      <c r="D20" s="23">
        <f>C20/100*39</f>
        <v>852.81299999999987</v>
      </c>
      <c r="E20" s="28"/>
      <c r="F20" s="28">
        <f>C20/100*1.5</f>
        <v>32.8005</v>
      </c>
      <c r="G20" s="28"/>
      <c r="H20" s="28">
        <f>C20/100*0.2</f>
        <v>4.3733999999999993</v>
      </c>
      <c r="I20" s="28">
        <f>C20/100*7.8</f>
        <v>170.56259999999997</v>
      </c>
      <c r="J20" s="28">
        <f>C20/100*43</f>
        <v>940.28099999999984</v>
      </c>
      <c r="K20" s="28">
        <f>C20/100*0.06</f>
        <v>1.3120199999999997</v>
      </c>
      <c r="L20" s="268">
        <v>2220</v>
      </c>
      <c r="M20" s="25">
        <v>17</v>
      </c>
      <c r="N20" s="27">
        <f t="shared" si="1"/>
        <v>37740</v>
      </c>
      <c r="O20" s="267"/>
      <c r="Q20" s="3"/>
      <c r="R20" s="3"/>
      <c r="S20" s="4"/>
    </row>
    <row r="21" spans="1:20" s="2" customFormat="1" ht="19.8" customHeight="1">
      <c r="A21" s="9">
        <v>6</v>
      </c>
      <c r="B21" s="5" t="s">
        <v>65</v>
      </c>
      <c r="C21" s="22">
        <f>L21/100*75</f>
        <v>1665</v>
      </c>
      <c r="D21" s="23">
        <f>C21/100*12</f>
        <v>199.79999999999998</v>
      </c>
      <c r="E21" s="24"/>
      <c r="F21" s="24">
        <f>C21/100*0.6</f>
        <v>9.9899999999999984</v>
      </c>
      <c r="G21" s="24"/>
      <c r="H21" s="24"/>
      <c r="I21" s="24">
        <f>C21/100*2.4</f>
        <v>39.959999999999994</v>
      </c>
      <c r="J21" s="24">
        <f>C21/100*26</f>
        <v>432.9</v>
      </c>
      <c r="K21" s="24">
        <f>C21/100*0.02</f>
        <v>0.33299999999999996</v>
      </c>
      <c r="L21" s="266">
        <v>2220</v>
      </c>
      <c r="M21" s="71">
        <v>25</v>
      </c>
      <c r="N21" s="27">
        <f t="shared" si="1"/>
        <v>55500</v>
      </c>
      <c r="O21" s="267"/>
    </row>
    <row r="22" spans="1:20" s="2" customFormat="1" ht="19.8" customHeight="1">
      <c r="A22" s="9">
        <v>7</v>
      </c>
      <c r="B22" s="5" t="s">
        <v>110</v>
      </c>
      <c r="C22" s="22">
        <f>L22/100*100</f>
        <v>220.00000000000003</v>
      </c>
      <c r="D22" s="23">
        <f>C22/100*247</f>
        <v>543.40000000000009</v>
      </c>
      <c r="E22" s="28"/>
      <c r="F22" s="28">
        <f>C22/100*17.5</f>
        <v>38.5</v>
      </c>
      <c r="G22" s="28"/>
      <c r="H22" s="28">
        <f>C22/100*1.6</f>
        <v>3.5200000000000005</v>
      </c>
      <c r="I22" s="28">
        <f>C22/100*39.2</f>
        <v>86.240000000000009</v>
      </c>
      <c r="J22" s="69"/>
      <c r="K22" s="69"/>
      <c r="L22" s="268">
        <v>220</v>
      </c>
      <c r="M22" s="71">
        <v>50</v>
      </c>
      <c r="N22" s="27">
        <f t="shared" si="1"/>
        <v>11000</v>
      </c>
      <c r="O22" s="267"/>
      <c r="Q22" s="3"/>
      <c r="R22" s="3"/>
      <c r="S22" s="4"/>
      <c r="T22" s="3"/>
    </row>
    <row r="23" spans="1:20" s="2" customFormat="1" ht="19.8" customHeight="1">
      <c r="A23" s="9">
        <v>8</v>
      </c>
      <c r="B23" s="5" t="s">
        <v>20</v>
      </c>
      <c r="C23" s="22">
        <f>L23/100*95</f>
        <v>2527</v>
      </c>
      <c r="D23" s="23">
        <f>C23/100*20</f>
        <v>505.4</v>
      </c>
      <c r="E23" s="24"/>
      <c r="F23" s="24">
        <f>C23/100*0.6</f>
        <v>15.161999999999999</v>
      </c>
      <c r="G23" s="24"/>
      <c r="H23" s="24">
        <f>C23/100*0.2</f>
        <v>5.0540000000000003</v>
      </c>
      <c r="I23" s="24">
        <f>C23/100*4</f>
        <v>101.08</v>
      </c>
      <c r="J23" s="69">
        <f>C23/100*12</f>
        <v>303.24</v>
      </c>
      <c r="K23" s="69">
        <f>C23/100*0.04</f>
        <v>1.0107999999999999</v>
      </c>
      <c r="L23" s="268">
        <v>2660</v>
      </c>
      <c r="M23" s="71">
        <v>22</v>
      </c>
      <c r="N23" s="27">
        <f t="shared" si="1"/>
        <v>58520</v>
      </c>
      <c r="O23" s="267"/>
      <c r="Q23" s="3"/>
      <c r="R23" s="3"/>
    </row>
    <row r="24" spans="1:20" s="2" customFormat="1" ht="19.8" customHeight="1">
      <c r="A24" s="9">
        <v>9</v>
      </c>
      <c r="B24" s="5" t="s">
        <v>61</v>
      </c>
      <c r="C24" s="22">
        <f>L24/100*48</f>
        <v>1948.8000000000002</v>
      </c>
      <c r="D24" s="23">
        <f>C24/100*199</f>
        <v>3878.1120000000005</v>
      </c>
      <c r="E24" s="24">
        <f>C24/100*20.3</f>
        <v>395.60640000000006</v>
      </c>
      <c r="F24" s="24"/>
      <c r="G24" s="24">
        <f>C24/100*13.1</f>
        <v>255.29280000000003</v>
      </c>
      <c r="H24" s="24"/>
      <c r="I24" s="24"/>
      <c r="J24" s="26">
        <f>C24/100*12</f>
        <v>233.85600000000005</v>
      </c>
      <c r="K24" s="26">
        <f>C24/100*0.15</f>
        <v>2.9232000000000005</v>
      </c>
      <c r="L24" s="266">
        <v>4060</v>
      </c>
      <c r="M24" s="25">
        <v>84</v>
      </c>
      <c r="N24" s="27">
        <f t="shared" si="1"/>
        <v>341040</v>
      </c>
      <c r="O24" s="267"/>
      <c r="Q24" s="3"/>
      <c r="R24" s="3"/>
      <c r="S24" s="4"/>
    </row>
    <row r="25" spans="1:20" s="2" customFormat="1" ht="19.8" customHeight="1">
      <c r="A25" s="9">
        <v>10</v>
      </c>
      <c r="B25" s="10" t="s">
        <v>64</v>
      </c>
      <c r="C25" s="22">
        <f>L25/100*98</f>
        <v>2175.6</v>
      </c>
      <c r="D25" s="23">
        <f>C25/100*139</f>
        <v>3024.0839999999998</v>
      </c>
      <c r="E25" s="24">
        <f>C25/100*19</f>
        <v>413.36400000000003</v>
      </c>
      <c r="F25" s="24"/>
      <c r="G25" s="24">
        <f>C25/100*7</f>
        <v>152.292</v>
      </c>
      <c r="H25" s="24"/>
      <c r="I25" s="24"/>
      <c r="J25" s="24">
        <f>C25/100*7</f>
        <v>152.292</v>
      </c>
      <c r="K25" s="24">
        <f>C25/100*0.9</f>
        <v>19.580400000000001</v>
      </c>
      <c r="L25" s="266">
        <v>2220</v>
      </c>
      <c r="M25" s="71">
        <v>137</v>
      </c>
      <c r="N25" s="27">
        <f t="shared" si="1"/>
        <v>304140</v>
      </c>
      <c r="O25" s="267"/>
    </row>
    <row r="26" spans="1:20" s="2" customFormat="1" ht="19.8" customHeight="1">
      <c r="A26" s="9">
        <v>11</v>
      </c>
      <c r="B26" s="5" t="s">
        <v>3</v>
      </c>
      <c r="C26" s="22">
        <f>L26/100*98</f>
        <v>6928.6</v>
      </c>
      <c r="D26" s="23">
        <f>C26/100*118</f>
        <v>8175.7480000000005</v>
      </c>
      <c r="E26" s="101">
        <f>C26/100*27</f>
        <v>1870.722</v>
      </c>
      <c r="F26" s="24"/>
      <c r="G26" s="24">
        <f>C26/100*3.8</f>
        <v>263.28679999999997</v>
      </c>
      <c r="H26" s="24"/>
      <c r="I26" s="24"/>
      <c r="J26" s="69">
        <f>C26/100*12</f>
        <v>831.43200000000002</v>
      </c>
      <c r="K26" s="69">
        <f>C26/100*0.1</f>
        <v>6.9286000000000003</v>
      </c>
      <c r="L26" s="268">
        <v>7070</v>
      </c>
      <c r="M26" s="73">
        <v>260</v>
      </c>
      <c r="N26" s="106">
        <f t="shared" si="1"/>
        <v>1838200</v>
      </c>
      <c r="O26" s="265"/>
      <c r="Q26" s="3"/>
      <c r="R26" s="3"/>
    </row>
    <row r="27" spans="1:20" s="2" customFormat="1" ht="19.8" customHeight="1">
      <c r="A27" s="9">
        <v>12</v>
      </c>
      <c r="B27" s="6" t="s">
        <v>104</v>
      </c>
      <c r="C27" s="22"/>
      <c r="D27" s="23"/>
      <c r="E27" s="24"/>
      <c r="F27" s="24"/>
      <c r="G27" s="24"/>
      <c r="H27" s="24"/>
      <c r="I27" s="24"/>
      <c r="J27" s="24"/>
      <c r="K27" s="24"/>
      <c r="L27" s="25"/>
      <c r="M27" s="25"/>
      <c r="N27" s="27">
        <v>16500</v>
      </c>
      <c r="O27" s="267"/>
    </row>
    <row r="28" spans="1:20" s="2" customFormat="1" ht="19.8" customHeight="1">
      <c r="A28" s="20" t="s">
        <v>88</v>
      </c>
      <c r="B28" s="21"/>
      <c r="C28" s="33"/>
      <c r="D28" s="103">
        <f>SUM(D16:D26)</f>
        <v>97552.547199999986</v>
      </c>
      <c r="E28" s="35"/>
      <c r="F28" s="35"/>
      <c r="G28" s="35"/>
      <c r="H28" s="35"/>
      <c r="I28" s="35"/>
      <c r="J28" s="35"/>
      <c r="K28" s="35"/>
      <c r="L28" s="36"/>
      <c r="M28" s="36"/>
      <c r="N28" s="199">
        <f>SUM(N16:N27)</f>
        <v>3264100</v>
      </c>
      <c r="O28" s="267"/>
    </row>
    <row r="29" spans="1:20" s="2" customFormat="1" ht="19.8" customHeight="1">
      <c r="A29" s="20" t="s">
        <v>6</v>
      </c>
      <c r="B29" s="21"/>
      <c r="C29" s="33"/>
      <c r="D29" s="34">
        <f>D28/D10</f>
        <v>439.42588828828821</v>
      </c>
      <c r="E29" s="35"/>
      <c r="F29" s="35"/>
      <c r="G29" s="35"/>
      <c r="H29" s="35"/>
      <c r="I29" s="35"/>
      <c r="J29" s="35"/>
      <c r="K29" s="35"/>
      <c r="L29" s="36"/>
      <c r="M29" s="36"/>
      <c r="N29" s="200"/>
      <c r="O29" s="267"/>
    </row>
    <row r="30" spans="1:20" s="2" customFormat="1" ht="19.8" customHeight="1">
      <c r="A30" s="250" t="s">
        <v>50</v>
      </c>
      <c r="B30" s="184"/>
      <c r="C30" s="269" t="s">
        <v>119</v>
      </c>
      <c r="D30" s="19" t="s">
        <v>44</v>
      </c>
      <c r="E30" s="35"/>
      <c r="F30" s="35"/>
      <c r="G30" s="35"/>
      <c r="H30" s="35"/>
      <c r="I30" s="35"/>
      <c r="J30" s="35"/>
      <c r="K30" s="35"/>
      <c r="L30" s="36"/>
      <c r="M30" s="36"/>
      <c r="N30" s="37"/>
      <c r="O30" s="267"/>
    </row>
    <row r="31" spans="1:20" s="2" customFormat="1" ht="19.8" customHeight="1">
      <c r="A31" s="185"/>
      <c r="B31" s="186"/>
      <c r="C31" s="72" t="s">
        <v>55</v>
      </c>
      <c r="D31" s="19">
        <f>D29*100/1320</f>
        <v>33.289840021840014</v>
      </c>
      <c r="E31" s="35"/>
      <c r="F31" s="35"/>
      <c r="G31" s="35"/>
      <c r="H31" s="35"/>
      <c r="I31" s="35"/>
      <c r="J31" s="35"/>
      <c r="K31" s="35"/>
      <c r="L31" s="36"/>
      <c r="M31" s="36"/>
      <c r="N31" s="37"/>
      <c r="O31" s="267"/>
    </row>
    <row r="32" spans="1:20" s="2" customFormat="1" ht="19.8" customHeight="1">
      <c r="A32" s="194" t="s">
        <v>34</v>
      </c>
      <c r="B32" s="194"/>
      <c r="C32" s="54"/>
      <c r="D32" s="55"/>
      <c r="E32" s="56"/>
      <c r="F32" s="56"/>
      <c r="G32" s="56"/>
      <c r="H32" s="56"/>
      <c r="I32" s="56"/>
      <c r="J32" s="56"/>
      <c r="K32" s="56"/>
      <c r="L32" s="57"/>
      <c r="M32" s="57"/>
      <c r="N32" s="67"/>
      <c r="O32" s="267"/>
    </row>
    <row r="33" spans="1:22" s="2" customFormat="1" ht="19.8" customHeight="1">
      <c r="A33" s="15">
        <v>1</v>
      </c>
      <c r="B33" s="6" t="s">
        <v>104</v>
      </c>
      <c r="C33" s="49"/>
      <c r="D33" s="50"/>
      <c r="E33" s="51"/>
      <c r="F33" s="51"/>
      <c r="G33" s="51"/>
      <c r="H33" s="51"/>
      <c r="I33" s="51"/>
      <c r="J33" s="51"/>
      <c r="K33" s="51"/>
      <c r="L33" s="52"/>
      <c r="M33" s="52"/>
      <c r="N33" s="53">
        <v>14303</v>
      </c>
      <c r="O33" s="267"/>
    </row>
    <row r="34" spans="1:22" s="2" customFormat="1" ht="19.8" customHeight="1">
      <c r="A34" s="9">
        <v>2</v>
      </c>
      <c r="B34" s="5" t="s">
        <v>1</v>
      </c>
      <c r="C34" s="22">
        <f t="shared" ref="C34:C39" si="2">L34/100*100</f>
        <v>3329.9999999999995</v>
      </c>
      <c r="D34" s="119">
        <f>C34/100*344</f>
        <v>11455.199999999999</v>
      </c>
      <c r="E34" s="24"/>
      <c r="F34" s="24">
        <f>C34/100*7.9</f>
        <v>263.07</v>
      </c>
      <c r="G34" s="24"/>
      <c r="H34" s="24">
        <f>C34/100*1</f>
        <v>33.299999999999997</v>
      </c>
      <c r="I34" s="24">
        <f>C34/100*72</f>
        <v>2397.6</v>
      </c>
      <c r="J34" s="26">
        <f>C34/100*30</f>
        <v>998.99999999999989</v>
      </c>
      <c r="K34" s="26">
        <f>C34/100*0.1</f>
        <v>3.33</v>
      </c>
      <c r="L34" s="266">
        <v>3330</v>
      </c>
      <c r="M34" s="73">
        <v>18</v>
      </c>
      <c r="N34" s="27">
        <f t="shared" ref="N34:N42" si="3">L34*M34</f>
        <v>59940</v>
      </c>
      <c r="O34" s="265"/>
    </row>
    <row r="35" spans="1:22" s="2" customFormat="1" ht="19.8" customHeight="1">
      <c r="A35" s="9">
        <v>3</v>
      </c>
      <c r="B35" s="5" t="s">
        <v>63</v>
      </c>
      <c r="C35" s="22">
        <f t="shared" si="2"/>
        <v>2239</v>
      </c>
      <c r="D35" s="23">
        <f>C35/100*344</f>
        <v>7702.16</v>
      </c>
      <c r="E35" s="24"/>
      <c r="F35" s="24">
        <f>C35/100*8.6</f>
        <v>192.554</v>
      </c>
      <c r="G35" s="24"/>
      <c r="H35" s="24">
        <f>C35/100*1.5</f>
        <v>33.585000000000001</v>
      </c>
      <c r="I35" s="24">
        <f>C35/100*74.5</f>
        <v>1668.0550000000001</v>
      </c>
      <c r="J35" s="24">
        <f>C35/100*32</f>
        <v>716.48</v>
      </c>
      <c r="K35" s="24">
        <f>C35/100*0.14</f>
        <v>3.1346000000000003</v>
      </c>
      <c r="L35" s="266">
        <v>2239</v>
      </c>
      <c r="M35" s="71">
        <v>30</v>
      </c>
      <c r="N35" s="27">
        <f t="shared" si="3"/>
        <v>67170</v>
      </c>
      <c r="O35" s="267"/>
      <c r="P35" s="270"/>
    </row>
    <row r="36" spans="1:22" s="2" customFormat="1" ht="19.8" customHeight="1">
      <c r="A36" s="9">
        <v>4</v>
      </c>
      <c r="B36" s="16" t="s">
        <v>2</v>
      </c>
      <c r="C36" s="49">
        <f t="shared" si="2"/>
        <v>270</v>
      </c>
      <c r="D36" s="50">
        <f>C36/100*60</f>
        <v>162</v>
      </c>
      <c r="E36" s="51">
        <f>C36/100*15</f>
        <v>40.5</v>
      </c>
      <c r="F36" s="51"/>
      <c r="G36" s="51"/>
      <c r="H36" s="51"/>
      <c r="I36" s="51"/>
      <c r="J36" s="87">
        <f>C36/100*387</f>
        <v>1044.9000000000001</v>
      </c>
      <c r="K36" s="87">
        <f>C36/100*0.09</f>
        <v>0.24299999999999999</v>
      </c>
      <c r="L36" s="264">
        <v>270</v>
      </c>
      <c r="M36" s="73">
        <v>20</v>
      </c>
      <c r="N36" s="27">
        <f t="shared" si="3"/>
        <v>5400</v>
      </c>
      <c r="O36" s="267"/>
    </row>
    <row r="37" spans="1:22" s="2" customFormat="1" ht="19.8" customHeight="1">
      <c r="A37" s="9">
        <v>5</v>
      </c>
      <c r="B37" s="5" t="s">
        <v>110</v>
      </c>
      <c r="C37" s="22">
        <f t="shared" si="2"/>
        <v>140</v>
      </c>
      <c r="D37" s="23">
        <f>C37/100*247</f>
        <v>345.79999999999995</v>
      </c>
      <c r="E37" s="28"/>
      <c r="F37" s="28">
        <f>C37/100*17.5</f>
        <v>24.5</v>
      </c>
      <c r="G37" s="28"/>
      <c r="H37" s="28">
        <f>C37/100*1.6</f>
        <v>2.2399999999999998</v>
      </c>
      <c r="I37" s="28">
        <f>C37/100*39.2</f>
        <v>54.88</v>
      </c>
      <c r="J37" s="69"/>
      <c r="K37" s="69"/>
      <c r="L37" s="268">
        <v>140</v>
      </c>
      <c r="M37" s="71">
        <v>50</v>
      </c>
      <c r="N37" s="27">
        <f t="shared" si="3"/>
        <v>7000</v>
      </c>
      <c r="O37" s="267"/>
      <c r="Q37" s="3"/>
      <c r="R37" s="3"/>
      <c r="S37" s="4"/>
      <c r="T37" s="3"/>
    </row>
    <row r="38" spans="1:22" s="2" customFormat="1" ht="19.8" customHeight="1">
      <c r="A38" s="9">
        <v>6</v>
      </c>
      <c r="B38" s="75" t="s">
        <v>113</v>
      </c>
      <c r="C38" s="22">
        <f t="shared" si="2"/>
        <v>1560</v>
      </c>
      <c r="D38" s="102">
        <f>C38/100*899</f>
        <v>14024.4</v>
      </c>
      <c r="E38" s="24"/>
      <c r="F38" s="24"/>
      <c r="G38" s="101">
        <f>C38/100*99.6</f>
        <v>1553.7599999999998</v>
      </c>
      <c r="H38" s="24"/>
      <c r="I38" s="24"/>
      <c r="J38" s="24"/>
      <c r="K38" s="24"/>
      <c r="L38" s="266">
        <v>1560</v>
      </c>
      <c r="M38" s="23">
        <v>68</v>
      </c>
      <c r="N38" s="27">
        <f t="shared" si="3"/>
        <v>106080</v>
      </c>
      <c r="O38" s="271"/>
    </row>
    <row r="39" spans="1:22" s="2" customFormat="1" ht="19.8" customHeight="1">
      <c r="A39" s="9">
        <v>7</v>
      </c>
      <c r="B39" s="122" t="s">
        <v>115</v>
      </c>
      <c r="C39" s="22">
        <f t="shared" si="2"/>
        <v>220.00000000000003</v>
      </c>
      <c r="D39" s="102">
        <f>C39/100*900</f>
        <v>1980.0000000000002</v>
      </c>
      <c r="E39" s="24"/>
      <c r="F39" s="24"/>
      <c r="G39" s="101"/>
      <c r="H39" s="24">
        <f>C39/100*100</f>
        <v>220.00000000000003</v>
      </c>
      <c r="I39" s="24"/>
      <c r="J39" s="24"/>
      <c r="K39" s="24"/>
      <c r="L39" s="266">
        <v>220</v>
      </c>
      <c r="M39" s="71">
        <v>63.5</v>
      </c>
      <c r="N39" s="27">
        <f t="shared" si="3"/>
        <v>13970</v>
      </c>
      <c r="O39" s="271"/>
    </row>
    <row r="40" spans="1:22" s="2" customFormat="1" ht="19.8" customHeight="1">
      <c r="A40" s="9">
        <v>8</v>
      </c>
      <c r="B40" s="5" t="s">
        <v>4</v>
      </c>
      <c r="C40" s="22">
        <f>L40/100*98.5</f>
        <v>2186.6999999999998</v>
      </c>
      <c r="D40" s="23">
        <f>C40/100*39</f>
        <v>852.81299999999987</v>
      </c>
      <c r="E40" s="28"/>
      <c r="F40" s="28">
        <f>C40/100*1.5</f>
        <v>32.8005</v>
      </c>
      <c r="G40" s="28"/>
      <c r="H40" s="28">
        <f>C40/100*0.2</f>
        <v>4.3733999999999993</v>
      </c>
      <c r="I40" s="28">
        <f>C40/100*7.8</f>
        <v>170.56259999999997</v>
      </c>
      <c r="J40" s="69">
        <f>C40/100*43</f>
        <v>940.28099999999984</v>
      </c>
      <c r="K40" s="69">
        <f>C40/100*0.06</f>
        <v>1.3120199999999997</v>
      </c>
      <c r="L40" s="268">
        <v>2220</v>
      </c>
      <c r="M40" s="25">
        <v>17</v>
      </c>
      <c r="N40" s="27">
        <f t="shared" si="3"/>
        <v>37740</v>
      </c>
      <c r="O40" s="267"/>
      <c r="Q40" s="3"/>
      <c r="R40" s="3"/>
      <c r="S40" s="4"/>
    </row>
    <row r="41" spans="1:22" s="2" customFormat="1" ht="19.8" customHeight="1">
      <c r="A41" s="9">
        <v>9</v>
      </c>
      <c r="B41" s="10" t="s">
        <v>60</v>
      </c>
      <c r="C41" s="22">
        <f>L41/100*40</f>
        <v>2060</v>
      </c>
      <c r="D41" s="23">
        <f>C41/100*276</f>
        <v>5685.6</v>
      </c>
      <c r="E41" s="24">
        <f>C41/100*17.8</f>
        <v>366.68000000000006</v>
      </c>
      <c r="F41" s="117"/>
      <c r="G41" s="24">
        <f>C41/100*21.8</f>
        <v>449.08000000000004</v>
      </c>
      <c r="H41" s="24"/>
      <c r="I41" s="24"/>
      <c r="J41" s="26">
        <f>C41/100*13</f>
        <v>267.8</v>
      </c>
      <c r="K41" s="26">
        <f>C41/100*0.07</f>
        <v>1.4420000000000002</v>
      </c>
      <c r="L41" s="266">
        <v>5150</v>
      </c>
      <c r="M41" s="71">
        <v>63</v>
      </c>
      <c r="N41" s="116">
        <f t="shared" si="3"/>
        <v>324450</v>
      </c>
      <c r="O41" s="267"/>
    </row>
    <row r="42" spans="1:22" s="2" customFormat="1" ht="19.8" customHeight="1">
      <c r="A42" s="88">
        <v>10</v>
      </c>
      <c r="B42" s="127" t="s">
        <v>117</v>
      </c>
      <c r="C42" s="89">
        <f>L42/100*100</f>
        <v>3779.9999999999995</v>
      </c>
      <c r="D42" s="130">
        <f>C42/100*487</f>
        <v>18408.599999999999</v>
      </c>
      <c r="E42" s="91"/>
      <c r="F42" s="91">
        <f>C42/100*19.5</f>
        <v>737.09999999999991</v>
      </c>
      <c r="G42" s="91"/>
      <c r="H42" s="91">
        <f>C42/100*23.2</f>
        <v>876.95999999999992</v>
      </c>
      <c r="I42" s="91">
        <f>C42/100*46</f>
        <v>1738.8</v>
      </c>
      <c r="J42" s="121">
        <f>C42/100*680</f>
        <v>25703.999999999996</v>
      </c>
      <c r="K42" s="91">
        <f>C42/100*0.55</f>
        <v>20.79</v>
      </c>
      <c r="L42" s="92">
        <v>3780</v>
      </c>
      <c r="M42" s="128">
        <v>260</v>
      </c>
      <c r="N42" s="93">
        <f t="shared" si="3"/>
        <v>982800</v>
      </c>
      <c r="O42" s="267"/>
      <c r="P42" s="3"/>
    </row>
    <row r="43" spans="1:22" ht="21.6" customHeight="1">
      <c r="A43" s="167" t="s">
        <v>0</v>
      </c>
      <c r="B43" s="170" t="s">
        <v>19</v>
      </c>
      <c r="C43" s="173" t="s">
        <v>8</v>
      </c>
      <c r="D43" s="173" t="s">
        <v>9</v>
      </c>
      <c r="E43" s="176" t="s">
        <v>11</v>
      </c>
      <c r="F43" s="177"/>
      <c r="G43" s="176" t="s">
        <v>13</v>
      </c>
      <c r="H43" s="177"/>
      <c r="I43" s="180" t="s">
        <v>16</v>
      </c>
      <c r="J43" s="180" t="s">
        <v>40</v>
      </c>
      <c r="K43" s="180" t="s">
        <v>41</v>
      </c>
      <c r="L43" s="180" t="s">
        <v>17</v>
      </c>
      <c r="M43" s="180" t="s">
        <v>39</v>
      </c>
      <c r="N43" s="167" t="s">
        <v>18</v>
      </c>
      <c r="O43" s="263"/>
    </row>
    <row r="44" spans="1:22" ht="21.6" customHeight="1">
      <c r="A44" s="168"/>
      <c r="B44" s="171"/>
      <c r="C44" s="174"/>
      <c r="D44" s="174"/>
      <c r="E44" s="178"/>
      <c r="F44" s="179"/>
      <c r="G44" s="178"/>
      <c r="H44" s="179"/>
      <c r="I44" s="181"/>
      <c r="J44" s="181"/>
      <c r="K44" s="181"/>
      <c r="L44" s="181"/>
      <c r="M44" s="181"/>
      <c r="N44" s="168"/>
      <c r="O44" s="135"/>
    </row>
    <row r="45" spans="1:22" ht="21.6" customHeight="1">
      <c r="A45" s="168"/>
      <c r="B45" s="171"/>
      <c r="C45" s="174"/>
      <c r="D45" s="174"/>
      <c r="E45" s="180" t="s">
        <v>10</v>
      </c>
      <c r="F45" s="180" t="s">
        <v>12</v>
      </c>
      <c r="G45" s="180" t="s">
        <v>14</v>
      </c>
      <c r="H45" s="180" t="s">
        <v>15</v>
      </c>
      <c r="I45" s="181"/>
      <c r="J45" s="181"/>
      <c r="K45" s="181"/>
      <c r="L45" s="181"/>
      <c r="M45" s="181"/>
      <c r="N45" s="168"/>
      <c r="O45" s="135"/>
    </row>
    <row r="46" spans="1:22" ht="21.6" customHeight="1">
      <c r="A46" s="169"/>
      <c r="B46" s="172"/>
      <c r="C46" s="175"/>
      <c r="D46" s="175"/>
      <c r="E46" s="182"/>
      <c r="F46" s="182"/>
      <c r="G46" s="182"/>
      <c r="H46" s="182"/>
      <c r="I46" s="182"/>
      <c r="J46" s="182"/>
      <c r="K46" s="182"/>
      <c r="L46" s="182"/>
      <c r="M46" s="182"/>
      <c r="N46" s="169"/>
      <c r="O46" s="135"/>
    </row>
    <row r="47" spans="1:22" s="2" customFormat="1" ht="21.6" customHeight="1">
      <c r="A47" s="20" t="s">
        <v>89</v>
      </c>
      <c r="B47" s="21"/>
      <c r="C47" s="33"/>
      <c r="D47" s="103">
        <f>SUM(D33:D42)</f>
        <v>60616.572999999997</v>
      </c>
      <c r="E47" s="42"/>
      <c r="F47" s="42"/>
      <c r="G47" s="42"/>
      <c r="H47" s="42"/>
      <c r="I47" s="42"/>
      <c r="J47" s="42"/>
      <c r="K47" s="42"/>
      <c r="L47" s="43"/>
      <c r="M47" s="43"/>
      <c r="N47" s="199">
        <f>SUM(N33:N42)</f>
        <v>1618853</v>
      </c>
      <c r="O47" s="267"/>
    </row>
    <row r="48" spans="1:22" ht="21.6" customHeight="1">
      <c r="A48" s="20" t="s">
        <v>7</v>
      </c>
      <c r="B48" s="21"/>
      <c r="C48" s="44"/>
      <c r="D48" s="70">
        <f>D47/D10</f>
        <v>273.04762612612609</v>
      </c>
      <c r="E48" s="45"/>
      <c r="F48" s="45"/>
      <c r="G48" s="45"/>
      <c r="H48" s="45"/>
      <c r="I48" s="45"/>
      <c r="J48" s="45"/>
      <c r="K48" s="45"/>
      <c r="L48" s="46"/>
      <c r="M48" s="46"/>
      <c r="N48" s="200"/>
      <c r="O48" s="4"/>
      <c r="P48" s="2"/>
      <c r="Q48" s="2"/>
      <c r="R48" s="2"/>
      <c r="S48" s="2"/>
      <c r="T48" s="2"/>
      <c r="U48" s="2"/>
      <c r="V48" s="2"/>
    </row>
    <row r="49" spans="1:23" ht="21.6" customHeight="1">
      <c r="A49" s="250" t="s">
        <v>51</v>
      </c>
      <c r="B49" s="184"/>
      <c r="C49" s="269" t="s">
        <v>119</v>
      </c>
      <c r="D49" s="19" t="s">
        <v>54</v>
      </c>
      <c r="E49" s="45"/>
      <c r="F49" s="45"/>
      <c r="G49" s="45"/>
      <c r="H49" s="45"/>
      <c r="I49" s="45"/>
      <c r="J49" s="47"/>
      <c r="K49" s="47"/>
      <c r="L49" s="46"/>
      <c r="M49" s="46"/>
      <c r="N49" s="136"/>
      <c r="O49" s="4"/>
      <c r="P49" s="2"/>
      <c r="Q49" s="2"/>
      <c r="R49" s="2"/>
      <c r="S49" s="2"/>
      <c r="T49" s="2"/>
      <c r="U49" s="2"/>
      <c r="V49" s="2"/>
      <c r="W49" s="2"/>
    </row>
    <row r="50" spans="1:23" ht="21.6" customHeight="1">
      <c r="A50" s="185"/>
      <c r="B50" s="186"/>
      <c r="C50" s="72" t="s">
        <v>56</v>
      </c>
      <c r="D50" s="19">
        <f>D48*100/1320</f>
        <v>20.68542622167622</v>
      </c>
      <c r="E50" s="45"/>
      <c r="F50" s="45"/>
      <c r="G50" s="45"/>
      <c r="H50" s="45"/>
      <c r="I50" s="45"/>
      <c r="J50" s="47"/>
      <c r="K50" s="47"/>
      <c r="L50" s="46"/>
      <c r="M50" s="46"/>
      <c r="N50" s="136"/>
      <c r="O50" s="4"/>
      <c r="P50" s="2"/>
      <c r="Q50" s="2"/>
      <c r="R50" s="2"/>
      <c r="S50" s="2"/>
      <c r="T50" s="2"/>
      <c r="U50" s="2"/>
      <c r="V50" s="2"/>
      <c r="W50" s="2"/>
    </row>
    <row r="51" spans="1:23" ht="21.6" customHeight="1">
      <c r="A51" s="242" t="s">
        <v>96</v>
      </c>
      <c r="B51" s="243"/>
      <c r="C51" s="246"/>
      <c r="D51" s="253">
        <f>D28+D47</f>
        <v>158169.12019999998</v>
      </c>
      <c r="E51" s="105">
        <f t="shared" ref="E51:K51" si="4">SUM(E16:E42)</f>
        <v>3130.3724000000002</v>
      </c>
      <c r="F51" s="105">
        <f t="shared" si="4"/>
        <v>3031.65578</v>
      </c>
      <c r="G51" s="105">
        <f t="shared" si="4"/>
        <v>3333.7115999999996</v>
      </c>
      <c r="H51" s="105">
        <f t="shared" si="4"/>
        <v>1400.6620599999999</v>
      </c>
      <c r="I51" s="210">
        <f t="shared" si="4"/>
        <v>22000.272059999999</v>
      </c>
      <c r="J51" s="240">
        <f t="shared" si="4"/>
        <v>41541.264399999993</v>
      </c>
      <c r="K51" s="240">
        <f t="shared" si="4"/>
        <v>87.504396000000014</v>
      </c>
      <c r="L51" s="240"/>
      <c r="M51" s="240"/>
      <c r="N51" s="216">
        <f>N28+N47</f>
        <v>4882953</v>
      </c>
      <c r="U51" s="12"/>
      <c r="V51" s="12"/>
    </row>
    <row r="52" spans="1:23" ht="21.6" customHeight="1">
      <c r="A52" s="244"/>
      <c r="B52" s="245"/>
      <c r="C52" s="247"/>
      <c r="D52" s="254"/>
      <c r="E52" s="238">
        <f>E51+F51</f>
        <v>6162.0281800000002</v>
      </c>
      <c r="F52" s="239"/>
      <c r="G52" s="238">
        <f>G51+H51</f>
        <v>4734.3736599999993</v>
      </c>
      <c r="H52" s="239"/>
      <c r="I52" s="212"/>
      <c r="J52" s="241"/>
      <c r="K52" s="241"/>
      <c r="L52" s="255"/>
      <c r="M52" s="255"/>
      <c r="N52" s="217"/>
      <c r="P52" s="293"/>
      <c r="Q52" s="294"/>
      <c r="R52" s="294"/>
      <c r="S52" s="294"/>
      <c r="T52" s="294"/>
      <c r="U52" s="295"/>
      <c r="V52" s="295"/>
    </row>
    <row r="53" spans="1:23" ht="21.6" customHeight="1">
      <c r="A53" s="204" t="s">
        <v>66</v>
      </c>
      <c r="B53" s="205"/>
      <c r="C53" s="206"/>
      <c r="D53" s="115">
        <f>D51/D10</f>
        <v>712.47351441441435</v>
      </c>
      <c r="E53" s="272">
        <f>E51/D10</f>
        <v>14.100776576576578</v>
      </c>
      <c r="F53" s="273">
        <f>F51/D10</f>
        <v>13.656107117117118</v>
      </c>
      <c r="G53" s="272">
        <f>G51/D10</f>
        <v>15.016718918918917</v>
      </c>
      <c r="H53" s="274">
        <f>H51/D10</f>
        <v>6.3092885585585581</v>
      </c>
      <c r="I53" s="220">
        <f>I51/D10</f>
        <v>99.100324594594596</v>
      </c>
      <c r="J53" s="256">
        <f>J51/D10</f>
        <v>187.12281261261259</v>
      </c>
      <c r="K53" s="256">
        <f>K51/D10</f>
        <v>0.394163945945946</v>
      </c>
      <c r="L53" s="255"/>
      <c r="M53" s="255"/>
      <c r="N53" s="217"/>
      <c r="P53" s="296"/>
      <c r="Q53" s="294"/>
      <c r="R53" s="294"/>
      <c r="S53" s="294"/>
      <c r="T53" s="294"/>
      <c r="U53" s="294"/>
      <c r="V53" s="294"/>
    </row>
    <row r="54" spans="1:23" ht="21.6" customHeight="1">
      <c r="A54" s="207"/>
      <c r="B54" s="208"/>
      <c r="C54" s="209"/>
      <c r="D54" s="109"/>
      <c r="E54" s="275">
        <f>E53+F53</f>
        <v>27.756883693693695</v>
      </c>
      <c r="F54" s="276"/>
      <c r="G54" s="275">
        <f>G53+H53</f>
        <v>21.326007477477475</v>
      </c>
      <c r="H54" s="276"/>
      <c r="I54" s="221"/>
      <c r="J54" s="257"/>
      <c r="K54" s="257"/>
      <c r="L54" s="255"/>
      <c r="M54" s="255"/>
      <c r="N54" s="217"/>
      <c r="P54" s="293"/>
      <c r="Q54" s="293"/>
      <c r="R54" s="293"/>
      <c r="S54" s="293"/>
      <c r="T54" s="293"/>
      <c r="U54" s="293"/>
      <c r="V54" s="293"/>
    </row>
    <row r="55" spans="1:23" ht="21.6" customHeight="1">
      <c r="A55" s="277" t="s">
        <v>69</v>
      </c>
      <c r="B55" s="278"/>
      <c r="C55" s="279"/>
      <c r="D55" s="280" t="s">
        <v>28</v>
      </c>
      <c r="E55" s="153" t="s">
        <v>21</v>
      </c>
      <c r="F55" s="153"/>
      <c r="G55" s="153" t="s">
        <v>22</v>
      </c>
      <c r="H55" s="153"/>
      <c r="I55" s="134" t="s">
        <v>23</v>
      </c>
      <c r="J55" s="281">
        <v>600</v>
      </c>
      <c r="K55" s="281">
        <v>0.7</v>
      </c>
      <c r="L55" s="255"/>
      <c r="M55" s="255"/>
      <c r="N55" s="217"/>
      <c r="O55" s="282"/>
      <c r="P55" s="293"/>
      <c r="Q55" s="293"/>
      <c r="R55" s="293"/>
      <c r="S55" s="293"/>
      <c r="T55" s="293"/>
      <c r="U55" s="293"/>
      <c r="V55" s="293"/>
    </row>
    <row r="56" spans="1:23" ht="21.6" customHeight="1">
      <c r="A56" s="201" t="s">
        <v>67</v>
      </c>
      <c r="B56" s="231"/>
      <c r="C56" s="202"/>
      <c r="D56" s="48"/>
      <c r="E56" s="232">
        <f>E54*4.1</f>
        <v>113.80322314414414</v>
      </c>
      <c r="F56" s="233"/>
      <c r="G56" s="232">
        <f>G54*9</f>
        <v>191.93406729729728</v>
      </c>
      <c r="H56" s="233"/>
      <c r="I56" s="77">
        <f>I53*4.1</f>
        <v>406.31133083783783</v>
      </c>
      <c r="J56" s="213"/>
      <c r="K56" s="213"/>
      <c r="L56" s="255"/>
      <c r="M56" s="255"/>
      <c r="N56" s="217"/>
      <c r="O56" s="282"/>
      <c r="P56" s="299"/>
      <c r="Q56" s="298"/>
      <c r="R56" s="298"/>
      <c r="S56" s="298"/>
      <c r="T56" s="298"/>
      <c r="U56" s="293"/>
      <c r="V56" s="293"/>
    </row>
    <row r="57" spans="1:23" ht="21.6" customHeight="1">
      <c r="A57" s="234" t="s">
        <v>70</v>
      </c>
      <c r="B57" s="235"/>
      <c r="C57" s="201" t="s">
        <v>55</v>
      </c>
      <c r="D57" s="202"/>
      <c r="E57" s="147">
        <f>E56*100/D53</f>
        <v>15.97297595513843</v>
      </c>
      <c r="F57" s="148"/>
      <c r="G57" s="147">
        <f>G56*100/D53</f>
        <v>26.939116109466731</v>
      </c>
      <c r="H57" s="148"/>
      <c r="I57" s="98">
        <f>I56*100/D53</f>
        <v>57.028271594318447</v>
      </c>
      <c r="J57" s="214"/>
      <c r="K57" s="214"/>
      <c r="L57" s="255"/>
      <c r="M57" s="255"/>
      <c r="N57" s="217"/>
      <c r="O57" s="282"/>
      <c r="P57" s="293"/>
      <c r="Q57" s="293"/>
      <c r="R57" s="293"/>
      <c r="S57" s="293"/>
      <c r="T57" s="293"/>
      <c r="U57" s="293"/>
      <c r="V57" s="293"/>
    </row>
    <row r="58" spans="1:23" ht="18" customHeight="1">
      <c r="A58" s="236"/>
      <c r="B58" s="237"/>
      <c r="C58" s="201" t="s">
        <v>68</v>
      </c>
      <c r="D58" s="202"/>
      <c r="E58" s="201" t="s">
        <v>71</v>
      </c>
      <c r="F58" s="202"/>
      <c r="G58" s="201" t="s">
        <v>72</v>
      </c>
      <c r="H58" s="202"/>
      <c r="I58" s="280" t="s">
        <v>73</v>
      </c>
      <c r="J58" s="215"/>
      <c r="K58" s="215"/>
      <c r="L58" s="241"/>
      <c r="M58" s="241"/>
      <c r="N58" s="218"/>
      <c r="O58" s="282"/>
    </row>
    <row r="59" spans="1:23" ht="21" customHeight="1">
      <c r="A59" s="81"/>
      <c r="B59" s="84"/>
      <c r="C59" s="81"/>
      <c r="D59" s="81"/>
      <c r="E59" s="81"/>
      <c r="F59" s="81"/>
      <c r="G59" s="81"/>
      <c r="H59" s="81"/>
      <c r="I59" s="81"/>
      <c r="J59" s="81"/>
      <c r="K59" s="81"/>
      <c r="L59" s="82"/>
      <c r="M59" s="82"/>
      <c r="N59" s="83"/>
      <c r="O59" s="282"/>
      <c r="P59" s="113"/>
    </row>
    <row r="60" spans="1:23" ht="21" customHeight="1">
      <c r="A60" s="142" t="s">
        <v>97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282"/>
    </row>
    <row r="61" spans="1:23" ht="21" customHeight="1">
      <c r="A61" s="99" t="s">
        <v>98</v>
      </c>
      <c r="B61" s="143" t="s">
        <v>99</v>
      </c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282"/>
    </row>
    <row r="62" spans="1:23" ht="21" customHeight="1">
      <c r="A62" s="100"/>
      <c r="B62" s="144" t="s">
        <v>141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282"/>
    </row>
    <row r="63" spans="1:23" ht="21" customHeight="1">
      <c r="A63" s="100"/>
      <c r="B63" s="144" t="s">
        <v>142</v>
      </c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282"/>
    </row>
    <row r="64" spans="1:23" ht="21" customHeight="1">
      <c r="A64" s="100"/>
      <c r="B64" s="144" t="s">
        <v>134</v>
      </c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282"/>
    </row>
    <row r="65" spans="1:15" ht="21" customHeight="1">
      <c r="A65" s="81"/>
      <c r="B65" s="145" t="s">
        <v>100</v>
      </c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282"/>
    </row>
    <row r="66" spans="1:15" ht="21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5"/>
      <c r="M66" s="85"/>
      <c r="N66" s="86"/>
      <c r="O66" s="282"/>
    </row>
    <row r="67" spans="1:15" ht="22.2" customHeight="1">
      <c r="A67" s="146" t="s">
        <v>58</v>
      </c>
      <c r="B67" s="146"/>
      <c r="C67" s="146"/>
      <c r="D67" s="146"/>
      <c r="E67" s="283"/>
      <c r="F67" s="283"/>
      <c r="G67" s="283"/>
      <c r="H67" s="283"/>
      <c r="I67" s="283"/>
      <c r="J67" s="284" t="s">
        <v>32</v>
      </c>
      <c r="K67" s="284"/>
      <c r="L67" s="284"/>
      <c r="M67" s="284"/>
      <c r="N67" s="284"/>
      <c r="O67" s="282"/>
    </row>
    <row r="68" spans="1:15" ht="22.2" customHeight="1">
      <c r="A68" s="135"/>
      <c r="B68" s="135"/>
      <c r="C68" s="135"/>
      <c r="D68" s="283"/>
      <c r="E68" s="283"/>
      <c r="F68" s="283"/>
      <c r="G68" s="283"/>
      <c r="H68" s="285"/>
      <c r="I68" s="285"/>
      <c r="J68" s="285"/>
      <c r="K68" s="285"/>
      <c r="L68" s="285"/>
      <c r="M68" s="285"/>
      <c r="N68" s="285"/>
      <c r="O68" s="282"/>
    </row>
    <row r="69" spans="1:15" ht="22.2" customHeight="1">
      <c r="A69" s="135"/>
      <c r="B69" s="135"/>
      <c r="C69" s="135"/>
      <c r="D69" s="283"/>
      <c r="E69" s="283"/>
      <c r="F69" s="283"/>
      <c r="G69" s="283"/>
      <c r="H69" s="285"/>
      <c r="I69" s="285"/>
      <c r="J69" s="285"/>
      <c r="K69" s="285"/>
      <c r="L69" s="285"/>
      <c r="M69" s="285"/>
      <c r="N69" s="285"/>
      <c r="O69" s="282"/>
    </row>
    <row r="70" spans="1:15" ht="22.2" customHeight="1">
      <c r="A70" s="135"/>
      <c r="B70" s="135"/>
      <c r="C70" s="135"/>
      <c r="D70" s="283"/>
      <c r="E70" s="283"/>
      <c r="F70" s="283"/>
      <c r="G70" s="283"/>
      <c r="H70" s="285"/>
      <c r="I70" s="285"/>
      <c r="J70" s="286" t="s">
        <v>105</v>
      </c>
      <c r="K70" s="286"/>
      <c r="L70" s="286"/>
      <c r="M70" s="286"/>
      <c r="N70" s="286"/>
      <c r="O70" s="282"/>
    </row>
    <row r="71" spans="1:15" ht="22.2" customHeight="1">
      <c r="A71" s="138" t="s">
        <v>80</v>
      </c>
      <c r="B71" s="138"/>
      <c r="C71" s="138"/>
      <c r="D71" s="138"/>
      <c r="E71" s="283"/>
      <c r="F71" s="283"/>
      <c r="G71" s="283"/>
      <c r="H71" s="285"/>
      <c r="I71" s="285"/>
      <c r="J71" s="286"/>
      <c r="K71" s="286"/>
      <c r="L71" s="286"/>
      <c r="M71" s="286"/>
      <c r="N71" s="286"/>
      <c r="O71" s="282"/>
    </row>
    <row r="72" spans="1:15" ht="22.2" customHeight="1">
      <c r="A72" s="135"/>
      <c r="B72" s="135"/>
      <c r="C72" s="135"/>
      <c r="D72" s="283"/>
      <c r="E72" s="283"/>
      <c r="F72" s="283"/>
      <c r="G72" s="283"/>
      <c r="H72" s="285"/>
      <c r="I72" s="285"/>
      <c r="J72" s="285"/>
      <c r="K72" s="285"/>
      <c r="L72" s="285"/>
      <c r="M72" s="285"/>
      <c r="N72" s="285"/>
      <c r="O72" s="282"/>
    </row>
    <row r="73" spans="1:15" ht="18" customHeight="1">
      <c r="A73" s="135"/>
      <c r="B73" s="135"/>
      <c r="C73" s="135"/>
      <c r="D73" s="283"/>
      <c r="E73" s="283"/>
      <c r="F73" s="283"/>
      <c r="G73" s="283"/>
      <c r="H73" s="285"/>
      <c r="I73" s="285"/>
      <c r="J73" s="286" t="s">
        <v>106</v>
      </c>
      <c r="K73" s="286"/>
      <c r="L73" s="286"/>
      <c r="M73" s="286"/>
      <c r="N73" s="286"/>
      <c r="O73" s="282"/>
    </row>
    <row r="74" spans="1:15" ht="18" customHeight="1">
      <c r="A74" s="135"/>
      <c r="B74" s="135"/>
      <c r="C74" s="135"/>
      <c r="D74" s="283"/>
      <c r="E74" s="283"/>
      <c r="F74" s="283"/>
      <c r="G74" s="283"/>
      <c r="H74" s="285"/>
      <c r="I74" s="285"/>
      <c r="J74" s="286"/>
      <c r="K74" s="286"/>
      <c r="L74" s="286"/>
      <c r="M74" s="286"/>
      <c r="N74" s="286"/>
      <c r="O74" s="282"/>
    </row>
    <row r="75" spans="1:15" ht="18" customHeight="1">
      <c r="A75" s="135"/>
      <c r="B75" s="135"/>
      <c r="C75" s="135"/>
      <c r="D75" s="283"/>
      <c r="E75" s="283"/>
      <c r="F75" s="283"/>
      <c r="G75" s="283"/>
      <c r="H75" s="285"/>
      <c r="I75" s="285"/>
      <c r="J75" s="285"/>
      <c r="K75" s="285"/>
      <c r="L75" s="285"/>
      <c r="M75" s="285"/>
      <c r="N75" s="285"/>
      <c r="O75" s="282"/>
    </row>
    <row r="76" spans="1:15" ht="18" customHeight="1">
      <c r="A76" s="135"/>
      <c r="B76" s="135"/>
      <c r="C76" s="135"/>
      <c r="D76" s="283"/>
      <c r="E76" s="283"/>
      <c r="F76" s="283"/>
      <c r="G76" s="283"/>
      <c r="H76" s="285"/>
      <c r="I76" s="285"/>
      <c r="J76" s="285"/>
      <c r="K76" s="285"/>
      <c r="L76" s="285"/>
      <c r="M76" s="285"/>
      <c r="N76" s="285"/>
      <c r="O76" s="282"/>
    </row>
    <row r="77" spans="1:15" ht="18" customHeight="1">
      <c r="A77" s="135"/>
      <c r="B77" s="135"/>
      <c r="C77" s="135"/>
      <c r="D77" s="283"/>
      <c r="E77" s="283"/>
      <c r="F77" s="283"/>
      <c r="G77" s="283"/>
      <c r="H77" s="285"/>
      <c r="I77" s="285"/>
      <c r="J77" s="285"/>
      <c r="K77" s="285"/>
      <c r="L77" s="285"/>
      <c r="M77" s="285"/>
      <c r="N77" s="285"/>
      <c r="O77" s="282"/>
    </row>
    <row r="78" spans="1:15" ht="18" customHeight="1">
      <c r="A78" s="135"/>
      <c r="B78" s="135"/>
      <c r="C78" s="135"/>
      <c r="D78" s="283"/>
      <c r="E78" s="283"/>
      <c r="F78" s="283"/>
      <c r="G78" s="283"/>
      <c r="H78" s="285"/>
      <c r="I78" s="285"/>
      <c r="J78" s="285"/>
      <c r="K78" s="285"/>
      <c r="L78" s="285"/>
      <c r="M78" s="285"/>
      <c r="N78" s="285"/>
      <c r="O78" s="282"/>
    </row>
    <row r="79" spans="1:15" ht="18" customHeight="1">
      <c r="A79" s="135"/>
      <c r="B79" s="135"/>
      <c r="C79" s="135"/>
      <c r="D79" s="283"/>
      <c r="E79" s="283"/>
      <c r="F79" s="283"/>
      <c r="G79" s="283"/>
      <c r="H79" s="285"/>
      <c r="I79" s="285"/>
      <c r="J79" s="285"/>
      <c r="K79" s="285"/>
      <c r="L79" s="285"/>
      <c r="M79" s="285"/>
      <c r="N79" s="285"/>
      <c r="O79" s="282"/>
    </row>
    <row r="80" spans="1:15" ht="18" customHeight="1">
      <c r="A80" s="135"/>
      <c r="B80" s="135"/>
      <c r="C80" s="135"/>
      <c r="D80" s="283"/>
      <c r="E80" s="283"/>
      <c r="F80" s="283"/>
      <c r="G80" s="283"/>
      <c r="H80" s="285"/>
      <c r="I80" s="285"/>
      <c r="J80" s="285"/>
      <c r="K80" s="285"/>
      <c r="L80" s="285"/>
      <c r="M80" s="285"/>
      <c r="N80" s="285"/>
      <c r="O80" s="282"/>
    </row>
    <row r="81" spans="1:20" ht="18" customHeight="1">
      <c r="A81" s="135"/>
      <c r="B81" s="135"/>
      <c r="C81" s="135"/>
      <c r="D81" s="283"/>
      <c r="E81" s="283"/>
      <c r="F81" s="283"/>
      <c r="G81" s="283"/>
      <c r="H81" s="285"/>
      <c r="I81" s="285"/>
      <c r="J81" s="285"/>
      <c r="K81" s="285"/>
      <c r="L81" s="285"/>
      <c r="M81" s="285"/>
      <c r="N81" s="285"/>
      <c r="O81" s="282"/>
    </row>
    <row r="82" spans="1:20" ht="19.2" customHeight="1">
      <c r="A82" s="135"/>
      <c r="B82" s="135"/>
      <c r="C82" s="135"/>
      <c r="D82" s="283"/>
      <c r="E82" s="283"/>
      <c r="F82" s="283"/>
      <c r="G82" s="283"/>
      <c r="H82" s="285"/>
      <c r="I82" s="285"/>
      <c r="J82" s="285"/>
      <c r="K82" s="285"/>
      <c r="L82" s="285"/>
      <c r="M82" s="285"/>
      <c r="N82" s="285"/>
      <c r="O82" s="282"/>
    </row>
    <row r="83" spans="1:20" ht="19.2" customHeight="1">
      <c r="A83" s="11" t="s">
        <v>57</v>
      </c>
      <c r="B83" s="8"/>
      <c r="C83" s="8"/>
      <c r="D83" s="8"/>
      <c r="E83" s="8"/>
      <c r="F83" s="249" t="s">
        <v>31</v>
      </c>
      <c r="G83" s="249"/>
      <c r="H83" s="249"/>
      <c r="I83" s="249"/>
      <c r="J83" s="249"/>
      <c r="K83" s="249"/>
      <c r="L83" s="249"/>
      <c r="M83" s="249"/>
      <c r="N83" s="249"/>
      <c r="O83" s="261"/>
      <c r="P83" s="261"/>
      <c r="T83" s="2"/>
    </row>
    <row r="84" spans="1:20" ht="11.4" customHeight="1">
      <c r="A84" s="11"/>
      <c r="B84" s="8"/>
      <c r="C84" s="8"/>
      <c r="D84" s="8"/>
      <c r="E84" s="8"/>
      <c r="F84" s="132"/>
      <c r="G84" s="132"/>
      <c r="H84" s="132"/>
      <c r="I84" s="132"/>
      <c r="J84" s="132"/>
      <c r="K84" s="132"/>
      <c r="L84" s="132"/>
      <c r="M84" s="132"/>
      <c r="N84" s="132"/>
      <c r="O84" s="261"/>
      <c r="P84" s="261"/>
      <c r="T84" s="2"/>
    </row>
    <row r="85" spans="1:20" ht="19.2" customHeight="1">
      <c r="A85" s="8" t="s">
        <v>140</v>
      </c>
      <c r="B85" s="8"/>
      <c r="C85" s="8"/>
      <c r="D85" s="8"/>
      <c r="E85" s="8"/>
      <c r="F85" s="132"/>
      <c r="G85" s="132"/>
      <c r="H85" s="132"/>
      <c r="I85" s="132"/>
      <c r="J85" s="132"/>
      <c r="K85" s="132"/>
      <c r="L85" s="132"/>
      <c r="M85" s="132"/>
      <c r="N85" s="132"/>
      <c r="O85" s="261"/>
      <c r="P85" s="261"/>
      <c r="T85" s="2"/>
    </row>
    <row r="86" spans="1:20" ht="10.8" customHeight="1">
      <c r="A86" s="8"/>
      <c r="B86" s="8"/>
      <c r="C86" s="8"/>
      <c r="D86" s="8"/>
      <c r="E86" s="8"/>
      <c r="F86" s="132"/>
      <c r="G86" s="132"/>
      <c r="H86" s="132"/>
      <c r="I86" s="132"/>
      <c r="J86" s="132"/>
      <c r="K86" s="132"/>
      <c r="L86" s="132"/>
      <c r="M86" s="132"/>
      <c r="N86" s="132"/>
      <c r="O86" s="261"/>
      <c r="P86" s="261"/>
      <c r="T86" s="2"/>
    </row>
    <row r="87" spans="1:20" s="2" customFormat="1" ht="19.2" customHeight="1">
      <c r="A87" s="153" t="s">
        <v>83</v>
      </c>
      <c r="B87" s="153"/>
      <c r="C87" s="153"/>
      <c r="D87" s="153"/>
      <c r="E87" s="153" t="s">
        <v>78</v>
      </c>
      <c r="F87" s="153"/>
      <c r="G87" s="153"/>
      <c r="H87" s="153"/>
      <c r="I87" s="153"/>
      <c r="J87" s="153"/>
      <c r="K87" s="153"/>
      <c r="L87" s="153"/>
      <c r="M87" s="153"/>
      <c r="N87" s="153"/>
      <c r="O87" s="262"/>
    </row>
    <row r="88" spans="1:20" s="2" customFormat="1" ht="19.2" customHeight="1">
      <c r="A88" s="153"/>
      <c r="B88" s="153"/>
      <c r="C88" s="153"/>
      <c r="D88" s="153"/>
      <c r="E88" s="153" t="s">
        <v>86</v>
      </c>
      <c r="F88" s="153"/>
      <c r="G88" s="153"/>
      <c r="H88" s="153"/>
      <c r="I88" s="153"/>
      <c r="J88" s="153" t="s">
        <v>87</v>
      </c>
      <c r="K88" s="153"/>
      <c r="L88" s="153"/>
      <c r="M88" s="153"/>
      <c r="N88" s="153"/>
      <c r="O88" s="262"/>
    </row>
    <row r="89" spans="1:20" s="2" customFormat="1" ht="19.2" customHeight="1">
      <c r="A89" s="154" t="s">
        <v>79</v>
      </c>
      <c r="B89" s="154"/>
      <c r="C89" s="154"/>
      <c r="D89" s="154"/>
      <c r="E89" s="157" t="s">
        <v>116</v>
      </c>
      <c r="F89" s="157"/>
      <c r="G89" s="157"/>
      <c r="H89" s="157"/>
      <c r="I89" s="157"/>
      <c r="J89" s="154" t="s">
        <v>79</v>
      </c>
      <c r="K89" s="154"/>
      <c r="L89" s="154"/>
      <c r="M89" s="154"/>
      <c r="N89" s="154"/>
      <c r="O89" s="262"/>
    </row>
    <row r="90" spans="1:20" s="2" customFormat="1" ht="19.2" customHeight="1">
      <c r="A90" s="155" t="s">
        <v>108</v>
      </c>
      <c r="B90" s="155"/>
      <c r="C90" s="155"/>
      <c r="D90" s="155"/>
      <c r="E90" s="157"/>
      <c r="F90" s="157"/>
      <c r="G90" s="157"/>
      <c r="H90" s="157"/>
      <c r="I90" s="157"/>
      <c r="J90" s="155" t="s">
        <v>118</v>
      </c>
      <c r="K90" s="155"/>
      <c r="L90" s="155"/>
      <c r="M90" s="155"/>
      <c r="N90" s="155"/>
      <c r="O90" s="262"/>
    </row>
    <row r="91" spans="1:20" s="2" customFormat="1" ht="19.2" customHeight="1">
      <c r="A91" s="156" t="s">
        <v>125</v>
      </c>
      <c r="B91" s="156"/>
      <c r="C91" s="156"/>
      <c r="D91" s="156"/>
      <c r="E91" s="157"/>
      <c r="F91" s="157"/>
      <c r="G91" s="157"/>
      <c r="H91" s="157"/>
      <c r="I91" s="157"/>
      <c r="J91" s="156" t="s">
        <v>82</v>
      </c>
      <c r="K91" s="156"/>
      <c r="L91" s="156"/>
      <c r="M91" s="156"/>
      <c r="N91" s="156"/>
      <c r="O91" s="262"/>
    </row>
    <row r="92" spans="1:20" ht="19.2" customHeight="1">
      <c r="A92" s="187" t="s">
        <v>103</v>
      </c>
      <c r="B92" s="188"/>
      <c r="C92" s="189"/>
      <c r="D92" s="110">
        <v>56</v>
      </c>
      <c r="E92" s="8"/>
      <c r="F92" s="132"/>
      <c r="G92" s="132"/>
      <c r="H92" s="132"/>
      <c r="I92" s="132"/>
      <c r="J92" s="132"/>
      <c r="K92" s="132"/>
      <c r="L92" s="132"/>
      <c r="M92" s="132"/>
      <c r="N92" s="132"/>
      <c r="O92" s="261"/>
      <c r="P92" s="261"/>
      <c r="T92" s="2"/>
    </row>
    <row r="93" spans="1:20" ht="19.2" customHeight="1">
      <c r="A93" s="167" t="s">
        <v>0</v>
      </c>
      <c r="B93" s="170" t="s">
        <v>19</v>
      </c>
      <c r="C93" s="173" t="s">
        <v>8</v>
      </c>
      <c r="D93" s="173" t="s">
        <v>9</v>
      </c>
      <c r="E93" s="176" t="s">
        <v>11</v>
      </c>
      <c r="F93" s="177"/>
      <c r="G93" s="176" t="s">
        <v>13</v>
      </c>
      <c r="H93" s="177"/>
      <c r="I93" s="180" t="s">
        <v>16</v>
      </c>
      <c r="J93" s="180" t="s">
        <v>40</v>
      </c>
      <c r="K93" s="180" t="s">
        <v>41</v>
      </c>
      <c r="L93" s="180" t="s">
        <v>17</v>
      </c>
      <c r="M93" s="180" t="s">
        <v>39</v>
      </c>
      <c r="N93" s="167" t="s">
        <v>18</v>
      </c>
      <c r="O93" s="263"/>
    </row>
    <row r="94" spans="1:20" ht="19.2" customHeight="1">
      <c r="A94" s="168"/>
      <c r="B94" s="171"/>
      <c r="C94" s="174"/>
      <c r="D94" s="174"/>
      <c r="E94" s="178"/>
      <c r="F94" s="179"/>
      <c r="G94" s="178"/>
      <c r="H94" s="179"/>
      <c r="I94" s="181"/>
      <c r="J94" s="181"/>
      <c r="K94" s="181"/>
      <c r="L94" s="181"/>
      <c r="M94" s="181"/>
      <c r="N94" s="168"/>
      <c r="O94" s="135"/>
    </row>
    <row r="95" spans="1:20" ht="19.2" customHeight="1">
      <c r="A95" s="168"/>
      <c r="B95" s="171"/>
      <c r="C95" s="174"/>
      <c r="D95" s="174"/>
      <c r="E95" s="180" t="s">
        <v>10</v>
      </c>
      <c r="F95" s="180" t="s">
        <v>12</v>
      </c>
      <c r="G95" s="180" t="s">
        <v>14</v>
      </c>
      <c r="H95" s="180" t="s">
        <v>15</v>
      </c>
      <c r="I95" s="181"/>
      <c r="J95" s="181"/>
      <c r="K95" s="181"/>
      <c r="L95" s="181"/>
      <c r="M95" s="181"/>
      <c r="N95" s="168"/>
      <c r="O95" s="135"/>
    </row>
    <row r="96" spans="1:20" ht="19.2" customHeight="1">
      <c r="A96" s="169"/>
      <c r="B96" s="172"/>
      <c r="C96" s="175"/>
      <c r="D96" s="175"/>
      <c r="E96" s="182"/>
      <c r="F96" s="182"/>
      <c r="G96" s="182"/>
      <c r="H96" s="182"/>
      <c r="I96" s="182"/>
      <c r="J96" s="182"/>
      <c r="K96" s="182"/>
      <c r="L96" s="182"/>
      <c r="M96" s="182"/>
      <c r="N96" s="169"/>
      <c r="O96" s="135"/>
    </row>
    <row r="97" spans="1:23" ht="18.600000000000001" customHeight="1">
      <c r="A97" s="196" t="s">
        <v>38</v>
      </c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8"/>
      <c r="O97" s="135"/>
    </row>
    <row r="98" spans="1:23" ht="18.600000000000001" customHeight="1">
      <c r="A98" s="17">
        <v>1</v>
      </c>
      <c r="B98" s="6" t="s">
        <v>104</v>
      </c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27">
        <v>4150</v>
      </c>
      <c r="O98" s="287"/>
    </row>
    <row r="99" spans="1:23" s="2" customFormat="1" ht="18.600000000000001" customHeight="1">
      <c r="A99" s="9">
        <v>2</v>
      </c>
      <c r="B99" s="10" t="s">
        <v>2</v>
      </c>
      <c r="C99" s="22">
        <f>L99/100*100</f>
        <v>80</v>
      </c>
      <c r="D99" s="23">
        <f>C99/100*60</f>
        <v>48</v>
      </c>
      <c r="E99" s="24">
        <f>C99/100*15</f>
        <v>12</v>
      </c>
      <c r="F99" s="24"/>
      <c r="G99" s="24"/>
      <c r="H99" s="24"/>
      <c r="I99" s="24"/>
      <c r="J99" s="26">
        <f>C99/100*387</f>
        <v>309.60000000000002</v>
      </c>
      <c r="K99" s="26">
        <f>C99/100*0.09</f>
        <v>7.1999999999999995E-2</v>
      </c>
      <c r="L99" s="266">
        <v>80</v>
      </c>
      <c r="M99" s="71">
        <v>20</v>
      </c>
      <c r="N99" s="27">
        <f>L99*M99</f>
        <v>1600</v>
      </c>
      <c r="O99" s="265"/>
    </row>
    <row r="100" spans="1:23" s="2" customFormat="1" ht="18.600000000000001" customHeight="1">
      <c r="A100" s="9">
        <v>3</v>
      </c>
      <c r="B100" s="75" t="s">
        <v>113</v>
      </c>
      <c r="C100" s="22">
        <f>L100/100*100</f>
        <v>500</v>
      </c>
      <c r="D100" s="23">
        <f>C100/100*899</f>
        <v>4495</v>
      </c>
      <c r="E100" s="24"/>
      <c r="F100" s="24"/>
      <c r="G100" s="24">
        <f>C100/100*100</f>
        <v>500</v>
      </c>
      <c r="H100" s="24"/>
      <c r="I100" s="24"/>
      <c r="J100" s="24"/>
      <c r="K100" s="24"/>
      <c r="L100" s="266">
        <v>500</v>
      </c>
      <c r="M100" s="23">
        <v>68</v>
      </c>
      <c r="N100" s="27">
        <f t="shared" ref="N100:N107" si="5">L100*M100</f>
        <v>34000</v>
      </c>
      <c r="O100" s="271"/>
    </row>
    <row r="101" spans="1:23" s="2" customFormat="1" ht="18.600000000000001" customHeight="1">
      <c r="A101" s="9">
        <v>4</v>
      </c>
      <c r="B101" s="5" t="s">
        <v>1</v>
      </c>
      <c r="C101" s="22">
        <f>L101/100*100</f>
        <v>2666</v>
      </c>
      <c r="D101" s="23">
        <f>C101/100*360</f>
        <v>9597.6</v>
      </c>
      <c r="E101" s="24"/>
      <c r="F101" s="24">
        <f>C101/100*7.9</f>
        <v>210.614</v>
      </c>
      <c r="G101" s="24"/>
      <c r="H101" s="24">
        <f>C101/100*1</f>
        <v>26.66</v>
      </c>
      <c r="I101" s="24">
        <f>C101/100*72.2</f>
        <v>1924.8520000000001</v>
      </c>
      <c r="J101" s="26">
        <f>C101/100*30</f>
        <v>799.8</v>
      </c>
      <c r="K101" s="26">
        <f>C101/100*0.1</f>
        <v>2.6660000000000004</v>
      </c>
      <c r="L101" s="266">
        <v>2666</v>
      </c>
      <c r="M101" s="71">
        <v>18</v>
      </c>
      <c r="N101" s="27">
        <f t="shared" si="5"/>
        <v>47988</v>
      </c>
      <c r="O101" s="265"/>
    </row>
    <row r="102" spans="1:23" s="2" customFormat="1" ht="18.600000000000001" customHeight="1">
      <c r="A102" s="9">
        <v>5</v>
      </c>
      <c r="B102" s="5" t="s">
        <v>81</v>
      </c>
      <c r="C102" s="22">
        <f>L102/100*81.7</f>
        <v>1111.1200000000001</v>
      </c>
      <c r="D102" s="23">
        <f>C102/100*27</f>
        <v>300.00240000000008</v>
      </c>
      <c r="E102" s="28"/>
      <c r="F102" s="28">
        <f>C102/100*0.3</f>
        <v>3.3333600000000003</v>
      </c>
      <c r="G102" s="28"/>
      <c r="H102" s="28">
        <f>C102/100*0.1</f>
        <v>1.1111200000000003</v>
      </c>
      <c r="I102" s="28">
        <f>C102/100*6.1</f>
        <v>67.778320000000008</v>
      </c>
      <c r="J102" s="69">
        <f>C102/100*24</f>
        <v>266.66880000000003</v>
      </c>
      <c r="K102" s="69">
        <f>C102/100*0.06</f>
        <v>0.66667200000000004</v>
      </c>
      <c r="L102" s="268">
        <v>1360</v>
      </c>
      <c r="M102" s="25">
        <v>22</v>
      </c>
      <c r="N102" s="27">
        <f t="shared" si="5"/>
        <v>29920</v>
      </c>
      <c r="O102" s="267"/>
      <c r="Q102" s="3"/>
      <c r="R102" s="3"/>
      <c r="S102" s="4"/>
    </row>
    <row r="103" spans="1:23" s="2" customFormat="1" ht="18.600000000000001" customHeight="1">
      <c r="A103" s="9">
        <v>6</v>
      </c>
      <c r="B103" s="5" t="s">
        <v>4</v>
      </c>
      <c r="C103" s="22">
        <f>L103/100*98.5</f>
        <v>492.5</v>
      </c>
      <c r="D103" s="23">
        <f>C103/100*39</f>
        <v>192.07499999999999</v>
      </c>
      <c r="E103" s="28"/>
      <c r="F103" s="28">
        <f>C103/100*1.5</f>
        <v>7.3874999999999993</v>
      </c>
      <c r="G103" s="28"/>
      <c r="H103" s="28">
        <f>C103/100*0.2</f>
        <v>0.98499999999999999</v>
      </c>
      <c r="I103" s="28">
        <f>C103/100*7.8</f>
        <v>38.414999999999999</v>
      </c>
      <c r="J103" s="69">
        <f>C103/100*43</f>
        <v>211.77500000000001</v>
      </c>
      <c r="K103" s="69">
        <f>C103/100*0.06</f>
        <v>0.29549999999999998</v>
      </c>
      <c r="L103" s="268">
        <v>500</v>
      </c>
      <c r="M103" s="25">
        <v>17</v>
      </c>
      <c r="N103" s="27">
        <f t="shared" si="5"/>
        <v>8500</v>
      </c>
      <c r="O103" s="267"/>
      <c r="Q103" s="3"/>
      <c r="R103" s="3"/>
      <c r="S103" s="4"/>
    </row>
    <row r="104" spans="1:23" s="2" customFormat="1" ht="18.600000000000001" customHeight="1">
      <c r="A104" s="9">
        <v>7</v>
      </c>
      <c r="B104" s="5" t="s">
        <v>110</v>
      </c>
      <c r="C104" s="22">
        <f>L104/100*100</f>
        <v>50</v>
      </c>
      <c r="D104" s="23">
        <f>C104/100*247</f>
        <v>123.5</v>
      </c>
      <c r="E104" s="28"/>
      <c r="F104" s="28">
        <f>C104/100*17.5</f>
        <v>8.75</v>
      </c>
      <c r="G104" s="28"/>
      <c r="H104" s="28">
        <f>C104/100*1.6</f>
        <v>0.8</v>
      </c>
      <c r="I104" s="28">
        <f>C104/100*39.2</f>
        <v>19.600000000000001</v>
      </c>
      <c r="J104" s="69"/>
      <c r="K104" s="69"/>
      <c r="L104" s="268">
        <v>50</v>
      </c>
      <c r="M104" s="71">
        <v>50</v>
      </c>
      <c r="N104" s="27">
        <f t="shared" si="5"/>
        <v>2500</v>
      </c>
      <c r="O104" s="267"/>
      <c r="Q104" s="3"/>
      <c r="R104" s="3"/>
      <c r="S104" s="4"/>
      <c r="T104" s="3"/>
    </row>
    <row r="105" spans="1:23" s="2" customFormat="1" ht="18.600000000000001" customHeight="1">
      <c r="A105" s="9">
        <v>8</v>
      </c>
      <c r="B105" s="10" t="s">
        <v>64</v>
      </c>
      <c r="C105" s="22">
        <f>L105/100*98</f>
        <v>499.79999999999995</v>
      </c>
      <c r="D105" s="23">
        <f>C105/100*139</f>
        <v>694.72199999999987</v>
      </c>
      <c r="E105" s="24">
        <f>C105/100*19</f>
        <v>94.961999999999989</v>
      </c>
      <c r="F105" s="24"/>
      <c r="G105" s="24">
        <f>C105/100*7</f>
        <v>34.985999999999997</v>
      </c>
      <c r="H105" s="24"/>
      <c r="I105" s="24"/>
      <c r="J105" s="24">
        <f>C105/100*7</f>
        <v>34.985999999999997</v>
      </c>
      <c r="K105" s="24">
        <f>C105/100*0.9</f>
        <v>4.4981999999999998</v>
      </c>
      <c r="L105" s="266">
        <v>510</v>
      </c>
      <c r="M105" s="71">
        <v>137</v>
      </c>
      <c r="N105" s="27">
        <f t="shared" si="5"/>
        <v>69870</v>
      </c>
      <c r="O105" s="267"/>
    </row>
    <row r="106" spans="1:23" s="2" customFormat="1" ht="18.600000000000001" customHeight="1">
      <c r="A106" s="9">
        <v>9</v>
      </c>
      <c r="B106" s="75" t="s">
        <v>3</v>
      </c>
      <c r="C106" s="22">
        <f>L106/100*98</f>
        <v>1891.4</v>
      </c>
      <c r="D106" s="23">
        <f>C106/100*118</f>
        <v>2231.8520000000003</v>
      </c>
      <c r="E106" s="24">
        <f>C106/100*21</f>
        <v>397.19400000000002</v>
      </c>
      <c r="F106" s="24"/>
      <c r="G106" s="24">
        <f>C106/100*3.8</f>
        <v>71.873199999999997</v>
      </c>
      <c r="H106" s="24"/>
      <c r="I106" s="24"/>
      <c r="J106" s="24">
        <f>C106/100*12</f>
        <v>226.96800000000002</v>
      </c>
      <c r="K106" s="24">
        <f>C106/100*0.1</f>
        <v>1.8914000000000002</v>
      </c>
      <c r="L106" s="266">
        <v>1930</v>
      </c>
      <c r="M106" s="71">
        <v>260</v>
      </c>
      <c r="N106" s="27">
        <f t="shared" si="5"/>
        <v>501800</v>
      </c>
      <c r="O106" s="267"/>
    </row>
    <row r="107" spans="1:23" s="2" customFormat="1" ht="18.600000000000001" customHeight="1">
      <c r="A107" s="9">
        <v>10</v>
      </c>
      <c r="B107" s="5" t="s">
        <v>20</v>
      </c>
      <c r="C107" s="22">
        <f>L107/100*95</f>
        <v>703</v>
      </c>
      <c r="D107" s="23">
        <f>C107/100*20</f>
        <v>140.6</v>
      </c>
      <c r="E107" s="24"/>
      <c r="F107" s="24">
        <f>C107/100*0.6</f>
        <v>4.218</v>
      </c>
      <c r="G107" s="24"/>
      <c r="H107" s="24">
        <f>C107/100*0.2</f>
        <v>1.4060000000000001</v>
      </c>
      <c r="I107" s="24">
        <f>C107/100*4</f>
        <v>28.12</v>
      </c>
      <c r="J107" s="69">
        <f>C107/100*12</f>
        <v>84.36</v>
      </c>
      <c r="K107" s="69">
        <f>C107/100*0.04</f>
        <v>0.28120000000000001</v>
      </c>
      <c r="L107" s="29">
        <v>740</v>
      </c>
      <c r="M107" s="71">
        <v>22</v>
      </c>
      <c r="N107" s="27">
        <f t="shared" si="5"/>
        <v>16280</v>
      </c>
      <c r="O107" s="267"/>
      <c r="Q107" s="3"/>
      <c r="R107" s="3"/>
    </row>
    <row r="108" spans="1:23" s="2" customFormat="1" ht="18.600000000000001" customHeight="1">
      <c r="A108" s="20" t="s">
        <v>101</v>
      </c>
      <c r="B108" s="21"/>
      <c r="C108" s="33"/>
      <c r="D108" s="103">
        <f>SUM(D98:D107)</f>
        <v>17823.3514</v>
      </c>
      <c r="E108" s="42"/>
      <c r="F108" s="42"/>
      <c r="G108" s="42"/>
      <c r="H108" s="42"/>
      <c r="I108" s="42"/>
      <c r="J108" s="42"/>
      <c r="K108" s="42"/>
      <c r="L108" s="43"/>
      <c r="M108" s="43"/>
      <c r="N108" s="151">
        <f>SUM(N98:N107)</f>
        <v>716608</v>
      </c>
      <c r="O108" s="267"/>
    </row>
    <row r="109" spans="1:23" ht="18.600000000000001" customHeight="1">
      <c r="A109" s="20" t="s">
        <v>36</v>
      </c>
      <c r="B109" s="21"/>
      <c r="C109" s="44"/>
      <c r="D109" s="45">
        <f>D108/D92</f>
        <v>318.27413214285713</v>
      </c>
      <c r="E109" s="45"/>
      <c r="F109" s="45"/>
      <c r="G109" s="45"/>
      <c r="H109" s="45"/>
      <c r="I109" s="45"/>
      <c r="J109" s="45"/>
      <c r="K109" s="45"/>
      <c r="L109" s="46"/>
      <c r="M109" s="46"/>
      <c r="N109" s="152"/>
      <c r="O109" s="4"/>
      <c r="P109" s="2"/>
      <c r="Q109" s="2"/>
      <c r="R109" s="2"/>
      <c r="S109" s="2"/>
      <c r="T109" s="2"/>
      <c r="U109" s="2"/>
      <c r="V109" s="2"/>
    </row>
    <row r="110" spans="1:23" ht="18.600000000000001" customHeight="1">
      <c r="A110" s="250" t="s">
        <v>52</v>
      </c>
      <c r="B110" s="184"/>
      <c r="C110" s="269" t="s">
        <v>119</v>
      </c>
      <c r="D110" s="19" t="s">
        <v>44</v>
      </c>
      <c r="E110" s="45"/>
      <c r="F110" s="45"/>
      <c r="G110" s="45"/>
      <c r="H110" s="45"/>
      <c r="I110" s="45"/>
      <c r="J110" s="47"/>
      <c r="K110" s="47"/>
      <c r="L110" s="46"/>
      <c r="M110" s="46"/>
      <c r="N110" s="136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8.600000000000001" customHeight="1">
      <c r="A111" s="185"/>
      <c r="B111" s="186"/>
      <c r="C111" s="72" t="s">
        <v>56</v>
      </c>
      <c r="D111" s="74">
        <f>D109*100/930</f>
        <v>34.223024961597538</v>
      </c>
      <c r="E111" s="45"/>
      <c r="F111" s="45"/>
      <c r="G111" s="45"/>
      <c r="H111" s="45"/>
      <c r="I111" s="45"/>
      <c r="J111" s="47"/>
      <c r="K111" s="47"/>
      <c r="L111" s="46"/>
      <c r="M111" s="46"/>
      <c r="N111" s="136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8.600000000000001" customHeight="1">
      <c r="A112" s="194" t="s">
        <v>37</v>
      </c>
      <c r="B112" s="194"/>
      <c r="C112" s="54"/>
      <c r="D112" s="55"/>
      <c r="E112" s="56"/>
      <c r="F112" s="56"/>
      <c r="G112" s="56"/>
      <c r="H112" s="56"/>
      <c r="I112" s="56"/>
      <c r="J112" s="56"/>
      <c r="K112" s="56"/>
      <c r="L112" s="57"/>
      <c r="M112" s="57"/>
      <c r="N112" s="58"/>
      <c r="O112" s="267"/>
    </row>
    <row r="113" spans="1:23" s="2" customFormat="1" ht="18.600000000000001" customHeight="1">
      <c r="A113" s="14">
        <v>1</v>
      </c>
      <c r="B113" s="6" t="s">
        <v>104</v>
      </c>
      <c r="C113" s="38"/>
      <c r="D113" s="288"/>
      <c r="E113" s="39"/>
      <c r="F113" s="39"/>
      <c r="G113" s="39"/>
      <c r="H113" s="39"/>
      <c r="I113" s="39"/>
      <c r="J113" s="39"/>
      <c r="K113" s="39"/>
      <c r="L113" s="40"/>
      <c r="M113" s="40"/>
      <c r="N113" s="41">
        <v>4150</v>
      </c>
      <c r="O113" s="267"/>
    </row>
    <row r="114" spans="1:23" s="2" customFormat="1" ht="18.600000000000001" customHeight="1">
      <c r="A114" s="9">
        <v>2</v>
      </c>
      <c r="B114" s="5" t="s">
        <v>1</v>
      </c>
      <c r="C114" s="22">
        <f>L114/100*100</f>
        <v>2604</v>
      </c>
      <c r="D114" s="23">
        <f>C114/100*360</f>
        <v>9374.4</v>
      </c>
      <c r="E114" s="24"/>
      <c r="F114" s="24">
        <f>C114/100*7.9</f>
        <v>205.71600000000001</v>
      </c>
      <c r="G114" s="24"/>
      <c r="H114" s="24">
        <f>C114/100*1</f>
        <v>26.04</v>
      </c>
      <c r="I114" s="24">
        <f>C114/100*72.2</f>
        <v>1880.088</v>
      </c>
      <c r="J114" s="26">
        <f>C114/100*30</f>
        <v>781.19999999999993</v>
      </c>
      <c r="K114" s="26">
        <f>C114/100*0.1</f>
        <v>2.6040000000000001</v>
      </c>
      <c r="L114" s="25">
        <v>2604</v>
      </c>
      <c r="M114" s="71">
        <v>18</v>
      </c>
      <c r="N114" s="116">
        <f>L114*M114</f>
        <v>46872</v>
      </c>
      <c r="O114" s="265"/>
    </row>
    <row r="115" spans="1:23" s="2" customFormat="1" ht="18.600000000000001" customHeight="1">
      <c r="A115" s="9">
        <v>3</v>
      </c>
      <c r="B115" s="10" t="s">
        <v>2</v>
      </c>
      <c r="C115" s="22">
        <f>L115/100*100</f>
        <v>80</v>
      </c>
      <c r="D115" s="23">
        <f>C115/100*60</f>
        <v>48</v>
      </c>
      <c r="E115" s="24">
        <f>C115/100*15</f>
        <v>12</v>
      </c>
      <c r="F115" s="24"/>
      <c r="G115" s="24"/>
      <c r="H115" s="24"/>
      <c r="I115" s="24"/>
      <c r="J115" s="26">
        <f>C115/100*387</f>
        <v>309.60000000000002</v>
      </c>
      <c r="K115" s="26">
        <f>C115/100*0.09</f>
        <v>7.1999999999999995E-2</v>
      </c>
      <c r="L115" s="25">
        <v>80</v>
      </c>
      <c r="M115" s="71">
        <v>20</v>
      </c>
      <c r="N115" s="116">
        <f t="shared" ref="N115:N121" si="6">L115*M115</f>
        <v>1600</v>
      </c>
      <c r="O115" s="265"/>
    </row>
    <row r="116" spans="1:23" s="2" customFormat="1" ht="18.600000000000001" customHeight="1">
      <c r="A116" s="9">
        <v>4</v>
      </c>
      <c r="B116" s="75" t="s">
        <v>113</v>
      </c>
      <c r="C116" s="22">
        <f>L116/100*100</f>
        <v>120</v>
      </c>
      <c r="D116" s="23">
        <f>C116/100*900</f>
        <v>1080</v>
      </c>
      <c r="E116" s="24"/>
      <c r="F116" s="24"/>
      <c r="G116" s="24">
        <f>C116/100*100</f>
        <v>120</v>
      </c>
      <c r="H116" s="24">
        <f>C116/100*100</f>
        <v>120</v>
      </c>
      <c r="I116" s="24"/>
      <c r="J116" s="26"/>
      <c r="K116" s="26"/>
      <c r="L116" s="25">
        <v>120</v>
      </c>
      <c r="M116" s="71">
        <v>68</v>
      </c>
      <c r="N116" s="116">
        <f t="shared" si="6"/>
        <v>8160</v>
      </c>
      <c r="O116" s="267"/>
    </row>
    <row r="117" spans="1:23" s="2" customFormat="1" ht="18.600000000000001" customHeight="1">
      <c r="A117" s="9">
        <v>5</v>
      </c>
      <c r="B117" s="10" t="s">
        <v>111</v>
      </c>
      <c r="C117" s="22">
        <f>L117/100*100</f>
        <v>220.00000000000003</v>
      </c>
      <c r="D117" s="23">
        <f>C117/100*53</f>
        <v>116.60000000000001</v>
      </c>
      <c r="E117" s="24"/>
      <c r="F117" s="24">
        <f>C117/100*6.3</f>
        <v>13.860000000000001</v>
      </c>
      <c r="G117" s="24"/>
      <c r="H117" s="24">
        <f>C117/100*0.04</f>
        <v>8.8000000000000009E-2</v>
      </c>
      <c r="I117" s="24">
        <f>C117/100*6.8</f>
        <v>14.96</v>
      </c>
      <c r="J117" s="26">
        <f>C117/100*19</f>
        <v>41.800000000000004</v>
      </c>
      <c r="K117" s="26">
        <f>C117/100*0.03</f>
        <v>6.6000000000000003E-2</v>
      </c>
      <c r="L117" s="25">
        <v>220</v>
      </c>
      <c r="M117" s="71">
        <v>42.5</v>
      </c>
      <c r="N117" s="116">
        <f t="shared" si="6"/>
        <v>9350</v>
      </c>
      <c r="O117" s="265"/>
    </row>
    <row r="118" spans="1:23" s="2" customFormat="1" ht="18.600000000000001" customHeight="1">
      <c r="A118" s="9">
        <v>6</v>
      </c>
      <c r="B118" s="5" t="s">
        <v>65</v>
      </c>
      <c r="C118" s="22">
        <f>L118/100*75</f>
        <v>1117.5</v>
      </c>
      <c r="D118" s="23">
        <f>C118/100*12</f>
        <v>134.10000000000002</v>
      </c>
      <c r="E118" s="24">
        <f>C118/100*0.6</f>
        <v>6.7050000000000001</v>
      </c>
      <c r="F118" s="24"/>
      <c r="G118" s="24"/>
      <c r="H118" s="24"/>
      <c r="I118" s="24">
        <f>C118/100*2.4</f>
        <v>26.82</v>
      </c>
      <c r="J118" s="26">
        <f>C118/100*26</f>
        <v>290.55</v>
      </c>
      <c r="K118" s="26">
        <f>C118/100*0.02</f>
        <v>0.22350000000000003</v>
      </c>
      <c r="L118" s="25">
        <v>1490</v>
      </c>
      <c r="M118" s="25">
        <v>25</v>
      </c>
      <c r="N118" s="116">
        <f t="shared" si="6"/>
        <v>37250</v>
      </c>
      <c r="O118" s="267"/>
    </row>
    <row r="119" spans="1:23" s="2" customFormat="1" ht="18.600000000000001" customHeight="1">
      <c r="A119" s="9">
        <v>7</v>
      </c>
      <c r="B119" s="5" t="s">
        <v>4</v>
      </c>
      <c r="C119" s="22">
        <f>L119/100*98.5</f>
        <v>492.5</v>
      </c>
      <c r="D119" s="23">
        <f>C119/100*39</f>
        <v>192.07499999999999</v>
      </c>
      <c r="E119" s="28"/>
      <c r="F119" s="28">
        <f>C119/100*1.5</f>
        <v>7.3874999999999993</v>
      </c>
      <c r="G119" s="289"/>
      <c r="H119" s="28">
        <f>C119/100*0.2</f>
        <v>0.98499999999999999</v>
      </c>
      <c r="I119" s="28">
        <f>C119/100*7.8</f>
        <v>38.414999999999999</v>
      </c>
      <c r="J119" s="69">
        <f>C119/100*43</f>
        <v>211.77500000000001</v>
      </c>
      <c r="K119" s="69">
        <f>C119/100*0.06</f>
        <v>0.29549999999999998</v>
      </c>
      <c r="L119" s="29">
        <v>500</v>
      </c>
      <c r="M119" s="25">
        <v>17</v>
      </c>
      <c r="N119" s="116">
        <f t="shared" si="6"/>
        <v>8500</v>
      </c>
      <c r="O119" s="267"/>
      <c r="Q119" s="3"/>
      <c r="R119" s="3"/>
      <c r="S119" s="4"/>
    </row>
    <row r="120" spans="1:23" s="2" customFormat="1" ht="18.600000000000001" customHeight="1">
      <c r="A120" s="9">
        <v>8</v>
      </c>
      <c r="B120" s="10" t="s">
        <v>60</v>
      </c>
      <c r="C120" s="22">
        <f>L120/100*40</f>
        <v>1616</v>
      </c>
      <c r="D120" s="23">
        <f>C120/100*276</f>
        <v>4460.16</v>
      </c>
      <c r="E120" s="24">
        <f>C120/100*17.8</f>
        <v>287.64800000000002</v>
      </c>
      <c r="F120" s="117"/>
      <c r="G120" s="24">
        <f>C120/100*21.8</f>
        <v>352.28800000000001</v>
      </c>
      <c r="H120" s="24"/>
      <c r="I120" s="24"/>
      <c r="J120" s="26">
        <f>C120/100*13</f>
        <v>210.08</v>
      </c>
      <c r="K120" s="26">
        <f>C120/100*0.07</f>
        <v>1.1312000000000002</v>
      </c>
      <c r="L120" s="25">
        <v>4040</v>
      </c>
      <c r="M120" s="71">
        <v>63</v>
      </c>
      <c r="N120" s="116">
        <f t="shared" si="6"/>
        <v>254520</v>
      </c>
      <c r="O120" s="267"/>
    </row>
    <row r="121" spans="1:23" s="2" customFormat="1" ht="18.600000000000001" customHeight="1">
      <c r="A121" s="9">
        <v>9</v>
      </c>
      <c r="B121" s="5" t="s">
        <v>110</v>
      </c>
      <c r="C121" s="22">
        <f>L121/100*100</f>
        <v>50</v>
      </c>
      <c r="D121" s="23">
        <f>C121/100*247</f>
        <v>123.5</v>
      </c>
      <c r="E121" s="28"/>
      <c r="F121" s="28">
        <f>C121/100*17.5</f>
        <v>8.75</v>
      </c>
      <c r="G121" s="28"/>
      <c r="H121" s="28">
        <f>C121/100*1.6</f>
        <v>0.8</v>
      </c>
      <c r="I121" s="28">
        <f>C121/100*39.2</f>
        <v>19.600000000000001</v>
      </c>
      <c r="J121" s="69"/>
      <c r="K121" s="69"/>
      <c r="L121" s="268">
        <v>50</v>
      </c>
      <c r="M121" s="71">
        <v>50</v>
      </c>
      <c r="N121" s="27">
        <f t="shared" si="6"/>
        <v>2500</v>
      </c>
      <c r="O121" s="267"/>
      <c r="Q121" s="3"/>
      <c r="R121" s="3"/>
      <c r="S121" s="4"/>
      <c r="T121" s="3"/>
    </row>
    <row r="122" spans="1:23" s="2" customFormat="1" ht="18.600000000000001" customHeight="1">
      <c r="A122" s="20" t="s">
        <v>102</v>
      </c>
      <c r="B122" s="21"/>
      <c r="C122" s="33"/>
      <c r="D122" s="103">
        <f>SUM(D113:D121)</f>
        <v>15528.835000000001</v>
      </c>
      <c r="E122" s="42"/>
      <c r="F122" s="42"/>
      <c r="G122" s="42"/>
      <c r="H122" s="42"/>
      <c r="I122" s="42"/>
      <c r="J122" s="42"/>
      <c r="K122" s="42"/>
      <c r="L122" s="43"/>
      <c r="M122" s="43"/>
      <c r="N122" s="151">
        <f>SUM(N113:N121)</f>
        <v>372902</v>
      </c>
      <c r="O122" s="267"/>
    </row>
    <row r="123" spans="1:23" ht="18.600000000000001" customHeight="1">
      <c r="A123" s="20" t="s">
        <v>35</v>
      </c>
      <c r="B123" s="21"/>
      <c r="C123" s="59"/>
      <c r="D123" s="47">
        <f>D122/D92</f>
        <v>277.30062500000003</v>
      </c>
      <c r="E123" s="47"/>
      <c r="F123" s="47"/>
      <c r="G123" s="47"/>
      <c r="H123" s="47"/>
      <c r="I123" s="47"/>
      <c r="J123" s="47"/>
      <c r="K123" s="47"/>
      <c r="L123" s="60"/>
      <c r="M123" s="46"/>
      <c r="N123" s="193"/>
      <c r="O123" s="4"/>
      <c r="P123" s="2"/>
      <c r="Q123" s="2"/>
      <c r="R123" s="2"/>
      <c r="S123" s="2"/>
      <c r="T123" s="2"/>
      <c r="U123" s="2"/>
      <c r="V123" s="2"/>
    </row>
    <row r="124" spans="1:23" ht="18.600000000000001" customHeight="1">
      <c r="A124" s="250" t="s">
        <v>53</v>
      </c>
      <c r="B124" s="184"/>
      <c r="C124" s="269" t="s">
        <v>119</v>
      </c>
      <c r="D124" s="19" t="s">
        <v>45</v>
      </c>
      <c r="E124" s="45"/>
      <c r="F124" s="45"/>
      <c r="G124" s="45"/>
      <c r="H124" s="45"/>
      <c r="I124" s="45"/>
      <c r="J124" s="47"/>
      <c r="K124" s="47"/>
      <c r="L124" s="46"/>
      <c r="M124" s="46"/>
      <c r="N124" s="136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.600000000000001" customHeight="1">
      <c r="A125" s="185"/>
      <c r="B125" s="186"/>
      <c r="C125" s="72" t="s">
        <v>56</v>
      </c>
      <c r="D125" s="74">
        <f>D123*100/930</f>
        <v>29.817271505376347</v>
      </c>
      <c r="E125" s="45"/>
      <c r="F125" s="45"/>
      <c r="G125" s="45"/>
      <c r="H125" s="45">
        <v>13</v>
      </c>
      <c r="I125" s="45"/>
      <c r="J125" s="47"/>
      <c r="K125" s="47"/>
      <c r="L125" s="46"/>
      <c r="M125" s="46"/>
      <c r="N125" s="136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.600000000000001" customHeight="1">
      <c r="A126" s="194" t="s">
        <v>34</v>
      </c>
      <c r="B126" s="194"/>
      <c r="C126" s="61"/>
      <c r="D126" s="62"/>
      <c r="E126" s="62"/>
      <c r="F126" s="62"/>
      <c r="G126" s="62"/>
      <c r="H126" s="62"/>
      <c r="I126" s="62"/>
      <c r="J126" s="62"/>
      <c r="K126" s="62"/>
      <c r="L126" s="63"/>
      <c r="M126" s="63"/>
      <c r="N126" s="64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8.600000000000001" customHeight="1">
      <c r="A127" s="88">
        <v>1</v>
      </c>
      <c r="B127" s="127" t="s">
        <v>117</v>
      </c>
      <c r="C127" s="89">
        <f>L127/100*100</f>
        <v>1060</v>
      </c>
      <c r="D127" s="90">
        <f>C127/100*487</f>
        <v>5162.2</v>
      </c>
      <c r="E127" s="91"/>
      <c r="F127" s="91">
        <f>C127/100*19.5</f>
        <v>206.7</v>
      </c>
      <c r="G127" s="91"/>
      <c r="H127" s="91">
        <f>C127/100*23.2</f>
        <v>245.92</v>
      </c>
      <c r="I127" s="91">
        <f>C127/100*46</f>
        <v>487.59999999999997</v>
      </c>
      <c r="J127" s="121">
        <f>C127/100*680</f>
        <v>7208</v>
      </c>
      <c r="K127" s="91">
        <f>C127/100*0.55</f>
        <v>5.83</v>
      </c>
      <c r="L127" s="92">
        <v>1060</v>
      </c>
      <c r="M127" s="128">
        <v>260</v>
      </c>
      <c r="N127" s="93">
        <f t="shared" ref="N127" si="7">L127*M127</f>
        <v>275600</v>
      </c>
      <c r="O127" s="267"/>
      <c r="P127" s="3"/>
    </row>
    <row r="128" spans="1:23" ht="19.2" customHeight="1">
      <c r="A128" s="167" t="s">
        <v>0</v>
      </c>
      <c r="B128" s="170" t="s">
        <v>19</v>
      </c>
      <c r="C128" s="173" t="s">
        <v>8</v>
      </c>
      <c r="D128" s="173" t="s">
        <v>9</v>
      </c>
      <c r="E128" s="176" t="s">
        <v>11</v>
      </c>
      <c r="F128" s="177"/>
      <c r="G128" s="176" t="s">
        <v>13</v>
      </c>
      <c r="H128" s="177"/>
      <c r="I128" s="180" t="s">
        <v>16</v>
      </c>
      <c r="J128" s="180" t="s">
        <v>40</v>
      </c>
      <c r="K128" s="180" t="s">
        <v>41</v>
      </c>
      <c r="L128" s="180" t="s">
        <v>17</v>
      </c>
      <c r="M128" s="180" t="s">
        <v>39</v>
      </c>
      <c r="N128" s="167" t="s">
        <v>18</v>
      </c>
      <c r="O128" s="263"/>
    </row>
    <row r="129" spans="1:23" ht="19.2" customHeight="1">
      <c r="A129" s="168"/>
      <c r="B129" s="171"/>
      <c r="C129" s="174"/>
      <c r="D129" s="174"/>
      <c r="E129" s="178"/>
      <c r="F129" s="179"/>
      <c r="G129" s="178"/>
      <c r="H129" s="179"/>
      <c r="I129" s="181"/>
      <c r="J129" s="181"/>
      <c r="K129" s="181"/>
      <c r="L129" s="181"/>
      <c r="M129" s="181"/>
      <c r="N129" s="168"/>
      <c r="O129" s="135"/>
    </row>
    <row r="130" spans="1:23" ht="19.2" customHeight="1">
      <c r="A130" s="168"/>
      <c r="B130" s="171"/>
      <c r="C130" s="174"/>
      <c r="D130" s="174"/>
      <c r="E130" s="180" t="s">
        <v>10</v>
      </c>
      <c r="F130" s="180" t="s">
        <v>12</v>
      </c>
      <c r="G130" s="180" t="s">
        <v>14</v>
      </c>
      <c r="H130" s="180" t="s">
        <v>15</v>
      </c>
      <c r="I130" s="181"/>
      <c r="J130" s="181"/>
      <c r="K130" s="181"/>
      <c r="L130" s="181"/>
      <c r="M130" s="181"/>
      <c r="N130" s="168"/>
      <c r="O130" s="135"/>
    </row>
    <row r="131" spans="1:23" ht="19.2" customHeight="1">
      <c r="A131" s="169"/>
      <c r="B131" s="172"/>
      <c r="C131" s="175"/>
      <c r="D131" s="175"/>
      <c r="E131" s="182"/>
      <c r="F131" s="182"/>
      <c r="G131" s="182"/>
      <c r="H131" s="182"/>
      <c r="I131" s="182"/>
      <c r="J131" s="182"/>
      <c r="K131" s="182"/>
      <c r="L131" s="182"/>
      <c r="M131" s="182"/>
      <c r="N131" s="169"/>
      <c r="O131" s="135"/>
    </row>
    <row r="132" spans="1:23" s="2" customFormat="1" ht="19.2" customHeight="1">
      <c r="A132" s="20" t="s">
        <v>89</v>
      </c>
      <c r="B132" s="21"/>
      <c r="C132" s="33"/>
      <c r="D132" s="34">
        <f>SUM(D126:D127)</f>
        <v>5162.2</v>
      </c>
      <c r="E132" s="42"/>
      <c r="F132" s="42"/>
      <c r="G132" s="42"/>
      <c r="H132" s="42"/>
      <c r="I132" s="42"/>
      <c r="J132" s="42"/>
      <c r="K132" s="42"/>
      <c r="L132" s="43"/>
      <c r="M132" s="43"/>
      <c r="N132" s="151">
        <f>SUM(N126:N127)</f>
        <v>275600</v>
      </c>
      <c r="O132" s="267"/>
    </row>
    <row r="133" spans="1:23" ht="19.2" customHeight="1">
      <c r="A133" s="20" t="s">
        <v>7</v>
      </c>
      <c r="B133" s="21"/>
      <c r="C133" s="44"/>
      <c r="D133" s="45">
        <f>D132/D92</f>
        <v>92.18214285714285</v>
      </c>
      <c r="E133" s="45"/>
      <c r="F133" s="45"/>
      <c r="G133" s="45"/>
      <c r="H133" s="45"/>
      <c r="I133" s="45"/>
      <c r="J133" s="45"/>
      <c r="K133" s="45"/>
      <c r="L133" s="46"/>
      <c r="M133" s="46"/>
      <c r="N133" s="152"/>
      <c r="O133" s="4"/>
      <c r="P133" s="2"/>
      <c r="Q133" s="2"/>
      <c r="R133" s="2"/>
      <c r="S133" s="2"/>
      <c r="T133" s="2"/>
      <c r="U133" s="2"/>
      <c r="V133" s="2"/>
    </row>
    <row r="134" spans="1:23" ht="19.2" customHeight="1">
      <c r="A134" s="250" t="s">
        <v>51</v>
      </c>
      <c r="B134" s="184"/>
      <c r="C134" s="269" t="s">
        <v>119</v>
      </c>
      <c r="D134" s="19" t="s">
        <v>49</v>
      </c>
      <c r="E134" s="45"/>
      <c r="F134" s="45"/>
      <c r="G134" s="45"/>
      <c r="H134" s="45"/>
      <c r="I134" s="45"/>
      <c r="J134" s="47"/>
      <c r="K134" s="47"/>
      <c r="L134" s="46"/>
      <c r="M134" s="46"/>
      <c r="N134" s="136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185"/>
      <c r="B135" s="186"/>
      <c r="C135" s="72" t="s">
        <v>56</v>
      </c>
      <c r="D135" s="19">
        <f>D133*100/930</f>
        <v>9.9120583717357889</v>
      </c>
      <c r="E135" s="45"/>
      <c r="F135" s="45"/>
      <c r="G135" s="45"/>
      <c r="H135" s="45"/>
      <c r="I135" s="45"/>
      <c r="J135" s="47"/>
      <c r="K135" s="47"/>
      <c r="L135" s="46"/>
      <c r="M135" s="46"/>
      <c r="N135" s="136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19.2" customHeight="1">
      <c r="A136" s="242" t="s">
        <v>90</v>
      </c>
      <c r="B136" s="243"/>
      <c r="C136" s="246"/>
      <c r="D136" s="258">
        <f>D108+D122+D132</f>
        <v>38514.386399999996</v>
      </c>
      <c r="E136" s="7">
        <f>SUM(E99:E126)</f>
        <v>810.50900000000001</v>
      </c>
      <c r="F136" s="7">
        <f>SUM(F98:F127)</f>
        <v>676.71636000000001</v>
      </c>
      <c r="G136" s="105">
        <f t="shared" ref="G136" si="8">SUM(G99:G126)</f>
        <v>1079.1471999999999</v>
      </c>
      <c r="H136" s="7">
        <f>SUM(H98:H127)</f>
        <v>437.79512</v>
      </c>
      <c r="I136" s="240">
        <f>SUM(I98:I127)</f>
        <v>4546.2483200000006</v>
      </c>
      <c r="J136" s="240">
        <f>SUM(J98:J127)</f>
        <v>10987.1628</v>
      </c>
      <c r="K136" s="240">
        <f>SUM(K98:K127)</f>
        <v>20.593172000000003</v>
      </c>
      <c r="L136" s="224"/>
      <c r="M136" s="224"/>
      <c r="N136" s="260">
        <f>N108+N122+N132</f>
        <v>1365110</v>
      </c>
      <c r="U136" s="12"/>
      <c r="V136" s="12"/>
    </row>
    <row r="137" spans="1:23" ht="19.2" customHeight="1">
      <c r="A137" s="244"/>
      <c r="B137" s="245"/>
      <c r="C137" s="247"/>
      <c r="D137" s="259"/>
      <c r="E137" s="251">
        <f>E136+F136</f>
        <v>1487.2253599999999</v>
      </c>
      <c r="F137" s="252"/>
      <c r="G137" s="251">
        <f>G136+H136</f>
        <v>1516.9423199999999</v>
      </c>
      <c r="H137" s="252"/>
      <c r="I137" s="241"/>
      <c r="J137" s="241"/>
      <c r="K137" s="241"/>
      <c r="L137" s="224"/>
      <c r="M137" s="224"/>
      <c r="N137" s="260"/>
      <c r="U137" s="12"/>
      <c r="V137" s="12"/>
    </row>
    <row r="138" spans="1:23" ht="19.2" customHeight="1">
      <c r="A138" s="225" t="s">
        <v>66</v>
      </c>
      <c r="B138" s="226"/>
      <c r="C138" s="227"/>
      <c r="D138" s="114">
        <f>D136/D92</f>
        <v>687.75689999999997</v>
      </c>
      <c r="E138" s="290">
        <f>E136/D92</f>
        <v>14.473375000000001</v>
      </c>
      <c r="F138" s="274">
        <f>F136/D92</f>
        <v>12.084220714285715</v>
      </c>
      <c r="G138" s="290">
        <f>G136/D92</f>
        <v>19.270485714285712</v>
      </c>
      <c r="H138" s="274">
        <f>H136/D92</f>
        <v>7.8177700000000003</v>
      </c>
      <c r="I138" s="256">
        <f>I136/D92</f>
        <v>81.183005714285727</v>
      </c>
      <c r="J138" s="256">
        <f>J136/D92</f>
        <v>196.19933571428572</v>
      </c>
      <c r="K138" s="256">
        <f>K136/D92</f>
        <v>0.36773521428571432</v>
      </c>
      <c r="L138" s="224"/>
      <c r="M138" s="224"/>
      <c r="N138" s="260"/>
      <c r="P138" s="293"/>
      <c r="Q138" s="294"/>
      <c r="R138" s="294"/>
      <c r="S138" s="294"/>
      <c r="T138" s="294"/>
      <c r="U138" s="295"/>
      <c r="V138" s="295"/>
      <c r="W138" s="293"/>
    </row>
    <row r="139" spans="1:23" ht="19.2" customHeight="1">
      <c r="A139" s="228"/>
      <c r="B139" s="229"/>
      <c r="C139" s="230"/>
      <c r="D139" s="109"/>
      <c r="E139" s="275">
        <f>E138+F138</f>
        <v>26.557595714285718</v>
      </c>
      <c r="F139" s="276"/>
      <c r="G139" s="275">
        <f>G138+H138</f>
        <v>27.088255714285712</v>
      </c>
      <c r="H139" s="276"/>
      <c r="I139" s="257"/>
      <c r="J139" s="257"/>
      <c r="K139" s="257"/>
      <c r="L139" s="224"/>
      <c r="M139" s="224"/>
      <c r="N139" s="260"/>
      <c r="P139" s="296"/>
      <c r="Q139" s="294"/>
      <c r="R139" s="294"/>
      <c r="S139" s="297"/>
      <c r="T139" s="297"/>
      <c r="U139" s="294"/>
      <c r="V139" s="294"/>
      <c r="W139" s="293"/>
    </row>
    <row r="140" spans="1:23" ht="19.2" customHeight="1">
      <c r="A140" s="277" t="s">
        <v>69</v>
      </c>
      <c r="B140" s="278"/>
      <c r="C140" s="279"/>
      <c r="D140" s="280" t="s">
        <v>29</v>
      </c>
      <c r="E140" s="291" t="s">
        <v>24</v>
      </c>
      <c r="F140" s="291"/>
      <c r="G140" s="291" t="s">
        <v>25</v>
      </c>
      <c r="H140" s="291"/>
      <c r="I140" s="280" t="s">
        <v>26</v>
      </c>
      <c r="J140" s="133">
        <v>500</v>
      </c>
      <c r="K140" s="133">
        <v>0.5</v>
      </c>
      <c r="L140" s="224"/>
      <c r="M140" s="224"/>
      <c r="N140" s="260"/>
      <c r="O140" s="282"/>
      <c r="P140" s="293"/>
      <c r="Q140" s="298"/>
      <c r="R140" s="298"/>
      <c r="S140" s="298"/>
      <c r="T140" s="298"/>
      <c r="U140" s="293"/>
      <c r="V140" s="293"/>
      <c r="W140" s="293"/>
    </row>
    <row r="141" spans="1:23" ht="19.2" customHeight="1">
      <c r="A141" s="201" t="s">
        <v>67</v>
      </c>
      <c r="B141" s="231"/>
      <c r="C141" s="202"/>
      <c r="D141" s="48"/>
      <c r="E141" s="232">
        <f>E139*4.1</f>
        <v>108.88614242857143</v>
      </c>
      <c r="F141" s="233"/>
      <c r="G141" s="232">
        <f>G139*9</f>
        <v>243.7943014285714</v>
      </c>
      <c r="H141" s="233"/>
      <c r="I141" s="77">
        <f>I138*4.1</f>
        <v>332.85032342857147</v>
      </c>
      <c r="J141" s="213"/>
      <c r="K141" s="213"/>
      <c r="L141" s="224"/>
      <c r="M141" s="224"/>
      <c r="N141" s="260"/>
      <c r="O141" s="282"/>
      <c r="P141" s="299"/>
      <c r="Q141" s="293"/>
      <c r="R141" s="293"/>
      <c r="S141" s="293"/>
      <c r="T141" s="293"/>
      <c r="U141" s="293"/>
      <c r="V141" s="293"/>
      <c r="W141" s="293"/>
    </row>
    <row r="142" spans="1:23" ht="19.2" customHeight="1">
      <c r="A142" s="234" t="s">
        <v>76</v>
      </c>
      <c r="B142" s="235"/>
      <c r="C142" s="201" t="s">
        <v>55</v>
      </c>
      <c r="D142" s="202"/>
      <c r="E142" s="147">
        <f>E141*100/D138</f>
        <v>15.832068341091372</v>
      </c>
      <c r="F142" s="148"/>
      <c r="G142" s="147">
        <f>G141*100/D138</f>
        <v>35.447743443733017</v>
      </c>
      <c r="H142" s="148"/>
      <c r="I142" s="98">
        <f>I141*100/D138</f>
        <v>48.396508043550199</v>
      </c>
      <c r="J142" s="214"/>
      <c r="K142" s="214"/>
      <c r="L142" s="224"/>
      <c r="M142" s="224"/>
      <c r="N142" s="260"/>
      <c r="O142" s="282"/>
      <c r="P142" s="293"/>
      <c r="Q142" s="293"/>
      <c r="R142" s="293"/>
      <c r="S142" s="293"/>
      <c r="T142" s="293"/>
      <c r="U142" s="293"/>
      <c r="V142" s="293"/>
      <c r="W142" s="293"/>
    </row>
    <row r="143" spans="1:23" ht="19.2" customHeight="1">
      <c r="A143" s="236"/>
      <c r="B143" s="237"/>
      <c r="C143" s="201" t="s">
        <v>68</v>
      </c>
      <c r="D143" s="202"/>
      <c r="E143" s="201" t="s">
        <v>71</v>
      </c>
      <c r="F143" s="202"/>
      <c r="G143" s="201" t="s">
        <v>74</v>
      </c>
      <c r="H143" s="202"/>
      <c r="I143" s="280" t="s">
        <v>75</v>
      </c>
      <c r="J143" s="215"/>
      <c r="K143" s="215"/>
      <c r="L143" s="224"/>
      <c r="M143" s="224"/>
      <c r="N143" s="260"/>
      <c r="O143" s="282"/>
      <c r="P143" s="299"/>
      <c r="Q143" s="293"/>
      <c r="R143" s="293"/>
      <c r="S143" s="293"/>
      <c r="T143" s="293"/>
      <c r="U143" s="293"/>
      <c r="V143" s="293"/>
      <c r="W143" s="293"/>
    </row>
    <row r="144" spans="1:23" ht="18" customHeight="1">
      <c r="A144" s="81"/>
      <c r="B144" s="84"/>
      <c r="C144" s="81"/>
      <c r="D144" s="81"/>
      <c r="E144" s="81"/>
      <c r="F144" s="81"/>
      <c r="G144" s="81"/>
      <c r="H144" s="81"/>
      <c r="I144" s="81"/>
      <c r="J144" s="81"/>
      <c r="K144" s="81"/>
      <c r="L144" s="82"/>
      <c r="M144" s="82"/>
      <c r="N144" s="83"/>
      <c r="O144" s="282"/>
    </row>
    <row r="145" spans="1:15" ht="21" customHeight="1">
      <c r="A145" s="142" t="s">
        <v>97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282"/>
    </row>
    <row r="146" spans="1:15" ht="21" customHeight="1">
      <c r="A146" s="99" t="s">
        <v>98</v>
      </c>
      <c r="B146" s="143" t="s">
        <v>99</v>
      </c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282"/>
    </row>
    <row r="147" spans="1:15" ht="21" customHeight="1">
      <c r="A147" s="100"/>
      <c r="B147" s="144" t="s">
        <v>143</v>
      </c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282"/>
    </row>
    <row r="148" spans="1:15" ht="21" customHeight="1">
      <c r="A148" s="100"/>
      <c r="B148" s="144" t="s">
        <v>144</v>
      </c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282"/>
    </row>
    <row r="149" spans="1:15" ht="21" customHeight="1">
      <c r="A149" s="100"/>
      <c r="B149" s="144" t="s">
        <v>145</v>
      </c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282"/>
    </row>
    <row r="150" spans="1:15" ht="21" customHeight="1">
      <c r="A150" s="81"/>
      <c r="B150" s="145" t="s">
        <v>107</v>
      </c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282"/>
    </row>
    <row r="151" spans="1:15" ht="21" customHeight="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5"/>
      <c r="M151" s="85"/>
      <c r="N151" s="86"/>
      <c r="O151" s="282"/>
    </row>
    <row r="152" spans="1:15" ht="21" customHeight="1">
      <c r="A152" s="146" t="s">
        <v>58</v>
      </c>
      <c r="B152" s="146"/>
      <c r="C152" s="146"/>
      <c r="D152" s="146"/>
      <c r="E152" s="283"/>
      <c r="F152" s="283"/>
      <c r="G152" s="283"/>
      <c r="H152" s="283"/>
      <c r="I152" s="283"/>
      <c r="J152" s="284" t="s">
        <v>32</v>
      </c>
      <c r="K152" s="284"/>
      <c r="L152" s="284"/>
      <c r="M152" s="284"/>
      <c r="N152" s="284"/>
      <c r="O152" s="282"/>
    </row>
    <row r="153" spans="1:15" ht="21" customHeight="1">
      <c r="A153" s="135"/>
      <c r="B153" s="135"/>
      <c r="C153" s="135"/>
      <c r="D153" s="283"/>
      <c r="E153" s="283"/>
      <c r="F153" s="283"/>
      <c r="G153" s="283"/>
      <c r="H153" s="285"/>
      <c r="I153" s="285"/>
      <c r="J153" s="285"/>
      <c r="K153" s="285"/>
      <c r="L153" s="285"/>
      <c r="M153" s="285"/>
      <c r="N153" s="285"/>
      <c r="O153" s="282"/>
    </row>
    <row r="154" spans="1:15" ht="21" customHeight="1">
      <c r="A154" s="135"/>
      <c r="B154" s="135"/>
      <c r="C154" s="135"/>
      <c r="D154" s="283"/>
      <c r="E154" s="283"/>
      <c r="F154" s="283"/>
      <c r="G154" s="283"/>
      <c r="H154" s="285"/>
      <c r="I154" s="285"/>
      <c r="J154" s="285"/>
      <c r="K154" s="285"/>
      <c r="L154" s="285"/>
      <c r="M154" s="285"/>
      <c r="N154" s="285"/>
      <c r="O154" s="282"/>
    </row>
    <row r="155" spans="1:15" ht="21" customHeight="1">
      <c r="A155" s="135"/>
      <c r="B155" s="135"/>
      <c r="C155" s="135"/>
      <c r="D155" s="283"/>
      <c r="E155" s="283"/>
      <c r="F155" s="283"/>
      <c r="G155" s="283"/>
      <c r="H155" s="285"/>
      <c r="I155" s="285"/>
      <c r="J155" s="286" t="s">
        <v>105</v>
      </c>
      <c r="K155" s="286"/>
      <c r="L155" s="286"/>
      <c r="M155" s="286"/>
      <c r="N155" s="286"/>
      <c r="O155" s="282"/>
    </row>
    <row r="156" spans="1:15" ht="21" customHeight="1">
      <c r="A156" s="138" t="s">
        <v>80</v>
      </c>
      <c r="B156" s="138"/>
      <c r="C156" s="138"/>
      <c r="D156" s="138"/>
      <c r="E156" s="283"/>
      <c r="F156" s="283"/>
      <c r="G156" s="283"/>
      <c r="H156" s="285"/>
      <c r="I156" s="285"/>
      <c r="J156" s="286"/>
      <c r="K156" s="286"/>
      <c r="L156" s="286"/>
      <c r="M156" s="286"/>
      <c r="N156" s="286"/>
      <c r="O156" s="282"/>
    </row>
    <row r="157" spans="1:15" ht="21" customHeight="1"/>
    <row r="158" spans="1:15" ht="21" customHeight="1">
      <c r="J158" s="286" t="s">
        <v>106</v>
      </c>
      <c r="K158" s="286"/>
      <c r="L158" s="286"/>
      <c r="M158" s="286"/>
      <c r="N158" s="286"/>
    </row>
  </sheetData>
  <mergeCells count="203">
    <mergeCell ref="A8:D8"/>
    <mergeCell ref="J155:N155"/>
    <mergeCell ref="A156:D156"/>
    <mergeCell ref="J158:N158"/>
    <mergeCell ref="Q138:R138"/>
    <mergeCell ref="S138:T138"/>
    <mergeCell ref="U138:V138"/>
    <mergeCell ref="Q139:R139"/>
    <mergeCell ref="S139:T139"/>
    <mergeCell ref="U139:V139"/>
    <mergeCell ref="A140:C140"/>
    <mergeCell ref="A141:C141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6:N156"/>
    <mergeCell ref="B146:N146"/>
    <mergeCell ref="B147:N147"/>
    <mergeCell ref="B148:N148"/>
    <mergeCell ref="N132:N133"/>
    <mergeCell ref="A136:B137"/>
    <mergeCell ref="C136:C137"/>
    <mergeCell ref="D136:D137"/>
    <mergeCell ref="L136:L143"/>
    <mergeCell ref="M136:M143"/>
    <mergeCell ref="N136:N143"/>
    <mergeCell ref="A138:C139"/>
    <mergeCell ref="I138:I139"/>
    <mergeCell ref="J138:J139"/>
    <mergeCell ref="K138:K139"/>
    <mergeCell ref="A134:B135"/>
    <mergeCell ref="A145:N145"/>
    <mergeCell ref="A112:B112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F83:N83"/>
    <mergeCell ref="A87:D88"/>
    <mergeCell ref="E87:N87"/>
    <mergeCell ref="E88:I88"/>
    <mergeCell ref="E89:I91"/>
    <mergeCell ref="A90:D90"/>
    <mergeCell ref="J90:N90"/>
    <mergeCell ref="A91:D91"/>
    <mergeCell ref="J91:N91"/>
    <mergeCell ref="A89:D89"/>
    <mergeCell ref="Q53:R53"/>
    <mergeCell ref="S53:T53"/>
    <mergeCell ref="U53:V53"/>
    <mergeCell ref="A56:C56"/>
    <mergeCell ref="J56:J58"/>
    <mergeCell ref="K56:K58"/>
    <mergeCell ref="A57:B58"/>
    <mergeCell ref="C58:D58"/>
    <mergeCell ref="E58:F58"/>
    <mergeCell ref="G58:H58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C57:D57"/>
    <mergeCell ref="L43:L46"/>
    <mergeCell ref="M43:M46"/>
    <mergeCell ref="N43:N46"/>
    <mergeCell ref="E45:E46"/>
    <mergeCell ref="F45:F46"/>
    <mergeCell ref="G45:G46"/>
    <mergeCell ref="H45:H46"/>
    <mergeCell ref="N47:N48"/>
    <mergeCell ref="A49:B50"/>
    <mergeCell ref="D11:D14"/>
    <mergeCell ref="E11:F12"/>
    <mergeCell ref="G11:H12"/>
    <mergeCell ref="I11:I14"/>
    <mergeCell ref="J11:J14"/>
    <mergeCell ref="K11:K14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U52:V52"/>
    <mergeCell ref="G54:H54"/>
    <mergeCell ref="F1:N1"/>
    <mergeCell ref="E54:F54"/>
    <mergeCell ref="G57:H57"/>
    <mergeCell ref="E55:F55"/>
    <mergeCell ref="E140:F140"/>
    <mergeCell ref="G140:H140"/>
    <mergeCell ref="E141:F141"/>
    <mergeCell ref="G141:H141"/>
    <mergeCell ref="E56:F56"/>
    <mergeCell ref="I136:I137"/>
    <mergeCell ref="E137:F137"/>
    <mergeCell ref="G137:H137"/>
    <mergeCell ref="Q52:R52"/>
    <mergeCell ref="S52:T52"/>
    <mergeCell ref="E139:F139"/>
    <mergeCell ref="G139:H139"/>
    <mergeCell ref="J88:N88"/>
    <mergeCell ref="J89:N89"/>
    <mergeCell ref="J136:J137"/>
    <mergeCell ref="K136:K137"/>
    <mergeCell ref="E57:F57"/>
    <mergeCell ref="A60:N60"/>
    <mergeCell ref="J74:N74"/>
    <mergeCell ref="A5:D5"/>
    <mergeCell ref="A6:D6"/>
    <mergeCell ref="A7:D7"/>
    <mergeCell ref="A55:C55"/>
    <mergeCell ref="G56:H56"/>
    <mergeCell ref="E5:N5"/>
    <mergeCell ref="E6:I9"/>
    <mergeCell ref="J6:N9"/>
    <mergeCell ref="A9:D9"/>
    <mergeCell ref="A10:C10"/>
    <mergeCell ref="G55:H55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11:A14"/>
    <mergeCell ref="B11:B14"/>
    <mergeCell ref="C11:C14"/>
    <mergeCell ref="B61:N61"/>
    <mergeCell ref="B62:N62"/>
    <mergeCell ref="B63:N63"/>
    <mergeCell ref="B64:N64"/>
    <mergeCell ref="J70:N70"/>
    <mergeCell ref="J73:N73"/>
    <mergeCell ref="B65:N65"/>
    <mergeCell ref="A67:D67"/>
    <mergeCell ref="J67:N67"/>
    <mergeCell ref="A71:D71"/>
    <mergeCell ref="J71:N71"/>
    <mergeCell ref="B149:N149"/>
    <mergeCell ref="B150:N150"/>
    <mergeCell ref="A152:D152"/>
    <mergeCell ref="J152:N152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08:N109"/>
    <mergeCell ref="A110:B111"/>
  </mergeCells>
  <pageMargins left="0.15" right="0.10833333333333334" top="0.42708333333333331" bottom="0.395833333333333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T2-T3</vt:lpstr>
      <vt:lpstr>T3-T3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2026-03-31T04:02:40Z</cp:lastPrinted>
  <dcterms:created xsi:type="dcterms:W3CDTF">2015-10-28T22:11:29Z</dcterms:created>
  <dcterms:modified xsi:type="dcterms:W3CDTF">2026-04-01T00:28:28Z</dcterms:modified>
</cp:coreProperties>
</file>