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T2-T3" sheetId="12" r:id="rId1"/>
    <sheet name="T3-T3" sheetId="15" r:id="rId2"/>
    <sheet name="T4-T3" sheetId="16" r:id="rId3"/>
    <sheet name="T5-T3" sheetId="17" r:id="rId4"/>
    <sheet name="T6-T3" sheetId="18" r:id="rId5"/>
    <sheet name="T7-T3" sheetId="19" r:id="rId6"/>
  </sheets>
  <calcPr calcId="124519"/>
</workbook>
</file>

<file path=xl/calcChain.xml><?xml version="1.0" encoding="utf-8"?>
<calcChain xmlns="http://schemas.openxmlformats.org/spreadsheetml/2006/main">
  <c r="I21" i="16"/>
  <c r="I34"/>
  <c r="D114" i="15"/>
  <c r="D101"/>
  <c r="D18" i="12"/>
  <c r="N102" i="19"/>
  <c r="I102"/>
  <c r="C102"/>
  <c r="D102" s="1"/>
  <c r="C22"/>
  <c r="F22" s="1"/>
  <c r="N108" i="18"/>
  <c r="K108"/>
  <c r="J108"/>
  <c r="I108"/>
  <c r="F108"/>
  <c r="C108"/>
  <c r="H108" s="1"/>
  <c r="K24"/>
  <c r="J24"/>
  <c r="I24"/>
  <c r="H24"/>
  <c r="F24"/>
  <c r="D24"/>
  <c r="C24"/>
  <c r="C21"/>
  <c r="J21" s="1"/>
  <c r="F102" i="19" l="1"/>
  <c r="J102"/>
  <c r="D22"/>
  <c r="I22"/>
  <c r="K22"/>
  <c r="J22"/>
  <c r="H22"/>
  <c r="D108" i="18"/>
  <c r="H21"/>
  <c r="D21"/>
  <c r="I21"/>
  <c r="F21"/>
  <c r="K21"/>
  <c r="K102" i="19"/>
  <c r="H102"/>
  <c r="N105" i="17"/>
  <c r="C105"/>
  <c r="F105" s="1"/>
  <c r="N104"/>
  <c r="C104"/>
  <c r="F104" s="1"/>
  <c r="N103"/>
  <c r="J103"/>
  <c r="C103"/>
  <c r="G103" s="1"/>
  <c r="C40"/>
  <c r="D40" s="1"/>
  <c r="C39"/>
  <c r="H39" s="1"/>
  <c r="C38"/>
  <c r="E38" s="1"/>
  <c r="J24"/>
  <c r="I24"/>
  <c r="C24"/>
  <c r="D24" s="1"/>
  <c r="C23"/>
  <c r="F23" s="1"/>
  <c r="C20"/>
  <c r="D20" s="1"/>
  <c r="N40"/>
  <c r="N39"/>
  <c r="N37"/>
  <c r="C37"/>
  <c r="F37" s="1"/>
  <c r="J105" l="1"/>
  <c r="I40"/>
  <c r="H40"/>
  <c r="F40"/>
  <c r="K40"/>
  <c r="J40"/>
  <c r="F39"/>
  <c r="K37"/>
  <c r="J37"/>
  <c r="I37"/>
  <c r="D37"/>
  <c r="F24"/>
  <c r="D105"/>
  <c r="I104"/>
  <c r="D104"/>
  <c r="K104"/>
  <c r="J104"/>
  <c r="K105"/>
  <c r="H104"/>
  <c r="I105"/>
  <c r="I103"/>
  <c r="E103"/>
  <c r="D103"/>
  <c r="K103"/>
  <c r="D39"/>
  <c r="K39"/>
  <c r="J39"/>
  <c r="I39"/>
  <c r="K38"/>
  <c r="J38"/>
  <c r="G38"/>
  <c r="D38"/>
  <c r="K23"/>
  <c r="J23"/>
  <c r="I23"/>
  <c r="D23"/>
  <c r="H23"/>
  <c r="K20"/>
  <c r="J20"/>
  <c r="I20"/>
  <c r="G20"/>
  <c r="E20"/>
  <c r="N38" l="1"/>
  <c r="N107" i="12"/>
  <c r="C107"/>
  <c r="F107" s="1"/>
  <c r="I23"/>
  <c r="C23"/>
  <c r="J23" s="1"/>
  <c r="F23" l="1"/>
  <c r="D23"/>
  <c r="K23"/>
  <c r="I107"/>
  <c r="K107"/>
  <c r="J107"/>
  <c r="D107"/>
  <c r="N101" l="1"/>
  <c r="C101"/>
  <c r="D101" s="1"/>
  <c r="N19"/>
  <c r="K19"/>
  <c r="J19"/>
  <c r="I19"/>
  <c r="C19"/>
  <c r="D19" s="1"/>
  <c r="K101" l="1"/>
  <c r="J101"/>
  <c r="I101"/>
  <c r="N24" i="18"/>
  <c r="N102" i="16"/>
  <c r="C102"/>
  <c r="F102" s="1"/>
  <c r="C25"/>
  <c r="D25" s="1"/>
  <c r="N124" i="12"/>
  <c r="C124"/>
  <c r="H124" s="1"/>
  <c r="C39"/>
  <c r="D39" s="1"/>
  <c r="C130" i="18"/>
  <c r="J130" s="1"/>
  <c r="N130"/>
  <c r="C131"/>
  <c r="I131" s="1"/>
  <c r="N131"/>
  <c r="C132"/>
  <c r="F132" s="1"/>
  <c r="N132"/>
  <c r="C133"/>
  <c r="E133" s="1"/>
  <c r="N133"/>
  <c r="C134"/>
  <c r="I134" s="1"/>
  <c r="N134"/>
  <c r="N117" i="19"/>
  <c r="C117"/>
  <c r="D117" s="1"/>
  <c r="N116"/>
  <c r="C116"/>
  <c r="D116" s="1"/>
  <c r="N115"/>
  <c r="C115"/>
  <c r="D115" s="1"/>
  <c r="N101"/>
  <c r="C101"/>
  <c r="F101" s="1"/>
  <c r="N37"/>
  <c r="C37"/>
  <c r="F37" s="1"/>
  <c r="N39"/>
  <c r="C39"/>
  <c r="N38"/>
  <c r="C38"/>
  <c r="D38" s="1"/>
  <c r="N21"/>
  <c r="C21"/>
  <c r="F21" s="1"/>
  <c r="F115" l="1"/>
  <c r="H115"/>
  <c r="D39"/>
  <c r="E39"/>
  <c r="F124" i="12"/>
  <c r="E116" i="19"/>
  <c r="D102" i="16"/>
  <c r="K102"/>
  <c r="J102"/>
  <c r="I102"/>
  <c r="H102"/>
  <c r="K25"/>
  <c r="J25"/>
  <c r="I25"/>
  <c r="H25"/>
  <c r="F25"/>
  <c r="J124" i="12"/>
  <c r="I124"/>
  <c r="D124"/>
  <c r="K124"/>
  <c r="K39"/>
  <c r="J39"/>
  <c r="H39"/>
  <c r="I39"/>
  <c r="F39"/>
  <c r="H130" i="18"/>
  <c r="K130"/>
  <c r="D130"/>
  <c r="F130"/>
  <c r="I130"/>
  <c r="G133"/>
  <c r="I132"/>
  <c r="J133"/>
  <c r="K133"/>
  <c r="J132"/>
  <c r="K132"/>
  <c r="H132"/>
  <c r="F131"/>
  <c r="D131"/>
  <c r="D134"/>
  <c r="F134"/>
  <c r="D133"/>
  <c r="D132"/>
  <c r="G116" i="19"/>
  <c r="J115"/>
  <c r="K115"/>
  <c r="I115"/>
  <c r="K117"/>
  <c r="J117"/>
  <c r="G117"/>
  <c r="K116"/>
  <c r="J116"/>
  <c r="E117"/>
  <c r="D101"/>
  <c r="J101"/>
  <c r="H101"/>
  <c r="K101"/>
  <c r="I101"/>
  <c r="J38"/>
  <c r="E38"/>
  <c r="D37"/>
  <c r="K38"/>
  <c r="H37"/>
  <c r="K37"/>
  <c r="J37"/>
  <c r="I37"/>
  <c r="J39"/>
  <c r="K39"/>
  <c r="G39"/>
  <c r="G38"/>
  <c r="D21"/>
  <c r="K21"/>
  <c r="J21"/>
  <c r="I21"/>
  <c r="H21"/>
  <c r="N107" i="18"/>
  <c r="C107"/>
  <c r="D107" s="1"/>
  <c r="N106"/>
  <c r="C106"/>
  <c r="D106" s="1"/>
  <c r="N39"/>
  <c r="C39"/>
  <c r="D39" s="1"/>
  <c r="N44"/>
  <c r="C44"/>
  <c r="F44" s="1"/>
  <c r="N41"/>
  <c r="C41"/>
  <c r="F41" s="1"/>
  <c r="N42"/>
  <c r="C42"/>
  <c r="E42" s="1"/>
  <c r="N38"/>
  <c r="C38"/>
  <c r="D38" s="1"/>
  <c r="D139" l="1"/>
  <c r="F106"/>
  <c r="F107"/>
  <c r="F39"/>
  <c r="I107"/>
  <c r="I44"/>
  <c r="I106"/>
  <c r="K106"/>
  <c r="K107"/>
  <c r="J106"/>
  <c r="J107"/>
  <c r="H106"/>
  <c r="H107"/>
  <c r="D44"/>
  <c r="I39"/>
  <c r="K41"/>
  <c r="J41"/>
  <c r="I41"/>
  <c r="D41"/>
  <c r="H41"/>
  <c r="D42"/>
  <c r="K42"/>
  <c r="J42"/>
  <c r="G42"/>
  <c r="K38"/>
  <c r="J38"/>
  <c r="I38"/>
  <c r="H38"/>
  <c r="F38"/>
  <c r="N23" l="1"/>
  <c r="C23"/>
  <c r="D23" s="1"/>
  <c r="N22"/>
  <c r="C22"/>
  <c r="F22" s="1"/>
  <c r="N24" i="17"/>
  <c r="N23"/>
  <c r="N20"/>
  <c r="D22" i="18" l="1"/>
  <c r="K23"/>
  <c r="J23"/>
  <c r="F23"/>
  <c r="K22"/>
  <c r="I23"/>
  <c r="H23"/>
  <c r="J22"/>
  <c r="I22"/>
  <c r="H22"/>
  <c r="K24" i="17"/>
  <c r="N124" i="16" l="1"/>
  <c r="C124"/>
  <c r="D124" s="1"/>
  <c r="N41"/>
  <c r="C41"/>
  <c r="F41" s="1"/>
  <c r="N25"/>
  <c r="N103" i="15"/>
  <c r="C103"/>
  <c r="D103" s="1"/>
  <c r="N21"/>
  <c r="C21"/>
  <c r="J21" s="1"/>
  <c r="N20"/>
  <c r="C20"/>
  <c r="F20" s="1"/>
  <c r="N24"/>
  <c r="C24"/>
  <c r="D24" s="1"/>
  <c r="N102" i="12"/>
  <c r="C102"/>
  <c r="D102" s="1"/>
  <c r="N104"/>
  <c r="C104"/>
  <c r="J104" s="1"/>
  <c r="N103"/>
  <c r="C103"/>
  <c r="E103" s="1"/>
  <c r="N108"/>
  <c r="C108"/>
  <c r="H108" s="1"/>
  <c r="N39"/>
  <c r="N20"/>
  <c r="C20"/>
  <c r="N22"/>
  <c r="C22"/>
  <c r="E22" s="1"/>
  <c r="N24"/>
  <c r="C24"/>
  <c r="H24" s="1"/>
  <c r="N23"/>
  <c r="I124" i="16" l="1"/>
  <c r="H124"/>
  <c r="D20" i="15"/>
  <c r="H20"/>
  <c r="J20"/>
  <c r="I21"/>
  <c r="F21"/>
  <c r="D20" i="12"/>
  <c r="E20"/>
  <c r="J24" i="15"/>
  <c r="G24"/>
  <c r="K24"/>
  <c r="E24"/>
  <c r="D21"/>
  <c r="K21"/>
  <c r="K103" i="12"/>
  <c r="E104"/>
  <c r="D104"/>
  <c r="J103"/>
  <c r="K104"/>
  <c r="G104"/>
  <c r="J124" i="16"/>
  <c r="K41"/>
  <c r="J41"/>
  <c r="H41"/>
  <c r="D41"/>
  <c r="K124"/>
  <c r="F124"/>
  <c r="I41"/>
  <c r="K103" i="15"/>
  <c r="I103"/>
  <c r="H103"/>
  <c r="J103"/>
  <c r="F103"/>
  <c r="K20"/>
  <c r="I20"/>
  <c r="J108" i="12"/>
  <c r="F108"/>
  <c r="D108"/>
  <c r="E102"/>
  <c r="G102"/>
  <c r="K102"/>
  <c r="J102"/>
  <c r="D103"/>
  <c r="G103"/>
  <c r="K108"/>
  <c r="I108"/>
  <c r="K20"/>
  <c r="J20"/>
  <c r="G20"/>
  <c r="D22"/>
  <c r="K22"/>
  <c r="J22"/>
  <c r="G22"/>
  <c r="F24"/>
  <c r="D24"/>
  <c r="K24"/>
  <c r="J24"/>
  <c r="I24"/>
  <c r="N139" i="18" l="1"/>
  <c r="N125" i="19" l="1"/>
  <c r="C125"/>
  <c r="J125" s="1"/>
  <c r="N40"/>
  <c r="C40"/>
  <c r="K40" s="1"/>
  <c r="K125" l="1"/>
  <c r="D125"/>
  <c r="I125"/>
  <c r="D40"/>
  <c r="I40"/>
  <c r="F125"/>
  <c r="H125"/>
  <c r="J40"/>
  <c r="H40"/>
  <c r="F40"/>
  <c r="N127" i="15"/>
  <c r="K127"/>
  <c r="C127"/>
  <c r="J127" s="1"/>
  <c r="N42"/>
  <c r="C42"/>
  <c r="N131" i="12"/>
  <c r="C131"/>
  <c r="N36"/>
  <c r="C36"/>
  <c r="D36" s="1"/>
  <c r="N41"/>
  <c r="C41"/>
  <c r="D41" s="1"/>
  <c r="D127" i="15" l="1"/>
  <c r="I127"/>
  <c r="D42"/>
  <c r="I42"/>
  <c r="D131" i="12"/>
  <c r="I131"/>
  <c r="K42" i="15"/>
  <c r="H127"/>
  <c r="J42"/>
  <c r="H42"/>
  <c r="F127"/>
  <c r="F42"/>
  <c r="K131" i="12"/>
  <c r="J131"/>
  <c r="H131"/>
  <c r="F131"/>
  <c r="H36"/>
  <c r="K41"/>
  <c r="J41"/>
  <c r="I41"/>
  <c r="H41"/>
  <c r="F41"/>
  <c r="N99" i="19" l="1"/>
  <c r="C99"/>
  <c r="G99" s="1"/>
  <c r="N19"/>
  <c r="C19"/>
  <c r="I19" s="1"/>
  <c r="D99" l="1"/>
  <c r="E99"/>
  <c r="J19"/>
  <c r="D19"/>
  <c r="E19"/>
  <c r="K99"/>
  <c r="J99"/>
  <c r="I99"/>
  <c r="K19"/>
  <c r="G19"/>
  <c r="C116" i="15" l="1"/>
  <c r="H116" s="1"/>
  <c r="N116"/>
  <c r="N111" i="19"/>
  <c r="C111"/>
  <c r="H111" s="1"/>
  <c r="N32"/>
  <c r="C32"/>
  <c r="D32" s="1"/>
  <c r="H32" l="1"/>
  <c r="D116" i="15"/>
  <c r="G116"/>
  <c r="D111" i="19"/>
  <c r="N102" i="18" l="1"/>
  <c r="C102"/>
  <c r="D102" s="1"/>
  <c r="N17"/>
  <c r="C17"/>
  <c r="H17" s="1"/>
  <c r="N35" i="17"/>
  <c r="C35"/>
  <c r="H35" s="1"/>
  <c r="N115"/>
  <c r="C115"/>
  <c r="D115" s="1"/>
  <c r="H102" i="18" l="1"/>
  <c r="D17"/>
  <c r="D35" i="17"/>
  <c r="H115"/>
  <c r="N18" i="16" l="1"/>
  <c r="C18"/>
  <c r="D18" s="1"/>
  <c r="N37"/>
  <c r="C37"/>
  <c r="D37" s="1"/>
  <c r="G18" l="1"/>
  <c r="H37"/>
  <c r="N24" l="1"/>
  <c r="C24"/>
  <c r="E24" s="1"/>
  <c r="N101"/>
  <c r="C101"/>
  <c r="G101" s="1"/>
  <c r="C111"/>
  <c r="D111" s="1"/>
  <c r="N111"/>
  <c r="N95"/>
  <c r="C95"/>
  <c r="D95" s="1"/>
  <c r="N39" i="15"/>
  <c r="C39"/>
  <c r="D39" s="1"/>
  <c r="N117" i="12"/>
  <c r="C117"/>
  <c r="H117" s="1"/>
  <c r="C118"/>
  <c r="I118" s="1"/>
  <c r="N118"/>
  <c r="J118" l="1"/>
  <c r="K118"/>
  <c r="E101" i="16"/>
  <c r="D101"/>
  <c r="J101"/>
  <c r="K101"/>
  <c r="J24"/>
  <c r="D24"/>
  <c r="K24"/>
  <c r="G24"/>
  <c r="G111"/>
  <c r="H95"/>
  <c r="H39" i="15"/>
  <c r="D117" i="12"/>
  <c r="D118"/>
  <c r="F118"/>
  <c r="H118"/>
  <c r="N23" i="19" l="1"/>
  <c r="C23"/>
  <c r="N22"/>
  <c r="K23" l="1"/>
  <c r="F23"/>
  <c r="J23"/>
  <c r="D23"/>
  <c r="I23"/>
  <c r="N118" i="17" l="1"/>
  <c r="C118"/>
  <c r="N115" i="16"/>
  <c r="C115"/>
  <c r="F115" s="1"/>
  <c r="N40"/>
  <c r="C40"/>
  <c r="F40" s="1"/>
  <c r="N35"/>
  <c r="C35"/>
  <c r="H35" s="1"/>
  <c r="N34"/>
  <c r="C34"/>
  <c r="N41" i="15"/>
  <c r="C41"/>
  <c r="E41" s="1"/>
  <c r="F118" i="17" l="1"/>
  <c r="K118"/>
  <c r="D118"/>
  <c r="I118"/>
  <c r="J118"/>
  <c r="H34" i="16"/>
  <c r="K35"/>
  <c r="K34"/>
  <c r="F35"/>
  <c r="J115"/>
  <c r="D115"/>
  <c r="D40"/>
  <c r="K41" i="15"/>
  <c r="J41"/>
  <c r="G41"/>
  <c r="D41"/>
  <c r="K115" i="16"/>
  <c r="I115"/>
  <c r="J40"/>
  <c r="F34"/>
  <c r="D34"/>
  <c r="D35"/>
  <c r="K40"/>
  <c r="I40"/>
  <c r="J34"/>
  <c r="J35"/>
  <c r="I35"/>
  <c r="N119" i="12" l="1"/>
  <c r="C119"/>
  <c r="D119" s="1"/>
  <c r="N109"/>
  <c r="C109"/>
  <c r="F109" s="1"/>
  <c r="N38"/>
  <c r="C38"/>
  <c r="D38" s="1"/>
  <c r="N34"/>
  <c r="C34"/>
  <c r="D34" s="1"/>
  <c r="N27"/>
  <c r="C27"/>
  <c r="D27" s="1"/>
  <c r="H109" l="1"/>
  <c r="D109"/>
  <c r="I109"/>
  <c r="F38"/>
  <c r="I38"/>
  <c r="H38"/>
  <c r="I119"/>
  <c r="H119"/>
  <c r="F119"/>
  <c r="I34"/>
  <c r="H34"/>
  <c r="F34"/>
  <c r="H27"/>
  <c r="I27"/>
  <c r="F27"/>
  <c r="N121" i="15" l="1"/>
  <c r="C121"/>
  <c r="D121" s="1"/>
  <c r="N104"/>
  <c r="C104"/>
  <c r="D104" s="1"/>
  <c r="N17"/>
  <c r="C17"/>
  <c r="N38"/>
  <c r="C38"/>
  <c r="D38" s="1"/>
  <c r="N37"/>
  <c r="C37"/>
  <c r="D37" s="1"/>
  <c r="N22"/>
  <c r="C22"/>
  <c r="D22" s="1"/>
  <c r="F37" l="1"/>
  <c r="G17"/>
  <c r="D17"/>
  <c r="I121"/>
  <c r="H121"/>
  <c r="F121"/>
  <c r="I104"/>
  <c r="H104"/>
  <c r="F104"/>
  <c r="G38"/>
  <c r="H22"/>
  <c r="F22"/>
  <c r="I37"/>
  <c r="H37"/>
  <c r="I22"/>
  <c r="N127" i="17"/>
  <c r="C127"/>
  <c r="D127" s="1"/>
  <c r="N41"/>
  <c r="C41"/>
  <c r="I41" s="1"/>
  <c r="D41" l="1"/>
  <c r="J127"/>
  <c r="I127"/>
  <c r="F127"/>
  <c r="J41"/>
  <c r="F41"/>
  <c r="N132" l="1"/>
  <c r="N120"/>
  <c r="C120"/>
  <c r="D120" s="1"/>
  <c r="N119"/>
  <c r="C119"/>
  <c r="F119" s="1"/>
  <c r="N117"/>
  <c r="C117"/>
  <c r="I117" s="1"/>
  <c r="N116"/>
  <c r="C116"/>
  <c r="K116" s="1"/>
  <c r="N114"/>
  <c r="C114"/>
  <c r="N113"/>
  <c r="C113"/>
  <c r="J113" s="1"/>
  <c r="N106"/>
  <c r="C106"/>
  <c r="I106" s="1"/>
  <c r="N102"/>
  <c r="C102"/>
  <c r="G102" s="1"/>
  <c r="N101"/>
  <c r="C101"/>
  <c r="E101" s="1"/>
  <c r="N100"/>
  <c r="C100"/>
  <c r="I100" s="1"/>
  <c r="N99"/>
  <c r="C99"/>
  <c r="N98"/>
  <c r="C98"/>
  <c r="E98" s="1"/>
  <c r="N36"/>
  <c r="C36"/>
  <c r="D36" s="1"/>
  <c r="N34"/>
  <c r="C34"/>
  <c r="N33"/>
  <c r="C33"/>
  <c r="D33" s="1"/>
  <c r="N26"/>
  <c r="C26"/>
  <c r="H26" s="1"/>
  <c r="N25"/>
  <c r="C25"/>
  <c r="F25" s="1"/>
  <c r="N22"/>
  <c r="C22"/>
  <c r="D22" s="1"/>
  <c r="N21"/>
  <c r="C21"/>
  <c r="K21" s="1"/>
  <c r="N19"/>
  <c r="C19"/>
  <c r="J19" s="1"/>
  <c r="N18"/>
  <c r="C18"/>
  <c r="D18" s="1"/>
  <c r="N17"/>
  <c r="C17"/>
  <c r="N16"/>
  <c r="C16"/>
  <c r="D16" s="1"/>
  <c r="C110" i="19"/>
  <c r="N110"/>
  <c r="C96"/>
  <c r="N96"/>
  <c r="N94" i="16"/>
  <c r="C94"/>
  <c r="N113"/>
  <c r="C113"/>
  <c r="D113" s="1"/>
  <c r="N103"/>
  <c r="C103"/>
  <c r="D103" s="1"/>
  <c r="N39"/>
  <c r="C39"/>
  <c r="D39" s="1"/>
  <c r="N27"/>
  <c r="C27"/>
  <c r="D27" s="1"/>
  <c r="I18" i="17" l="1"/>
  <c r="K117"/>
  <c r="D96" i="19"/>
  <c r="G96"/>
  <c r="F100" i="17"/>
  <c r="D99"/>
  <c r="G99"/>
  <c r="D17"/>
  <c r="G17"/>
  <c r="G101"/>
  <c r="G110" i="19"/>
  <c r="D110"/>
  <c r="D34" i="17"/>
  <c r="G34"/>
  <c r="D114"/>
  <c r="G114"/>
  <c r="D94" i="16"/>
  <c r="G94"/>
  <c r="K18" i="17"/>
  <c r="G21"/>
  <c r="J25"/>
  <c r="J33"/>
  <c r="D19"/>
  <c r="J101"/>
  <c r="D113"/>
  <c r="I25"/>
  <c r="D25"/>
  <c r="D98"/>
  <c r="G22"/>
  <c r="I26"/>
  <c r="J16"/>
  <c r="F26"/>
  <c r="H100"/>
  <c r="H119"/>
  <c r="D26"/>
  <c r="D119"/>
  <c r="K120"/>
  <c r="H36"/>
  <c r="K98"/>
  <c r="K100"/>
  <c r="K113"/>
  <c r="F36"/>
  <c r="J98"/>
  <c r="E113"/>
  <c r="H117"/>
  <c r="I119"/>
  <c r="G120"/>
  <c r="E120"/>
  <c r="N108"/>
  <c r="D106"/>
  <c r="N122"/>
  <c r="H116"/>
  <c r="N28"/>
  <c r="N47"/>
  <c r="K19"/>
  <c r="H18"/>
  <c r="G19"/>
  <c r="J21"/>
  <c r="K22"/>
  <c r="D100"/>
  <c r="D101"/>
  <c r="E102"/>
  <c r="H106"/>
  <c r="J116"/>
  <c r="J117"/>
  <c r="J18"/>
  <c r="I102"/>
  <c r="K16"/>
  <c r="F18"/>
  <c r="E19"/>
  <c r="I21"/>
  <c r="J22"/>
  <c r="K25"/>
  <c r="K33"/>
  <c r="D102"/>
  <c r="F106"/>
  <c r="I116"/>
  <c r="E16"/>
  <c r="E21"/>
  <c r="E22"/>
  <c r="E33"/>
  <c r="F116"/>
  <c r="F117"/>
  <c r="D21"/>
  <c r="I36"/>
  <c r="J100"/>
  <c r="K101"/>
  <c r="K102"/>
  <c r="D116"/>
  <c r="D117"/>
  <c r="J120"/>
  <c r="D132"/>
  <c r="D133" s="1"/>
  <c r="D135" s="1"/>
  <c r="J102"/>
  <c r="I113" i="16"/>
  <c r="F113"/>
  <c r="H113"/>
  <c r="F103"/>
  <c r="I103"/>
  <c r="H103"/>
  <c r="I39"/>
  <c r="H39"/>
  <c r="F39"/>
  <c r="I27"/>
  <c r="H27"/>
  <c r="F27"/>
  <c r="G136" i="17" l="1"/>
  <c r="G138" s="1"/>
  <c r="I136"/>
  <c r="I138" s="1"/>
  <c r="D28"/>
  <c r="D29" s="1"/>
  <c r="D31" s="1"/>
  <c r="E136"/>
  <c r="E138" s="1"/>
  <c r="I51"/>
  <c r="I53" s="1"/>
  <c r="K136"/>
  <c r="K138" s="1"/>
  <c r="D122"/>
  <c r="D123" s="1"/>
  <c r="D125" s="1"/>
  <c r="J136"/>
  <c r="J138" s="1"/>
  <c r="N136"/>
  <c r="F136"/>
  <c r="F138" s="1"/>
  <c r="D108"/>
  <c r="D109" s="1"/>
  <c r="D111" s="1"/>
  <c r="D47"/>
  <c r="D48" s="1"/>
  <c r="D50" s="1"/>
  <c r="E51"/>
  <c r="E53" s="1"/>
  <c r="H51"/>
  <c r="H53" s="1"/>
  <c r="N51"/>
  <c r="J51"/>
  <c r="J53" s="1"/>
  <c r="H136"/>
  <c r="H138" s="1"/>
  <c r="K51"/>
  <c r="K53" s="1"/>
  <c r="G51"/>
  <c r="F51"/>
  <c r="F53" s="1"/>
  <c r="I56" l="1"/>
  <c r="I141"/>
  <c r="D136"/>
  <c r="D138" s="1"/>
  <c r="E137"/>
  <c r="D51"/>
  <c r="D53" s="1"/>
  <c r="E54"/>
  <c r="E52"/>
  <c r="G53"/>
  <c r="G52"/>
  <c r="G139"/>
  <c r="E139"/>
  <c r="G137"/>
  <c r="N123" i="18"/>
  <c r="C123"/>
  <c r="D123" s="1"/>
  <c r="N109"/>
  <c r="C109"/>
  <c r="D109" s="1"/>
  <c r="N40"/>
  <c r="C40"/>
  <c r="D40" s="1"/>
  <c r="N37"/>
  <c r="C37"/>
  <c r="D37" s="1"/>
  <c r="N35"/>
  <c r="C35"/>
  <c r="K35" s="1"/>
  <c r="N34"/>
  <c r="C34"/>
  <c r="I34" s="1"/>
  <c r="N25"/>
  <c r="C25"/>
  <c r="H25" s="1"/>
  <c r="N118" i="19"/>
  <c r="C118"/>
  <c r="D118" s="1"/>
  <c r="N100"/>
  <c r="C100"/>
  <c r="D100" s="1"/>
  <c r="N36"/>
  <c r="C36"/>
  <c r="I36" s="1"/>
  <c r="C20"/>
  <c r="D20" s="1"/>
  <c r="I57" i="17" l="1"/>
  <c r="F36" i="19"/>
  <c r="D34" i="18"/>
  <c r="D35"/>
  <c r="I35"/>
  <c r="F109"/>
  <c r="J35"/>
  <c r="J40"/>
  <c r="H35"/>
  <c r="I40"/>
  <c r="H109"/>
  <c r="I109"/>
  <c r="I37"/>
  <c r="K34"/>
  <c r="I123"/>
  <c r="J34"/>
  <c r="H123"/>
  <c r="K40"/>
  <c r="I142" i="17"/>
  <c r="G54"/>
  <c r="E141"/>
  <c r="E56"/>
  <c r="G141"/>
  <c r="G142" s="1"/>
  <c r="D36" i="19"/>
  <c r="H36"/>
  <c r="I100"/>
  <c r="H100"/>
  <c r="F100"/>
  <c r="I118"/>
  <c r="H20"/>
  <c r="H118"/>
  <c r="F20"/>
  <c r="F118"/>
  <c r="I20"/>
  <c r="H37" i="18"/>
  <c r="F37"/>
  <c r="F123"/>
  <c r="H40"/>
  <c r="F40"/>
  <c r="F34"/>
  <c r="F35"/>
  <c r="H34"/>
  <c r="I25"/>
  <c r="F25"/>
  <c r="D25"/>
  <c r="G56" i="17" l="1"/>
  <c r="G57" s="1"/>
  <c r="E142"/>
  <c r="E57"/>
  <c r="N122" i="18"/>
  <c r="C122"/>
  <c r="D122" s="1"/>
  <c r="N120"/>
  <c r="C120"/>
  <c r="G120" s="1"/>
  <c r="N118"/>
  <c r="C118"/>
  <c r="I118" s="1"/>
  <c r="N121"/>
  <c r="C121"/>
  <c r="D121" s="1"/>
  <c r="N119"/>
  <c r="C119"/>
  <c r="D119" s="1"/>
  <c r="N117"/>
  <c r="C117"/>
  <c r="N116"/>
  <c r="C116"/>
  <c r="D116" s="1"/>
  <c r="N105"/>
  <c r="C105"/>
  <c r="D105" s="1"/>
  <c r="N104"/>
  <c r="C104"/>
  <c r="D104" s="1"/>
  <c r="N103"/>
  <c r="C103"/>
  <c r="I103" s="1"/>
  <c r="N101"/>
  <c r="C101"/>
  <c r="N100"/>
  <c r="C100"/>
  <c r="D100" s="1"/>
  <c r="N43"/>
  <c r="C43"/>
  <c r="D43" s="1"/>
  <c r="N36"/>
  <c r="C36"/>
  <c r="N33"/>
  <c r="C33"/>
  <c r="E33" s="1"/>
  <c r="N21"/>
  <c r="N20"/>
  <c r="C20"/>
  <c r="E20" s="1"/>
  <c r="N19"/>
  <c r="C19"/>
  <c r="E19" s="1"/>
  <c r="N18"/>
  <c r="C18"/>
  <c r="I18" s="1"/>
  <c r="N16"/>
  <c r="C16"/>
  <c r="D16" s="1"/>
  <c r="D103" l="1"/>
  <c r="K118"/>
  <c r="D118"/>
  <c r="F18"/>
  <c r="E105"/>
  <c r="H118"/>
  <c r="F118"/>
  <c r="J100"/>
  <c r="J121"/>
  <c r="K100"/>
  <c r="E116"/>
  <c r="J116"/>
  <c r="J20"/>
  <c r="D36"/>
  <c r="G36"/>
  <c r="E100"/>
  <c r="K116"/>
  <c r="H121"/>
  <c r="F121"/>
  <c r="D18"/>
  <c r="E120"/>
  <c r="I120"/>
  <c r="G117"/>
  <c r="D117"/>
  <c r="D101"/>
  <c r="G101"/>
  <c r="D33"/>
  <c r="J43"/>
  <c r="N111"/>
  <c r="N27"/>
  <c r="K122"/>
  <c r="J122"/>
  <c r="I122"/>
  <c r="H122"/>
  <c r="F122"/>
  <c r="I121"/>
  <c r="K121"/>
  <c r="J120"/>
  <c r="D120"/>
  <c r="K120"/>
  <c r="J118"/>
  <c r="D140"/>
  <c r="D142" s="1"/>
  <c r="K119"/>
  <c r="J119"/>
  <c r="G119"/>
  <c r="E119"/>
  <c r="N125"/>
  <c r="N49"/>
  <c r="G20"/>
  <c r="D20"/>
  <c r="D19"/>
  <c r="K16"/>
  <c r="K43"/>
  <c r="K103"/>
  <c r="J16"/>
  <c r="K18"/>
  <c r="J103"/>
  <c r="K104"/>
  <c r="E16"/>
  <c r="J18"/>
  <c r="K19"/>
  <c r="G43"/>
  <c r="J104"/>
  <c r="K105"/>
  <c r="J19"/>
  <c r="K20"/>
  <c r="K33"/>
  <c r="E43"/>
  <c r="H103"/>
  <c r="G104"/>
  <c r="J105"/>
  <c r="H18"/>
  <c r="G19"/>
  <c r="J33"/>
  <c r="F103"/>
  <c r="E104"/>
  <c r="G105"/>
  <c r="N143" l="1"/>
  <c r="D125"/>
  <c r="D111"/>
  <c r="D112" s="1"/>
  <c r="D114" s="1"/>
  <c r="D49"/>
  <c r="D50" s="1"/>
  <c r="D52" s="1"/>
  <c r="F143"/>
  <c r="F145" s="1"/>
  <c r="E143"/>
  <c r="E145" s="1"/>
  <c r="N53"/>
  <c r="I143"/>
  <c r="I145" s="1"/>
  <c r="J143"/>
  <c r="J145" s="1"/>
  <c r="F53"/>
  <c r="F55" s="1"/>
  <c r="D27"/>
  <c r="G53"/>
  <c r="H53"/>
  <c r="H55" s="1"/>
  <c r="G143"/>
  <c r="I53"/>
  <c r="I55" s="1"/>
  <c r="H143"/>
  <c r="H145" s="1"/>
  <c r="K143"/>
  <c r="K145" s="1"/>
  <c r="E53"/>
  <c r="J53"/>
  <c r="J55" s="1"/>
  <c r="K53"/>
  <c r="K55" s="1"/>
  <c r="D126" l="1"/>
  <c r="D128" s="1"/>
  <c r="D143"/>
  <c r="D145" s="1"/>
  <c r="D53"/>
  <c r="D55" s="1"/>
  <c r="E144"/>
  <c r="I148"/>
  <c r="D28"/>
  <c r="D30" s="1"/>
  <c r="G55"/>
  <c r="G54"/>
  <c r="E146"/>
  <c r="E55"/>
  <c r="E54"/>
  <c r="G144"/>
  <c r="G145"/>
  <c r="I58"/>
  <c r="I149" l="1"/>
  <c r="I59"/>
  <c r="G56"/>
  <c r="E148"/>
  <c r="E56"/>
  <c r="G146"/>
  <c r="G58" l="1"/>
  <c r="G59" s="1"/>
  <c r="E149"/>
  <c r="E58"/>
  <c r="G148"/>
  <c r="G149" s="1"/>
  <c r="E59" l="1"/>
  <c r="N129" i="16" l="1"/>
  <c r="N117"/>
  <c r="C117"/>
  <c r="K117" s="1"/>
  <c r="N116"/>
  <c r="C116"/>
  <c r="J116" s="1"/>
  <c r="N114"/>
  <c r="C114"/>
  <c r="H114" s="1"/>
  <c r="N112"/>
  <c r="C112"/>
  <c r="N110"/>
  <c r="C110"/>
  <c r="E110" s="1"/>
  <c r="N100"/>
  <c r="C100"/>
  <c r="G100" s="1"/>
  <c r="N99"/>
  <c r="C99"/>
  <c r="G99" s="1"/>
  <c r="N98"/>
  <c r="C98"/>
  <c r="H98" s="1"/>
  <c r="N97"/>
  <c r="C97"/>
  <c r="H97" s="1"/>
  <c r="N96"/>
  <c r="C96"/>
  <c r="D96" s="1"/>
  <c r="N93"/>
  <c r="C93"/>
  <c r="K93" s="1"/>
  <c r="N38"/>
  <c r="C38"/>
  <c r="K38" s="1"/>
  <c r="N36"/>
  <c r="C36"/>
  <c r="E36" s="1"/>
  <c r="N26"/>
  <c r="C26"/>
  <c r="J26" s="1"/>
  <c r="N23"/>
  <c r="C23"/>
  <c r="G23" s="1"/>
  <c r="N22"/>
  <c r="C22"/>
  <c r="G22" s="1"/>
  <c r="N21"/>
  <c r="C21"/>
  <c r="N20"/>
  <c r="C20"/>
  <c r="H20" s="1"/>
  <c r="N19"/>
  <c r="C19"/>
  <c r="H19" s="1"/>
  <c r="N17"/>
  <c r="C17"/>
  <c r="K17" s="1"/>
  <c r="H112" l="1"/>
  <c r="D112"/>
  <c r="H96"/>
  <c r="D19"/>
  <c r="J110"/>
  <c r="D110"/>
  <c r="K110"/>
  <c r="D93"/>
  <c r="D100"/>
  <c r="H21"/>
  <c r="J93"/>
  <c r="E93"/>
  <c r="D99"/>
  <c r="J17"/>
  <c r="E17"/>
  <c r="D17"/>
  <c r="D20"/>
  <c r="D116"/>
  <c r="N119"/>
  <c r="F21"/>
  <c r="N105"/>
  <c r="D98"/>
  <c r="D117"/>
  <c r="D21"/>
  <c r="H26"/>
  <c r="F26"/>
  <c r="D114"/>
  <c r="D26"/>
  <c r="D97"/>
  <c r="E116"/>
  <c r="D23"/>
  <c r="D38"/>
  <c r="D22"/>
  <c r="N28"/>
  <c r="G117"/>
  <c r="E117"/>
  <c r="N46"/>
  <c r="G38"/>
  <c r="E38"/>
  <c r="K19"/>
  <c r="K21"/>
  <c r="I20"/>
  <c r="I22"/>
  <c r="K26"/>
  <c r="J36"/>
  <c r="I96"/>
  <c r="I98"/>
  <c r="I99"/>
  <c r="J100"/>
  <c r="I112"/>
  <c r="I114"/>
  <c r="K116"/>
  <c r="F19"/>
  <c r="F20"/>
  <c r="E22"/>
  <c r="E23"/>
  <c r="I26"/>
  <c r="D36"/>
  <c r="J38"/>
  <c r="F96"/>
  <c r="F97"/>
  <c r="F98"/>
  <c r="E99"/>
  <c r="E100"/>
  <c r="F112"/>
  <c r="F114"/>
  <c r="G116"/>
  <c r="J117"/>
  <c r="D129"/>
  <c r="D130" s="1"/>
  <c r="D132" s="1"/>
  <c r="K20"/>
  <c r="K22"/>
  <c r="K96"/>
  <c r="K97"/>
  <c r="K98"/>
  <c r="K99"/>
  <c r="K112"/>
  <c r="K114"/>
  <c r="J19"/>
  <c r="J20"/>
  <c r="J21"/>
  <c r="J22"/>
  <c r="K23"/>
  <c r="K36"/>
  <c r="J96"/>
  <c r="J97"/>
  <c r="J98"/>
  <c r="J99"/>
  <c r="K100"/>
  <c r="J112"/>
  <c r="J114"/>
  <c r="I19"/>
  <c r="J23"/>
  <c r="I97"/>
  <c r="D119" l="1"/>
  <c r="D120" s="1"/>
  <c r="D122" s="1"/>
  <c r="H133"/>
  <c r="H135" s="1"/>
  <c r="N133"/>
  <c r="D105"/>
  <c r="D106" s="1"/>
  <c r="D108" s="1"/>
  <c r="H50"/>
  <c r="H52" s="1"/>
  <c r="E50"/>
  <c r="E52" s="1"/>
  <c r="E133"/>
  <c r="E135" s="1"/>
  <c r="G50"/>
  <c r="D28"/>
  <c r="D29" s="1"/>
  <c r="D31" s="1"/>
  <c r="N50"/>
  <c r="G133"/>
  <c r="J133"/>
  <c r="J135" s="1"/>
  <c r="K133"/>
  <c r="K135" s="1"/>
  <c r="D46"/>
  <c r="D47" s="1"/>
  <c r="D49" s="1"/>
  <c r="J50"/>
  <c r="J52" s="1"/>
  <c r="K50"/>
  <c r="K52" s="1"/>
  <c r="I133"/>
  <c r="I135" s="1"/>
  <c r="F50"/>
  <c r="F52" s="1"/>
  <c r="I50"/>
  <c r="I52" s="1"/>
  <c r="F133"/>
  <c r="F135" s="1"/>
  <c r="G134" l="1"/>
  <c r="D133"/>
  <c r="D135" s="1"/>
  <c r="G51"/>
  <c r="G52"/>
  <c r="G53" s="1"/>
  <c r="E134"/>
  <c r="G135"/>
  <c r="G136" s="1"/>
  <c r="D50"/>
  <c r="D52" s="1"/>
  <c r="E51"/>
  <c r="I55"/>
  <c r="E53"/>
  <c r="I138"/>
  <c r="E136"/>
  <c r="I139" l="1"/>
  <c r="I56"/>
  <c r="G138"/>
  <c r="G139" s="1"/>
  <c r="E55"/>
  <c r="E56" s="1"/>
  <c r="E138"/>
  <c r="G55"/>
  <c r="G56" s="1"/>
  <c r="E139" l="1"/>
  <c r="N132" i="15" l="1"/>
  <c r="D132"/>
  <c r="D133" s="1"/>
  <c r="D135" s="1"/>
  <c r="N120"/>
  <c r="C120"/>
  <c r="G120" s="1"/>
  <c r="N119"/>
  <c r="C119"/>
  <c r="I119" s="1"/>
  <c r="N118"/>
  <c r="C118"/>
  <c r="K118" s="1"/>
  <c r="N117"/>
  <c r="C117"/>
  <c r="K117" s="1"/>
  <c r="N115"/>
  <c r="C115"/>
  <c r="K115" s="1"/>
  <c r="N114"/>
  <c r="C114"/>
  <c r="N107"/>
  <c r="C107"/>
  <c r="I107" s="1"/>
  <c r="N106"/>
  <c r="C106"/>
  <c r="N105"/>
  <c r="C105"/>
  <c r="E105" s="1"/>
  <c r="N102"/>
  <c r="C102"/>
  <c r="D102" s="1"/>
  <c r="N101"/>
  <c r="C101"/>
  <c r="N100"/>
  <c r="C100"/>
  <c r="N99"/>
  <c r="C99"/>
  <c r="E99" s="1"/>
  <c r="N40"/>
  <c r="C40"/>
  <c r="H40" s="1"/>
  <c r="N36"/>
  <c r="C36"/>
  <c r="J36" s="1"/>
  <c r="N35"/>
  <c r="C35"/>
  <c r="H35" s="1"/>
  <c r="N34"/>
  <c r="D34"/>
  <c r="C34"/>
  <c r="N26"/>
  <c r="C26"/>
  <c r="E26" s="1"/>
  <c r="N25"/>
  <c r="C25"/>
  <c r="K25" s="1"/>
  <c r="N23"/>
  <c r="C23"/>
  <c r="J23" s="1"/>
  <c r="N19"/>
  <c r="C19"/>
  <c r="I19" s="1"/>
  <c r="N18"/>
  <c r="C18"/>
  <c r="I18" s="1"/>
  <c r="N16"/>
  <c r="C16"/>
  <c r="D16" s="1"/>
  <c r="I114" l="1"/>
  <c r="D99"/>
  <c r="I101"/>
  <c r="D35"/>
  <c r="H34"/>
  <c r="I34"/>
  <c r="G25"/>
  <c r="H19"/>
  <c r="E36"/>
  <c r="H119"/>
  <c r="F19"/>
  <c r="D19"/>
  <c r="J25"/>
  <c r="I118"/>
  <c r="F34"/>
  <c r="E118"/>
  <c r="D26"/>
  <c r="D115"/>
  <c r="H117"/>
  <c r="F119"/>
  <c r="G106"/>
  <c r="D106"/>
  <c r="J115"/>
  <c r="J118"/>
  <c r="G100"/>
  <c r="D100"/>
  <c r="E120"/>
  <c r="E25"/>
  <c r="D25"/>
  <c r="K119"/>
  <c r="J119"/>
  <c r="D119"/>
  <c r="D120"/>
  <c r="E106"/>
  <c r="D36"/>
  <c r="F18"/>
  <c r="H114"/>
  <c r="D18"/>
  <c r="F114"/>
  <c r="E115"/>
  <c r="F117"/>
  <c r="D117"/>
  <c r="D118"/>
  <c r="K99"/>
  <c r="D105"/>
  <c r="H107"/>
  <c r="K114"/>
  <c r="J99"/>
  <c r="F107"/>
  <c r="J114"/>
  <c r="J117"/>
  <c r="H18"/>
  <c r="F23"/>
  <c r="F35"/>
  <c r="D107"/>
  <c r="I117"/>
  <c r="F40"/>
  <c r="D40"/>
  <c r="I23"/>
  <c r="D23"/>
  <c r="H23"/>
  <c r="N28"/>
  <c r="K120"/>
  <c r="J120"/>
  <c r="N122"/>
  <c r="N108"/>
  <c r="N47"/>
  <c r="K26"/>
  <c r="J26"/>
  <c r="G26"/>
  <c r="K101"/>
  <c r="J102"/>
  <c r="K34"/>
  <c r="I102"/>
  <c r="J16"/>
  <c r="K18"/>
  <c r="K19"/>
  <c r="J34"/>
  <c r="J35"/>
  <c r="J40"/>
  <c r="H101"/>
  <c r="H102"/>
  <c r="J105"/>
  <c r="K106"/>
  <c r="K107"/>
  <c r="K35"/>
  <c r="E16"/>
  <c r="J18"/>
  <c r="J19"/>
  <c r="K23"/>
  <c r="I35"/>
  <c r="K36"/>
  <c r="I40"/>
  <c r="F101"/>
  <c r="F102"/>
  <c r="G105"/>
  <c r="J106"/>
  <c r="J107"/>
  <c r="K102"/>
  <c r="J101"/>
  <c r="K16"/>
  <c r="K40"/>
  <c r="K105"/>
  <c r="G51" l="1"/>
  <c r="G53" s="1"/>
  <c r="D28"/>
  <c r="D29" s="1"/>
  <c r="D31" s="1"/>
  <c r="G136"/>
  <c r="G138" s="1"/>
  <c r="D122"/>
  <c r="D123" s="1"/>
  <c r="D125" s="1"/>
  <c r="E136"/>
  <c r="E138" s="1"/>
  <c r="N136"/>
  <c r="I136"/>
  <c r="I138" s="1"/>
  <c r="F51"/>
  <c r="F53" s="1"/>
  <c r="D108"/>
  <c r="D109" s="1"/>
  <c r="D111" s="1"/>
  <c r="E51"/>
  <c r="D47"/>
  <c r="D48" s="1"/>
  <c r="D50" s="1"/>
  <c r="H51"/>
  <c r="H53" s="1"/>
  <c r="N51"/>
  <c r="J136"/>
  <c r="J138" s="1"/>
  <c r="K136"/>
  <c r="K138" s="1"/>
  <c r="H136"/>
  <c r="H138" s="1"/>
  <c r="I51"/>
  <c r="I53" s="1"/>
  <c r="K51"/>
  <c r="K53" s="1"/>
  <c r="F136"/>
  <c r="F138" s="1"/>
  <c r="J51"/>
  <c r="J53" s="1"/>
  <c r="G54" l="1"/>
  <c r="I141"/>
  <c r="E52"/>
  <c r="E53"/>
  <c r="E54" s="1"/>
  <c r="D136"/>
  <c r="D138" s="1"/>
  <c r="D51"/>
  <c r="D53" s="1"/>
  <c r="G52"/>
  <c r="G137"/>
  <c r="I56"/>
  <c r="G139"/>
  <c r="E139"/>
  <c r="E137"/>
  <c r="G56" l="1"/>
  <c r="G57" s="1"/>
  <c r="I142"/>
  <c r="I57"/>
  <c r="E56"/>
  <c r="G141"/>
  <c r="G142" s="1"/>
  <c r="E141"/>
  <c r="E57" l="1"/>
  <c r="E142"/>
  <c r="N123" i="12" l="1"/>
  <c r="C123"/>
  <c r="D123" s="1"/>
  <c r="K123" l="1"/>
  <c r="J123"/>
  <c r="G123"/>
  <c r="E123"/>
  <c r="N116" l="1"/>
  <c r="N98"/>
  <c r="N16"/>
  <c r="N17"/>
  <c r="N130" i="19" l="1"/>
  <c r="N114"/>
  <c r="C114"/>
  <c r="I114" s="1"/>
  <c r="N113"/>
  <c r="C113"/>
  <c r="I113" s="1"/>
  <c r="N112"/>
  <c r="C112"/>
  <c r="N109"/>
  <c r="C109"/>
  <c r="D109" s="1"/>
  <c r="N98"/>
  <c r="C98"/>
  <c r="G98" s="1"/>
  <c r="N97"/>
  <c r="C97"/>
  <c r="D97" s="1"/>
  <c r="N95"/>
  <c r="C95"/>
  <c r="E95" s="1"/>
  <c r="N35"/>
  <c r="C35"/>
  <c r="J35" s="1"/>
  <c r="N34"/>
  <c r="C34"/>
  <c r="J34" s="1"/>
  <c r="N33"/>
  <c r="C33"/>
  <c r="N31"/>
  <c r="C31"/>
  <c r="N30"/>
  <c r="C30"/>
  <c r="E30" s="1"/>
  <c r="N20"/>
  <c r="N18"/>
  <c r="C18"/>
  <c r="E18" s="1"/>
  <c r="N17"/>
  <c r="C17"/>
  <c r="E17" s="1"/>
  <c r="N16"/>
  <c r="C16"/>
  <c r="N15"/>
  <c r="C15"/>
  <c r="N14"/>
  <c r="C14"/>
  <c r="J14" s="1"/>
  <c r="I112" l="1"/>
  <c r="D112"/>
  <c r="I33"/>
  <c r="D33"/>
  <c r="I16"/>
  <c r="D16"/>
  <c r="H97"/>
  <c r="I97"/>
  <c r="J33"/>
  <c r="D15"/>
  <c r="G15"/>
  <c r="G18"/>
  <c r="D31"/>
  <c r="G31"/>
  <c r="I34"/>
  <c r="H114"/>
  <c r="K95"/>
  <c r="J95"/>
  <c r="I35"/>
  <c r="D130"/>
  <c r="D131" s="1"/>
  <c r="D133" s="1"/>
  <c r="E98"/>
  <c r="D98"/>
  <c r="N120"/>
  <c r="N104"/>
  <c r="D95"/>
  <c r="H113"/>
  <c r="H112"/>
  <c r="K97"/>
  <c r="F97"/>
  <c r="H35"/>
  <c r="D35"/>
  <c r="D18"/>
  <c r="D17"/>
  <c r="D30"/>
  <c r="E14"/>
  <c r="D14"/>
  <c r="H34"/>
  <c r="D34"/>
  <c r="N46"/>
  <c r="H33"/>
  <c r="N25"/>
  <c r="F112"/>
  <c r="F113"/>
  <c r="F114"/>
  <c r="K16"/>
  <c r="F33"/>
  <c r="F34"/>
  <c r="F35"/>
  <c r="D113"/>
  <c r="D114"/>
  <c r="J16"/>
  <c r="K17"/>
  <c r="K109"/>
  <c r="H16"/>
  <c r="J17"/>
  <c r="K18"/>
  <c r="K30"/>
  <c r="J97"/>
  <c r="K98"/>
  <c r="J109"/>
  <c r="K112"/>
  <c r="K113"/>
  <c r="K114"/>
  <c r="K14"/>
  <c r="F16"/>
  <c r="G17"/>
  <c r="J18"/>
  <c r="J30"/>
  <c r="K33"/>
  <c r="K34"/>
  <c r="K35"/>
  <c r="J98"/>
  <c r="E109"/>
  <c r="J112"/>
  <c r="J113"/>
  <c r="J114"/>
  <c r="G134" l="1"/>
  <c r="G136" s="1"/>
  <c r="D120"/>
  <c r="D121" s="1"/>
  <c r="D123" s="1"/>
  <c r="E134"/>
  <c r="E136" s="1"/>
  <c r="N134"/>
  <c r="H134"/>
  <c r="H136" s="1"/>
  <c r="K134"/>
  <c r="K136" s="1"/>
  <c r="J134"/>
  <c r="J136" s="1"/>
  <c r="D104"/>
  <c r="D105" s="1"/>
  <c r="D107" s="1"/>
  <c r="F134"/>
  <c r="F136" s="1"/>
  <c r="J50"/>
  <c r="J52" s="1"/>
  <c r="E50"/>
  <c r="E52" s="1"/>
  <c r="D25"/>
  <c r="D26" s="1"/>
  <c r="D28" s="1"/>
  <c r="D46"/>
  <c r="D47" s="1"/>
  <c r="D49" s="1"/>
  <c r="H50"/>
  <c r="H52" s="1"/>
  <c r="N50"/>
  <c r="K50"/>
  <c r="K52" s="1"/>
  <c r="F50"/>
  <c r="F52" s="1"/>
  <c r="I134"/>
  <c r="I136" s="1"/>
  <c r="I139" s="1"/>
  <c r="G50"/>
  <c r="I50"/>
  <c r="I52" s="1"/>
  <c r="I55" s="1"/>
  <c r="G137" l="1"/>
  <c r="G135"/>
  <c r="D134"/>
  <c r="D136" s="1"/>
  <c r="I140" s="1"/>
  <c r="E135"/>
  <c r="D50"/>
  <c r="D52" s="1"/>
  <c r="E137"/>
  <c r="E53"/>
  <c r="E55" s="1"/>
  <c r="G52"/>
  <c r="G51"/>
  <c r="E51"/>
  <c r="E139" l="1"/>
  <c r="E140" s="1"/>
  <c r="E56"/>
  <c r="I56"/>
  <c r="G139"/>
  <c r="G140" s="1"/>
  <c r="G53"/>
  <c r="G55" l="1"/>
  <c r="G56" s="1"/>
  <c r="N136" i="12" l="1"/>
  <c r="N122"/>
  <c r="C122"/>
  <c r="I122" s="1"/>
  <c r="N121"/>
  <c r="C121"/>
  <c r="I121" s="1"/>
  <c r="N120"/>
  <c r="C120"/>
  <c r="J120" s="1"/>
  <c r="C116"/>
  <c r="J116" s="1"/>
  <c r="N106"/>
  <c r="C106"/>
  <c r="D106" s="1"/>
  <c r="N105"/>
  <c r="C105"/>
  <c r="K105" s="1"/>
  <c r="N100"/>
  <c r="C100"/>
  <c r="I100" s="1"/>
  <c r="N99"/>
  <c r="C99"/>
  <c r="C98"/>
  <c r="J98" s="1"/>
  <c r="N40"/>
  <c r="C40"/>
  <c r="E40" s="1"/>
  <c r="N37"/>
  <c r="C37"/>
  <c r="E37" s="1"/>
  <c r="N35"/>
  <c r="C35"/>
  <c r="N26"/>
  <c r="C26"/>
  <c r="J26" s="1"/>
  <c r="N25"/>
  <c r="C25"/>
  <c r="I25" s="1"/>
  <c r="N21"/>
  <c r="C21"/>
  <c r="E21" s="1"/>
  <c r="N18"/>
  <c r="C18"/>
  <c r="C17"/>
  <c r="K16"/>
  <c r="J16"/>
  <c r="E16"/>
  <c r="D16"/>
  <c r="F121" l="1"/>
  <c r="K100"/>
  <c r="D99"/>
  <c r="G99"/>
  <c r="G35"/>
  <c r="D35"/>
  <c r="D17"/>
  <c r="G17"/>
  <c r="H121"/>
  <c r="D40"/>
  <c r="G40"/>
  <c r="J40"/>
  <c r="K40"/>
  <c r="G122"/>
  <c r="D121"/>
  <c r="D136"/>
  <c r="D137" s="1"/>
  <c r="D139" s="1"/>
  <c r="J105"/>
  <c r="I105"/>
  <c r="H105"/>
  <c r="F105"/>
  <c r="D105"/>
  <c r="H120"/>
  <c r="F120"/>
  <c r="D120"/>
  <c r="I120" s="1"/>
  <c r="E122"/>
  <c r="D122"/>
  <c r="K106"/>
  <c r="J106"/>
  <c r="I106"/>
  <c r="F106"/>
  <c r="E116"/>
  <c r="D116"/>
  <c r="N126"/>
  <c r="H100"/>
  <c r="F100"/>
  <c r="D100"/>
  <c r="J100"/>
  <c r="I26"/>
  <c r="F26"/>
  <c r="D37"/>
  <c r="K116"/>
  <c r="E98"/>
  <c r="D98"/>
  <c r="N111"/>
  <c r="D21"/>
  <c r="H25"/>
  <c r="F25"/>
  <c r="D25"/>
  <c r="D26"/>
  <c r="K37"/>
  <c r="N47"/>
  <c r="J37"/>
  <c r="N29"/>
  <c r="K120"/>
  <c r="K121"/>
  <c r="K122"/>
  <c r="K18"/>
  <c r="K21"/>
  <c r="K98"/>
  <c r="J121"/>
  <c r="J122"/>
  <c r="J18"/>
  <c r="I18"/>
  <c r="H18"/>
  <c r="J21"/>
  <c r="K25"/>
  <c r="F18"/>
  <c r="G21"/>
  <c r="J25"/>
  <c r="K26"/>
  <c r="D47" l="1"/>
  <c r="D48" s="1"/>
  <c r="F140"/>
  <c r="F142" s="1"/>
  <c r="E51"/>
  <c r="E53" s="1"/>
  <c r="N140"/>
  <c r="D111"/>
  <c r="D126"/>
  <c r="H140"/>
  <c r="H142" s="1"/>
  <c r="I140"/>
  <c r="I142" s="1"/>
  <c r="G140"/>
  <c r="G142" s="1"/>
  <c r="E140"/>
  <c r="E142" s="1"/>
  <c r="J140"/>
  <c r="J142" s="1"/>
  <c r="G51"/>
  <c r="G53" s="1"/>
  <c r="H51"/>
  <c r="H53" s="1"/>
  <c r="D29"/>
  <c r="D30" s="1"/>
  <c r="F51"/>
  <c r="F53" s="1"/>
  <c r="I51"/>
  <c r="I53" s="1"/>
  <c r="I56" s="1"/>
  <c r="K51"/>
  <c r="K53" s="1"/>
  <c r="N51"/>
  <c r="J51"/>
  <c r="J53" s="1"/>
  <c r="K140"/>
  <c r="K142" s="1"/>
  <c r="I145" l="1"/>
  <c r="D127"/>
  <c r="D129" s="1"/>
  <c r="D112"/>
  <c r="D114" s="1"/>
  <c r="D140"/>
  <c r="D142" s="1"/>
  <c r="G141"/>
  <c r="D50"/>
  <c r="D32"/>
  <c r="G143"/>
  <c r="E141"/>
  <c r="G52"/>
  <c r="E52"/>
  <c r="D51"/>
  <c r="D53" s="1"/>
  <c r="E54"/>
  <c r="E143"/>
  <c r="E145" s="1"/>
  <c r="G54"/>
  <c r="I57" l="1"/>
  <c r="E146"/>
  <c r="I146"/>
  <c r="E56"/>
  <c r="E57" s="1"/>
  <c r="G56"/>
  <c r="G57" s="1"/>
  <c r="G145"/>
  <c r="G146" s="1"/>
  <c r="W53" l="1"/>
</calcChain>
</file>

<file path=xl/sharedStrings.xml><?xml version="1.0" encoding="utf-8"?>
<sst xmlns="http://schemas.openxmlformats.org/spreadsheetml/2006/main" count="1334" uniqueCount="226">
  <si>
    <t>Số
TT</t>
  </si>
  <si>
    <t>Gạo tẻ</t>
  </si>
  <si>
    <t>Mắm</t>
  </si>
  <si>
    <t>Thịt bò</t>
  </si>
  <si>
    <t>Cà rốt</t>
  </si>
  <si>
    <t>Mộc nhĩ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</si>
  <si>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</si>
  <si>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</si>
  <si>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</si>
  <si>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</si>
  <si>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</si>
  <si>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</si>
  <si>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</si>
  <si>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</si>
  <si>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</si>
  <si>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</si>
  <si>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</si>
  <si>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</si>
  <si>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</si>
  <si>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</si>
  <si>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</si>
  <si>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</si>
  <si>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</si>
  <si>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</si>
  <si>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</si>
  <si>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</si>
  <si>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</si>
  <si>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Nấm hương</t>
  </si>
  <si>
    <t>615-726</t>
  </si>
  <si>
    <t>600-651</t>
  </si>
  <si>
    <t>Trứng vịt</t>
  </si>
  <si>
    <t>BẢNG TÍNH KHẨU PHẦN ĂN CỦA TRẺ MẪU GIÁO</t>
  </si>
  <si>
    <t>BẢNG TÍNH KHẨU PHẦN ĂN CỦA TRẺ NHÀ TRẺ</t>
  </si>
  <si>
    <t>NGƯỜI THỰC HIỆN</t>
  </si>
  <si>
    <t>Bữa chính</t>
  </si>
  <si>
    <t>Bữa phụ</t>
  </si>
  <si>
    <t>Năng lượng bữa chiều/trẻ</t>
  </si>
  <si>
    <t>Năng lượng bữa trưa/trẻ</t>
  </si>
  <si>
    <t>Bữa chiều</t>
  </si>
  <si>
    <t>Bữa trưa</t>
  </si>
  <si>
    <t>Đơn giá</t>
  </si>
  <si>
    <t>Ca</t>
  </si>
  <si>
    <t>B1</t>
  </si>
  <si>
    <t>Lipit (g)</t>
  </si>
  <si>
    <t>% năng lượng bữa trưa</t>
  </si>
  <si>
    <t>30-35%</t>
  </si>
  <si>
    <t>25-30%</t>
  </si>
  <si>
    <t>% năng lượng bữa phụ</t>
  </si>
  <si>
    <t>% năng lượng bữa chính</t>
  </si>
  <si>
    <t>% năng lượng bữa chiều</t>
  </si>
  <si>
    <t>5-10%</t>
  </si>
  <si>
    <t>% năng lượng
 bữa chính</t>
  </si>
  <si>
    <t>% năng lượng 
bữa phụ</t>
  </si>
  <si>
    <t>% năng lượng
 bữa trưa</t>
  </si>
  <si>
    <t>% năng lượng 
bữa chiều</t>
  </si>
  <si>
    <t>Đơn giá (đ)</t>
  </si>
  <si>
    <t>Đơn giá
 (đ)</t>
  </si>
  <si>
    <t>Đơn giá
(đ)</t>
  </si>
  <si>
    <t>15-20%</t>
  </si>
  <si>
    <t>Thực đạt</t>
  </si>
  <si>
    <t>Thực 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</si>
  <si>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</si>
  <si>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</si>
  <si>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Trứng gà</t>
  </si>
  <si>
    <t>Thịt vịt</t>
  </si>
  <si>
    <r>
      <t>TRƯỜ</t>
    </r>
    <r>
      <rPr>
        <b/>
        <u/>
        <sz val="11"/>
        <rFont val="Times New Roman"/>
        <family val="1"/>
      </rPr>
      <t>NG MÂM NON MỸ TIẾN</t>
    </r>
  </si>
  <si>
    <t>S
TT</t>
  </si>
  <si>
    <t>Hạt sen</t>
  </si>
  <si>
    <t>Lạc hạt</t>
  </si>
  <si>
    <t>Thịt gà</t>
  </si>
  <si>
    <t>Nấm Hương</t>
  </si>
  <si>
    <t xml:space="preserve">Thịt lợn nạc </t>
  </si>
  <si>
    <t>Thì là</t>
  </si>
  <si>
    <t>Gạo nếp</t>
  </si>
  <si>
    <t>Thịt lợn nạc</t>
  </si>
  <si>
    <t>Bí đao</t>
  </si>
  <si>
    <t>Thanh long</t>
  </si>
  <si>
    <t>Khẩu phần 
cả ngày của 1 trẻ đạt (g)</t>
  </si>
  <si>
    <t>Kcal (P:L:G)</t>
  </si>
  <si>
    <t>Khuyến nghị</t>
  </si>
  <si>
    <t>Khẩu phần khuyến nghị (g)</t>
  </si>
  <si>
    <t>Tỷ lệ các chất  (%)</t>
  </si>
  <si>
    <t>13-20</t>
  </si>
  <si>
    <t>25-35</t>
  </si>
  <si>
    <t>52-60</t>
  </si>
  <si>
    <t>30-40</t>
  </si>
  <si>
    <t>47-50</t>
  </si>
  <si>
    <t>Tỷ lệ các chất (%)</t>
  </si>
  <si>
    <t>THỰC ĐƠN</t>
  </si>
  <si>
    <t>BỮA CHIỀU</t>
  </si>
  <si>
    <t>Cơm tẻ</t>
  </si>
  <si>
    <t>Đặng Thị Phượng</t>
  </si>
  <si>
    <t xml:space="preserve">Thịt gà </t>
  </si>
  <si>
    <t>Bí đỏ</t>
  </si>
  <si>
    <r>
      <t xml:space="preserve">L
</t>
    </r>
    <r>
      <rPr>
        <sz val="11"/>
        <rFont val="Times New Roman"/>
        <family val="1"/>
      </rPr>
      <t>(ĐV)</t>
    </r>
  </si>
  <si>
    <t>Canh bí đao, cà rốt nấu thịt vịt</t>
  </si>
  <si>
    <t xml:space="preserve">Tôm </t>
  </si>
  <si>
    <t>BỮA CHÍNH TRƯA</t>
  </si>
  <si>
    <t>BỮA PHỤ CHIỀU</t>
  </si>
  <si>
    <t>BỮA  CHÍNH TRƯA</t>
  </si>
  <si>
    <t xml:space="preserve">BỮA PHỤ </t>
  </si>
  <si>
    <t>BỮA CHÍNH CHIỀU</t>
  </si>
  <si>
    <t>Thịt gà om nấm hương</t>
  </si>
  <si>
    <t>Rau hẹ</t>
  </si>
  <si>
    <t>BỮA PHỤ</t>
  </si>
  <si>
    <t xml:space="preserve">Cộng chung bữa chính </t>
  </si>
  <si>
    <t xml:space="preserve">Cộng chung bữa phụ </t>
  </si>
  <si>
    <t>Cộng chung 
xuất ăn</t>
  </si>
  <si>
    <t>Cộng chung bữa trưa</t>
  </si>
  <si>
    <t>Cộng chung bữa chiều</t>
  </si>
  <si>
    <t>Cộng chung bữa phụ</t>
  </si>
  <si>
    <t>Cộng chung 
 xuất ăn</t>
  </si>
  <si>
    <t>Trứng gà hấp mộc nhĩ, nấm hương</t>
  </si>
  <si>
    <t>Cộng chung  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</si>
  <si>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</si>
  <si>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</si>
  <si>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</si>
  <si>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</si>
  <si>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bữa trưa </t>
  </si>
  <si>
    <t xml:space="preserve">Cộng chung bữa chiều </t>
  </si>
  <si>
    <t>Cộng chung bữa chính</t>
  </si>
  <si>
    <t xml:space="preserve">Cộng bữa chính </t>
  </si>
  <si>
    <t>Số xuất ăn</t>
  </si>
  <si>
    <t>Bột canh, hạt nêm</t>
  </si>
  <si>
    <t>Trần Thị Thu</t>
  </si>
  <si>
    <t xml:space="preserve">Số g các chất dinh dưỡng và tỷ lệ các chất dinh dưỡng (P:L:G) đạt trong khoảng quy định. </t>
  </si>
  <si>
    <t xml:space="preserve">Số g các chất dinh dưỡng (P:L:G) đạt trong khoảng quy định. </t>
  </si>
  <si>
    <t>Trần Thị Minh Thu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</si>
  <si>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 </t>
    </r>
  </si>
  <si>
    <r>
      <t xml:space="preserve">Cách khắc phục: </t>
    </r>
    <r>
      <rPr>
        <sz val="11"/>
        <rFont val="Times New Roman"/>
        <family val="1"/>
      </rPr>
      <t>Duy trì số g lương thực, thực phẩm trong khẩu phần ăn của trẻ</t>
    </r>
  </si>
  <si>
    <t>Trứng vịt chiên sốt cà chua</t>
  </si>
  <si>
    <t>Canh bí đỏ nấu thịt vịt</t>
  </si>
  <si>
    <t>Thịt bò sốt cà chua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</si>
  <si>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</si>
  <si>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Hành khô</t>
  </si>
  <si>
    <t>Cháo  - thịt vịt, bí đỏ</t>
  </si>
  <si>
    <t>Bột sắn dây</t>
  </si>
  <si>
    <t>Nước tương</t>
  </si>
  <si>
    <t>Bánh đa</t>
  </si>
  <si>
    <t>Dầu cá Ranee</t>
  </si>
  <si>
    <t>Cháo thịt vịt - cà rốt</t>
  </si>
  <si>
    <t>Cháo thịt gà, bí đao</t>
  </si>
  <si>
    <t>Dầu Simply</t>
  </si>
  <si>
    <t>Trứng chim cút</t>
  </si>
  <si>
    <t>Uống sữa Nuvi Grow</t>
  </si>
  <si>
    <t>Sữa bột Nuvi Grow</t>
  </si>
  <si>
    <t>Thịt vịt om nước tương</t>
  </si>
  <si>
    <t>Khuyến
 nghị</t>
  </si>
  <si>
    <t>Cá quả sốt cà chua</t>
  </si>
  <si>
    <t>Dứa xào thịt bò</t>
  </si>
  <si>
    <t>Dứa</t>
  </si>
  <si>
    <t>Cá quả</t>
  </si>
  <si>
    <t>Bí đao, cà rốt xào thịt gà</t>
  </si>
  <si>
    <t>Thịt lợn trộn trứng gà mộc nhĩ, nấm hương  hấp</t>
  </si>
  <si>
    <t>Bí đao xào thịt bò</t>
  </si>
  <si>
    <t xml:space="preserve">Trứng vịt đúc thịt lợn </t>
  </si>
  <si>
    <t>Trứng vịt đúc thịt lợn</t>
  </si>
  <si>
    <t>Ruốc thịt lợn, lạc</t>
  </si>
  <si>
    <t>Canh rau hẹ nấu thịt lợn</t>
  </si>
  <si>
    <t>Canh bí đao nấu thịt lợn</t>
  </si>
  <si>
    <t>Canh bí đỏ, cà rốt nấu thịt lợn</t>
  </si>
  <si>
    <t>Tôm, thịt lợn sốt dứa, cà chua</t>
  </si>
  <si>
    <t>Súp gà ngô</t>
  </si>
  <si>
    <t>Ngô ngọt</t>
  </si>
  <si>
    <t>Rau thơm</t>
  </si>
  <si>
    <t>Thịt gà, trứng chim cút sốt cà chua</t>
  </si>
  <si>
    <t>Cháo thịt bò, thịt gà - cà rốt, hạt sen</t>
  </si>
  <si>
    <t>Bánh đa - thịt lợn rau bắp cải</t>
  </si>
  <si>
    <t>Rau bắp cải</t>
  </si>
  <si>
    <t>Canh rau bắp cải nấu thịt lợn</t>
  </si>
  <si>
    <t>Tỷ lệ L động vật đạt 70.2%; so với khẩu phần khuyến nghị đảm bảo đạt</t>
  </si>
  <si>
    <t>Canh rau bắp cải nấu tôm</t>
  </si>
  <si>
    <t>Bí đỏ xào thịt lợn</t>
  </si>
  <si>
    <t>Đường kính</t>
  </si>
  <si>
    <t>Tỷ lệ L động vật đạt 70%; so với khẩu phần khuyến nghị đảm bảo đạt</t>
  </si>
  <si>
    <t>Rau ngót</t>
  </si>
  <si>
    <t>Tỷ lệ P động vật đạt 50%; so với khẩu phần khuyến nghị tương đối đạt</t>
  </si>
  <si>
    <t>Canh rau ngót nấu thịt gà</t>
  </si>
  <si>
    <t>Tỷ lệ P động vật đạt 50.3%; so với khẩu phần khuyến nghị tương đối đạt</t>
  </si>
  <si>
    <t>Tỷ lệ P động vật đạt 53.4%; so với khẩu phần khuyến nghị tương đối đạt</t>
  </si>
  <si>
    <t>Rau đay</t>
  </si>
  <si>
    <t>Mồng tơi</t>
  </si>
  <si>
    <t>Canh rau đay, mồng tơi nấu cua</t>
  </si>
  <si>
    <t>Bún</t>
  </si>
  <si>
    <t xml:space="preserve">Canh rau đay, mồng tơi nấu cua </t>
  </si>
  <si>
    <t>Bún thịt vịt, cà chua, cà rốt</t>
  </si>
  <si>
    <t>Cua</t>
  </si>
  <si>
    <t>Bầu xào thịt lợn</t>
  </si>
  <si>
    <t>Canh rau muống nấu tôm</t>
  </si>
  <si>
    <t>Rau muống</t>
  </si>
  <si>
    <t>Bầu</t>
  </si>
  <si>
    <t>Tỷ lệ P động vật đạt 59.9%; so với khẩu phần khuyến nghị đảm bảo đạt</t>
  </si>
  <si>
    <t>Bí đao xào thịt lợn</t>
  </si>
  <si>
    <t>Canh rau dền nấu thịt gà</t>
  </si>
  <si>
    <t>Rau dền</t>
  </si>
  <si>
    <t>Tỷ lệ P động vật đạt 50.2%; so với khẩu phần khuyến tương đối đạt</t>
  </si>
  <si>
    <t>Thứ hai, ngày 13 tháng 4 năm 2026</t>
  </si>
  <si>
    <t>Kcal đạt 661.42. So với khẩu phần khuyến nghị đảm bảo đạt</t>
  </si>
  <si>
    <t>Kcal đạt 622.46 So với khẩu phần khuyến nghị đảm bảo đạt</t>
  </si>
  <si>
    <t>Tỷ lệ P động vật đạt 57.5%; so với khẩu phần khuyến nghị đảm bảo đạt</t>
  </si>
  <si>
    <t>Thứ ba, ngày 14 tháng 4 năm 2026</t>
  </si>
  <si>
    <t>Kcal đạt 708.45. So với khẩu phần khuyến nghị đảm bảo đạt</t>
  </si>
  <si>
    <t>Kcal đạt 620.67. So với khẩu phần khuyến nghị đảm bảo đạt</t>
  </si>
  <si>
    <t>Tỷ lệ P động vật đạt 54%; so với khẩu phần khuyến nghị tương đối đạt</t>
  </si>
  <si>
    <t>Tỷ lệ L động vật đạt 70.9%; so với khẩu phần khuyến nghị cao hơn 0,9%</t>
  </si>
  <si>
    <t>Thứ tư, ngày 15 tháng 4 năm 2026</t>
  </si>
  <si>
    <t>Kcal đạt 724.81. So với khẩu phần khuyến nghị đảm bảo đạt</t>
  </si>
  <si>
    <t>Kcal đạt 643.13. So với khẩu phần khuyến nghị đảm bảo đạt</t>
  </si>
  <si>
    <t>Tỷ lệ P động vật đạt 60.7%; Cao hơn so với khẩu phần khuyến nghị 0.7%</t>
  </si>
  <si>
    <t>Tỷ lệ L động vật đạt 70.7%; so với khẩu phần khuyến nghị cao hơn 0.7%</t>
  </si>
  <si>
    <t>Thứ năm, ngày 16 tháng 4 năm 2026</t>
  </si>
  <si>
    <t>Kcal đạt 703.22. So với khẩu phần khuyến nghị đảm bảo đạt</t>
  </si>
  <si>
    <t>Tỷ lệ P động vật đạt 54.3%; so với khẩu phần khuyến nghị tương đối đạt</t>
  </si>
  <si>
    <t>Tỷ lệ L động vật đạt 70.3%; so với khẩu phần khuyến nghị đảm bảo đạt</t>
  </si>
  <si>
    <t>Kcal đạt 637.49. So với khẩu phần khuyến nghị đảm bảo đạt đạt</t>
  </si>
  <si>
    <t>Tỷ lệ P động vật đạt 58.5%; so với khẩu phần khuyến đảm bảo đạt</t>
  </si>
  <si>
    <t>Tỷ lệ L động vật đạt 69.6%; so với khẩu phần khuyến nghị đảm bảo đạt</t>
  </si>
  <si>
    <t>Thứ sáu, ngày 17 tháng 4 năm 2026</t>
  </si>
  <si>
    <t>Kcal đạt 693.42. So với khẩu phần khuyến nghị đảm bảo đạt</t>
  </si>
  <si>
    <t>Kcal đạt 634.33 So với khẩu phần khuyến nghị đảm bảo đạt</t>
  </si>
  <si>
    <t>Tỷ lệ P động vật đạt 70.5%; so với khẩu phần khuyến nghị cao hơn 10.5%</t>
  </si>
  <si>
    <t>Thứ bẩy, ngày 18 tháng 4 năm 2026</t>
  </si>
  <si>
    <t>Kcal đạt 725.48 So với khẩu phần khuyến nghị đảm bảo đạt</t>
  </si>
  <si>
    <t>Tỷ lệ L động vật đạt 69.8%; so với khẩu phần khuyến nghị đảm bảo đạt</t>
  </si>
  <si>
    <t>Kcal đạt 652.68. So với khẩu phần khuyến nghị đảm bảo đạt</t>
  </si>
  <si>
    <t>Tỷ lệ P động vật đạt 57%; so với khẩu phần khuyến nghị đảm bảo đạt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</si>
</sst>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0"/>
    <numFmt numFmtId="165" formatCode="#.##0"/>
    <numFmt numFmtId="166" formatCode="#,##0.0"/>
    <numFmt numFmtId="167" formatCode="0.0"/>
  </numFmts>
  <fonts count="18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sz val="11"/>
      <color indexed="8"/>
      <name val="Calibri"/>
      <family val="2"/>
    </font>
    <font>
      <sz val="9"/>
      <name val="Arial"/>
      <family val="2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427">
    <xf numFmtId="0" fontId="0" fillId="0" borderId="0" xfId="0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7" fillId="0" borderId="5" xfId="0" applyFont="1" applyFill="1" applyBorder="1"/>
    <xf numFmtId="0" fontId="7" fillId="0" borderId="6" xfId="0" applyFont="1" applyFill="1" applyBorder="1"/>
    <xf numFmtId="4" fontId="6" fillId="0" borderId="2" xfId="0" applyNumberFormat="1" applyFont="1" applyBorder="1"/>
    <xf numFmtId="0" fontId="5" fillId="0" borderId="0" xfId="0" applyFont="1" applyAlignment="1"/>
    <xf numFmtId="0" fontId="7" fillId="0" borderId="5" xfId="0" applyFont="1" applyFill="1" applyBorder="1" applyAlignment="1">
      <alignment horizontal="center"/>
    </xf>
    <xf numFmtId="3" fontId="7" fillId="0" borderId="5" xfId="1" applyNumberFormat="1" applyFont="1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/>
    <xf numFmtId="0" fontId="7" fillId="0" borderId="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3" fontId="7" fillId="0" borderId="14" xfId="1" applyNumberFormat="1" applyFont="1" applyFill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167" fontId="3" fillId="0" borderId="0" xfId="0" applyNumberFormat="1" applyFont="1" applyFill="1"/>
    <xf numFmtId="3" fontId="11" fillId="0" borderId="3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0" fontId="10" fillId="0" borderId="18" xfId="0" applyFont="1" applyFill="1" applyBorder="1" applyAlignment="1"/>
    <xf numFmtId="0" fontId="10" fillId="0" borderId="7" xfId="0" applyFont="1" applyFill="1" applyBorder="1" applyAlignment="1"/>
    <xf numFmtId="3" fontId="11" fillId="0" borderId="5" xfId="0" applyNumberFormat="1" applyFont="1" applyFill="1" applyBorder="1"/>
    <xf numFmtId="2" fontId="11" fillId="0" borderId="5" xfId="0" applyNumberFormat="1" applyFont="1" applyFill="1" applyBorder="1"/>
    <xf numFmtId="4" fontId="11" fillId="0" borderId="5" xfId="0" applyNumberFormat="1" applyFont="1" applyFill="1" applyBorder="1"/>
    <xf numFmtId="1" fontId="11" fillId="0" borderId="5" xfId="0" applyNumberFormat="1" applyFont="1" applyFill="1" applyBorder="1"/>
    <xf numFmtId="164" fontId="11" fillId="0" borderId="5" xfId="0" applyNumberFormat="1" applyFont="1" applyFill="1" applyBorder="1"/>
    <xf numFmtId="3" fontId="11" fillId="0" borderId="5" xfId="0" applyNumberFormat="1" applyFont="1" applyFill="1" applyBorder="1" applyAlignment="1"/>
    <xf numFmtId="4" fontId="11" fillId="0" borderId="6" xfId="0" applyNumberFormat="1" applyFont="1" applyFill="1" applyBorder="1"/>
    <xf numFmtId="1" fontId="11" fillId="0" borderId="6" xfId="0" applyNumberFormat="1" applyFont="1" applyFill="1" applyBorder="1"/>
    <xf numFmtId="3" fontId="11" fillId="0" borderId="6" xfId="0" applyNumberFormat="1" applyFont="1" applyFill="1" applyBorder="1"/>
    <xf numFmtId="2" fontId="11" fillId="0" borderId="6" xfId="0" applyNumberFormat="1" applyFont="1" applyFill="1" applyBorder="1"/>
    <xf numFmtId="3" fontId="11" fillId="0" borderId="6" xfId="0" applyNumberFormat="1" applyFont="1" applyFill="1" applyBorder="1" applyAlignment="1"/>
    <xf numFmtId="3" fontId="11" fillId="0" borderId="2" xfId="0" applyNumberFormat="1" applyFont="1" applyFill="1" applyBorder="1"/>
    <xf numFmtId="2" fontId="6" fillId="0" borderId="2" xfId="0" applyNumberFormat="1" applyFont="1" applyFill="1" applyBorder="1"/>
    <xf numFmtId="4" fontId="11" fillId="0" borderId="2" xfId="0" applyNumberFormat="1" applyFont="1" applyFill="1" applyBorder="1"/>
    <xf numFmtId="1" fontId="11" fillId="0" borderId="2" xfId="0" applyNumberFormat="1" applyFont="1" applyFill="1" applyBorder="1"/>
    <xf numFmtId="3" fontId="6" fillId="0" borderId="2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/>
    <xf numFmtId="4" fontId="11" fillId="0" borderId="4" xfId="0" applyNumberFormat="1" applyFont="1" applyFill="1" applyBorder="1"/>
    <xf numFmtId="1" fontId="11" fillId="0" borderId="4" xfId="0" applyNumberFormat="1" applyFont="1" applyFill="1" applyBorder="1"/>
    <xf numFmtId="3" fontId="11" fillId="0" borderId="4" xfId="0" applyNumberFormat="1" applyFont="1" applyFill="1" applyBorder="1" applyAlignment="1"/>
    <xf numFmtId="4" fontId="6" fillId="0" borderId="2" xfId="0" applyNumberFormat="1" applyFont="1" applyFill="1" applyBorder="1"/>
    <xf numFmtId="1" fontId="6" fillId="0" borderId="2" xfId="0" applyNumberFormat="1" applyFont="1" applyFill="1" applyBorder="1"/>
    <xf numFmtId="0" fontId="11" fillId="0" borderId="2" xfId="0" applyFont="1" applyBorder="1"/>
    <xf numFmtId="0" fontId="6" fillId="0" borderId="2" xfId="0" applyFont="1" applyBorder="1"/>
    <xf numFmtId="1" fontId="6" fillId="0" borderId="2" xfId="0" applyNumberFormat="1" applyFont="1" applyBorder="1"/>
    <xf numFmtId="0" fontId="6" fillId="0" borderId="16" xfId="0" applyFont="1" applyBorder="1"/>
    <xf numFmtId="0" fontId="6" fillId="0" borderId="2" xfId="0" applyFont="1" applyBorder="1" applyAlignment="1">
      <alignment vertical="center"/>
    </xf>
    <xf numFmtId="4" fontId="12" fillId="0" borderId="2" xfId="0" applyNumberFormat="1" applyFont="1" applyBorder="1"/>
    <xf numFmtId="3" fontId="11" fillId="0" borderId="14" xfId="0" applyNumberFormat="1" applyFont="1" applyFill="1" applyBorder="1"/>
    <xf numFmtId="2" fontId="11" fillId="0" borderId="14" xfId="0" applyNumberFormat="1" applyFont="1" applyFill="1" applyBorder="1"/>
    <xf numFmtId="4" fontId="11" fillId="0" borderId="14" xfId="0" applyNumberFormat="1" applyFont="1" applyFill="1" applyBorder="1"/>
    <xf numFmtId="1" fontId="11" fillId="0" borderId="14" xfId="0" applyNumberFormat="1" applyFont="1" applyFill="1" applyBorder="1"/>
    <xf numFmtId="3" fontId="11" fillId="0" borderId="14" xfId="0" applyNumberFormat="1" applyFont="1" applyFill="1" applyBorder="1" applyAlignment="1"/>
    <xf numFmtId="3" fontId="11" fillId="0" borderId="15" xfId="0" applyNumberFormat="1" applyFont="1" applyFill="1" applyBorder="1"/>
    <xf numFmtId="2" fontId="11" fillId="0" borderId="15" xfId="0" applyNumberFormat="1" applyFont="1" applyFill="1" applyBorder="1"/>
    <xf numFmtId="4" fontId="11" fillId="0" borderId="15" xfId="0" applyNumberFormat="1" applyFont="1" applyFill="1" applyBorder="1"/>
    <xf numFmtId="1" fontId="11" fillId="0" borderId="15" xfId="0" applyNumberFormat="1" applyFont="1" applyFill="1" applyBorder="1"/>
    <xf numFmtId="3" fontId="11" fillId="0" borderId="15" xfId="0" applyNumberFormat="1" applyFont="1" applyFill="1" applyBorder="1" applyAlignment="1"/>
    <xf numFmtId="0" fontId="11" fillId="0" borderId="16" xfId="0" applyFont="1" applyBorder="1"/>
    <xf numFmtId="1" fontId="6" fillId="0" borderId="16" xfId="0" applyNumberFormat="1" applyFont="1" applyBorder="1"/>
    <xf numFmtId="0" fontId="11" fillId="0" borderId="15" xfId="0" applyFont="1" applyBorder="1"/>
    <xf numFmtId="0" fontId="6" fillId="0" borderId="15" xfId="0" applyFont="1" applyBorder="1"/>
    <xf numFmtId="1" fontId="6" fillId="0" borderId="15" xfId="0" applyNumberFormat="1" applyFont="1" applyBorder="1"/>
    <xf numFmtId="3" fontId="6" fillId="0" borderId="15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/>
    <xf numFmtId="1" fontId="6" fillId="0" borderId="3" xfId="0" applyNumberFormat="1" applyFont="1" applyBorder="1"/>
    <xf numFmtId="3" fontId="11" fillId="0" borderId="7" xfId="0" applyNumberFormat="1" applyFont="1" applyFill="1" applyBorder="1" applyAlignment="1"/>
    <xf numFmtId="0" fontId="11" fillId="0" borderId="4" xfId="0" applyFont="1" applyBorder="1" applyAlignment="1">
      <alignment horizontal="left" vertical="center"/>
    </xf>
    <xf numFmtId="164" fontId="11" fillId="0" borderId="6" xfId="0" applyNumberFormat="1" applyFont="1" applyFill="1" applyBorder="1"/>
    <xf numFmtId="2" fontId="6" fillId="0" borderId="2" xfId="0" applyNumberFormat="1" applyFont="1" applyBorder="1"/>
    <xf numFmtId="1" fontId="11" fillId="0" borderId="16" xfId="0" applyNumberFormat="1" applyFont="1" applyFill="1" applyBorder="1"/>
    <xf numFmtId="1" fontId="11" fillId="0" borderId="3" xfId="0" applyNumberFormat="1" applyFont="1" applyFill="1" applyBorder="1"/>
    <xf numFmtId="167" fontId="11" fillId="0" borderId="5" xfId="0" applyNumberFormat="1" applyFont="1" applyFill="1" applyBorder="1"/>
    <xf numFmtId="3" fontId="9" fillId="0" borderId="3" xfId="0" applyNumberFormat="1" applyFont="1" applyFill="1" applyBorder="1" applyAlignment="1">
      <alignment horizontal="center"/>
    </xf>
    <xf numFmtId="167" fontId="11" fillId="0" borderId="14" xfId="0" applyNumberFormat="1" applyFont="1" applyFill="1" applyBorder="1"/>
    <xf numFmtId="167" fontId="6" fillId="0" borderId="2" xfId="0" applyNumberFormat="1" applyFont="1" applyFill="1" applyBorder="1" applyAlignment="1">
      <alignment horizontal="center"/>
    </xf>
    <xf numFmtId="3" fontId="11" fillId="0" borderId="5" xfId="1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164" fontId="13" fillId="0" borderId="5" xfId="0" applyNumberFormat="1" applyFont="1" applyFill="1" applyBorder="1"/>
    <xf numFmtId="4" fontId="12" fillId="0" borderId="2" xfId="0" applyNumberFormat="1" applyFont="1" applyFill="1" applyBorder="1"/>
    <xf numFmtId="0" fontId="12" fillId="0" borderId="2" xfId="0" applyFont="1" applyBorder="1"/>
    <xf numFmtId="0" fontId="12" fillId="0" borderId="16" xfId="0" applyFont="1" applyBorder="1"/>
    <xf numFmtId="2" fontId="6" fillId="0" borderId="2" xfId="0" applyNumberFormat="1" applyFont="1" applyBorder="1" applyAlignment="1">
      <alignment vertical="center"/>
    </xf>
    <xf numFmtId="0" fontId="3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64" fontId="11" fillId="0" borderId="14" xfId="0" applyNumberFormat="1" applyFont="1" applyFill="1" applyBorder="1"/>
    <xf numFmtId="4" fontId="6" fillId="0" borderId="16" xfId="0" applyNumberFormat="1" applyFont="1" applyBorder="1" applyAlignment="1">
      <alignment vertical="center"/>
    </xf>
    <xf numFmtId="4" fontId="6" fillId="0" borderId="17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1" fontId="6" fillId="0" borderId="16" xfId="0" applyNumberFormat="1" applyFont="1" applyBorder="1" applyAlignment="1">
      <alignment vertical="center"/>
    </xf>
    <xf numFmtId="1" fontId="6" fillId="0" borderId="17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0" fontId="7" fillId="0" borderId="20" xfId="0" applyFont="1" applyFill="1" applyBorder="1" applyAlignment="1">
      <alignment horizontal="center"/>
    </xf>
    <xf numFmtId="3" fontId="11" fillId="0" borderId="20" xfId="0" applyNumberFormat="1" applyFont="1" applyFill="1" applyBorder="1"/>
    <xf numFmtId="2" fontId="11" fillId="0" borderId="20" xfId="0" applyNumberFormat="1" applyFont="1" applyFill="1" applyBorder="1"/>
    <xf numFmtId="4" fontId="11" fillId="0" borderId="20" xfId="0" applyNumberFormat="1" applyFont="1" applyFill="1" applyBorder="1"/>
    <xf numFmtId="1" fontId="11" fillId="0" borderId="20" xfId="0" applyNumberFormat="1" applyFont="1" applyFill="1" applyBorder="1"/>
    <xf numFmtId="3" fontId="11" fillId="0" borderId="20" xfId="0" applyNumberFormat="1" applyFont="1" applyFill="1" applyBorder="1" applyAlignment="1"/>
    <xf numFmtId="0" fontId="7" fillId="0" borderId="2" xfId="0" applyFont="1" applyFill="1" applyBorder="1" applyAlignment="1">
      <alignment horizontal="center"/>
    </xf>
    <xf numFmtId="2" fontId="11" fillId="0" borderId="2" xfId="0" applyNumberFormat="1" applyFont="1" applyFill="1" applyBorder="1"/>
    <xf numFmtId="3" fontId="11" fillId="0" borderId="2" xfId="0" applyNumberFormat="1" applyFont="1" applyFill="1" applyBorder="1" applyAlignment="1"/>
    <xf numFmtId="0" fontId="7" fillId="0" borderId="20" xfId="0" applyFont="1" applyFill="1" applyBorder="1"/>
    <xf numFmtId="0" fontId="11" fillId="0" borderId="20" xfId="0" applyFont="1" applyFill="1" applyBorder="1" applyAlignment="1">
      <alignment horizontal="center"/>
    </xf>
    <xf numFmtId="164" fontId="11" fillId="0" borderId="20" xfId="0" applyNumberFormat="1" applyFont="1" applyFill="1" applyBorder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13" fillId="0" borderId="5" xfId="0" applyNumberFormat="1" applyFont="1" applyFill="1" applyBorder="1"/>
    <xf numFmtId="2" fontId="13" fillId="0" borderId="5" xfId="0" applyNumberFormat="1" applyFont="1" applyFill="1" applyBorder="1"/>
    <xf numFmtId="2" fontId="12" fillId="0" borderId="2" xfId="0" applyNumberFormat="1" applyFont="1" applyFill="1" applyBorder="1"/>
    <xf numFmtId="2" fontId="12" fillId="0" borderId="2" xfId="0" applyNumberFormat="1" applyFont="1" applyBorder="1" applyAlignment="1">
      <alignment vertical="center"/>
    </xf>
    <xf numFmtId="4" fontId="10" fillId="0" borderId="2" xfId="0" applyNumberFormat="1" applyFont="1" applyBorder="1"/>
    <xf numFmtId="3" fontId="13" fillId="0" borderId="5" xfId="0" applyNumberFormat="1" applyFont="1" applyFill="1" applyBorder="1" applyAlignment="1"/>
    <xf numFmtId="0" fontId="4" fillId="0" borderId="2" xfId="0" applyFont="1" applyFill="1" applyBorder="1" applyAlignment="1">
      <alignment horizontal="left"/>
    </xf>
    <xf numFmtId="2" fontId="12" fillId="0" borderId="3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right"/>
    </xf>
    <xf numFmtId="4" fontId="13" fillId="0" borderId="2" xfId="0" applyNumberFormat="1" applyFont="1" applyFill="1" applyBorder="1"/>
    <xf numFmtId="4" fontId="9" fillId="0" borderId="5" xfId="0" applyNumberFormat="1" applyFont="1" applyFill="1" applyBorder="1"/>
    <xf numFmtId="0" fontId="12" fillId="2" borderId="16" xfId="0" applyFont="1" applyFill="1" applyBorder="1" applyAlignment="1">
      <alignment vertical="center"/>
    </xf>
    <xf numFmtId="2" fontId="3" fillId="0" borderId="0" xfId="0" applyNumberFormat="1" applyFont="1"/>
    <xf numFmtId="0" fontId="6" fillId="0" borderId="16" xfId="0" applyFont="1" applyFill="1" applyBorder="1" applyAlignment="1">
      <alignment vertical="center"/>
    </xf>
    <xf numFmtId="2" fontId="6" fillId="2" borderId="16" xfId="0" applyNumberFormat="1" applyFont="1" applyFill="1" applyBorder="1" applyAlignment="1">
      <alignment vertical="center"/>
    </xf>
    <xf numFmtId="3" fontId="11" fillId="2" borderId="5" xfId="0" applyNumberFormat="1" applyFont="1" applyFill="1" applyBorder="1" applyAlignment="1"/>
    <xf numFmtId="4" fontId="11" fillId="2" borderId="5" xfId="0" applyNumberFormat="1" applyFont="1" applyFill="1" applyBorder="1"/>
    <xf numFmtId="1" fontId="11" fillId="2" borderId="5" xfId="0" applyNumberFormat="1" applyFont="1" applyFill="1" applyBorder="1"/>
    <xf numFmtId="0" fontId="6" fillId="0" borderId="16" xfId="0" applyFont="1" applyBorder="1" applyAlignment="1">
      <alignment vertical="center"/>
    </xf>
    <xf numFmtId="2" fontId="11" fillId="2" borderId="5" xfId="0" applyNumberFormat="1" applyFont="1" applyFill="1" applyBorder="1"/>
    <xf numFmtId="4" fontId="13" fillId="2" borderId="5" xfId="0" applyNumberFormat="1" applyFont="1" applyFill="1" applyBorder="1"/>
    <xf numFmtId="0" fontId="3" fillId="2" borderId="0" xfId="0" applyFont="1" applyFill="1"/>
    <xf numFmtId="0" fontId="6" fillId="2" borderId="16" xfId="0" applyFont="1" applyFill="1" applyBorder="1" applyAlignment="1">
      <alignment vertical="center"/>
    </xf>
    <xf numFmtId="167" fontId="13" fillId="0" borderId="5" xfId="0" applyNumberFormat="1" applyFont="1" applyFill="1" applyBorder="1"/>
    <xf numFmtId="2" fontId="9" fillId="0" borderId="5" xfId="0" applyNumberFormat="1" applyFont="1" applyFill="1" applyBorder="1"/>
    <xf numFmtId="167" fontId="11" fillId="0" borderId="20" xfId="0" applyNumberFormat="1" applyFont="1" applyFill="1" applyBorder="1"/>
    <xf numFmtId="3" fontId="3" fillId="0" borderId="5" xfId="1" applyNumberFormat="1" applyFont="1" applyFill="1" applyBorder="1" applyAlignment="1">
      <alignment horizontal="left"/>
    </xf>
    <xf numFmtId="4" fontId="13" fillId="0" borderId="20" xfId="0" applyNumberFormat="1" applyFont="1" applyFill="1" applyBorder="1"/>
    <xf numFmtId="3" fontId="7" fillId="2" borderId="5" xfId="1" applyNumberFormat="1" applyFont="1" applyFill="1" applyBorder="1" applyAlignment="1">
      <alignment horizontal="left"/>
    </xf>
    <xf numFmtId="0" fontId="7" fillId="2" borderId="5" xfId="0" applyFont="1" applyFill="1" applyBorder="1"/>
    <xf numFmtId="3" fontId="3" fillId="2" borderId="5" xfId="1" applyNumberFormat="1" applyFont="1" applyFill="1" applyBorder="1" applyAlignment="1">
      <alignment horizontal="left"/>
    </xf>
    <xf numFmtId="3" fontId="13" fillId="0" borderId="14" xfId="0" applyNumberFormat="1" applyFont="1" applyFill="1" applyBorder="1" applyAlignment="1"/>
    <xf numFmtId="3" fontId="9" fillId="0" borderId="5" xfId="3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/>
    <xf numFmtId="3" fontId="9" fillId="0" borderId="2" xfId="3" applyNumberFormat="1" applyFont="1" applyFill="1" applyBorder="1" applyAlignment="1">
      <alignment horizontal="left" vertical="center" wrapText="1"/>
    </xf>
    <xf numFmtId="167" fontId="13" fillId="0" borderId="2" xfId="0" applyNumberFormat="1" applyFont="1" applyFill="1" applyBorder="1"/>
    <xf numFmtId="3" fontId="9" fillId="0" borderId="20" xfId="3" applyNumberFormat="1" applyFont="1" applyFill="1" applyBorder="1" applyAlignment="1">
      <alignment horizontal="left" vertical="center" wrapText="1"/>
    </xf>
    <xf numFmtId="167" fontId="13" fillId="0" borderId="20" xfId="0" applyNumberFormat="1" applyFont="1" applyFill="1" applyBorder="1"/>
    <xf numFmtId="167" fontId="6" fillId="0" borderId="2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left"/>
    </xf>
    <xf numFmtId="3" fontId="7" fillId="0" borderId="4" xfId="0" applyNumberFormat="1" applyFont="1" applyFill="1" applyBorder="1"/>
    <xf numFmtId="2" fontId="7" fillId="0" borderId="4" xfId="0" applyNumberFormat="1" applyFont="1" applyFill="1" applyBorder="1"/>
    <xf numFmtId="4" fontId="7" fillId="0" borderId="4" xfId="0" applyNumberFormat="1" applyFont="1" applyFill="1" applyBorder="1"/>
    <xf numFmtId="1" fontId="7" fillId="0" borderId="4" xfId="0" applyNumberFormat="1" applyFont="1" applyFill="1" applyBorder="1"/>
    <xf numFmtId="0" fontId="7" fillId="2" borderId="5" xfId="0" applyFont="1" applyFill="1" applyBorder="1" applyAlignment="1">
      <alignment horizontal="center"/>
    </xf>
    <xf numFmtId="3" fontId="11" fillId="2" borderId="5" xfId="0" applyNumberFormat="1" applyFont="1" applyFill="1" applyBorder="1"/>
    <xf numFmtId="167" fontId="11" fillId="2" borderId="5" xfId="0" applyNumberFormat="1" applyFont="1" applyFill="1" applyBorder="1"/>
    <xf numFmtId="3" fontId="11" fillId="2" borderId="20" xfId="0" applyNumberFormat="1" applyFont="1" applyFill="1" applyBorder="1" applyAlignment="1"/>
    <xf numFmtId="4" fontId="13" fillId="0" borderId="6" xfId="0" applyNumberFormat="1" applyFont="1" applyFill="1" applyBorder="1"/>
    <xf numFmtId="2" fontId="13" fillId="0" borderId="20" xfId="0" applyNumberFormat="1" applyFont="1" applyFill="1" applyBorder="1"/>
    <xf numFmtId="2" fontId="10" fillId="0" borderId="2" xfId="0" applyNumberFormat="1" applyFont="1" applyFill="1" applyBorder="1"/>
    <xf numFmtId="3" fontId="13" fillId="0" borderId="20" xfId="0" applyNumberFormat="1" applyFont="1" applyFill="1" applyBorder="1" applyAlignment="1"/>
    <xf numFmtId="3" fontId="13" fillId="2" borderId="5" xfId="0" applyNumberFormat="1" applyFont="1" applyFill="1" applyBorder="1" applyAlignment="1"/>
    <xf numFmtId="3" fontId="9" fillId="0" borderId="5" xfId="0" applyNumberFormat="1" applyFont="1" applyFill="1" applyBorder="1" applyAlignment="1"/>
    <xf numFmtId="3" fontId="9" fillId="2" borderId="5" xfId="0" applyNumberFormat="1" applyFont="1" applyFill="1" applyBorder="1" applyAlignment="1"/>
    <xf numFmtId="3" fontId="3" fillId="0" borderId="4" xfId="0" applyNumberFormat="1" applyFont="1" applyFill="1" applyBorder="1" applyAlignment="1"/>
    <xf numFmtId="3" fontId="3" fillId="0" borderId="5" xfId="0" applyNumberFormat="1" applyFont="1" applyFill="1" applyBorder="1" applyAlignment="1"/>
    <xf numFmtId="0" fontId="1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12" fillId="0" borderId="16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7" fontId="6" fillId="0" borderId="18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2" fontId="12" fillId="0" borderId="16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1" fontId="11" fillId="0" borderId="16" xfId="0" applyNumberFormat="1" applyFont="1" applyFill="1" applyBorder="1" applyAlignment="1">
      <alignment horizontal="center"/>
    </xf>
    <xf numFmtId="1" fontId="11" fillId="0" borderId="3" xfId="0" applyNumberFormat="1" applyFont="1" applyFill="1" applyBorder="1" applyAlignment="1">
      <alignment horizontal="center"/>
    </xf>
    <xf numFmtId="0" fontId="16" fillId="0" borderId="3" xfId="0" applyFont="1" applyBorder="1"/>
    <xf numFmtId="2" fontId="12" fillId="0" borderId="18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3" fontId="12" fillId="0" borderId="17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" fontId="10" fillId="0" borderId="16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 textRotation="45"/>
    </xf>
    <xf numFmtId="3" fontId="10" fillId="0" borderId="3" xfId="0" applyNumberFormat="1" applyFont="1" applyFill="1" applyBorder="1" applyAlignment="1">
      <alignment horizontal="center" vertical="center" textRotation="45"/>
    </xf>
    <xf numFmtId="3" fontId="14" fillId="0" borderId="16" xfId="0" applyNumberFormat="1" applyFont="1" applyFill="1" applyBorder="1" applyAlignment="1">
      <alignment horizontal="center" vertical="center" textRotation="90"/>
    </xf>
    <xf numFmtId="3" fontId="14" fillId="0" borderId="3" xfId="0" applyNumberFormat="1" applyFont="1" applyFill="1" applyBorder="1" applyAlignment="1">
      <alignment horizontal="center" vertical="center" textRotation="90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horizontal="center" vertical="center" wrapText="1"/>
    </xf>
    <xf numFmtId="2" fontId="12" fillId="0" borderId="17" xfId="0" applyNumberFormat="1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" fontId="11" fillId="2" borderId="6" xfId="0" applyNumberFormat="1" applyFont="1" applyFill="1" applyBorder="1"/>
    <xf numFmtId="167" fontId="3" fillId="0" borderId="0" xfId="0" applyNumberFormat="1" applyFont="1" applyFill="1" applyBorder="1"/>
    <xf numFmtId="3" fontId="17" fillId="0" borderId="2" xfId="0" applyNumberFormat="1" applyFont="1" applyFill="1" applyBorder="1" applyAlignment="1">
      <alignment horizontal="center" wrapText="1"/>
    </xf>
    <xf numFmtId="1" fontId="3" fillId="0" borderId="0" xfId="0" applyNumberFormat="1" applyFont="1" applyFill="1" applyBorder="1"/>
    <xf numFmtId="164" fontId="12" fillId="2" borderId="2" xfId="0" applyNumberFormat="1" applyFont="1" applyFill="1" applyBorder="1" applyAlignment="1"/>
    <xf numFmtId="164" fontId="12" fillId="2" borderId="7" xfId="0" applyNumberFormat="1" applyFont="1" applyFill="1" applyBorder="1" applyAlignment="1"/>
    <xf numFmtId="165" fontId="6" fillId="2" borderId="18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65" fontId="12" fillId="2" borderId="18" xfId="0" applyNumberFormat="1" applyFont="1" applyFill="1" applyBorder="1" applyAlignment="1">
      <alignment horizontal="center"/>
    </xf>
    <xf numFmtId="165" fontId="12" fillId="2" borderId="7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9" fillId="2" borderId="0" xfId="0" applyFont="1" applyFill="1" applyBorder="1"/>
    <xf numFmtId="2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center"/>
    </xf>
    <xf numFmtId="1" fontId="13" fillId="2" borderId="5" xfId="0" applyNumberFormat="1" applyFont="1" applyFill="1" applyBorder="1"/>
    <xf numFmtId="4" fontId="3" fillId="2" borderId="0" xfId="0" applyNumberFormat="1" applyFont="1" applyFill="1" applyBorder="1"/>
    <xf numFmtId="1" fontId="11" fillId="2" borderId="20" xfId="0" applyNumberFormat="1" applyFont="1" applyFill="1" applyBorder="1"/>
    <xf numFmtId="4" fontId="3" fillId="2" borderId="0" xfId="0" applyNumberFormat="1" applyFont="1" applyFill="1"/>
    <xf numFmtId="164" fontId="6" fillId="2" borderId="7" xfId="0" applyNumberFormat="1" applyFont="1" applyFill="1" applyBorder="1" applyAlignment="1"/>
    <xf numFmtId="164" fontId="6" fillId="2" borderId="2" xfId="0" applyNumberFormat="1" applyFont="1" applyFill="1" applyBorder="1" applyAlignment="1"/>
    <xf numFmtId="2" fontId="3" fillId="2" borderId="0" xfId="0" applyNumberFormat="1" applyFont="1" applyFill="1"/>
    <xf numFmtId="1" fontId="13" fillId="2" borderId="20" xfId="0" applyNumberFormat="1" applyFont="1" applyFill="1" applyBorder="1"/>
    <xf numFmtId="1" fontId="13" fillId="0" borderId="5" xfId="0" applyNumberFormat="1" applyFont="1" applyFill="1" applyBorder="1"/>
    <xf numFmtId="2" fontId="6" fillId="2" borderId="3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3" xfId="0" applyFont="1" applyBorder="1"/>
    <xf numFmtId="4" fontId="11" fillId="2" borderId="6" xfId="0" applyNumberFormat="1" applyFont="1" applyFill="1" applyBorder="1"/>
    <xf numFmtId="1" fontId="11" fillId="2" borderId="14" xfId="0" applyNumberFormat="1" applyFont="1" applyFill="1" applyBorder="1"/>
    <xf numFmtId="2" fontId="11" fillId="2" borderId="20" xfId="0" applyNumberFormat="1" applyFont="1" applyFill="1" applyBorder="1"/>
    <xf numFmtId="167" fontId="6" fillId="2" borderId="18" xfId="0" applyNumberFormat="1" applyFont="1" applyFill="1" applyBorder="1" applyAlignment="1">
      <alignment horizontal="center" vertical="center"/>
    </xf>
    <xf numFmtId="167" fontId="6" fillId="2" borderId="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11" fillId="0" borderId="4" xfId="0" applyNumberFormat="1" applyFont="1" applyFill="1" applyBorder="1"/>
    <xf numFmtId="3" fontId="9" fillId="0" borderId="2" xfId="0" applyNumberFormat="1" applyFont="1" applyFill="1" applyBorder="1" applyAlignment="1">
      <alignment horizontal="center" wrapText="1"/>
    </xf>
    <xf numFmtId="3" fontId="3" fillId="0" borderId="0" xfId="0" applyNumberFormat="1" applyFont="1"/>
    <xf numFmtId="165" fontId="12" fillId="2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3" fontId="3" fillId="0" borderId="0" xfId="0" applyNumberFormat="1" applyFont="1" applyFill="1"/>
    <xf numFmtId="0" fontId="3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166" fontId="3" fillId="2" borderId="0" xfId="0" applyNumberFormat="1" applyFont="1" applyFill="1" applyBorder="1" applyAlignment="1"/>
  </cellXfs>
  <cellStyles count="4">
    <cellStyle name="Comma 2" xfId="2"/>
    <cellStyle name="Normal" xfId="0" builtinId="0"/>
    <cellStyle name="Normal_Sheet1" xfId="1"/>
    <cellStyle name="Normal_Sheet1_tinh an thang 7_tinh an thang 5 nam 201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3"/>
  <sheetViews>
    <sheetView tabSelected="1" workbookViewId="0">
      <selection activeCell="Q21" sqref="Q21"/>
    </sheetView>
  </sheetViews>
  <sheetFormatPr defaultColWidth="9.109375" defaultRowHeight="21.6" customHeight="1"/>
  <cols>
    <col min="1" max="1" width="4" style="1" customWidth="1"/>
    <col min="2" max="2" width="12.5546875" style="1" customWidth="1"/>
    <col min="3" max="3" width="8" style="1" customWidth="1"/>
    <col min="4" max="4" width="8.88671875" style="1" customWidth="1"/>
    <col min="5" max="8" width="6.6640625" style="1" customWidth="1"/>
    <col min="9" max="9" width="6.88671875" style="1" customWidth="1"/>
    <col min="10" max="10" width="7.6640625" style="1" customWidth="1"/>
    <col min="11" max="11" width="5.44140625" style="1" customWidth="1"/>
    <col min="12" max="12" width="5.88671875" style="1" customWidth="1"/>
    <col min="13" max="13" width="7.77734375" style="1" customWidth="1"/>
    <col min="14" max="14" width="7.33203125" style="1" customWidth="1"/>
    <col min="15" max="15" width="10" style="1" customWidth="1"/>
    <col min="16" max="16" width="9.88671875" style="1" bestFit="1" customWidth="1"/>
    <col min="17" max="17" width="10.33203125" style="1" bestFit="1" customWidth="1"/>
    <col min="18" max="19" width="9.33203125" style="1" bestFit="1" customWidth="1"/>
    <col min="20" max="20" width="12.44140625" style="1" customWidth="1"/>
    <col min="21" max="21" width="9.33203125" style="1" bestFit="1" customWidth="1"/>
    <col min="22" max="16384" width="9.109375" style="1"/>
  </cols>
  <sheetData>
    <row r="1" spans="1:20" ht="22.2" customHeight="1">
      <c r="A1" s="11" t="s">
        <v>61</v>
      </c>
      <c r="B1" s="8"/>
      <c r="C1" s="8"/>
      <c r="D1" s="8"/>
      <c r="E1" s="8"/>
      <c r="F1" s="188" t="s">
        <v>31</v>
      </c>
      <c r="G1" s="188"/>
      <c r="H1" s="188"/>
      <c r="I1" s="188"/>
      <c r="J1" s="188"/>
      <c r="K1" s="188"/>
      <c r="L1" s="188"/>
      <c r="M1" s="188"/>
      <c r="N1" s="188"/>
      <c r="O1" s="372"/>
      <c r="P1" s="372"/>
      <c r="T1" s="2"/>
    </row>
    <row r="2" spans="1:20" ht="22.2" customHeight="1">
      <c r="A2" s="11"/>
      <c r="B2" s="8"/>
      <c r="C2" s="8"/>
      <c r="D2" s="8"/>
      <c r="E2" s="8"/>
      <c r="F2" s="182"/>
      <c r="G2" s="182"/>
      <c r="H2" s="182"/>
      <c r="I2" s="182"/>
      <c r="J2" s="182"/>
      <c r="K2" s="182"/>
      <c r="L2" s="182"/>
      <c r="M2" s="182"/>
      <c r="N2" s="182"/>
      <c r="O2" s="372"/>
      <c r="P2" s="372"/>
      <c r="T2" s="2"/>
    </row>
    <row r="3" spans="1:20" ht="21" customHeight="1">
      <c r="A3" s="88" t="s">
        <v>196</v>
      </c>
      <c r="B3" s="88"/>
      <c r="C3" s="88"/>
      <c r="D3" s="88"/>
      <c r="E3" s="88"/>
      <c r="F3" s="89"/>
      <c r="G3" s="89"/>
      <c r="H3" s="89"/>
      <c r="I3" s="182"/>
      <c r="J3" s="182"/>
      <c r="K3" s="182"/>
      <c r="L3" s="182"/>
      <c r="M3" s="182"/>
      <c r="N3" s="182"/>
      <c r="O3" s="372"/>
      <c r="P3" s="372"/>
      <c r="T3" s="2"/>
    </row>
    <row r="4" spans="1:20" s="2" customFormat="1" ht="19.2" customHeight="1">
      <c r="A4" s="189" t="s">
        <v>88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373"/>
    </row>
    <row r="5" spans="1:20" s="2" customFormat="1" ht="19.2" customHeight="1">
      <c r="A5" s="235" t="s">
        <v>99</v>
      </c>
      <c r="B5" s="235"/>
      <c r="C5" s="235"/>
      <c r="D5" s="235"/>
      <c r="E5" s="235" t="s">
        <v>98</v>
      </c>
      <c r="F5" s="235"/>
      <c r="G5" s="235"/>
      <c r="H5" s="235"/>
      <c r="I5" s="235"/>
      <c r="J5" s="235"/>
      <c r="K5" s="235"/>
      <c r="L5" s="235"/>
      <c r="M5" s="235"/>
      <c r="N5" s="235"/>
      <c r="O5" s="373"/>
    </row>
    <row r="6" spans="1:20" s="2" customFormat="1" ht="19.2" customHeight="1">
      <c r="A6" s="265" t="s">
        <v>90</v>
      </c>
      <c r="B6" s="265"/>
      <c r="C6" s="265"/>
      <c r="D6" s="265"/>
      <c r="E6" s="266" t="s">
        <v>144</v>
      </c>
      <c r="F6" s="266"/>
      <c r="G6" s="266"/>
      <c r="H6" s="266"/>
      <c r="I6" s="266"/>
      <c r="J6" s="281" t="s">
        <v>167</v>
      </c>
      <c r="K6" s="282"/>
      <c r="L6" s="282"/>
      <c r="M6" s="282"/>
      <c r="N6" s="283"/>
      <c r="O6" s="373"/>
    </row>
    <row r="7" spans="1:20" s="2" customFormat="1" ht="19.2" customHeight="1">
      <c r="A7" s="187" t="s">
        <v>148</v>
      </c>
      <c r="B7" s="187"/>
      <c r="C7" s="187"/>
      <c r="D7" s="187"/>
      <c r="E7" s="266"/>
      <c r="F7" s="266"/>
      <c r="G7" s="266"/>
      <c r="H7" s="266"/>
      <c r="I7" s="266"/>
      <c r="J7" s="284"/>
      <c r="K7" s="285"/>
      <c r="L7" s="285"/>
      <c r="M7" s="285"/>
      <c r="N7" s="286"/>
      <c r="O7" s="373"/>
    </row>
    <row r="8" spans="1:20" s="2" customFormat="1" ht="19.2" customHeight="1">
      <c r="A8" s="184" t="s">
        <v>149</v>
      </c>
      <c r="B8" s="185"/>
      <c r="C8" s="185"/>
      <c r="D8" s="186"/>
      <c r="E8" s="266"/>
      <c r="F8" s="266"/>
      <c r="G8" s="266"/>
      <c r="H8" s="266"/>
      <c r="I8" s="266"/>
      <c r="J8" s="284"/>
      <c r="K8" s="285"/>
      <c r="L8" s="285"/>
      <c r="M8" s="285"/>
      <c r="N8" s="286"/>
      <c r="O8" s="373"/>
    </row>
    <row r="9" spans="1:20" s="2" customFormat="1" ht="19.2" customHeight="1">
      <c r="A9" s="274" t="s">
        <v>177</v>
      </c>
      <c r="B9" s="274"/>
      <c r="C9" s="274"/>
      <c r="D9" s="274"/>
      <c r="E9" s="266"/>
      <c r="F9" s="266"/>
      <c r="G9" s="266"/>
      <c r="H9" s="266"/>
      <c r="I9" s="266"/>
      <c r="J9" s="287"/>
      <c r="K9" s="288"/>
      <c r="L9" s="288"/>
      <c r="M9" s="288"/>
      <c r="N9" s="289"/>
      <c r="O9" s="373"/>
    </row>
    <row r="10" spans="1:20" s="2" customFormat="1" ht="19.2" customHeight="1">
      <c r="A10" s="275" t="s">
        <v>122</v>
      </c>
      <c r="B10" s="276"/>
      <c r="C10" s="277"/>
      <c r="D10" s="125">
        <v>221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73"/>
    </row>
    <row r="11" spans="1:20" ht="19.2" customHeight="1">
      <c r="A11" s="190" t="s">
        <v>0</v>
      </c>
      <c r="B11" s="200" t="s">
        <v>19</v>
      </c>
      <c r="C11" s="203" t="s">
        <v>8</v>
      </c>
      <c r="D11" s="203" t="s">
        <v>9</v>
      </c>
      <c r="E11" s="193" t="s">
        <v>11</v>
      </c>
      <c r="F11" s="194"/>
      <c r="G11" s="193" t="s">
        <v>43</v>
      </c>
      <c r="H11" s="194"/>
      <c r="I11" s="197" t="s">
        <v>16</v>
      </c>
      <c r="J11" s="197" t="s">
        <v>41</v>
      </c>
      <c r="K11" s="197" t="s">
        <v>42</v>
      </c>
      <c r="L11" s="197" t="s">
        <v>17</v>
      </c>
      <c r="M11" s="197" t="s">
        <v>40</v>
      </c>
      <c r="N11" s="190" t="s">
        <v>18</v>
      </c>
      <c r="O11" s="374"/>
    </row>
    <row r="12" spans="1:20" ht="19.2" customHeight="1">
      <c r="A12" s="191"/>
      <c r="B12" s="201"/>
      <c r="C12" s="204"/>
      <c r="D12" s="204"/>
      <c r="E12" s="195"/>
      <c r="F12" s="196"/>
      <c r="G12" s="195"/>
      <c r="H12" s="196"/>
      <c r="I12" s="198"/>
      <c r="J12" s="198"/>
      <c r="K12" s="198"/>
      <c r="L12" s="198"/>
      <c r="M12" s="198"/>
      <c r="N12" s="191"/>
      <c r="O12" s="178"/>
    </row>
    <row r="13" spans="1:20" ht="19.2" customHeight="1">
      <c r="A13" s="191"/>
      <c r="B13" s="201"/>
      <c r="C13" s="204"/>
      <c r="D13" s="204"/>
      <c r="E13" s="197" t="s">
        <v>10</v>
      </c>
      <c r="F13" s="197" t="s">
        <v>12</v>
      </c>
      <c r="G13" s="197" t="s">
        <v>14</v>
      </c>
      <c r="H13" s="197" t="s">
        <v>15</v>
      </c>
      <c r="I13" s="198"/>
      <c r="J13" s="198"/>
      <c r="K13" s="198"/>
      <c r="L13" s="198"/>
      <c r="M13" s="198"/>
      <c r="N13" s="191"/>
      <c r="O13" s="178"/>
    </row>
    <row r="14" spans="1:20" ht="19.2" customHeight="1">
      <c r="A14" s="192"/>
      <c r="B14" s="202"/>
      <c r="C14" s="205"/>
      <c r="D14" s="205"/>
      <c r="E14" s="199"/>
      <c r="F14" s="199"/>
      <c r="G14" s="199"/>
      <c r="H14" s="199"/>
      <c r="I14" s="199"/>
      <c r="J14" s="199"/>
      <c r="K14" s="199"/>
      <c r="L14" s="199"/>
      <c r="M14" s="199"/>
      <c r="N14" s="192"/>
      <c r="O14" s="178"/>
    </row>
    <row r="15" spans="1:20" ht="19.8" customHeight="1">
      <c r="A15" s="237" t="s">
        <v>34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/>
      <c r="O15" s="178"/>
    </row>
    <row r="16" spans="1:20" s="2" customFormat="1" ht="19.8" customHeight="1">
      <c r="A16" s="15">
        <v>1</v>
      </c>
      <c r="B16" s="16" t="s">
        <v>2</v>
      </c>
      <c r="C16" s="51">
        <v>12</v>
      </c>
      <c r="D16" s="52">
        <f>C16/100*60</f>
        <v>7.1999999999999993</v>
      </c>
      <c r="E16" s="53">
        <f>C16/100*15</f>
        <v>1.7999999999999998</v>
      </c>
      <c r="F16" s="53"/>
      <c r="G16" s="53"/>
      <c r="H16" s="53"/>
      <c r="I16" s="53"/>
      <c r="J16" s="53">
        <f>C16/100*387</f>
        <v>46.44</v>
      </c>
      <c r="K16" s="53">
        <f>C16/100*0.09</f>
        <v>1.0799999999999999E-2</v>
      </c>
      <c r="L16" s="412">
        <v>290</v>
      </c>
      <c r="M16" s="77">
        <v>20</v>
      </c>
      <c r="N16" s="28">
        <f t="shared" ref="N16:N27" si="0">L16*M16</f>
        <v>5800</v>
      </c>
      <c r="O16" s="378"/>
    </row>
    <row r="17" spans="1:20" s="2" customFormat="1" ht="19.8" customHeight="1">
      <c r="A17" s="9">
        <v>2</v>
      </c>
      <c r="B17" s="10" t="s">
        <v>139</v>
      </c>
      <c r="C17" s="23">
        <f>L17/100*100</f>
        <v>1180</v>
      </c>
      <c r="D17" s="24">
        <f>C17/100*899</f>
        <v>10608.2</v>
      </c>
      <c r="E17" s="25"/>
      <c r="F17" s="25"/>
      <c r="G17" s="119">
        <f>C17/100*100</f>
        <v>1180</v>
      </c>
      <c r="H17" s="25"/>
      <c r="I17" s="25"/>
      <c r="J17" s="25"/>
      <c r="K17" s="25"/>
      <c r="L17" s="137">
        <v>1180</v>
      </c>
      <c r="M17" s="24">
        <v>69</v>
      </c>
      <c r="N17" s="28">
        <f t="shared" si="0"/>
        <v>81420</v>
      </c>
      <c r="O17" s="378"/>
    </row>
    <row r="18" spans="1:20" s="2" customFormat="1" ht="19.8" customHeight="1">
      <c r="A18" s="9">
        <v>3</v>
      </c>
      <c r="B18" s="5" t="s">
        <v>1</v>
      </c>
      <c r="C18" s="23">
        <f>L18/100*100</f>
        <v>20995</v>
      </c>
      <c r="D18" s="24">
        <f>C18/100*320.2</f>
        <v>67225.989999999991</v>
      </c>
      <c r="E18" s="25"/>
      <c r="F18" s="119">
        <f>C18/100*7.9</f>
        <v>1658.605</v>
      </c>
      <c r="G18" s="25"/>
      <c r="H18" s="25">
        <f>C18/100*1</f>
        <v>209.95</v>
      </c>
      <c r="I18" s="119">
        <f>C18/100*75.9</f>
        <v>15935.205</v>
      </c>
      <c r="J18" s="25">
        <f>C18/100*30</f>
        <v>6298.5</v>
      </c>
      <c r="K18" s="25">
        <f>C18/100*0.1</f>
        <v>20.995000000000001</v>
      </c>
      <c r="L18" s="137">
        <v>20995</v>
      </c>
      <c r="M18" s="75">
        <v>18</v>
      </c>
      <c r="N18" s="28">
        <f t="shared" si="0"/>
        <v>377910</v>
      </c>
      <c r="O18" s="153"/>
      <c r="P18" s="18"/>
    </row>
    <row r="19" spans="1:20" s="2" customFormat="1" ht="19.8" customHeight="1">
      <c r="A19" s="9">
        <v>4</v>
      </c>
      <c r="B19" s="10" t="s">
        <v>173</v>
      </c>
      <c r="C19" s="23">
        <f>L19/100*100</f>
        <v>180</v>
      </c>
      <c r="D19" s="24">
        <f>C19/100*390</f>
        <v>702</v>
      </c>
      <c r="E19" s="25"/>
      <c r="F19" s="25"/>
      <c r="G19" s="25"/>
      <c r="H19" s="25"/>
      <c r="I19" s="25">
        <f>C19/100*97.4</f>
        <v>175.32000000000002</v>
      </c>
      <c r="J19" s="27">
        <f>C19/100*178</f>
        <v>320.40000000000003</v>
      </c>
      <c r="K19" s="27">
        <f>C19/100*0.05</f>
        <v>9.0000000000000011E-2</v>
      </c>
      <c r="L19" s="137">
        <v>180</v>
      </c>
      <c r="M19" s="75">
        <v>25</v>
      </c>
      <c r="N19" s="28">
        <f t="shared" si="0"/>
        <v>4500</v>
      </c>
      <c r="O19" s="376"/>
    </row>
    <row r="20" spans="1:20" s="2" customFormat="1" ht="19.8" customHeight="1">
      <c r="A20" s="9">
        <v>5</v>
      </c>
      <c r="B20" s="10" t="s">
        <v>151</v>
      </c>
      <c r="C20" s="23">
        <f>L20/100*60</f>
        <v>8886</v>
      </c>
      <c r="D20" s="24">
        <f>C20/100*97</f>
        <v>8619.42</v>
      </c>
      <c r="E20" s="119">
        <f>C20/100*20.5</f>
        <v>1821.6299999999999</v>
      </c>
      <c r="F20" s="25"/>
      <c r="G20" s="25">
        <f>C20/100*2.7</f>
        <v>239.92200000000003</v>
      </c>
      <c r="H20" s="25"/>
      <c r="I20" s="25"/>
      <c r="J20" s="81">
        <f>C20/100*90</f>
        <v>7997.4</v>
      </c>
      <c r="K20" s="27">
        <f>C20/100*0.04</f>
        <v>3.5544000000000002</v>
      </c>
      <c r="L20" s="137">
        <v>14810</v>
      </c>
      <c r="M20" s="75">
        <v>95</v>
      </c>
      <c r="N20" s="124">
        <f t="shared" si="0"/>
        <v>1406950</v>
      </c>
      <c r="O20" s="153"/>
    </row>
    <row r="21" spans="1:20" s="2" customFormat="1" ht="19.8" customHeight="1">
      <c r="A21" s="9">
        <v>6</v>
      </c>
      <c r="B21" s="5" t="s">
        <v>69</v>
      </c>
      <c r="C21" s="23">
        <f>L21/100*48</f>
        <v>1656</v>
      </c>
      <c r="D21" s="24">
        <f>C21/100*199</f>
        <v>3295.4399999999996</v>
      </c>
      <c r="E21" s="25">
        <f>C21/100*20.3</f>
        <v>336.16800000000001</v>
      </c>
      <c r="F21" s="25"/>
      <c r="G21" s="25">
        <f>C21/100*13.1</f>
        <v>216.93599999999998</v>
      </c>
      <c r="H21" s="25"/>
      <c r="I21" s="25"/>
      <c r="J21" s="27">
        <f>C21/100*12</f>
        <v>198.71999999999997</v>
      </c>
      <c r="K21" s="27">
        <f>C21/100*0.15</f>
        <v>2.4839999999999995</v>
      </c>
      <c r="L21" s="137">
        <v>3450</v>
      </c>
      <c r="M21" s="26">
        <v>84</v>
      </c>
      <c r="N21" s="28">
        <f t="shared" si="0"/>
        <v>289800</v>
      </c>
      <c r="O21" s="153"/>
      <c r="Q21" s="3"/>
      <c r="R21" s="3"/>
      <c r="S21" s="4"/>
    </row>
    <row r="22" spans="1:20" s="2" customFormat="1" ht="19.8" customHeight="1">
      <c r="A22" s="9">
        <v>7</v>
      </c>
      <c r="B22" s="5" t="s">
        <v>3</v>
      </c>
      <c r="C22" s="23">
        <f>L22/100*98</f>
        <v>2165.8000000000002</v>
      </c>
      <c r="D22" s="24">
        <f>C22/100*118</f>
        <v>2555.6440000000002</v>
      </c>
      <c r="E22" s="25">
        <f>C22/100*21</f>
        <v>454.81800000000004</v>
      </c>
      <c r="F22" s="25"/>
      <c r="G22" s="25">
        <f>C22/100*3.8</f>
        <v>82.300399999999996</v>
      </c>
      <c r="H22" s="25"/>
      <c r="I22" s="25"/>
      <c r="J22" s="27">
        <f>C22/100*12</f>
        <v>259.89600000000002</v>
      </c>
      <c r="K22" s="27">
        <f>C22/100*0.1</f>
        <v>2.1658000000000004</v>
      </c>
      <c r="L22" s="137">
        <v>2210</v>
      </c>
      <c r="M22" s="26">
        <v>270</v>
      </c>
      <c r="N22" s="124">
        <f t="shared" si="0"/>
        <v>596700</v>
      </c>
      <c r="O22" s="153"/>
      <c r="Q22" s="3"/>
      <c r="R22" s="3"/>
      <c r="S22" s="4"/>
    </row>
    <row r="23" spans="1:20" s="2" customFormat="1" ht="19.8" customHeight="1">
      <c r="A23" s="9">
        <v>8</v>
      </c>
      <c r="B23" s="5" t="s">
        <v>175</v>
      </c>
      <c r="C23" s="23">
        <f>L23/100*77</f>
        <v>4766.3</v>
      </c>
      <c r="D23" s="24">
        <f>C23/100*35</f>
        <v>1668.2050000000002</v>
      </c>
      <c r="E23" s="29"/>
      <c r="F23" s="29">
        <f>C23/100*5.3</f>
        <v>252.6139</v>
      </c>
      <c r="G23" s="29"/>
      <c r="H23" s="29"/>
      <c r="I23" s="29">
        <f>C23/100*3.4</f>
        <v>162.05420000000001</v>
      </c>
      <c r="J23" s="29">
        <f>C23/100*169</f>
        <v>8055.0470000000005</v>
      </c>
      <c r="K23" s="29">
        <f>C23/100*0.07</f>
        <v>3.3364100000000008</v>
      </c>
      <c r="L23" s="375">
        <v>6190</v>
      </c>
      <c r="M23" s="26">
        <v>35</v>
      </c>
      <c r="N23" s="28">
        <f t="shared" si="0"/>
        <v>216650</v>
      </c>
      <c r="O23" s="153"/>
      <c r="Q23" s="3"/>
      <c r="R23" s="3"/>
      <c r="S23" s="4"/>
    </row>
    <row r="24" spans="1:20" s="2" customFormat="1" ht="19.8" customHeight="1">
      <c r="A24" s="9">
        <v>9</v>
      </c>
      <c r="B24" s="5" t="s">
        <v>150</v>
      </c>
      <c r="C24" s="23">
        <f>L24/100*81</f>
        <v>4479.3</v>
      </c>
      <c r="D24" s="24">
        <f>C24/100*17</f>
        <v>761.48099999999999</v>
      </c>
      <c r="E24" s="29"/>
      <c r="F24" s="29">
        <f>C24/100*0.9</f>
        <v>40.313699999999997</v>
      </c>
      <c r="G24" s="29"/>
      <c r="H24" s="29">
        <f>C24/100*0.2</f>
        <v>8.9586000000000006</v>
      </c>
      <c r="I24" s="29">
        <f>C24/100*2.8</f>
        <v>125.42039999999999</v>
      </c>
      <c r="J24" s="25">
        <f>C24/100*28</f>
        <v>1254.204</v>
      </c>
      <c r="K24" s="27">
        <f>C24/100*0.04</f>
        <v>1.79172</v>
      </c>
      <c r="L24" s="375">
        <v>5530</v>
      </c>
      <c r="M24" s="75">
        <v>20</v>
      </c>
      <c r="N24" s="28">
        <f t="shared" si="0"/>
        <v>110600</v>
      </c>
      <c r="O24" s="153"/>
      <c r="P24" s="3"/>
    </row>
    <row r="25" spans="1:20" s="2" customFormat="1" ht="19.8" customHeight="1">
      <c r="A25" s="9">
        <v>10</v>
      </c>
      <c r="B25" s="5" t="s">
        <v>20</v>
      </c>
      <c r="C25" s="23">
        <f>L25/100*95</f>
        <v>3154.0000000000005</v>
      </c>
      <c r="D25" s="24">
        <f>C25/100*20</f>
        <v>630.80000000000018</v>
      </c>
      <c r="E25" s="25"/>
      <c r="F25" s="25">
        <f>C25/100*0.6</f>
        <v>18.924000000000003</v>
      </c>
      <c r="G25" s="25"/>
      <c r="H25" s="25">
        <f>C25/100*0.2</f>
        <v>6.3080000000000016</v>
      </c>
      <c r="I25" s="25">
        <f>C25/100*4</f>
        <v>126.16000000000003</v>
      </c>
      <c r="J25" s="27">
        <f>C25/100*12</f>
        <v>378.48000000000008</v>
      </c>
      <c r="K25" s="24">
        <f>C25/100*0.04</f>
        <v>1.2616000000000003</v>
      </c>
      <c r="L25" s="137">
        <v>3320</v>
      </c>
      <c r="M25" s="77">
        <v>22</v>
      </c>
      <c r="N25" s="28">
        <f t="shared" si="0"/>
        <v>73040</v>
      </c>
      <c r="O25" s="376"/>
      <c r="Q25" s="3"/>
      <c r="R25" s="3"/>
      <c r="S25" s="4"/>
    </row>
    <row r="26" spans="1:20" s="2" customFormat="1" ht="19.8" customHeight="1">
      <c r="A26" s="9">
        <v>11</v>
      </c>
      <c r="B26" s="5" t="s">
        <v>72</v>
      </c>
      <c r="C26" s="23">
        <f>L26/100*75</f>
        <v>330</v>
      </c>
      <c r="D26" s="24">
        <f>C26/100*17</f>
        <v>56.099999999999994</v>
      </c>
      <c r="E26" s="29"/>
      <c r="F26" s="29">
        <f>C26/100*1.9</f>
        <v>6.27</v>
      </c>
      <c r="G26" s="29"/>
      <c r="H26" s="29"/>
      <c r="I26" s="29">
        <f>C26/100*2.2</f>
        <v>7.26</v>
      </c>
      <c r="J26" s="27">
        <f>C26/100*150</f>
        <v>495</v>
      </c>
      <c r="K26" s="24">
        <f>C26/100*0.04</f>
        <v>0.13200000000000001</v>
      </c>
      <c r="L26" s="375">
        <v>440</v>
      </c>
      <c r="M26" s="77">
        <v>30</v>
      </c>
      <c r="N26" s="28">
        <f t="shared" si="0"/>
        <v>13200</v>
      </c>
      <c r="O26" s="376"/>
      <c r="Q26" s="3"/>
      <c r="R26" s="3"/>
      <c r="S26" s="4"/>
    </row>
    <row r="27" spans="1:20" s="2" customFormat="1" ht="19.8" customHeight="1">
      <c r="A27" s="9">
        <v>12</v>
      </c>
      <c r="B27" s="5" t="s">
        <v>134</v>
      </c>
      <c r="C27" s="23">
        <f>L27/100*100</f>
        <v>220.00000000000003</v>
      </c>
      <c r="D27" s="24">
        <f>C27/100*247</f>
        <v>543.40000000000009</v>
      </c>
      <c r="E27" s="29"/>
      <c r="F27" s="29">
        <f>C27/100*17.5</f>
        <v>38.5</v>
      </c>
      <c r="G27" s="29"/>
      <c r="H27" s="29">
        <f>C27/100*1.6</f>
        <v>3.5200000000000005</v>
      </c>
      <c r="I27" s="29">
        <f>C27/100*39.2</f>
        <v>86.240000000000009</v>
      </c>
      <c r="J27" s="71"/>
      <c r="K27" s="71"/>
      <c r="L27" s="375">
        <v>220</v>
      </c>
      <c r="M27" s="75">
        <v>50</v>
      </c>
      <c r="N27" s="28">
        <f t="shared" si="0"/>
        <v>11000</v>
      </c>
      <c r="O27" s="153"/>
      <c r="Q27" s="3"/>
      <c r="R27" s="3"/>
      <c r="S27" s="4"/>
      <c r="T27" s="3"/>
    </row>
    <row r="28" spans="1:20" s="2" customFormat="1" ht="19.8" customHeight="1">
      <c r="A28" s="13">
        <v>13</v>
      </c>
      <c r="B28" s="6" t="s">
        <v>123</v>
      </c>
      <c r="C28" s="31"/>
      <c r="D28" s="32"/>
      <c r="E28" s="29"/>
      <c r="F28" s="29"/>
      <c r="G28" s="29"/>
      <c r="H28" s="29"/>
      <c r="I28" s="29"/>
      <c r="J28" s="25"/>
      <c r="K28" s="25"/>
      <c r="L28" s="30"/>
      <c r="M28" s="27"/>
      <c r="N28" s="33">
        <v>16720</v>
      </c>
      <c r="O28" s="153"/>
    </row>
    <row r="29" spans="1:20" s="2" customFormat="1" ht="19.8" customHeight="1">
      <c r="A29" s="21" t="s">
        <v>105</v>
      </c>
      <c r="B29" s="22"/>
      <c r="C29" s="34"/>
      <c r="D29" s="35">
        <f>SUM(D16:D28)</f>
        <v>96673.87999999999</v>
      </c>
      <c r="E29" s="36"/>
      <c r="F29" s="36"/>
      <c r="G29" s="36"/>
      <c r="H29" s="36"/>
      <c r="I29" s="36"/>
      <c r="J29" s="36"/>
      <c r="K29" s="36"/>
      <c r="L29" s="37"/>
      <c r="M29" s="37"/>
      <c r="N29" s="263">
        <f>SUM(N16:N28)</f>
        <v>3204290</v>
      </c>
      <c r="O29" s="153"/>
    </row>
    <row r="30" spans="1:20" s="2" customFormat="1" ht="19.8" customHeight="1">
      <c r="A30" s="21" t="s">
        <v>6</v>
      </c>
      <c r="B30" s="22"/>
      <c r="C30" s="34"/>
      <c r="D30" s="35">
        <f>D29/D10</f>
        <v>437.43837104072395</v>
      </c>
      <c r="E30" s="36"/>
      <c r="F30" s="36"/>
      <c r="G30" s="36"/>
      <c r="H30" s="36"/>
      <c r="I30" s="36"/>
      <c r="J30" s="36"/>
      <c r="K30" s="36"/>
      <c r="L30" s="37"/>
      <c r="M30" s="37"/>
      <c r="N30" s="264"/>
      <c r="O30" s="153"/>
    </row>
    <row r="31" spans="1:20" s="2" customFormat="1" ht="19.8" customHeight="1">
      <c r="A31" s="210" t="s">
        <v>48</v>
      </c>
      <c r="B31" s="211"/>
      <c r="C31" s="418" t="s">
        <v>147</v>
      </c>
      <c r="D31" s="20" t="s">
        <v>45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19.8" customHeight="1">
      <c r="A32" s="212"/>
      <c r="B32" s="213"/>
      <c r="C32" s="19" t="s">
        <v>59</v>
      </c>
      <c r="D32" s="20">
        <f>D30*100/1320</f>
        <v>33.139270533388178</v>
      </c>
      <c r="E32" s="36"/>
      <c r="F32" s="36"/>
      <c r="G32" s="36"/>
      <c r="H32" s="36"/>
      <c r="I32" s="36"/>
      <c r="J32" s="36"/>
      <c r="K32" s="36"/>
      <c r="L32" s="37"/>
      <c r="M32" s="37"/>
      <c r="N32" s="38"/>
      <c r="O32" s="153"/>
    </row>
    <row r="33" spans="1:22" s="2" customFormat="1" ht="19.8" customHeight="1">
      <c r="A33" s="273" t="s">
        <v>35</v>
      </c>
      <c r="B33" s="273"/>
      <c r="C33" s="56"/>
      <c r="D33" s="57"/>
      <c r="E33" s="58"/>
      <c r="F33" s="58"/>
      <c r="G33" s="58"/>
      <c r="H33" s="58"/>
      <c r="I33" s="58"/>
      <c r="J33" s="58"/>
      <c r="K33" s="58"/>
      <c r="L33" s="59"/>
      <c r="M33" s="59"/>
      <c r="N33" s="69"/>
      <c r="O33" s="153"/>
    </row>
    <row r="34" spans="1:22" s="2" customFormat="1" ht="19.8" customHeight="1">
      <c r="A34" s="9">
        <v>1</v>
      </c>
      <c r="B34" s="5" t="s">
        <v>138</v>
      </c>
      <c r="C34" s="23">
        <f>L34/100*100</f>
        <v>5310</v>
      </c>
      <c r="D34" s="24">
        <f>C34/100*295</f>
        <v>15664.5</v>
      </c>
      <c r="E34" s="25"/>
      <c r="F34" s="25">
        <f>C34/100*6</f>
        <v>318.60000000000002</v>
      </c>
      <c r="G34" s="25"/>
      <c r="H34" s="25">
        <f>C34/100*0.8</f>
        <v>42.480000000000004</v>
      </c>
      <c r="I34" s="119">
        <f>C34/100*28.8</f>
        <v>1529.28</v>
      </c>
      <c r="J34" s="27"/>
      <c r="K34" s="27"/>
      <c r="L34" s="137">
        <v>5310</v>
      </c>
      <c r="M34" s="77">
        <v>32</v>
      </c>
      <c r="N34" s="28">
        <f>L34*M34</f>
        <v>169920</v>
      </c>
      <c r="O34" s="153"/>
    </row>
    <row r="35" spans="1:22" s="2" customFormat="1" ht="19.8" customHeight="1">
      <c r="A35" s="9">
        <v>2</v>
      </c>
      <c r="B35" s="148" t="s">
        <v>139</v>
      </c>
      <c r="C35" s="23">
        <f>L35/100*100</f>
        <v>1040</v>
      </c>
      <c r="D35" s="24">
        <f>C35/100*899</f>
        <v>9349.6</v>
      </c>
      <c r="E35" s="25"/>
      <c r="F35" s="25"/>
      <c r="G35" s="119">
        <f>C35/100*100</f>
        <v>1040</v>
      </c>
      <c r="H35" s="25"/>
      <c r="I35" s="25"/>
      <c r="J35" s="27"/>
      <c r="K35" s="27"/>
      <c r="L35" s="137">
        <v>1040</v>
      </c>
      <c r="M35" s="75">
        <v>69</v>
      </c>
      <c r="N35" s="28">
        <f t="shared" ref="N35:N36" si="1">L35*M35</f>
        <v>71760</v>
      </c>
      <c r="O35" s="153"/>
    </row>
    <row r="36" spans="1:22" s="2" customFormat="1" ht="19.8" customHeight="1">
      <c r="A36" s="9">
        <v>3</v>
      </c>
      <c r="B36" s="148" t="s">
        <v>142</v>
      </c>
      <c r="C36" s="23">
        <f>L36/100*100</f>
        <v>110.00000000000001</v>
      </c>
      <c r="D36" s="120">
        <f>C36/100*900</f>
        <v>990.00000000000011</v>
      </c>
      <c r="E36" s="25"/>
      <c r="F36" s="25"/>
      <c r="G36" s="119"/>
      <c r="H36" s="25">
        <f>C36/100*100</f>
        <v>110.00000000000001</v>
      </c>
      <c r="I36" s="25"/>
      <c r="J36" s="25"/>
      <c r="K36" s="25"/>
      <c r="L36" s="137">
        <v>110</v>
      </c>
      <c r="M36" s="75">
        <v>65</v>
      </c>
      <c r="N36" s="28">
        <f t="shared" si="1"/>
        <v>7150</v>
      </c>
      <c r="O36" s="378"/>
    </row>
    <row r="37" spans="1:22" s="2" customFormat="1" ht="19.8" customHeight="1">
      <c r="A37" s="9">
        <v>3</v>
      </c>
      <c r="B37" s="148" t="s">
        <v>2</v>
      </c>
      <c r="C37" s="23">
        <f>L37/100*100</f>
        <v>260</v>
      </c>
      <c r="D37" s="24">
        <f>C37/100*60</f>
        <v>156</v>
      </c>
      <c r="E37" s="25">
        <f>C37/100*15</f>
        <v>39</v>
      </c>
      <c r="F37" s="25"/>
      <c r="G37" s="25"/>
      <c r="H37" s="25"/>
      <c r="I37" s="25"/>
      <c r="J37" s="25">
        <f>C37/100*387</f>
        <v>1006.2</v>
      </c>
      <c r="K37" s="25">
        <f>C37/100*0.09</f>
        <v>0.23399999999999999</v>
      </c>
      <c r="L37" s="137">
        <v>260</v>
      </c>
      <c r="M37" s="75">
        <v>20</v>
      </c>
      <c r="N37" s="28">
        <f>L37*M37</f>
        <v>5200</v>
      </c>
      <c r="O37" s="153"/>
    </row>
    <row r="38" spans="1:22" s="2" customFormat="1" ht="19.8" customHeight="1">
      <c r="A38" s="9">
        <v>4</v>
      </c>
      <c r="B38" s="149" t="s">
        <v>134</v>
      </c>
      <c r="C38" s="23">
        <f>L38/100*100</f>
        <v>130</v>
      </c>
      <c r="D38" s="24">
        <f>C38/100*247</f>
        <v>321.10000000000002</v>
      </c>
      <c r="E38" s="29"/>
      <c r="F38" s="29">
        <f>C38/100*17.5</f>
        <v>22.75</v>
      </c>
      <c r="G38" s="29"/>
      <c r="H38" s="29">
        <f>C38/100*1.6</f>
        <v>2.08</v>
      </c>
      <c r="I38" s="29">
        <f>C38/100*39.2</f>
        <v>50.960000000000008</v>
      </c>
      <c r="J38" s="71"/>
      <c r="K38" s="71"/>
      <c r="L38" s="375">
        <v>130</v>
      </c>
      <c r="M38" s="75">
        <v>50</v>
      </c>
      <c r="N38" s="28">
        <f t="shared" ref="N38:N39" si="2">L38*M38</f>
        <v>6500</v>
      </c>
      <c r="O38" s="153"/>
      <c r="Q38" s="3"/>
      <c r="R38" s="3"/>
      <c r="S38" s="4"/>
      <c r="T38" s="3"/>
    </row>
    <row r="39" spans="1:22" s="2" customFormat="1" ht="19.8" customHeight="1">
      <c r="A39" s="9">
        <v>5</v>
      </c>
      <c r="B39" s="5" t="s">
        <v>168</v>
      </c>
      <c r="C39" s="23">
        <f>L39/100*90</f>
        <v>3978.0000000000005</v>
      </c>
      <c r="D39" s="24">
        <f>C39/100*29</f>
        <v>1153.6200000000001</v>
      </c>
      <c r="E39" s="25"/>
      <c r="F39" s="25">
        <f>C39/100*1.8</f>
        <v>71.603999999999999</v>
      </c>
      <c r="G39" s="25"/>
      <c r="H39" s="25">
        <f>C39/100*0.1</f>
        <v>3.9780000000000002</v>
      </c>
      <c r="I39" s="25">
        <f>C39/100*5.3</f>
        <v>210.834</v>
      </c>
      <c r="J39" s="25">
        <f>C39/100*48</f>
        <v>1909.44</v>
      </c>
      <c r="K39" s="25">
        <f>C39/100*0.05</f>
        <v>1.9890000000000001</v>
      </c>
      <c r="L39" s="137">
        <v>4420</v>
      </c>
      <c r="M39" s="75">
        <v>13</v>
      </c>
      <c r="N39" s="28">
        <f t="shared" si="2"/>
        <v>57460</v>
      </c>
      <c r="O39" s="153"/>
    </row>
    <row r="40" spans="1:22" s="2" customFormat="1" ht="19.8" customHeight="1">
      <c r="A40" s="9">
        <v>6</v>
      </c>
      <c r="B40" s="148" t="s">
        <v>74</v>
      </c>
      <c r="C40" s="23">
        <f>L40/100*98</f>
        <v>2557.8000000000002</v>
      </c>
      <c r="D40" s="24">
        <f>C40/100*139</f>
        <v>3555.3420000000006</v>
      </c>
      <c r="E40" s="25">
        <f>C40/100*19</f>
        <v>485.98200000000008</v>
      </c>
      <c r="F40" s="25"/>
      <c r="G40" s="25">
        <f>C40/100*7</f>
        <v>179.04600000000002</v>
      </c>
      <c r="H40" s="25"/>
      <c r="I40" s="25"/>
      <c r="J40" s="25">
        <f>C40/100*7</f>
        <v>179.04600000000002</v>
      </c>
      <c r="K40" s="25">
        <f>C40/100*0.9</f>
        <v>23.020200000000003</v>
      </c>
      <c r="L40" s="137">
        <v>2610</v>
      </c>
      <c r="M40" s="75">
        <v>133</v>
      </c>
      <c r="N40" s="28">
        <f t="shared" ref="N40:N41" si="3">L40*M40</f>
        <v>347130</v>
      </c>
      <c r="O40" s="153"/>
      <c r="P40" s="141"/>
    </row>
    <row r="41" spans="1:22" s="2" customFormat="1" ht="19.8" customHeight="1">
      <c r="A41" s="9">
        <v>7</v>
      </c>
      <c r="B41" s="152" t="s">
        <v>145</v>
      </c>
      <c r="C41" s="23">
        <f>L41/100*100</f>
        <v>3760</v>
      </c>
      <c r="D41" s="24">
        <f>C41/100*487</f>
        <v>18311.2</v>
      </c>
      <c r="E41" s="29"/>
      <c r="F41" s="29">
        <f>C41/100*19.5</f>
        <v>733.2</v>
      </c>
      <c r="G41" s="29"/>
      <c r="H41" s="29">
        <f>C41/100*23.2</f>
        <v>872.32</v>
      </c>
      <c r="I41" s="168">
        <f>C41/100*46</f>
        <v>1729.6000000000001</v>
      </c>
      <c r="J41" s="119">
        <f>C41/100*680</f>
        <v>25568</v>
      </c>
      <c r="K41" s="25">
        <f>C41/100*0.55</f>
        <v>20.680000000000003</v>
      </c>
      <c r="L41" s="30">
        <v>3760</v>
      </c>
      <c r="M41" s="143">
        <v>260</v>
      </c>
      <c r="N41" s="28">
        <f t="shared" si="3"/>
        <v>977600</v>
      </c>
      <c r="O41" s="153"/>
      <c r="P41" s="3"/>
    </row>
    <row r="42" spans="1:22" s="2" customFormat="1" ht="19.8" customHeight="1">
      <c r="A42" s="103">
        <v>8</v>
      </c>
      <c r="B42" s="112" t="s">
        <v>123</v>
      </c>
      <c r="C42" s="104"/>
      <c r="D42" s="413"/>
      <c r="E42" s="106"/>
      <c r="F42" s="106"/>
      <c r="G42" s="106"/>
      <c r="H42" s="106"/>
      <c r="I42" s="106"/>
      <c r="J42" s="106"/>
      <c r="K42" s="106"/>
      <c r="L42" s="107"/>
      <c r="M42" s="107"/>
      <c r="N42" s="108">
        <v>14480</v>
      </c>
      <c r="O42" s="153"/>
    </row>
    <row r="43" spans="1:22" ht="21.6" customHeight="1">
      <c r="A43" s="190" t="s">
        <v>0</v>
      </c>
      <c r="B43" s="200" t="s">
        <v>19</v>
      </c>
      <c r="C43" s="203" t="s">
        <v>8</v>
      </c>
      <c r="D43" s="203" t="s">
        <v>9</v>
      </c>
      <c r="E43" s="193" t="s">
        <v>11</v>
      </c>
      <c r="F43" s="194"/>
      <c r="G43" s="193" t="s">
        <v>43</v>
      </c>
      <c r="H43" s="194"/>
      <c r="I43" s="197" t="s">
        <v>16</v>
      </c>
      <c r="J43" s="197" t="s">
        <v>41</v>
      </c>
      <c r="K43" s="197" t="s">
        <v>42</v>
      </c>
      <c r="L43" s="197" t="s">
        <v>17</v>
      </c>
      <c r="M43" s="197" t="s">
        <v>40</v>
      </c>
      <c r="N43" s="190" t="s">
        <v>18</v>
      </c>
      <c r="O43" s="374"/>
    </row>
    <row r="44" spans="1:22" ht="21.6" customHeight="1">
      <c r="A44" s="191"/>
      <c r="B44" s="201"/>
      <c r="C44" s="204"/>
      <c r="D44" s="204"/>
      <c r="E44" s="195"/>
      <c r="F44" s="196"/>
      <c r="G44" s="195"/>
      <c r="H44" s="196"/>
      <c r="I44" s="198"/>
      <c r="J44" s="198"/>
      <c r="K44" s="198"/>
      <c r="L44" s="198"/>
      <c r="M44" s="198"/>
      <c r="N44" s="191"/>
      <c r="O44" s="178"/>
    </row>
    <row r="45" spans="1:22" ht="21.6" customHeight="1">
      <c r="A45" s="191"/>
      <c r="B45" s="201"/>
      <c r="C45" s="204"/>
      <c r="D45" s="204"/>
      <c r="E45" s="197" t="s">
        <v>10</v>
      </c>
      <c r="F45" s="197" t="s">
        <v>12</v>
      </c>
      <c r="G45" s="197" t="s">
        <v>14</v>
      </c>
      <c r="H45" s="197" t="s">
        <v>15</v>
      </c>
      <c r="I45" s="198"/>
      <c r="J45" s="198"/>
      <c r="K45" s="198"/>
      <c r="L45" s="198"/>
      <c r="M45" s="198"/>
      <c r="N45" s="191"/>
      <c r="O45" s="178"/>
    </row>
    <row r="46" spans="1:22" ht="21.6" customHeight="1">
      <c r="A46" s="192"/>
      <c r="B46" s="202"/>
      <c r="C46" s="205"/>
      <c r="D46" s="205"/>
      <c r="E46" s="199"/>
      <c r="F46" s="199"/>
      <c r="G46" s="199"/>
      <c r="H46" s="199"/>
      <c r="I46" s="199"/>
      <c r="J46" s="199"/>
      <c r="K46" s="199"/>
      <c r="L46" s="199"/>
      <c r="M46" s="199"/>
      <c r="N46" s="192"/>
      <c r="O46" s="178"/>
    </row>
    <row r="47" spans="1:22" s="2" customFormat="1" ht="21.6" customHeight="1">
      <c r="A47" s="236" t="s">
        <v>106</v>
      </c>
      <c r="B47" s="236"/>
      <c r="C47" s="34"/>
      <c r="D47" s="35">
        <f>SUM(D34:D42)</f>
        <v>49501.361999999994</v>
      </c>
      <c r="E47" s="43"/>
      <c r="F47" s="43"/>
      <c r="G47" s="43"/>
      <c r="H47" s="43"/>
      <c r="I47" s="43"/>
      <c r="J47" s="43"/>
      <c r="K47" s="43"/>
      <c r="L47" s="44"/>
      <c r="M47" s="44"/>
      <c r="N47" s="263">
        <f>SUM(N34:N42)</f>
        <v>1657200</v>
      </c>
      <c r="O47" s="153"/>
    </row>
    <row r="48" spans="1:22" ht="21.6" customHeight="1">
      <c r="A48" s="236" t="s">
        <v>7</v>
      </c>
      <c r="B48" s="236"/>
      <c r="C48" s="45"/>
      <c r="D48" s="46">
        <f>D47/D10</f>
        <v>223.98806334841626</v>
      </c>
      <c r="E48" s="46"/>
      <c r="F48" s="46"/>
      <c r="G48" s="46"/>
      <c r="H48" s="46"/>
      <c r="I48" s="46"/>
      <c r="J48" s="46"/>
      <c r="K48" s="46"/>
      <c r="L48" s="47"/>
      <c r="M48" s="47"/>
      <c r="N48" s="264"/>
      <c r="O48" s="402"/>
      <c r="P48" s="2"/>
      <c r="Q48" s="2"/>
      <c r="R48" s="2"/>
      <c r="S48" s="2"/>
      <c r="T48" s="2"/>
      <c r="U48" s="2"/>
      <c r="V48" s="2"/>
    </row>
    <row r="49" spans="1:23" ht="21.6" customHeight="1">
      <c r="A49" s="210" t="s">
        <v>47</v>
      </c>
      <c r="B49" s="211"/>
      <c r="C49" s="418" t="s">
        <v>147</v>
      </c>
      <c r="D49" s="20" t="s">
        <v>58</v>
      </c>
      <c r="E49" s="46"/>
      <c r="F49" s="46"/>
      <c r="G49" s="46"/>
      <c r="H49" s="46"/>
      <c r="I49" s="46"/>
      <c r="J49" s="48"/>
      <c r="K49" s="48"/>
      <c r="L49" s="47"/>
      <c r="M49" s="47"/>
      <c r="N49" s="179"/>
      <c r="O49" s="4"/>
      <c r="P49" s="2"/>
      <c r="Q49" s="2"/>
      <c r="R49" s="2"/>
      <c r="S49" s="2"/>
      <c r="T49" s="2"/>
      <c r="U49" s="2"/>
      <c r="V49" s="2"/>
    </row>
    <row r="50" spans="1:23" ht="21.6" customHeight="1">
      <c r="A50" s="212"/>
      <c r="B50" s="213"/>
      <c r="C50" s="19" t="s">
        <v>59</v>
      </c>
      <c r="D50" s="20">
        <f>D48*100/1320</f>
        <v>16.968792677910322</v>
      </c>
      <c r="E50" s="46"/>
      <c r="F50" s="46"/>
      <c r="G50" s="46"/>
      <c r="H50" s="46"/>
      <c r="I50" s="46"/>
      <c r="J50" s="48"/>
      <c r="K50" s="48"/>
      <c r="L50" s="47"/>
      <c r="M50" s="47"/>
      <c r="N50" s="179"/>
      <c r="O50" s="4"/>
      <c r="P50" s="2"/>
      <c r="Q50" s="2"/>
      <c r="R50" s="2"/>
      <c r="S50" s="2"/>
      <c r="T50" s="2"/>
      <c r="U50" s="2"/>
      <c r="V50" s="2"/>
    </row>
    <row r="51" spans="1:23" ht="21.6" customHeight="1">
      <c r="A51" s="242" t="s">
        <v>107</v>
      </c>
      <c r="B51" s="242"/>
      <c r="C51" s="240"/>
      <c r="D51" s="291">
        <f>D29+D47</f>
        <v>146175.24199999997</v>
      </c>
      <c r="E51" s="123">
        <f t="shared" ref="E51:K51" si="4">SUM(E16:E42)</f>
        <v>3139.3980000000001</v>
      </c>
      <c r="F51" s="123">
        <f t="shared" si="4"/>
        <v>3161.3805999999995</v>
      </c>
      <c r="G51" s="123">
        <f t="shared" si="4"/>
        <v>2938.2044000000001</v>
      </c>
      <c r="H51" s="123">
        <f t="shared" si="4"/>
        <v>1259.5945999999999</v>
      </c>
      <c r="I51" s="262">
        <f t="shared" si="4"/>
        <v>20138.333599999994</v>
      </c>
      <c r="J51" s="216">
        <f t="shared" si="4"/>
        <v>53966.773000000001</v>
      </c>
      <c r="K51" s="216">
        <f t="shared" si="4"/>
        <v>81.744929999999997</v>
      </c>
      <c r="L51" s="216"/>
      <c r="M51" s="216"/>
      <c r="N51" s="244">
        <f>N29+N47</f>
        <v>4861490</v>
      </c>
      <c r="P51" s="419"/>
      <c r="U51" s="12"/>
      <c r="V51" s="12"/>
    </row>
    <row r="52" spans="1:23" ht="21.6" customHeight="1">
      <c r="A52" s="242"/>
      <c r="B52" s="242"/>
      <c r="C52" s="240"/>
      <c r="D52" s="292"/>
      <c r="E52" s="241">
        <f>E51+F51</f>
        <v>6300.7785999999996</v>
      </c>
      <c r="F52" s="241"/>
      <c r="G52" s="241">
        <f>G51+H51</f>
        <v>4197.799</v>
      </c>
      <c r="H52" s="241"/>
      <c r="I52" s="262"/>
      <c r="J52" s="217"/>
      <c r="K52" s="217"/>
      <c r="L52" s="257"/>
      <c r="M52" s="257"/>
      <c r="N52" s="245"/>
      <c r="U52" s="12"/>
      <c r="V52" s="12"/>
    </row>
    <row r="53" spans="1:23" ht="21.6" customHeight="1">
      <c r="A53" s="267" t="s">
        <v>77</v>
      </c>
      <c r="B53" s="268"/>
      <c r="C53" s="269"/>
      <c r="D53" s="131">
        <f>D51/D10</f>
        <v>661.42643438914013</v>
      </c>
      <c r="E53" s="379">
        <f>E51/D10</f>
        <v>14.205420814479639</v>
      </c>
      <c r="F53" s="379">
        <f>F51/D10</f>
        <v>14.304889592760178</v>
      </c>
      <c r="G53" s="379">
        <f>G51/D10</f>
        <v>13.295042533936652</v>
      </c>
      <c r="H53" s="379">
        <f>H51/D10</f>
        <v>5.6995230769230769</v>
      </c>
      <c r="I53" s="290">
        <f>I51/D10</f>
        <v>91.123681447963776</v>
      </c>
      <c r="J53" s="208">
        <f>J51/D10</f>
        <v>244.19354298642534</v>
      </c>
      <c r="K53" s="208">
        <f>K51/D10</f>
        <v>0.36988656108597284</v>
      </c>
      <c r="L53" s="257"/>
      <c r="M53" s="257"/>
      <c r="N53" s="245"/>
      <c r="P53" s="392"/>
      <c r="Q53" s="393"/>
      <c r="R53" s="393"/>
      <c r="S53" s="393"/>
      <c r="T53" s="393"/>
      <c r="U53" s="394"/>
      <c r="V53" s="394"/>
      <c r="W53" s="1">
        <f>Q53+S53+U53</f>
        <v>0</v>
      </c>
    </row>
    <row r="54" spans="1:23" ht="21.6" customHeight="1">
      <c r="A54" s="270"/>
      <c r="B54" s="271"/>
      <c r="C54" s="272"/>
      <c r="D54" s="126"/>
      <c r="E54" s="420">
        <f>E53+F53</f>
        <v>28.510310407239817</v>
      </c>
      <c r="F54" s="420"/>
      <c r="G54" s="420">
        <f>G53+H53</f>
        <v>18.99456561085973</v>
      </c>
      <c r="H54" s="420"/>
      <c r="I54" s="290"/>
      <c r="J54" s="209"/>
      <c r="K54" s="209"/>
      <c r="L54" s="257"/>
      <c r="M54" s="257"/>
      <c r="N54" s="245"/>
      <c r="P54" s="395"/>
      <c r="Q54" s="393"/>
      <c r="R54" s="393"/>
      <c r="S54" s="393"/>
      <c r="T54" s="393"/>
      <c r="U54" s="393"/>
      <c r="V54" s="393"/>
    </row>
    <row r="55" spans="1:23" ht="21.6" customHeight="1">
      <c r="A55" s="218" t="s">
        <v>80</v>
      </c>
      <c r="B55" s="219"/>
      <c r="C55" s="220"/>
      <c r="D55" s="177" t="s">
        <v>28</v>
      </c>
      <c r="E55" s="421" t="s">
        <v>21</v>
      </c>
      <c r="F55" s="421"/>
      <c r="G55" s="421" t="s">
        <v>22</v>
      </c>
      <c r="H55" s="421"/>
      <c r="I55" s="422" t="s">
        <v>23</v>
      </c>
      <c r="J55" s="422">
        <v>600</v>
      </c>
      <c r="K55" s="422">
        <v>0.7</v>
      </c>
      <c r="L55" s="257"/>
      <c r="M55" s="257"/>
      <c r="N55" s="245"/>
      <c r="O55" s="384"/>
      <c r="P55" s="392"/>
      <c r="Q55" s="397"/>
      <c r="R55" s="397"/>
      <c r="S55" s="397"/>
      <c r="T55" s="397"/>
      <c r="U55" s="392"/>
      <c r="V55" s="392"/>
    </row>
    <row r="56" spans="1:23" ht="21.6" customHeight="1">
      <c r="A56" s="218" t="s">
        <v>78</v>
      </c>
      <c r="B56" s="219"/>
      <c r="C56" s="220"/>
      <c r="D56" s="49"/>
      <c r="E56" s="206">
        <f>E54*4.1</f>
        <v>116.89227266968324</v>
      </c>
      <c r="F56" s="207"/>
      <c r="G56" s="206">
        <f>G54*9</f>
        <v>170.95109049773757</v>
      </c>
      <c r="H56" s="207"/>
      <c r="I56" s="122">
        <f>I53*4.1</f>
        <v>373.60709393665144</v>
      </c>
      <c r="J56" s="253"/>
      <c r="K56" s="253"/>
      <c r="L56" s="257"/>
      <c r="M56" s="257"/>
      <c r="N56" s="245"/>
      <c r="O56" s="384"/>
      <c r="P56" s="396"/>
      <c r="Q56" s="392"/>
      <c r="R56" s="392"/>
      <c r="S56" s="392"/>
      <c r="T56" s="392"/>
      <c r="U56" s="392"/>
      <c r="V56" s="392"/>
    </row>
    <row r="57" spans="1:23" ht="21.6" customHeight="1">
      <c r="A57" s="221" t="s">
        <v>81</v>
      </c>
      <c r="B57" s="222"/>
      <c r="C57" s="218" t="s">
        <v>59</v>
      </c>
      <c r="D57" s="220"/>
      <c r="E57" s="414">
        <f>E56*100/D53</f>
        <v>17.672754911532831</v>
      </c>
      <c r="F57" s="415"/>
      <c r="G57" s="255">
        <f>G56*100/D53</f>
        <v>25.845820730708972</v>
      </c>
      <c r="H57" s="256"/>
      <c r="I57" s="115">
        <f>I56*100/D53</f>
        <v>56.485056313435066</v>
      </c>
      <c r="J57" s="254"/>
      <c r="K57" s="254"/>
      <c r="L57" s="257"/>
      <c r="M57" s="257"/>
      <c r="N57" s="245"/>
      <c r="O57" s="384"/>
    </row>
    <row r="58" spans="1:23" ht="21.6" customHeight="1">
      <c r="A58" s="223"/>
      <c r="B58" s="224"/>
      <c r="C58" s="218" t="s">
        <v>79</v>
      </c>
      <c r="D58" s="220"/>
      <c r="E58" s="218" t="s">
        <v>82</v>
      </c>
      <c r="F58" s="220"/>
      <c r="G58" s="218" t="s">
        <v>83</v>
      </c>
      <c r="H58" s="220"/>
      <c r="I58" s="183" t="s">
        <v>84</v>
      </c>
      <c r="J58" s="234"/>
      <c r="K58" s="234"/>
      <c r="L58" s="217"/>
      <c r="M58" s="217"/>
      <c r="N58" s="246"/>
      <c r="O58" s="384"/>
      <c r="P58" s="132"/>
    </row>
    <row r="59" spans="1:23" ht="21.6" customHeight="1">
      <c r="A59" s="90"/>
      <c r="B59" s="93"/>
      <c r="C59" s="90"/>
      <c r="D59" s="90"/>
      <c r="E59" s="90"/>
      <c r="F59" s="90"/>
      <c r="G59" s="90"/>
      <c r="H59" s="90"/>
      <c r="I59" s="90"/>
      <c r="J59" s="90"/>
      <c r="K59" s="90"/>
      <c r="L59" s="91"/>
      <c r="M59" s="91"/>
      <c r="N59" s="92"/>
      <c r="O59" s="384"/>
      <c r="Q59" s="132"/>
    </row>
    <row r="60" spans="1:23" ht="21" customHeight="1">
      <c r="A60" s="293" t="s">
        <v>114</v>
      </c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384"/>
    </row>
    <row r="61" spans="1:23" ht="21" customHeight="1">
      <c r="A61" s="117" t="s">
        <v>115</v>
      </c>
      <c r="B61" s="294" t="s">
        <v>116</v>
      </c>
      <c r="C61" s="294"/>
      <c r="D61" s="294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384"/>
    </row>
    <row r="62" spans="1:23" ht="21" customHeight="1">
      <c r="A62" s="118"/>
      <c r="B62" s="258" t="s">
        <v>197</v>
      </c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384"/>
    </row>
    <row r="63" spans="1:23" ht="21" customHeight="1">
      <c r="A63" s="118"/>
      <c r="B63" s="258" t="s">
        <v>176</v>
      </c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384"/>
    </row>
    <row r="64" spans="1:23" ht="21" customHeight="1">
      <c r="A64" s="118"/>
      <c r="B64" s="258" t="s">
        <v>174</v>
      </c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384"/>
    </row>
    <row r="65" spans="1:15" ht="21" customHeight="1">
      <c r="A65" s="90"/>
      <c r="B65" s="259" t="s">
        <v>117</v>
      </c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384"/>
    </row>
    <row r="66" spans="1:15" ht="21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4"/>
      <c r="M66" s="94"/>
      <c r="N66" s="95"/>
      <c r="O66" s="384"/>
    </row>
    <row r="67" spans="1:15" ht="21" customHeight="1">
      <c r="A67" s="260" t="s">
        <v>62</v>
      </c>
      <c r="B67" s="260"/>
      <c r="C67" s="260"/>
      <c r="D67" s="260"/>
      <c r="E67" s="385"/>
      <c r="F67" s="385"/>
      <c r="G67" s="385"/>
      <c r="H67" s="385"/>
      <c r="I67" s="385"/>
      <c r="J67" s="386" t="s">
        <v>33</v>
      </c>
      <c r="K67" s="386"/>
      <c r="L67" s="386"/>
      <c r="M67" s="386"/>
      <c r="N67" s="386"/>
      <c r="O67" s="384"/>
    </row>
    <row r="68" spans="1:15" ht="21" customHeight="1">
      <c r="A68" s="178"/>
      <c r="B68" s="178"/>
      <c r="C68" s="178"/>
      <c r="D68" s="385"/>
      <c r="E68" s="385"/>
      <c r="F68" s="385"/>
      <c r="G68" s="385"/>
      <c r="H68" s="387"/>
      <c r="I68" s="387"/>
      <c r="J68" s="387"/>
      <c r="K68" s="387"/>
      <c r="L68" s="387"/>
      <c r="M68" s="387"/>
      <c r="N68" s="387"/>
      <c r="O68" s="384"/>
    </row>
    <row r="69" spans="1:15" ht="21" customHeight="1">
      <c r="A69" s="178"/>
      <c r="B69" s="178"/>
      <c r="C69" s="178"/>
      <c r="D69" s="385"/>
      <c r="E69" s="385"/>
      <c r="F69" s="385"/>
      <c r="G69" s="385"/>
      <c r="H69" s="387"/>
      <c r="I69" s="387"/>
      <c r="J69" s="387"/>
      <c r="K69" s="387"/>
      <c r="L69" s="387"/>
      <c r="M69" s="387"/>
      <c r="N69" s="387"/>
      <c r="O69" s="384"/>
    </row>
    <row r="70" spans="1:15" ht="21" customHeight="1">
      <c r="A70" s="178"/>
      <c r="B70" s="178"/>
      <c r="C70" s="178"/>
      <c r="D70" s="385"/>
      <c r="E70" s="385"/>
      <c r="F70" s="385"/>
      <c r="G70" s="385"/>
      <c r="H70" s="387"/>
      <c r="I70" s="387"/>
      <c r="J70" s="388" t="s">
        <v>124</v>
      </c>
      <c r="K70" s="388"/>
      <c r="L70" s="388"/>
      <c r="M70" s="388"/>
      <c r="N70" s="388"/>
      <c r="O70" s="384"/>
    </row>
    <row r="71" spans="1:15" ht="21" customHeight="1">
      <c r="A71" s="261" t="s">
        <v>91</v>
      </c>
      <c r="B71" s="261"/>
      <c r="C71" s="261"/>
      <c r="D71" s="261"/>
      <c r="E71" s="385"/>
      <c r="F71" s="385"/>
      <c r="G71" s="385"/>
      <c r="H71" s="387"/>
      <c r="I71" s="387"/>
      <c r="J71" s="388"/>
      <c r="K71" s="388"/>
      <c r="L71" s="388"/>
      <c r="M71" s="388"/>
      <c r="N71" s="388"/>
      <c r="O71" s="384"/>
    </row>
    <row r="72" spans="1:15" ht="21.6" customHeight="1">
      <c r="A72" s="178"/>
      <c r="B72" s="178"/>
      <c r="C72" s="178"/>
      <c r="D72" s="385"/>
      <c r="E72" s="385"/>
      <c r="F72" s="385"/>
      <c r="G72" s="385"/>
      <c r="H72" s="387"/>
      <c r="I72" s="387"/>
      <c r="J72" s="387"/>
      <c r="K72" s="387"/>
      <c r="L72" s="387"/>
      <c r="M72" s="387"/>
      <c r="N72" s="387"/>
      <c r="O72" s="384"/>
    </row>
    <row r="73" spans="1:15" ht="21.6" customHeight="1">
      <c r="A73" s="178"/>
      <c r="B73" s="178"/>
      <c r="C73" s="178"/>
      <c r="D73" s="385"/>
      <c r="E73" s="385"/>
      <c r="F73" s="385"/>
      <c r="G73" s="385"/>
      <c r="H73" s="387"/>
      <c r="I73" s="387"/>
      <c r="J73" s="387"/>
      <c r="K73" s="387"/>
      <c r="L73" s="387"/>
      <c r="M73" s="387"/>
      <c r="N73" s="387"/>
      <c r="O73" s="384"/>
    </row>
    <row r="74" spans="1:15" ht="21.6" customHeight="1">
      <c r="A74" s="178"/>
      <c r="B74" s="178"/>
      <c r="C74" s="178"/>
      <c r="D74" s="385"/>
      <c r="E74" s="385"/>
      <c r="F74" s="385"/>
      <c r="G74" s="385"/>
      <c r="H74" s="387"/>
      <c r="I74" s="387"/>
      <c r="J74" s="388" t="s">
        <v>127</v>
      </c>
      <c r="K74" s="388"/>
      <c r="L74" s="388"/>
      <c r="M74" s="388"/>
      <c r="N74" s="388"/>
      <c r="O74" s="384"/>
    </row>
    <row r="75" spans="1:15" ht="21.6" customHeight="1">
      <c r="A75" s="178"/>
      <c r="B75" s="178"/>
      <c r="C75" s="178"/>
      <c r="D75" s="385"/>
      <c r="E75" s="385"/>
      <c r="F75" s="385"/>
      <c r="G75" s="385"/>
      <c r="H75" s="387"/>
      <c r="I75" s="387"/>
      <c r="J75" s="387"/>
      <c r="K75" s="387"/>
      <c r="L75" s="387"/>
      <c r="M75" s="387"/>
      <c r="N75" s="387"/>
      <c r="O75" s="384"/>
    </row>
    <row r="76" spans="1:15" ht="21.6" customHeight="1">
      <c r="A76" s="178"/>
      <c r="B76" s="178"/>
      <c r="C76" s="178"/>
      <c r="D76" s="385"/>
      <c r="E76" s="385"/>
      <c r="F76" s="385"/>
      <c r="G76" s="385"/>
      <c r="H76" s="387"/>
      <c r="I76" s="387"/>
      <c r="J76" s="387"/>
      <c r="K76" s="387"/>
      <c r="L76" s="387"/>
      <c r="M76" s="387"/>
      <c r="N76" s="387"/>
      <c r="O76" s="384"/>
    </row>
    <row r="77" spans="1:15" ht="21.6" customHeight="1">
      <c r="A77" s="178"/>
      <c r="B77" s="178"/>
      <c r="C77" s="178"/>
      <c r="D77" s="385"/>
      <c r="E77" s="385"/>
      <c r="F77" s="385"/>
      <c r="G77" s="385"/>
      <c r="H77" s="387"/>
      <c r="I77" s="387"/>
      <c r="J77" s="387"/>
      <c r="K77" s="387"/>
      <c r="L77" s="387"/>
      <c r="M77" s="387"/>
      <c r="N77" s="387"/>
      <c r="O77" s="384"/>
    </row>
    <row r="78" spans="1:15" ht="21.6" customHeight="1">
      <c r="A78" s="178"/>
      <c r="B78" s="178"/>
      <c r="C78" s="178"/>
      <c r="D78" s="385"/>
      <c r="E78" s="385"/>
      <c r="F78" s="385"/>
      <c r="G78" s="385"/>
      <c r="H78" s="387"/>
      <c r="I78" s="387"/>
      <c r="J78" s="387"/>
      <c r="K78" s="387"/>
      <c r="L78" s="387"/>
      <c r="M78" s="387"/>
      <c r="N78" s="387"/>
      <c r="O78" s="384"/>
    </row>
    <row r="79" spans="1:15" ht="24" customHeight="1">
      <c r="A79" s="178"/>
      <c r="B79" s="178"/>
      <c r="C79" s="178"/>
      <c r="D79" s="385"/>
      <c r="E79" s="385"/>
      <c r="F79" s="385"/>
      <c r="G79" s="385"/>
      <c r="H79" s="387"/>
      <c r="I79" s="387"/>
      <c r="J79" s="387"/>
      <c r="K79" s="387"/>
      <c r="L79" s="387"/>
      <c r="M79" s="387"/>
      <c r="N79" s="387"/>
      <c r="O79" s="384"/>
    </row>
    <row r="80" spans="1:15" ht="26.4" customHeight="1">
      <c r="A80" s="178"/>
      <c r="B80" s="178"/>
      <c r="C80" s="178"/>
      <c r="D80" s="385"/>
      <c r="E80" s="385"/>
      <c r="F80" s="385"/>
      <c r="G80" s="385"/>
      <c r="H80" s="387"/>
      <c r="I80" s="387"/>
      <c r="J80" s="387"/>
      <c r="K80" s="387"/>
      <c r="L80" s="387"/>
      <c r="M80" s="387"/>
      <c r="N80" s="387"/>
      <c r="O80" s="384"/>
    </row>
    <row r="81" spans="1:20" ht="17.399999999999999" customHeight="1">
      <c r="A81" s="11" t="s">
        <v>61</v>
      </c>
      <c r="B81" s="8"/>
      <c r="C81" s="8"/>
      <c r="D81" s="8"/>
      <c r="E81" s="8"/>
      <c r="F81" s="188" t="s">
        <v>32</v>
      </c>
      <c r="G81" s="188"/>
      <c r="H81" s="188"/>
      <c r="I81" s="188"/>
      <c r="J81" s="188"/>
      <c r="K81" s="188"/>
      <c r="L81" s="188"/>
      <c r="M81" s="188"/>
      <c r="N81" s="188"/>
      <c r="O81" s="372"/>
      <c r="P81" s="372"/>
      <c r="T81" s="2"/>
    </row>
    <row r="82" spans="1:20" ht="8.4" customHeight="1">
      <c r="A82" s="8"/>
      <c r="B82" s="8"/>
      <c r="C82" s="8"/>
      <c r="D82" s="8"/>
      <c r="E82" s="8"/>
      <c r="F82" s="182"/>
      <c r="G82" s="182"/>
      <c r="H82" s="182"/>
      <c r="I82" s="182"/>
      <c r="J82" s="182"/>
      <c r="K82" s="182"/>
      <c r="L82" s="182"/>
      <c r="M82" s="182"/>
      <c r="N82" s="182"/>
      <c r="O82" s="372"/>
      <c r="P82" s="372"/>
      <c r="T82" s="2"/>
    </row>
    <row r="83" spans="1:20" ht="17.399999999999999" customHeight="1">
      <c r="A83" s="8" t="s">
        <v>196</v>
      </c>
      <c r="B83" s="8"/>
      <c r="C83" s="8"/>
      <c r="D83" s="8"/>
      <c r="E83" s="8"/>
      <c r="F83" s="182"/>
      <c r="G83" s="182"/>
      <c r="H83" s="182"/>
      <c r="I83" s="182"/>
      <c r="J83" s="182"/>
      <c r="K83" s="182"/>
      <c r="L83" s="182"/>
      <c r="M83" s="182"/>
      <c r="N83" s="182"/>
      <c r="O83" s="372"/>
      <c r="P83" s="372"/>
      <c r="T83" s="2"/>
    </row>
    <row r="84" spans="1:20" s="2" customFormat="1" ht="7.8" customHeight="1">
      <c r="A84" s="295"/>
      <c r="B84" s="295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373"/>
    </row>
    <row r="85" spans="1:20" s="2" customFormat="1" ht="16.2" customHeight="1">
      <c r="A85" s="189" t="s">
        <v>88</v>
      </c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373"/>
    </row>
    <row r="86" spans="1:20" s="2" customFormat="1" ht="16.2" customHeight="1">
      <c r="A86" s="235" t="s">
        <v>97</v>
      </c>
      <c r="B86" s="235"/>
      <c r="C86" s="235"/>
      <c r="D86" s="235"/>
      <c r="E86" s="235" t="s">
        <v>89</v>
      </c>
      <c r="F86" s="235"/>
      <c r="G86" s="235"/>
      <c r="H86" s="235"/>
      <c r="I86" s="235"/>
      <c r="J86" s="235"/>
      <c r="K86" s="235"/>
      <c r="L86" s="235"/>
      <c r="M86" s="235"/>
      <c r="N86" s="235"/>
      <c r="O86" s="373"/>
    </row>
    <row r="87" spans="1:20" s="2" customFormat="1" ht="16.2" customHeight="1">
      <c r="A87" s="235"/>
      <c r="B87" s="235"/>
      <c r="C87" s="235"/>
      <c r="D87" s="235"/>
      <c r="E87" s="235" t="s">
        <v>100</v>
      </c>
      <c r="F87" s="235"/>
      <c r="G87" s="235"/>
      <c r="H87" s="235"/>
      <c r="I87" s="235"/>
      <c r="J87" s="235" t="s">
        <v>101</v>
      </c>
      <c r="K87" s="235"/>
      <c r="L87" s="235"/>
      <c r="M87" s="235"/>
      <c r="N87" s="235"/>
      <c r="O87" s="373"/>
    </row>
    <row r="88" spans="1:20" s="2" customFormat="1" ht="17.399999999999999" customHeight="1">
      <c r="A88" s="265" t="s">
        <v>90</v>
      </c>
      <c r="B88" s="265"/>
      <c r="C88" s="265"/>
      <c r="D88" s="265"/>
      <c r="E88" s="266" t="s">
        <v>144</v>
      </c>
      <c r="F88" s="266"/>
      <c r="G88" s="266"/>
      <c r="H88" s="266"/>
      <c r="I88" s="266"/>
      <c r="J88" s="265" t="s">
        <v>90</v>
      </c>
      <c r="K88" s="265"/>
      <c r="L88" s="265"/>
      <c r="M88" s="265"/>
      <c r="N88" s="265"/>
      <c r="O88" s="373"/>
    </row>
    <row r="89" spans="1:20" s="2" customFormat="1" ht="17.399999999999999" customHeight="1">
      <c r="A89" s="187" t="s">
        <v>148</v>
      </c>
      <c r="B89" s="187"/>
      <c r="C89" s="187"/>
      <c r="D89" s="187"/>
      <c r="E89" s="266"/>
      <c r="F89" s="266"/>
      <c r="G89" s="266"/>
      <c r="H89" s="266"/>
      <c r="I89" s="266"/>
      <c r="J89" s="187" t="s">
        <v>112</v>
      </c>
      <c r="K89" s="187"/>
      <c r="L89" s="187"/>
      <c r="M89" s="187"/>
      <c r="N89" s="187"/>
      <c r="O89" s="373"/>
    </row>
    <row r="90" spans="1:20" s="2" customFormat="1" ht="17.399999999999999" customHeight="1">
      <c r="A90" s="184" t="s">
        <v>149</v>
      </c>
      <c r="B90" s="185"/>
      <c r="C90" s="185"/>
      <c r="D90" s="186"/>
      <c r="E90" s="266"/>
      <c r="F90" s="266"/>
      <c r="G90" s="266"/>
      <c r="H90" s="266"/>
      <c r="I90" s="266"/>
      <c r="J90" s="187" t="s">
        <v>169</v>
      </c>
      <c r="K90" s="187"/>
      <c r="L90" s="187"/>
      <c r="M90" s="187"/>
      <c r="N90" s="187"/>
      <c r="O90" s="373"/>
    </row>
    <row r="91" spans="1:20" s="2" customFormat="1" ht="17.399999999999999" customHeight="1">
      <c r="A91" s="274" t="s">
        <v>177</v>
      </c>
      <c r="B91" s="274"/>
      <c r="C91" s="274"/>
      <c r="D91" s="274"/>
      <c r="E91" s="266"/>
      <c r="F91" s="266"/>
      <c r="G91" s="266"/>
      <c r="H91" s="266"/>
      <c r="I91" s="266"/>
      <c r="J91" s="274"/>
      <c r="K91" s="274"/>
      <c r="L91" s="274"/>
      <c r="M91" s="274"/>
      <c r="N91" s="274"/>
      <c r="O91" s="373"/>
    </row>
    <row r="92" spans="1:20" s="2" customFormat="1" ht="17.399999999999999" customHeight="1">
      <c r="A92" s="275" t="s">
        <v>122</v>
      </c>
      <c r="B92" s="276"/>
      <c r="C92" s="277"/>
      <c r="D92" s="125">
        <v>59</v>
      </c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373"/>
    </row>
    <row r="93" spans="1:20" ht="17.399999999999999" customHeight="1">
      <c r="A93" s="190" t="s">
        <v>0</v>
      </c>
      <c r="B93" s="200" t="s">
        <v>19</v>
      </c>
      <c r="C93" s="203" t="s">
        <v>8</v>
      </c>
      <c r="D93" s="203" t="s">
        <v>9</v>
      </c>
      <c r="E93" s="193" t="s">
        <v>11</v>
      </c>
      <c r="F93" s="194"/>
      <c r="G93" s="193" t="s">
        <v>43</v>
      </c>
      <c r="H93" s="194"/>
      <c r="I93" s="197" t="s">
        <v>16</v>
      </c>
      <c r="J93" s="197" t="s">
        <v>41</v>
      </c>
      <c r="K93" s="197" t="s">
        <v>42</v>
      </c>
      <c r="L93" s="197" t="s">
        <v>17</v>
      </c>
      <c r="M93" s="197" t="s">
        <v>40</v>
      </c>
      <c r="N93" s="190" t="s">
        <v>18</v>
      </c>
      <c r="O93" s="374"/>
    </row>
    <row r="94" spans="1:20" ht="17.399999999999999" customHeight="1">
      <c r="A94" s="191"/>
      <c r="B94" s="201"/>
      <c r="C94" s="204"/>
      <c r="D94" s="204"/>
      <c r="E94" s="195"/>
      <c r="F94" s="196"/>
      <c r="G94" s="195"/>
      <c r="H94" s="196"/>
      <c r="I94" s="198"/>
      <c r="J94" s="198"/>
      <c r="K94" s="198"/>
      <c r="L94" s="198"/>
      <c r="M94" s="198"/>
      <c r="N94" s="191"/>
      <c r="O94" s="178"/>
    </row>
    <row r="95" spans="1:20" ht="17.399999999999999" customHeight="1">
      <c r="A95" s="191"/>
      <c r="B95" s="201"/>
      <c r="C95" s="204"/>
      <c r="D95" s="204"/>
      <c r="E95" s="197" t="s">
        <v>10</v>
      </c>
      <c r="F95" s="197" t="s">
        <v>12</v>
      </c>
      <c r="G95" s="197" t="s">
        <v>14</v>
      </c>
      <c r="H95" s="197" t="s">
        <v>15</v>
      </c>
      <c r="I95" s="198"/>
      <c r="J95" s="198"/>
      <c r="K95" s="198"/>
      <c r="L95" s="198"/>
      <c r="M95" s="198"/>
      <c r="N95" s="191"/>
      <c r="O95" s="178"/>
    </row>
    <row r="96" spans="1:20" ht="17.399999999999999" customHeight="1">
      <c r="A96" s="192"/>
      <c r="B96" s="202"/>
      <c r="C96" s="205"/>
      <c r="D96" s="205"/>
      <c r="E96" s="199"/>
      <c r="F96" s="199"/>
      <c r="G96" s="199"/>
      <c r="H96" s="199"/>
      <c r="I96" s="199"/>
      <c r="J96" s="199"/>
      <c r="K96" s="199"/>
      <c r="L96" s="199"/>
      <c r="M96" s="199"/>
      <c r="N96" s="192"/>
      <c r="O96" s="178"/>
    </row>
    <row r="97" spans="1:22" ht="16.2" customHeight="1">
      <c r="A97" s="237" t="s">
        <v>39</v>
      </c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9"/>
      <c r="O97" s="178"/>
    </row>
    <row r="98" spans="1:22" s="2" customFormat="1" ht="16.2" customHeight="1">
      <c r="A98" s="15">
        <v>1</v>
      </c>
      <c r="B98" s="16" t="s">
        <v>2</v>
      </c>
      <c r="C98" s="51">
        <f>L98/100*100</f>
        <v>80</v>
      </c>
      <c r="D98" s="52">
        <f>C98/100*60</f>
        <v>48</v>
      </c>
      <c r="E98" s="53">
        <f>C98/100*15</f>
        <v>12</v>
      </c>
      <c r="F98" s="53"/>
      <c r="G98" s="53"/>
      <c r="H98" s="53"/>
      <c r="I98" s="53"/>
      <c r="J98" s="25">
        <f>C98/100*387</f>
        <v>309.60000000000002</v>
      </c>
      <c r="K98" s="25">
        <f>C98/100*0.09</f>
        <v>7.1999999999999995E-2</v>
      </c>
      <c r="L98" s="412">
        <v>80</v>
      </c>
      <c r="M98" s="77">
        <v>20</v>
      </c>
      <c r="N98" s="28">
        <f t="shared" ref="N98:N109" si="5">L98*M98</f>
        <v>1600</v>
      </c>
      <c r="O98" s="153"/>
    </row>
    <row r="99" spans="1:22" s="2" customFormat="1" ht="16.2" customHeight="1">
      <c r="A99" s="9">
        <v>2</v>
      </c>
      <c r="B99" s="10" t="s">
        <v>139</v>
      </c>
      <c r="C99" s="23">
        <f>L99/100*100</f>
        <v>520</v>
      </c>
      <c r="D99" s="24">
        <f>C99/100*899</f>
        <v>4674.8</v>
      </c>
      <c r="E99" s="25"/>
      <c r="F99" s="25"/>
      <c r="G99" s="25">
        <f>C99/100*100</f>
        <v>520</v>
      </c>
      <c r="H99" s="25"/>
      <c r="I99" s="25"/>
      <c r="J99" s="25"/>
      <c r="K99" s="25"/>
      <c r="L99" s="137">
        <v>520</v>
      </c>
      <c r="M99" s="24">
        <v>69</v>
      </c>
      <c r="N99" s="28">
        <f t="shared" si="5"/>
        <v>35880</v>
      </c>
      <c r="O99" s="378"/>
    </row>
    <row r="100" spans="1:22" s="2" customFormat="1" ht="16.2" customHeight="1">
      <c r="A100" s="9">
        <v>3</v>
      </c>
      <c r="B100" s="5" t="s">
        <v>1</v>
      </c>
      <c r="C100" s="23">
        <f>L100/100*100</f>
        <v>2537</v>
      </c>
      <c r="D100" s="24">
        <f>C100/100*344</f>
        <v>8727.2800000000007</v>
      </c>
      <c r="E100" s="25"/>
      <c r="F100" s="25">
        <f>C100/100*7.9</f>
        <v>200.42300000000003</v>
      </c>
      <c r="G100" s="25"/>
      <c r="H100" s="25">
        <f>C100/100*1</f>
        <v>25.37</v>
      </c>
      <c r="I100" s="119">
        <f>C100/100*72</f>
        <v>1826.64</v>
      </c>
      <c r="J100" s="25">
        <f>C100/100*30</f>
        <v>761.1</v>
      </c>
      <c r="K100" s="25">
        <f>C100/100*0.1</f>
        <v>2.5370000000000004</v>
      </c>
      <c r="L100" s="137">
        <v>2537</v>
      </c>
      <c r="M100" s="77">
        <v>18</v>
      </c>
      <c r="N100" s="28">
        <f t="shared" si="5"/>
        <v>45666</v>
      </c>
      <c r="O100" s="153"/>
    </row>
    <row r="101" spans="1:22" s="2" customFormat="1" ht="16.2" customHeight="1">
      <c r="A101" s="9">
        <v>4</v>
      </c>
      <c r="B101" s="10" t="s">
        <v>173</v>
      </c>
      <c r="C101" s="23">
        <f>L101/100*100</f>
        <v>40</v>
      </c>
      <c r="D101" s="24">
        <f>C101/100*390</f>
        <v>156</v>
      </c>
      <c r="E101" s="25"/>
      <c r="F101" s="25"/>
      <c r="G101" s="25"/>
      <c r="H101" s="25"/>
      <c r="I101" s="25">
        <f>C101/100*97.4</f>
        <v>38.960000000000008</v>
      </c>
      <c r="J101" s="27">
        <f>C101/100*178</f>
        <v>71.2</v>
      </c>
      <c r="K101" s="27">
        <f>C101/100*0.05</f>
        <v>2.0000000000000004E-2</v>
      </c>
      <c r="L101" s="137">
        <v>40</v>
      </c>
      <c r="M101" s="75">
        <v>25</v>
      </c>
      <c r="N101" s="28">
        <f t="shared" si="5"/>
        <v>1000</v>
      </c>
      <c r="O101" s="376"/>
    </row>
    <row r="102" spans="1:22" s="2" customFormat="1" ht="16.2" customHeight="1">
      <c r="A102" s="9">
        <v>5</v>
      </c>
      <c r="B102" s="10" t="s">
        <v>151</v>
      </c>
      <c r="C102" s="23">
        <f>L102/100*60</f>
        <v>2124</v>
      </c>
      <c r="D102" s="24">
        <f>C102/100*97</f>
        <v>2060.2799999999997</v>
      </c>
      <c r="E102" s="119">
        <f>C102/100*18.2</f>
        <v>386.56799999999998</v>
      </c>
      <c r="F102" s="25"/>
      <c r="G102" s="25">
        <f>C102/100*2.7</f>
        <v>57.347999999999999</v>
      </c>
      <c r="H102" s="25"/>
      <c r="I102" s="25"/>
      <c r="J102" s="81">
        <f>C102/100*90</f>
        <v>1911.6</v>
      </c>
      <c r="K102" s="27">
        <f>C102/100*0.04</f>
        <v>0.84959999999999991</v>
      </c>
      <c r="L102" s="137">
        <v>3540</v>
      </c>
      <c r="M102" s="75">
        <v>95</v>
      </c>
      <c r="N102" s="28">
        <f t="shared" si="5"/>
        <v>336300</v>
      </c>
      <c r="O102" s="153"/>
    </row>
    <row r="103" spans="1:22" s="2" customFormat="1" ht="16.2" customHeight="1">
      <c r="A103" s="9">
        <v>6</v>
      </c>
      <c r="B103" s="5" t="s">
        <v>69</v>
      </c>
      <c r="C103" s="23">
        <f>L103/100*48</f>
        <v>427.20000000000005</v>
      </c>
      <c r="D103" s="24">
        <f>C103/100*199</f>
        <v>850.12800000000004</v>
      </c>
      <c r="E103" s="25">
        <f>C103/100*20.3</f>
        <v>86.721600000000009</v>
      </c>
      <c r="F103" s="25"/>
      <c r="G103" s="25">
        <f>C103/100*13.1</f>
        <v>55.963200000000001</v>
      </c>
      <c r="H103" s="25"/>
      <c r="I103" s="25"/>
      <c r="J103" s="27">
        <f>C103/100*12</f>
        <v>51.264000000000003</v>
      </c>
      <c r="K103" s="27">
        <f>C103/100*0.15</f>
        <v>0.64080000000000004</v>
      </c>
      <c r="L103" s="137">
        <v>890</v>
      </c>
      <c r="M103" s="26">
        <v>84</v>
      </c>
      <c r="N103" s="28">
        <f t="shared" si="5"/>
        <v>74760</v>
      </c>
      <c r="O103" s="153"/>
      <c r="Q103" s="3"/>
      <c r="R103" s="3"/>
      <c r="S103" s="4"/>
    </row>
    <row r="104" spans="1:22" s="2" customFormat="1" ht="16.2" customHeight="1">
      <c r="A104" s="9">
        <v>7</v>
      </c>
      <c r="B104" s="5" t="s">
        <v>3</v>
      </c>
      <c r="C104" s="23">
        <f>L104/100*98</f>
        <v>578.20000000000005</v>
      </c>
      <c r="D104" s="24">
        <f>C104/100*118</f>
        <v>682.27599999999995</v>
      </c>
      <c r="E104" s="25">
        <f>C104/100*21</f>
        <v>121.422</v>
      </c>
      <c r="F104" s="25"/>
      <c r="G104" s="25">
        <f>C104/100*3.8</f>
        <v>21.971599999999999</v>
      </c>
      <c r="H104" s="25"/>
      <c r="I104" s="25"/>
      <c r="J104" s="27">
        <f>C104/100*12</f>
        <v>69.384</v>
      </c>
      <c r="K104" s="27">
        <f>C104/100*0.1</f>
        <v>0.57820000000000005</v>
      </c>
      <c r="L104" s="137">
        <v>590</v>
      </c>
      <c r="M104" s="26">
        <v>270</v>
      </c>
      <c r="N104" s="124">
        <f t="shared" si="5"/>
        <v>159300</v>
      </c>
      <c r="O104" s="153"/>
      <c r="Q104" s="3"/>
      <c r="R104" s="3"/>
      <c r="S104" s="4"/>
    </row>
    <row r="105" spans="1:22" s="2" customFormat="1" ht="16.2" customHeight="1">
      <c r="A105" s="9">
        <v>8</v>
      </c>
      <c r="B105" s="5" t="s">
        <v>20</v>
      </c>
      <c r="C105" s="23">
        <f>L105/100*95</f>
        <v>560.5</v>
      </c>
      <c r="D105" s="24">
        <f>C105/100*20</f>
        <v>112.10000000000001</v>
      </c>
      <c r="E105" s="25"/>
      <c r="F105" s="25">
        <f>C105/100*0.6</f>
        <v>3.363</v>
      </c>
      <c r="G105" s="25"/>
      <c r="H105" s="25">
        <f>C105/100*0.2</f>
        <v>1.1210000000000002</v>
      </c>
      <c r="I105" s="25">
        <f>C105/100*4</f>
        <v>22.42</v>
      </c>
      <c r="J105" s="27">
        <f>C105/100*12</f>
        <v>67.260000000000005</v>
      </c>
      <c r="K105" s="24">
        <f>C105/100*0.04</f>
        <v>0.22420000000000001</v>
      </c>
      <c r="L105" s="137">
        <v>590</v>
      </c>
      <c r="M105" s="77">
        <v>22</v>
      </c>
      <c r="N105" s="28">
        <f t="shared" si="5"/>
        <v>12980</v>
      </c>
      <c r="O105" s="376"/>
      <c r="Q105" s="3"/>
      <c r="R105" s="3"/>
      <c r="S105" s="4"/>
    </row>
    <row r="106" spans="1:22" s="2" customFormat="1" ht="16.2" customHeight="1">
      <c r="A106" s="9">
        <v>9</v>
      </c>
      <c r="B106" s="5" t="s">
        <v>72</v>
      </c>
      <c r="C106" s="23">
        <f>L106/100*75</f>
        <v>90</v>
      </c>
      <c r="D106" s="24">
        <f>C106/100*17</f>
        <v>15.3</v>
      </c>
      <c r="E106" s="29"/>
      <c r="F106" s="29">
        <f>C106/100*1.9</f>
        <v>1.71</v>
      </c>
      <c r="G106" s="29"/>
      <c r="H106" s="29"/>
      <c r="I106" s="29">
        <f>C106/100*2.2</f>
        <v>1.9800000000000002</v>
      </c>
      <c r="J106" s="27">
        <f>C106/100*150</f>
        <v>135</v>
      </c>
      <c r="K106" s="24">
        <f>C106/100*0.04</f>
        <v>3.6000000000000004E-2</v>
      </c>
      <c r="L106" s="375">
        <v>120</v>
      </c>
      <c r="M106" s="77">
        <v>30</v>
      </c>
      <c r="N106" s="28">
        <f t="shared" si="5"/>
        <v>3600</v>
      </c>
      <c r="O106" s="376"/>
      <c r="Q106" s="3"/>
      <c r="R106" s="3"/>
      <c r="S106" s="4"/>
    </row>
    <row r="107" spans="1:22" s="2" customFormat="1" ht="16.8" customHeight="1">
      <c r="A107" s="9">
        <v>10</v>
      </c>
      <c r="B107" s="5" t="s">
        <v>175</v>
      </c>
      <c r="C107" s="23">
        <f>L107/100*77</f>
        <v>1001</v>
      </c>
      <c r="D107" s="24">
        <f>C107/100*35</f>
        <v>350.34999999999997</v>
      </c>
      <c r="E107" s="29"/>
      <c r="F107" s="29">
        <f>C107/100*5.3</f>
        <v>53.052999999999997</v>
      </c>
      <c r="G107" s="29"/>
      <c r="H107" s="29"/>
      <c r="I107" s="29">
        <f>C107/100*3.4</f>
        <v>34.033999999999999</v>
      </c>
      <c r="J107" s="29">
        <f>C107/100*169</f>
        <v>1691.69</v>
      </c>
      <c r="K107" s="29">
        <f>C107/100*0.07</f>
        <v>0.7007000000000001</v>
      </c>
      <c r="L107" s="375">
        <v>1300</v>
      </c>
      <c r="M107" s="26">
        <v>35</v>
      </c>
      <c r="N107" s="28">
        <f t="shared" si="5"/>
        <v>45500</v>
      </c>
      <c r="O107" s="153"/>
      <c r="Q107" s="3"/>
      <c r="R107" s="3"/>
      <c r="S107" s="4"/>
    </row>
    <row r="108" spans="1:22" s="2" customFormat="1" ht="16.2" customHeight="1">
      <c r="A108" s="9">
        <v>11</v>
      </c>
      <c r="B108" s="5" t="s">
        <v>150</v>
      </c>
      <c r="C108" s="23">
        <f>L108/100*81</f>
        <v>955.80000000000007</v>
      </c>
      <c r="D108" s="24">
        <f>C108/100*17</f>
        <v>162.48599999999999</v>
      </c>
      <c r="E108" s="29"/>
      <c r="F108" s="29">
        <f>C108/100*0.9</f>
        <v>8.6021999999999998</v>
      </c>
      <c r="G108" s="29"/>
      <c r="H108" s="29">
        <f>C108/100*0.2</f>
        <v>1.9116</v>
      </c>
      <c r="I108" s="29">
        <f>C108/100*2.8</f>
        <v>26.7624</v>
      </c>
      <c r="J108" s="25">
        <f>C108/100*28</f>
        <v>267.62400000000002</v>
      </c>
      <c r="K108" s="27">
        <f>C108/100*0.04</f>
        <v>0.38231999999999999</v>
      </c>
      <c r="L108" s="375">
        <v>1180</v>
      </c>
      <c r="M108" s="75">
        <v>20</v>
      </c>
      <c r="N108" s="28">
        <f t="shared" si="5"/>
        <v>23600</v>
      </c>
      <c r="O108" s="153"/>
      <c r="P108" s="3"/>
    </row>
    <row r="109" spans="1:22" s="2" customFormat="1" ht="16.2" customHeight="1">
      <c r="A109" s="9">
        <v>12</v>
      </c>
      <c r="B109" s="5" t="s">
        <v>134</v>
      </c>
      <c r="C109" s="23">
        <f>L109/100*100</f>
        <v>40</v>
      </c>
      <c r="D109" s="24">
        <f>C109/100*247</f>
        <v>98.800000000000011</v>
      </c>
      <c r="E109" s="29"/>
      <c r="F109" s="29">
        <f>C109/100*17.5</f>
        <v>7</v>
      </c>
      <c r="G109" s="29"/>
      <c r="H109" s="29">
        <f>C109/100*1.6</f>
        <v>0.64000000000000012</v>
      </c>
      <c r="I109" s="29">
        <f>C109/100*39.2</f>
        <v>15.680000000000001</v>
      </c>
      <c r="J109" s="71"/>
      <c r="K109" s="71"/>
      <c r="L109" s="375">
        <v>40</v>
      </c>
      <c r="M109" s="75">
        <v>50</v>
      </c>
      <c r="N109" s="28">
        <f t="shared" si="5"/>
        <v>2000</v>
      </c>
      <c r="O109" s="153"/>
      <c r="Q109" s="3"/>
      <c r="R109" s="3"/>
      <c r="S109" s="4"/>
      <c r="T109" s="3"/>
    </row>
    <row r="110" spans="1:22" s="2" customFormat="1" ht="16.2" customHeight="1">
      <c r="A110" s="9">
        <v>13</v>
      </c>
      <c r="B110" s="6" t="s">
        <v>123</v>
      </c>
      <c r="C110" s="23"/>
      <c r="D110" s="24"/>
      <c r="E110" s="29"/>
      <c r="F110" s="29"/>
      <c r="G110" s="29"/>
      <c r="H110" s="29"/>
      <c r="I110" s="29"/>
      <c r="J110" s="29"/>
      <c r="K110" s="29"/>
      <c r="L110" s="30"/>
      <c r="M110" s="77"/>
      <c r="N110" s="28">
        <v>4000</v>
      </c>
      <c r="O110" s="153"/>
    </row>
    <row r="111" spans="1:22" s="2" customFormat="1" ht="16.2" customHeight="1">
      <c r="A111" s="236" t="s">
        <v>108</v>
      </c>
      <c r="B111" s="236"/>
      <c r="C111" s="34"/>
      <c r="D111" s="35">
        <f>SUM(D98:D110)</f>
        <v>17937.8</v>
      </c>
      <c r="E111" s="43"/>
      <c r="F111" s="43"/>
      <c r="G111" s="43"/>
      <c r="H111" s="43"/>
      <c r="I111" s="43"/>
      <c r="J111" s="43"/>
      <c r="K111" s="43"/>
      <c r="L111" s="44"/>
      <c r="M111" s="44"/>
      <c r="N111" s="278">
        <f>SUM(N98:N110)</f>
        <v>746186</v>
      </c>
      <c r="O111" s="153"/>
    </row>
    <row r="112" spans="1:22" ht="16.2" customHeight="1">
      <c r="A112" s="236" t="s">
        <v>37</v>
      </c>
      <c r="B112" s="236"/>
      <c r="C112" s="45"/>
      <c r="D112" s="46">
        <f>D111/D92</f>
        <v>304.03050847457627</v>
      </c>
      <c r="E112" s="46"/>
      <c r="F112" s="46"/>
      <c r="G112" s="46"/>
      <c r="H112" s="46"/>
      <c r="I112" s="46"/>
      <c r="J112" s="46"/>
      <c r="K112" s="46"/>
      <c r="L112" s="47"/>
      <c r="M112" s="47"/>
      <c r="N112" s="280"/>
      <c r="O112" s="4"/>
      <c r="P112" s="2"/>
      <c r="Q112" s="2"/>
      <c r="R112" s="2"/>
      <c r="S112" s="2"/>
      <c r="T112" s="2"/>
      <c r="U112" s="2"/>
      <c r="V112" s="2"/>
    </row>
    <row r="113" spans="1:22" ht="16.2" customHeight="1">
      <c r="A113" s="210" t="s">
        <v>44</v>
      </c>
      <c r="B113" s="211"/>
      <c r="C113" s="377" t="s">
        <v>147</v>
      </c>
      <c r="D113" s="20" t="s">
        <v>45</v>
      </c>
      <c r="E113" s="46"/>
      <c r="F113" s="46"/>
      <c r="G113" s="46"/>
      <c r="H113" s="46"/>
      <c r="I113" s="46"/>
      <c r="J113" s="48"/>
      <c r="K113" s="48"/>
      <c r="L113" s="47"/>
      <c r="M113" s="47"/>
      <c r="N113" s="179"/>
      <c r="O113" s="4"/>
      <c r="P113" s="2"/>
      <c r="Q113" s="2"/>
      <c r="R113" s="2"/>
      <c r="S113" s="2"/>
      <c r="T113" s="2"/>
      <c r="U113" s="2"/>
      <c r="V113" s="2"/>
    </row>
    <row r="114" spans="1:22" ht="16.2" customHeight="1">
      <c r="A114" s="212"/>
      <c r="B114" s="213"/>
      <c r="C114" s="19" t="s">
        <v>59</v>
      </c>
      <c r="D114" s="78">
        <f>D112*100/930</f>
        <v>32.691452524147984</v>
      </c>
      <c r="E114" s="46"/>
      <c r="F114" s="46"/>
      <c r="G114" s="46"/>
      <c r="H114" s="46"/>
      <c r="I114" s="46"/>
      <c r="J114" s="48"/>
      <c r="K114" s="48"/>
      <c r="L114" s="47"/>
      <c r="M114" s="47"/>
      <c r="N114" s="179"/>
      <c r="O114" s="4"/>
      <c r="P114" s="2"/>
      <c r="Q114" s="2"/>
      <c r="R114" s="2"/>
      <c r="S114" s="2"/>
      <c r="T114" s="2"/>
      <c r="U114" s="2"/>
      <c r="V114" s="2"/>
    </row>
    <row r="115" spans="1:22" s="2" customFormat="1" ht="16.2" customHeight="1">
      <c r="A115" s="273" t="s">
        <v>38</v>
      </c>
      <c r="B115" s="273"/>
      <c r="C115" s="56"/>
      <c r="D115" s="57"/>
      <c r="E115" s="58"/>
      <c r="F115" s="58"/>
      <c r="G115" s="58"/>
      <c r="H115" s="58"/>
      <c r="I115" s="58"/>
      <c r="J115" s="58"/>
      <c r="K115" s="58"/>
      <c r="L115" s="59"/>
      <c r="M115" s="59"/>
      <c r="N115" s="60"/>
      <c r="O115" s="153"/>
    </row>
    <row r="116" spans="1:22" s="2" customFormat="1" ht="16.2" customHeight="1">
      <c r="A116" s="15">
        <v>1</v>
      </c>
      <c r="B116" s="16" t="s">
        <v>2</v>
      </c>
      <c r="C116" s="51">
        <f>L116/100*100</f>
        <v>70</v>
      </c>
      <c r="D116" s="52">
        <f>C116/100*60</f>
        <v>42</v>
      </c>
      <c r="E116" s="53">
        <f>C116/100*15</f>
        <v>10.5</v>
      </c>
      <c r="F116" s="53"/>
      <c r="G116" s="53"/>
      <c r="H116" s="53"/>
      <c r="I116" s="53"/>
      <c r="J116" s="25">
        <f>C116/100*387</f>
        <v>270.89999999999998</v>
      </c>
      <c r="K116" s="25">
        <f>C116/100*0.09</f>
        <v>6.3E-2</v>
      </c>
      <c r="L116" s="412">
        <v>70</v>
      </c>
      <c r="M116" s="77">
        <v>20</v>
      </c>
      <c r="N116" s="28">
        <f>L116*M116</f>
        <v>1400</v>
      </c>
      <c r="O116" s="153"/>
    </row>
    <row r="117" spans="1:22" s="2" customFormat="1" ht="16.2" customHeight="1">
      <c r="A117" s="9">
        <v>2</v>
      </c>
      <c r="B117" s="148" t="s">
        <v>142</v>
      </c>
      <c r="C117" s="23">
        <f>L117/100*100</f>
        <v>90</v>
      </c>
      <c r="D117" s="120">
        <f>C117/100*900</f>
        <v>810</v>
      </c>
      <c r="E117" s="25"/>
      <c r="F117" s="25"/>
      <c r="G117" s="119"/>
      <c r="H117" s="25">
        <f>C117/100*100</f>
        <v>90</v>
      </c>
      <c r="I117" s="25"/>
      <c r="J117" s="25"/>
      <c r="K117" s="25"/>
      <c r="L117" s="137">
        <v>90</v>
      </c>
      <c r="M117" s="75">
        <v>65</v>
      </c>
      <c r="N117" s="28">
        <f t="shared" ref="N117" si="6">L117*M117</f>
        <v>5850</v>
      </c>
      <c r="O117" s="378"/>
    </row>
    <row r="118" spans="1:22" s="2" customFormat="1" ht="16.2" customHeight="1">
      <c r="A118" s="9">
        <v>3</v>
      </c>
      <c r="B118" s="5" t="s">
        <v>1</v>
      </c>
      <c r="C118" s="23">
        <f>L118/100*100</f>
        <v>2478</v>
      </c>
      <c r="D118" s="24">
        <f>C118/100*344</f>
        <v>8524.32</v>
      </c>
      <c r="E118" s="25"/>
      <c r="F118" s="25">
        <f>C118/100*7.9</f>
        <v>195.76200000000003</v>
      </c>
      <c r="G118" s="25"/>
      <c r="H118" s="25">
        <f>C118/100*1</f>
        <v>24.78</v>
      </c>
      <c r="I118" s="119">
        <f>C118/100*72</f>
        <v>1784.16</v>
      </c>
      <c r="J118" s="25">
        <f>C118/100*30</f>
        <v>743.40000000000009</v>
      </c>
      <c r="K118" s="25">
        <f>C118/100*0.1</f>
        <v>2.4780000000000002</v>
      </c>
      <c r="L118" s="137">
        <v>2478</v>
      </c>
      <c r="M118" s="77">
        <v>18</v>
      </c>
      <c r="N118" s="28">
        <f t="shared" ref="N118:N124" si="7">L118*M118</f>
        <v>44604</v>
      </c>
      <c r="O118" s="153"/>
    </row>
    <row r="119" spans="1:22" s="2" customFormat="1" ht="16.2" customHeight="1">
      <c r="A119" s="9">
        <v>4</v>
      </c>
      <c r="B119" s="5" t="s">
        <v>134</v>
      </c>
      <c r="C119" s="23">
        <f>L119/100*100</f>
        <v>40</v>
      </c>
      <c r="D119" s="24">
        <f>C119/100*247</f>
        <v>98.800000000000011</v>
      </c>
      <c r="E119" s="29"/>
      <c r="F119" s="29">
        <f>C119/100*17.5</f>
        <v>7</v>
      </c>
      <c r="G119" s="29"/>
      <c r="H119" s="29">
        <f>C119/100*1.6</f>
        <v>0.64000000000000012</v>
      </c>
      <c r="I119" s="29">
        <f>C119/100*39.2</f>
        <v>15.680000000000001</v>
      </c>
      <c r="J119" s="71"/>
      <c r="K119" s="71"/>
      <c r="L119" s="375">
        <v>40</v>
      </c>
      <c r="M119" s="75">
        <v>50</v>
      </c>
      <c r="N119" s="28">
        <f t="shared" si="7"/>
        <v>2000</v>
      </c>
      <c r="O119" s="153"/>
      <c r="Q119" s="3"/>
      <c r="R119" s="3"/>
      <c r="S119" s="4"/>
      <c r="T119" s="3"/>
    </row>
    <row r="120" spans="1:22" s="2" customFormat="1" ht="16.2" customHeight="1">
      <c r="A120" s="9">
        <v>5</v>
      </c>
      <c r="B120" s="10" t="s">
        <v>5</v>
      </c>
      <c r="C120" s="23">
        <f>L120/100*90</f>
        <v>81</v>
      </c>
      <c r="D120" s="24">
        <f>C120/100*281</f>
        <v>227.61</v>
      </c>
      <c r="E120" s="25"/>
      <c r="F120" s="25">
        <f>C120/100*9.5</f>
        <v>7.6950000000000003</v>
      </c>
      <c r="G120" s="25"/>
      <c r="H120" s="25">
        <f>C120/100*0.2</f>
        <v>0.16200000000000003</v>
      </c>
      <c r="I120" s="25">
        <f>D120/100*58.5</f>
        <v>133.15185</v>
      </c>
      <c r="J120" s="27">
        <f>C120/100*321</f>
        <v>260.01</v>
      </c>
      <c r="K120" s="27">
        <f>C120/100*0.14</f>
        <v>0.11340000000000001</v>
      </c>
      <c r="L120" s="137">
        <v>90</v>
      </c>
      <c r="M120" s="77">
        <v>120</v>
      </c>
      <c r="N120" s="28">
        <f t="shared" si="7"/>
        <v>10800</v>
      </c>
      <c r="O120" s="376"/>
    </row>
    <row r="121" spans="1:22" s="2" customFormat="1" ht="16.2" customHeight="1">
      <c r="A121" s="9">
        <v>6</v>
      </c>
      <c r="B121" s="10" t="s">
        <v>27</v>
      </c>
      <c r="C121" s="23">
        <f>L121/100*90</f>
        <v>54</v>
      </c>
      <c r="D121" s="24">
        <f>C121/100*253</f>
        <v>136.62</v>
      </c>
      <c r="E121" s="25"/>
      <c r="F121" s="25">
        <f>C121/100*32.4</f>
        <v>17.495999999999999</v>
      </c>
      <c r="G121" s="25"/>
      <c r="H121" s="25">
        <f>C121/100*3.6</f>
        <v>1.9440000000000002</v>
      </c>
      <c r="I121" s="25">
        <f>C121/100*21.1</f>
        <v>11.394000000000002</v>
      </c>
      <c r="J121" s="27">
        <f>C121/100*165</f>
        <v>89.100000000000009</v>
      </c>
      <c r="K121" s="27">
        <f>C121/100*0.14</f>
        <v>7.5600000000000014E-2</v>
      </c>
      <c r="L121" s="137">
        <v>60</v>
      </c>
      <c r="M121" s="77">
        <v>275</v>
      </c>
      <c r="N121" s="28">
        <f t="shared" si="7"/>
        <v>16500</v>
      </c>
      <c r="O121" s="376"/>
    </row>
    <row r="122" spans="1:22" s="2" customFormat="1" ht="16.2" customHeight="1">
      <c r="A122" s="9">
        <v>7</v>
      </c>
      <c r="B122" s="10" t="s">
        <v>63</v>
      </c>
      <c r="C122" s="23">
        <f>L122/100*86</f>
        <v>1780.2</v>
      </c>
      <c r="D122" s="24">
        <f>C122/100*166</f>
        <v>2955.1320000000001</v>
      </c>
      <c r="E122" s="25">
        <f>C122/100*14.8</f>
        <v>263.46960000000001</v>
      </c>
      <c r="F122" s="25"/>
      <c r="G122" s="25">
        <f>C122/100*11.6</f>
        <v>206.50319999999999</v>
      </c>
      <c r="H122" s="25"/>
      <c r="I122" s="25">
        <f>C122/100*0.5</f>
        <v>8.9009999999999998</v>
      </c>
      <c r="J122" s="25">
        <f>C122/100*55</f>
        <v>979.11</v>
      </c>
      <c r="K122" s="25">
        <f>C122/100*0.16</f>
        <v>2.8483200000000002</v>
      </c>
      <c r="L122" s="137">
        <v>2070</v>
      </c>
      <c r="M122" s="77">
        <v>57</v>
      </c>
      <c r="N122" s="28">
        <f t="shared" si="7"/>
        <v>117990</v>
      </c>
      <c r="O122" s="153"/>
      <c r="Q122" s="3"/>
      <c r="R122" s="3"/>
      <c r="S122" s="4"/>
      <c r="T122" s="3"/>
    </row>
    <row r="123" spans="1:22" s="2" customFormat="1" ht="16.2" customHeight="1">
      <c r="A123" s="9">
        <v>8</v>
      </c>
      <c r="B123" s="148" t="s">
        <v>74</v>
      </c>
      <c r="C123" s="23">
        <f>L123/100*98</f>
        <v>509.6</v>
      </c>
      <c r="D123" s="24">
        <f>C123/100*139</f>
        <v>708.34400000000005</v>
      </c>
      <c r="E123" s="25">
        <f>C123/100*19</f>
        <v>96.823999999999998</v>
      </c>
      <c r="F123" s="25"/>
      <c r="G123" s="25">
        <f>C123/100*7</f>
        <v>35.671999999999997</v>
      </c>
      <c r="H123" s="25"/>
      <c r="I123" s="25"/>
      <c r="J123" s="25">
        <f>C123/100*7</f>
        <v>35.671999999999997</v>
      </c>
      <c r="K123" s="25">
        <f>C123/100*0.9</f>
        <v>4.5864000000000003</v>
      </c>
      <c r="L123" s="137">
        <v>520</v>
      </c>
      <c r="M123" s="75">
        <v>133</v>
      </c>
      <c r="N123" s="28">
        <f t="shared" si="7"/>
        <v>69160</v>
      </c>
      <c r="O123" s="153"/>
    </row>
    <row r="124" spans="1:22" s="2" customFormat="1" ht="16.8" customHeight="1">
      <c r="A124" s="9">
        <v>9</v>
      </c>
      <c r="B124" s="5" t="s">
        <v>168</v>
      </c>
      <c r="C124" s="23">
        <f>L124/100*90</f>
        <v>1431</v>
      </c>
      <c r="D124" s="24">
        <f>C124/100*29</f>
        <v>414.99</v>
      </c>
      <c r="E124" s="25"/>
      <c r="F124" s="25">
        <f>C124/100*1.8</f>
        <v>25.758000000000003</v>
      </c>
      <c r="G124" s="25"/>
      <c r="H124" s="25">
        <f>C124/100*0.1</f>
        <v>1.431</v>
      </c>
      <c r="I124" s="25">
        <f>C124/100*5.3</f>
        <v>75.843000000000004</v>
      </c>
      <c r="J124" s="25">
        <f>C124/100*48</f>
        <v>686.88</v>
      </c>
      <c r="K124" s="25">
        <f>C124/100*0.05</f>
        <v>0.71550000000000002</v>
      </c>
      <c r="L124" s="137">
        <v>1590</v>
      </c>
      <c r="M124" s="75">
        <v>13</v>
      </c>
      <c r="N124" s="28">
        <f t="shared" si="7"/>
        <v>20670</v>
      </c>
      <c r="O124" s="153"/>
    </row>
    <row r="125" spans="1:22" s="2" customFormat="1" ht="16.2" customHeight="1">
      <c r="A125" s="9">
        <v>10</v>
      </c>
      <c r="B125" s="6" t="s">
        <v>123</v>
      </c>
      <c r="C125" s="23"/>
      <c r="D125" s="24"/>
      <c r="E125" s="25"/>
      <c r="F125" s="25"/>
      <c r="G125" s="25"/>
      <c r="H125" s="25"/>
      <c r="I125" s="25"/>
      <c r="J125" s="25"/>
      <c r="K125" s="25"/>
      <c r="L125" s="26"/>
      <c r="M125" s="26"/>
      <c r="N125" s="28">
        <v>3240</v>
      </c>
      <c r="O125" s="153"/>
    </row>
    <row r="126" spans="1:22" s="2" customFormat="1" ht="16.2" customHeight="1">
      <c r="A126" s="21" t="s">
        <v>109</v>
      </c>
      <c r="B126" s="22"/>
      <c r="C126" s="34"/>
      <c r="D126" s="35">
        <f>SUM(D116:D125)</f>
        <v>13917.816000000001</v>
      </c>
      <c r="E126" s="43"/>
      <c r="F126" s="43"/>
      <c r="G126" s="43"/>
      <c r="H126" s="43"/>
      <c r="I126" s="43"/>
      <c r="J126" s="43"/>
      <c r="K126" s="43"/>
      <c r="L126" s="44"/>
      <c r="M126" s="44"/>
      <c r="N126" s="278">
        <f>SUM(N116:N125)</f>
        <v>292214</v>
      </c>
      <c r="O126" s="153"/>
    </row>
    <row r="127" spans="1:22" ht="16.2" customHeight="1">
      <c r="A127" s="21" t="s">
        <v>36</v>
      </c>
      <c r="B127" s="22"/>
      <c r="C127" s="61"/>
      <c r="D127" s="48">
        <f>D126/D92</f>
        <v>235.89518644067797</v>
      </c>
      <c r="E127" s="48"/>
      <c r="F127" s="48"/>
      <c r="G127" s="48"/>
      <c r="H127" s="48"/>
      <c r="I127" s="48"/>
      <c r="J127" s="48"/>
      <c r="K127" s="48"/>
      <c r="L127" s="62"/>
      <c r="M127" s="47"/>
      <c r="N127" s="279"/>
      <c r="O127" s="4"/>
      <c r="P127" s="423"/>
      <c r="Q127" s="2"/>
      <c r="R127" s="2"/>
      <c r="S127" s="2"/>
      <c r="T127" s="2"/>
      <c r="U127" s="2"/>
      <c r="V127" s="2"/>
    </row>
    <row r="128" spans="1:22" ht="16.2" customHeight="1">
      <c r="A128" s="210" t="s">
        <v>49</v>
      </c>
      <c r="B128" s="211"/>
      <c r="C128" s="377" t="s">
        <v>147</v>
      </c>
      <c r="D128" s="20" t="s">
        <v>46</v>
      </c>
      <c r="E128" s="46"/>
      <c r="F128" s="46"/>
      <c r="G128" s="46"/>
      <c r="H128" s="46"/>
      <c r="I128" s="46"/>
      <c r="J128" s="48"/>
      <c r="K128" s="48"/>
      <c r="L128" s="47"/>
      <c r="M128" s="47"/>
      <c r="N128" s="179"/>
      <c r="O128" s="4"/>
      <c r="P128" s="2"/>
      <c r="Q128" s="2"/>
      <c r="R128" s="2"/>
      <c r="S128" s="2"/>
      <c r="T128" s="2"/>
      <c r="U128" s="2"/>
      <c r="V128" s="2"/>
    </row>
    <row r="129" spans="1:22" ht="16.2" customHeight="1">
      <c r="A129" s="212"/>
      <c r="B129" s="213"/>
      <c r="C129" s="19" t="s">
        <v>60</v>
      </c>
      <c r="D129" s="78">
        <f>D127*100/930</f>
        <v>25.365073810825589</v>
      </c>
      <c r="E129" s="46"/>
      <c r="F129" s="46"/>
      <c r="G129" s="46"/>
      <c r="H129" s="46"/>
      <c r="I129" s="46"/>
      <c r="J129" s="48"/>
      <c r="K129" s="48"/>
      <c r="L129" s="47"/>
      <c r="M129" s="47"/>
      <c r="N129" s="179"/>
      <c r="O129" s="4"/>
      <c r="P129" s="2"/>
      <c r="Q129" s="2"/>
      <c r="R129" s="2"/>
      <c r="S129" s="2"/>
      <c r="T129" s="2"/>
      <c r="U129" s="2"/>
      <c r="V129" s="2"/>
    </row>
    <row r="130" spans="1:22" ht="16.2" customHeight="1">
      <c r="A130" s="273" t="s">
        <v>35</v>
      </c>
      <c r="B130" s="273"/>
      <c r="C130" s="63"/>
      <c r="D130" s="64"/>
      <c r="E130" s="64"/>
      <c r="F130" s="64"/>
      <c r="G130" s="64"/>
      <c r="H130" s="64"/>
      <c r="I130" s="64"/>
      <c r="J130" s="64"/>
      <c r="K130" s="64"/>
      <c r="L130" s="65"/>
      <c r="M130" s="65"/>
      <c r="N130" s="66"/>
      <c r="O130" s="4"/>
      <c r="P130" s="2"/>
      <c r="Q130" s="2"/>
      <c r="R130" s="2"/>
      <c r="S130" s="2"/>
      <c r="T130" s="2"/>
      <c r="U130" s="2"/>
      <c r="V130" s="2"/>
    </row>
    <row r="131" spans="1:22" s="2" customFormat="1" ht="16.2" customHeight="1">
      <c r="A131" s="109">
        <v>1</v>
      </c>
      <c r="B131" s="154" t="s">
        <v>145</v>
      </c>
      <c r="C131" s="34">
        <f>L131/100*100</f>
        <v>1000</v>
      </c>
      <c r="D131" s="110">
        <f>C131/100*487</f>
        <v>4870</v>
      </c>
      <c r="E131" s="36"/>
      <c r="F131" s="36">
        <f>C131/100*19.5</f>
        <v>195</v>
      </c>
      <c r="G131" s="36"/>
      <c r="H131" s="36">
        <f>C131/100*23.2</f>
        <v>232</v>
      </c>
      <c r="I131" s="36">
        <f>C131/100*46</f>
        <v>460</v>
      </c>
      <c r="J131" s="129">
        <f>C131/100*680</f>
        <v>6800</v>
      </c>
      <c r="K131" s="36">
        <f>C131/100*0.55</f>
        <v>5.5</v>
      </c>
      <c r="L131" s="37">
        <v>1000</v>
      </c>
      <c r="M131" s="155">
        <v>260</v>
      </c>
      <c r="N131" s="111">
        <f t="shared" ref="N131" si="8">L131*M131</f>
        <v>260000</v>
      </c>
      <c r="O131" s="153"/>
      <c r="P131" s="3"/>
    </row>
    <row r="132" spans="1:22" ht="17.399999999999999" customHeight="1">
      <c r="A132" s="190" t="s">
        <v>0</v>
      </c>
      <c r="B132" s="200" t="s">
        <v>19</v>
      </c>
      <c r="C132" s="203" t="s">
        <v>8</v>
      </c>
      <c r="D132" s="203" t="s">
        <v>9</v>
      </c>
      <c r="E132" s="193" t="s">
        <v>11</v>
      </c>
      <c r="F132" s="194"/>
      <c r="G132" s="193" t="s">
        <v>43</v>
      </c>
      <c r="H132" s="194"/>
      <c r="I132" s="197" t="s">
        <v>16</v>
      </c>
      <c r="J132" s="197" t="s">
        <v>41</v>
      </c>
      <c r="K132" s="197" t="s">
        <v>42</v>
      </c>
      <c r="L132" s="197" t="s">
        <v>17</v>
      </c>
      <c r="M132" s="197" t="s">
        <v>40</v>
      </c>
      <c r="N132" s="190" t="s">
        <v>18</v>
      </c>
      <c r="O132" s="374"/>
    </row>
    <row r="133" spans="1:22" ht="17.399999999999999" customHeight="1">
      <c r="A133" s="191"/>
      <c r="B133" s="201"/>
      <c r="C133" s="204"/>
      <c r="D133" s="204"/>
      <c r="E133" s="195"/>
      <c r="F133" s="196"/>
      <c r="G133" s="195"/>
      <c r="H133" s="196"/>
      <c r="I133" s="198"/>
      <c r="J133" s="198"/>
      <c r="K133" s="198"/>
      <c r="L133" s="198"/>
      <c r="M133" s="198"/>
      <c r="N133" s="191"/>
      <c r="O133" s="178"/>
    </row>
    <row r="134" spans="1:22" ht="17.399999999999999" customHeight="1">
      <c r="A134" s="191"/>
      <c r="B134" s="201"/>
      <c r="C134" s="204"/>
      <c r="D134" s="204"/>
      <c r="E134" s="197" t="s">
        <v>10</v>
      </c>
      <c r="F134" s="197" t="s">
        <v>12</v>
      </c>
      <c r="G134" s="197" t="s">
        <v>14</v>
      </c>
      <c r="H134" s="197" t="s">
        <v>15</v>
      </c>
      <c r="I134" s="198"/>
      <c r="J134" s="198"/>
      <c r="K134" s="198"/>
      <c r="L134" s="198"/>
      <c r="M134" s="198"/>
      <c r="N134" s="191"/>
      <c r="O134" s="178"/>
    </row>
    <row r="135" spans="1:22" ht="17.399999999999999" customHeight="1">
      <c r="A135" s="192"/>
      <c r="B135" s="202"/>
      <c r="C135" s="205"/>
      <c r="D135" s="205"/>
      <c r="E135" s="199"/>
      <c r="F135" s="199"/>
      <c r="G135" s="199"/>
      <c r="H135" s="199"/>
      <c r="I135" s="199"/>
      <c r="J135" s="199"/>
      <c r="K135" s="199"/>
      <c r="L135" s="199"/>
      <c r="M135" s="199"/>
      <c r="N135" s="192"/>
      <c r="O135" s="178"/>
    </row>
    <row r="136" spans="1:22" s="2" customFormat="1" ht="21.6" customHeight="1">
      <c r="A136" s="236" t="s">
        <v>110</v>
      </c>
      <c r="B136" s="236"/>
      <c r="C136" s="34"/>
      <c r="D136" s="35">
        <f>SUM(D131:D131)</f>
        <v>4870</v>
      </c>
      <c r="E136" s="43"/>
      <c r="F136" s="43"/>
      <c r="G136" s="43"/>
      <c r="H136" s="43"/>
      <c r="I136" s="43"/>
      <c r="J136" s="43"/>
      <c r="K136" s="43"/>
      <c r="L136" s="44"/>
      <c r="M136" s="67"/>
      <c r="N136" s="278">
        <f>SUM(N131:N131)</f>
        <v>260000</v>
      </c>
      <c r="O136" s="153"/>
    </row>
    <row r="137" spans="1:22" ht="21.6" customHeight="1">
      <c r="A137" s="236" t="s">
        <v>7</v>
      </c>
      <c r="B137" s="236"/>
      <c r="C137" s="45"/>
      <c r="D137" s="46">
        <f>D136/D92</f>
        <v>82.542372881355931</v>
      </c>
      <c r="E137" s="46"/>
      <c r="F137" s="46"/>
      <c r="G137" s="46"/>
      <c r="H137" s="46"/>
      <c r="I137" s="46"/>
      <c r="J137" s="46"/>
      <c r="K137" s="46"/>
      <c r="L137" s="47"/>
      <c r="M137" s="68"/>
      <c r="N137" s="280"/>
      <c r="O137" s="4"/>
      <c r="P137" s="2"/>
      <c r="Q137" s="2"/>
      <c r="R137" s="2"/>
      <c r="S137" s="2"/>
      <c r="T137" s="2"/>
      <c r="U137" s="2"/>
      <c r="V137" s="2"/>
    </row>
    <row r="138" spans="1:22" ht="21.6" customHeight="1">
      <c r="A138" s="210" t="s">
        <v>47</v>
      </c>
      <c r="B138" s="211"/>
      <c r="C138" s="377" t="s">
        <v>147</v>
      </c>
      <c r="D138" s="20" t="s">
        <v>50</v>
      </c>
      <c r="E138" s="46"/>
      <c r="F138" s="46"/>
      <c r="G138" s="46"/>
      <c r="H138" s="46"/>
      <c r="I138" s="46"/>
      <c r="J138" s="48"/>
      <c r="K138" s="48"/>
      <c r="L138" s="47"/>
      <c r="M138" s="47"/>
      <c r="N138" s="179"/>
      <c r="O138" s="4"/>
      <c r="P138" s="2"/>
      <c r="Q138" s="2"/>
      <c r="R138" s="2"/>
      <c r="S138" s="2"/>
      <c r="T138" s="2"/>
      <c r="U138" s="2"/>
      <c r="V138" s="2"/>
    </row>
    <row r="139" spans="1:22" ht="21.6" customHeight="1">
      <c r="A139" s="212"/>
      <c r="B139" s="213"/>
      <c r="C139" s="19" t="s">
        <v>59</v>
      </c>
      <c r="D139" s="20">
        <f>D137*100/930</f>
        <v>8.8755239657371963</v>
      </c>
      <c r="E139" s="46"/>
      <c r="F139" s="46"/>
      <c r="G139" s="46"/>
      <c r="H139" s="46"/>
      <c r="I139" s="46"/>
      <c r="J139" s="48"/>
      <c r="K139" s="48"/>
      <c r="L139" s="47"/>
      <c r="M139" s="47"/>
      <c r="N139" s="179"/>
      <c r="O139" s="4"/>
      <c r="P139" s="2"/>
      <c r="Q139" s="2"/>
      <c r="R139" s="2"/>
      <c r="S139" s="2"/>
      <c r="T139" s="2"/>
      <c r="U139" s="2"/>
      <c r="V139" s="2"/>
    </row>
    <row r="140" spans="1:22" ht="21.6" customHeight="1">
      <c r="A140" s="227" t="s">
        <v>111</v>
      </c>
      <c r="B140" s="228"/>
      <c r="C140" s="231"/>
      <c r="D140" s="233">
        <f>D111+D126+D136</f>
        <v>36725.616000000002</v>
      </c>
      <c r="E140" s="7">
        <f t="shared" ref="E140:K140" si="9">SUM(E98:E131)</f>
        <v>977.50519999999995</v>
      </c>
      <c r="F140" s="7">
        <f t="shared" si="9"/>
        <v>722.86220000000003</v>
      </c>
      <c r="G140" s="7">
        <f t="shared" si="9"/>
        <v>897.45799999999997</v>
      </c>
      <c r="H140" s="7">
        <f t="shared" si="9"/>
        <v>379.99959999999999</v>
      </c>
      <c r="I140" s="216">
        <f t="shared" si="9"/>
        <v>4455.6062499999998</v>
      </c>
      <c r="J140" s="216">
        <f t="shared" si="9"/>
        <v>15200.793999999998</v>
      </c>
      <c r="K140" s="214">
        <f t="shared" si="9"/>
        <v>22.421040000000001</v>
      </c>
      <c r="L140" s="243"/>
      <c r="M140" s="243"/>
      <c r="N140" s="244">
        <f>N111+N126+N136</f>
        <v>1298400</v>
      </c>
      <c r="U140" s="12"/>
      <c r="V140" s="12"/>
    </row>
    <row r="141" spans="1:22" ht="21.6" customHeight="1">
      <c r="A141" s="229"/>
      <c r="B141" s="230"/>
      <c r="C141" s="232"/>
      <c r="D141" s="234"/>
      <c r="E141" s="225">
        <f>E140+F140</f>
        <v>1700.3674000000001</v>
      </c>
      <c r="F141" s="226"/>
      <c r="G141" s="225">
        <f>G140+H140</f>
        <v>1277.4576</v>
      </c>
      <c r="H141" s="226"/>
      <c r="I141" s="217"/>
      <c r="J141" s="217"/>
      <c r="K141" s="215"/>
      <c r="L141" s="243"/>
      <c r="M141" s="243"/>
      <c r="N141" s="245"/>
      <c r="U141" s="12"/>
      <c r="V141" s="12"/>
    </row>
    <row r="142" spans="1:22" ht="21.6" customHeight="1">
      <c r="A142" s="247" t="s">
        <v>77</v>
      </c>
      <c r="B142" s="248"/>
      <c r="C142" s="249"/>
      <c r="D142" s="133">
        <f>D140/D92</f>
        <v>622.46806779661017</v>
      </c>
      <c r="E142" s="404">
        <f>E140/D92</f>
        <v>16.567884745762711</v>
      </c>
      <c r="F142" s="403">
        <f>F140/D92</f>
        <v>12.251901694915254</v>
      </c>
      <c r="G142" s="404">
        <f>G140/D92</f>
        <v>15.211152542372881</v>
      </c>
      <c r="H142" s="403">
        <f>H140/D92</f>
        <v>6.440671186440678</v>
      </c>
      <c r="I142" s="208">
        <f>I140/D92</f>
        <v>75.518749999999997</v>
      </c>
      <c r="J142" s="299">
        <f>J140/D92</f>
        <v>257.64057627118643</v>
      </c>
      <c r="K142" s="299">
        <f>K140/D92</f>
        <v>0.38001762711864412</v>
      </c>
      <c r="L142" s="243"/>
      <c r="M142" s="243"/>
      <c r="N142" s="245"/>
      <c r="P142" s="392"/>
      <c r="Q142" s="424"/>
      <c r="R142" s="424"/>
      <c r="S142" s="424"/>
      <c r="T142" s="424"/>
      <c r="U142" s="425"/>
      <c r="V142" s="392"/>
    </row>
    <row r="143" spans="1:22" ht="21.6" customHeight="1">
      <c r="A143" s="250"/>
      <c r="B143" s="251"/>
      <c r="C143" s="252"/>
      <c r="D143" s="127"/>
      <c r="E143" s="381">
        <f>E142+F142</f>
        <v>28.819786440677966</v>
      </c>
      <c r="F143" s="382"/>
      <c r="G143" s="381">
        <f>G142+H142</f>
        <v>21.651823728813561</v>
      </c>
      <c r="H143" s="382"/>
      <c r="I143" s="209"/>
      <c r="J143" s="300"/>
      <c r="K143" s="300"/>
      <c r="L143" s="243"/>
      <c r="M143" s="243"/>
      <c r="N143" s="245"/>
      <c r="P143" s="395"/>
      <c r="Q143" s="424"/>
      <c r="R143" s="424"/>
      <c r="S143" s="426"/>
      <c r="T143" s="426"/>
      <c r="U143" s="397"/>
      <c r="V143" s="392"/>
    </row>
    <row r="144" spans="1:22" ht="21.6" customHeight="1">
      <c r="A144" s="218" t="s">
        <v>80</v>
      </c>
      <c r="B144" s="219"/>
      <c r="C144" s="220"/>
      <c r="D144" s="183" t="s">
        <v>29</v>
      </c>
      <c r="E144" s="362" t="s">
        <v>24</v>
      </c>
      <c r="F144" s="362"/>
      <c r="G144" s="362" t="s">
        <v>25</v>
      </c>
      <c r="H144" s="362"/>
      <c r="I144" s="391" t="s">
        <v>26</v>
      </c>
      <c r="J144" s="181">
        <v>500</v>
      </c>
      <c r="K144" s="181">
        <v>0.5</v>
      </c>
      <c r="L144" s="243"/>
      <c r="M144" s="243"/>
      <c r="N144" s="245"/>
      <c r="O144" s="384"/>
      <c r="P144" s="392"/>
      <c r="Q144" s="397"/>
      <c r="R144" s="397"/>
      <c r="S144" s="397"/>
      <c r="T144" s="397"/>
      <c r="U144" s="392"/>
      <c r="V144" s="392"/>
    </row>
    <row r="145" spans="1:22" ht="21.6" customHeight="1">
      <c r="A145" s="218" t="s">
        <v>78</v>
      </c>
      <c r="B145" s="219"/>
      <c r="C145" s="220"/>
      <c r="D145" s="49"/>
      <c r="E145" s="206">
        <f>E143*4.1</f>
        <v>118.16112440677965</v>
      </c>
      <c r="F145" s="207"/>
      <c r="G145" s="206">
        <f>G143*9</f>
        <v>194.86641355932204</v>
      </c>
      <c r="H145" s="207"/>
      <c r="I145" s="85">
        <f>I142*4.1</f>
        <v>309.62687499999998</v>
      </c>
      <c r="J145" s="253"/>
      <c r="K145" s="253"/>
      <c r="L145" s="243"/>
      <c r="M145" s="243"/>
      <c r="N145" s="245"/>
      <c r="O145" s="384"/>
      <c r="P145" s="396"/>
      <c r="Q145" s="392"/>
      <c r="R145" s="392"/>
      <c r="S145" s="392"/>
      <c r="T145" s="392"/>
      <c r="U145" s="392"/>
      <c r="V145" s="392"/>
    </row>
    <row r="146" spans="1:22" ht="21.6" customHeight="1">
      <c r="A146" s="221" t="s">
        <v>81</v>
      </c>
      <c r="B146" s="222"/>
      <c r="C146" s="218" t="s">
        <v>59</v>
      </c>
      <c r="D146" s="220"/>
      <c r="E146" s="255">
        <f>E145*100/D142</f>
        <v>18.982680481111601</v>
      </c>
      <c r="F146" s="256"/>
      <c r="G146" s="255">
        <f>G145*100/D142</f>
        <v>31.30544740216202</v>
      </c>
      <c r="H146" s="256"/>
      <c r="I146" s="158">
        <f>I145*100/D142</f>
        <v>49.74180861935713</v>
      </c>
      <c r="J146" s="254"/>
      <c r="K146" s="254"/>
      <c r="L146" s="243"/>
      <c r="M146" s="243"/>
      <c r="N146" s="245"/>
      <c r="O146" s="384"/>
    </row>
    <row r="147" spans="1:22" ht="21.6" customHeight="1">
      <c r="A147" s="223"/>
      <c r="B147" s="224"/>
      <c r="C147" s="218" t="s">
        <v>79</v>
      </c>
      <c r="D147" s="220"/>
      <c r="E147" s="218" t="s">
        <v>82</v>
      </c>
      <c r="F147" s="220"/>
      <c r="G147" s="218" t="s">
        <v>85</v>
      </c>
      <c r="H147" s="220"/>
      <c r="I147" s="183" t="s">
        <v>86</v>
      </c>
      <c r="J147" s="234"/>
      <c r="K147" s="234"/>
      <c r="L147" s="243"/>
      <c r="M147" s="243"/>
      <c r="N147" s="246"/>
      <c r="O147" s="384"/>
      <c r="P147" s="132"/>
    </row>
    <row r="148" spans="1:22" ht="21.6" customHeight="1">
      <c r="A148" s="90"/>
      <c r="B148" s="93"/>
      <c r="C148" s="90"/>
      <c r="D148" s="90"/>
      <c r="E148" s="90"/>
      <c r="F148" s="90"/>
      <c r="G148" s="90"/>
      <c r="H148" s="90"/>
      <c r="I148" s="90"/>
      <c r="J148" s="90"/>
      <c r="K148" s="90"/>
      <c r="L148" s="91"/>
      <c r="M148" s="91"/>
      <c r="N148" s="92"/>
      <c r="O148" s="384"/>
      <c r="P148" s="132"/>
    </row>
    <row r="149" spans="1:22" ht="21" customHeight="1">
      <c r="A149" s="293" t="s">
        <v>114</v>
      </c>
      <c r="B149" s="293"/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384"/>
    </row>
    <row r="150" spans="1:22" ht="21" customHeight="1">
      <c r="A150" s="117" t="s">
        <v>115</v>
      </c>
      <c r="B150" s="294" t="s">
        <v>116</v>
      </c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384"/>
    </row>
    <row r="151" spans="1:22" ht="21" customHeight="1">
      <c r="A151" s="118"/>
      <c r="B151" s="258" t="s">
        <v>198</v>
      </c>
      <c r="C151" s="258"/>
      <c r="D151" s="258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384"/>
    </row>
    <row r="152" spans="1:22" ht="21" customHeight="1">
      <c r="A152" s="118"/>
      <c r="B152" s="258" t="s">
        <v>199</v>
      </c>
      <c r="C152" s="258"/>
      <c r="D152" s="258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384"/>
    </row>
    <row r="153" spans="1:22" ht="21" customHeight="1">
      <c r="A153" s="118"/>
      <c r="B153" s="258" t="s">
        <v>170</v>
      </c>
      <c r="C153" s="258"/>
      <c r="D153" s="258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384"/>
    </row>
    <row r="154" spans="1:22" ht="21" customHeight="1">
      <c r="A154" s="90"/>
      <c r="B154" s="259" t="s">
        <v>133</v>
      </c>
      <c r="C154" s="259"/>
      <c r="D154" s="259"/>
      <c r="E154" s="259"/>
      <c r="F154" s="259"/>
      <c r="G154" s="259"/>
      <c r="H154" s="259"/>
      <c r="I154" s="259"/>
      <c r="J154" s="259"/>
      <c r="K154" s="259"/>
      <c r="L154" s="259"/>
      <c r="M154" s="259"/>
      <c r="N154" s="259"/>
      <c r="O154" s="384"/>
    </row>
    <row r="155" spans="1:22" ht="21" customHeight="1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4"/>
      <c r="M155" s="94"/>
      <c r="N155" s="95"/>
      <c r="O155" s="384"/>
    </row>
    <row r="156" spans="1:22" ht="21" customHeight="1">
      <c r="A156" s="260" t="s">
        <v>62</v>
      </c>
      <c r="B156" s="260"/>
      <c r="C156" s="260"/>
      <c r="D156" s="260"/>
      <c r="E156" s="385"/>
      <c r="F156" s="385"/>
      <c r="G156" s="385"/>
      <c r="H156" s="385"/>
      <c r="I156" s="385"/>
      <c r="J156" s="386" t="s">
        <v>33</v>
      </c>
      <c r="K156" s="386"/>
      <c r="L156" s="386"/>
      <c r="M156" s="386"/>
      <c r="N156" s="386"/>
      <c r="O156" s="384"/>
    </row>
    <row r="157" spans="1:22" ht="21" customHeight="1">
      <c r="A157" s="178"/>
      <c r="B157" s="178"/>
      <c r="C157" s="178"/>
      <c r="D157" s="385"/>
      <c r="E157" s="385"/>
      <c r="F157" s="385"/>
      <c r="G157" s="385"/>
      <c r="H157" s="387"/>
      <c r="I157" s="387"/>
      <c r="J157" s="387"/>
      <c r="K157" s="387"/>
      <c r="L157" s="387"/>
      <c r="M157" s="387"/>
      <c r="N157" s="387"/>
      <c r="O157" s="384"/>
    </row>
    <row r="158" spans="1:22" ht="21" customHeight="1">
      <c r="A158" s="178"/>
      <c r="B158" s="178"/>
      <c r="C158" s="178"/>
      <c r="D158" s="385"/>
      <c r="E158" s="385"/>
      <c r="F158" s="385"/>
      <c r="G158" s="385"/>
      <c r="H158" s="387"/>
      <c r="I158" s="387"/>
      <c r="J158" s="387"/>
      <c r="K158" s="387"/>
      <c r="L158" s="387"/>
      <c r="M158" s="387"/>
      <c r="N158" s="387"/>
      <c r="O158" s="384"/>
    </row>
    <row r="159" spans="1:22" ht="21" customHeight="1">
      <c r="A159" s="178"/>
      <c r="B159" s="178"/>
      <c r="C159" s="178"/>
      <c r="D159" s="385"/>
      <c r="E159" s="385"/>
      <c r="F159" s="385"/>
      <c r="G159" s="385"/>
      <c r="H159" s="387"/>
      <c r="I159" s="387"/>
      <c r="J159" s="388" t="s">
        <v>124</v>
      </c>
      <c r="K159" s="388"/>
      <c r="L159" s="388"/>
      <c r="M159" s="388"/>
      <c r="N159" s="388"/>
      <c r="O159" s="384"/>
    </row>
    <row r="160" spans="1:22" ht="21" customHeight="1">
      <c r="A160" s="261" t="s">
        <v>91</v>
      </c>
      <c r="B160" s="261"/>
      <c r="C160" s="261"/>
      <c r="D160" s="261"/>
      <c r="E160" s="385"/>
      <c r="F160" s="385"/>
      <c r="G160" s="385"/>
      <c r="H160" s="387"/>
      <c r="I160" s="387"/>
      <c r="J160" s="388"/>
      <c r="K160" s="388"/>
      <c r="L160" s="388"/>
      <c r="M160" s="388"/>
      <c r="N160" s="388"/>
      <c r="O160" s="384"/>
    </row>
    <row r="163" spans="10:14" ht="21.6" customHeight="1">
      <c r="J163" s="388" t="s">
        <v>127</v>
      </c>
      <c r="K163" s="388"/>
      <c r="L163" s="388"/>
      <c r="M163" s="388"/>
      <c r="N163" s="388"/>
    </row>
  </sheetData>
  <mergeCells count="207">
    <mergeCell ref="A160:D160"/>
    <mergeCell ref="J160:N160"/>
    <mergeCell ref="I53:I54"/>
    <mergeCell ref="D51:D52"/>
    <mergeCell ref="A149:N149"/>
    <mergeCell ref="B150:N150"/>
    <mergeCell ref="B151:N151"/>
    <mergeCell ref="B152:N152"/>
    <mergeCell ref="B153:N153"/>
    <mergeCell ref="B154:N154"/>
    <mergeCell ref="A156:D156"/>
    <mergeCell ref="J156:N156"/>
    <mergeCell ref="G58:H58"/>
    <mergeCell ref="A60:N60"/>
    <mergeCell ref="B61:N61"/>
    <mergeCell ref="B62:N62"/>
    <mergeCell ref="B63:N63"/>
    <mergeCell ref="G146:H146"/>
    <mergeCell ref="C147:D147"/>
    <mergeCell ref="E147:F147"/>
    <mergeCell ref="G147:H147"/>
    <mergeCell ref="A84:N84"/>
    <mergeCell ref="A85:N85"/>
    <mergeCell ref="N136:N137"/>
    <mergeCell ref="E5:N5"/>
    <mergeCell ref="A5:D5"/>
    <mergeCell ref="A6:D6"/>
    <mergeCell ref="A7:D7"/>
    <mergeCell ref="A9:D9"/>
    <mergeCell ref="E6:I9"/>
    <mergeCell ref="J6:N9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M11:M14"/>
    <mergeCell ref="J11:J14"/>
    <mergeCell ref="K11:K14"/>
    <mergeCell ref="A31:B32"/>
    <mergeCell ref="A10:C10"/>
    <mergeCell ref="L43:L46"/>
    <mergeCell ref="M43:M46"/>
    <mergeCell ref="A8:D8"/>
    <mergeCell ref="N43:N46"/>
    <mergeCell ref="A89:D89"/>
    <mergeCell ref="J89:N89"/>
    <mergeCell ref="A91:D91"/>
    <mergeCell ref="J91:N91"/>
    <mergeCell ref="I93:I96"/>
    <mergeCell ref="E132:F133"/>
    <mergeCell ref="G132:H133"/>
    <mergeCell ref="M93:M96"/>
    <mergeCell ref="A92:C92"/>
    <mergeCell ref="G95:G96"/>
    <mergeCell ref="H95:H96"/>
    <mergeCell ref="N126:N127"/>
    <mergeCell ref="A130:B130"/>
    <mergeCell ref="A112:B112"/>
    <mergeCell ref="A115:B115"/>
    <mergeCell ref="A93:A96"/>
    <mergeCell ref="B93:B96"/>
    <mergeCell ref="C93:C96"/>
    <mergeCell ref="L132:L135"/>
    <mergeCell ref="N111:N112"/>
    <mergeCell ref="N132:N135"/>
    <mergeCell ref="E134:E135"/>
    <mergeCell ref="D93:D96"/>
    <mergeCell ref="A15:N15"/>
    <mergeCell ref="E95:E96"/>
    <mergeCell ref="A47:B47"/>
    <mergeCell ref="A48:B48"/>
    <mergeCell ref="N29:N30"/>
    <mergeCell ref="N47:N48"/>
    <mergeCell ref="E45:E46"/>
    <mergeCell ref="F45:F46"/>
    <mergeCell ref="G45:G46"/>
    <mergeCell ref="H45:H46"/>
    <mergeCell ref="C57:D57"/>
    <mergeCell ref="C58:D58"/>
    <mergeCell ref="E57:F57"/>
    <mergeCell ref="G57:H57"/>
    <mergeCell ref="E58:F58"/>
    <mergeCell ref="G52:H52"/>
    <mergeCell ref="A88:D88"/>
    <mergeCell ref="A49:B50"/>
    <mergeCell ref="E88:I91"/>
    <mergeCell ref="J88:N88"/>
    <mergeCell ref="F95:F96"/>
    <mergeCell ref="A53:C54"/>
    <mergeCell ref="A55:C55"/>
    <mergeCell ref="A33:B33"/>
    <mergeCell ref="Q53:R53"/>
    <mergeCell ref="S53:T53"/>
    <mergeCell ref="Q54:R54"/>
    <mergeCell ref="S54:T54"/>
    <mergeCell ref="L93:L96"/>
    <mergeCell ref="N93:N96"/>
    <mergeCell ref="L51:L58"/>
    <mergeCell ref="M51:M58"/>
    <mergeCell ref="J56:J58"/>
    <mergeCell ref="K56:K58"/>
    <mergeCell ref="J51:J52"/>
    <mergeCell ref="J93:J96"/>
    <mergeCell ref="K93:K96"/>
    <mergeCell ref="K51:K52"/>
    <mergeCell ref="N51:N58"/>
    <mergeCell ref="B64:N64"/>
    <mergeCell ref="B65:N65"/>
    <mergeCell ref="A67:D67"/>
    <mergeCell ref="J67:N67"/>
    <mergeCell ref="A71:D71"/>
    <mergeCell ref="J71:N71"/>
    <mergeCell ref="I51:I52"/>
    <mergeCell ref="K53:K54"/>
    <mergeCell ref="A86:D87"/>
    <mergeCell ref="U53:V53"/>
    <mergeCell ref="U54:V54"/>
    <mergeCell ref="A138:B139"/>
    <mergeCell ref="J142:J143"/>
    <mergeCell ref="K142:K143"/>
    <mergeCell ref="J140:J141"/>
    <mergeCell ref="C51:C52"/>
    <mergeCell ref="E54:F54"/>
    <mergeCell ref="E52:F52"/>
    <mergeCell ref="A51:B52"/>
    <mergeCell ref="L140:L147"/>
    <mergeCell ref="M140:M147"/>
    <mergeCell ref="N140:N147"/>
    <mergeCell ref="A142:C143"/>
    <mergeCell ref="A144:C144"/>
    <mergeCell ref="A145:C145"/>
    <mergeCell ref="E145:F145"/>
    <mergeCell ref="G145:H145"/>
    <mergeCell ref="J145:J147"/>
    <mergeCell ref="K145:K147"/>
    <mergeCell ref="A146:B147"/>
    <mergeCell ref="C146:D146"/>
    <mergeCell ref="E146:F146"/>
    <mergeCell ref="E141:F141"/>
    <mergeCell ref="A137:B137"/>
    <mergeCell ref="A111:B111"/>
    <mergeCell ref="E93:F94"/>
    <mergeCell ref="G93:H94"/>
    <mergeCell ref="A97:N97"/>
    <mergeCell ref="I132:I135"/>
    <mergeCell ref="J132:J135"/>
    <mergeCell ref="K132:K135"/>
    <mergeCell ref="F134:F135"/>
    <mergeCell ref="G134:G135"/>
    <mergeCell ref="H134:H135"/>
    <mergeCell ref="B132:B135"/>
    <mergeCell ref="C132:C135"/>
    <mergeCell ref="D132:D135"/>
    <mergeCell ref="M132:M135"/>
    <mergeCell ref="J53:J54"/>
    <mergeCell ref="E144:F144"/>
    <mergeCell ref="G144:H144"/>
    <mergeCell ref="A113:B114"/>
    <mergeCell ref="A128:B129"/>
    <mergeCell ref="K140:K141"/>
    <mergeCell ref="G54:H54"/>
    <mergeCell ref="I140:I141"/>
    <mergeCell ref="I142:I143"/>
    <mergeCell ref="E143:F143"/>
    <mergeCell ref="G143:H143"/>
    <mergeCell ref="A56:C56"/>
    <mergeCell ref="A57:B58"/>
    <mergeCell ref="G141:H141"/>
    <mergeCell ref="A140:B141"/>
    <mergeCell ref="C140:C141"/>
    <mergeCell ref="D140:D141"/>
    <mergeCell ref="E86:N86"/>
    <mergeCell ref="E87:I87"/>
    <mergeCell ref="J87:N87"/>
    <mergeCell ref="A132:A135"/>
    <mergeCell ref="J70:N70"/>
    <mergeCell ref="J74:N74"/>
    <mergeCell ref="A136:B136"/>
    <mergeCell ref="A90:D90"/>
    <mergeCell ref="J90:N90"/>
    <mergeCell ref="J159:N159"/>
    <mergeCell ref="J163:N163"/>
    <mergeCell ref="F1:N1"/>
    <mergeCell ref="F81:N81"/>
    <mergeCell ref="A4:N4"/>
    <mergeCell ref="A11:A14"/>
    <mergeCell ref="E11:F12"/>
    <mergeCell ref="G11:H12"/>
    <mergeCell ref="I11:I14"/>
    <mergeCell ref="N11:N14"/>
    <mergeCell ref="B11:B14"/>
    <mergeCell ref="C11:C14"/>
    <mergeCell ref="D11:D14"/>
    <mergeCell ref="L11:L14"/>
    <mergeCell ref="E13:E14"/>
    <mergeCell ref="E55:F55"/>
    <mergeCell ref="G55:H55"/>
    <mergeCell ref="F13:F14"/>
    <mergeCell ref="G13:G14"/>
    <mergeCell ref="H13:H14"/>
    <mergeCell ref="E56:F56"/>
    <mergeCell ref="G56:H56"/>
  </mergeCells>
  <pageMargins left="0.25" right="8.3333333333333332E-3" top="0.44791666666666702" bottom="0.427083333333332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58"/>
  <sheetViews>
    <sheetView workbookViewId="0">
      <selection activeCell="O1" sqref="O1"/>
    </sheetView>
  </sheetViews>
  <sheetFormatPr defaultColWidth="9.109375" defaultRowHeight="18" customHeight="1"/>
  <cols>
    <col min="1" max="1" width="4" style="1" customWidth="1"/>
    <col min="2" max="2" width="10.88671875" style="1" customWidth="1"/>
    <col min="3" max="3" width="6.6640625" style="1" customWidth="1"/>
    <col min="4" max="4" width="7.21875" style="1" customWidth="1"/>
    <col min="5" max="8" width="6.6640625" style="1" customWidth="1"/>
    <col min="9" max="9" width="7.77734375" style="1" customWidth="1"/>
    <col min="10" max="11" width="8.6640625" style="1" customWidth="1"/>
    <col min="12" max="12" width="6" style="1" customWidth="1"/>
    <col min="13" max="13" width="7" style="1" customWidth="1"/>
    <col min="14" max="14" width="7.33203125" style="1" customWidth="1"/>
    <col min="15" max="15" width="11.88671875" style="1" customWidth="1"/>
    <col min="16" max="16" width="9.109375" style="1"/>
    <col min="17" max="20" width="9.109375" style="1" customWidth="1"/>
    <col min="21" max="22" width="8.109375" style="1" customWidth="1"/>
    <col min="23" max="23" width="12.5546875" style="1" customWidth="1"/>
    <col min="24" max="16384" width="9.109375" style="1"/>
  </cols>
  <sheetData>
    <row r="1" spans="1:20" ht="22.2" customHeight="1">
      <c r="A1" s="11" t="s">
        <v>61</v>
      </c>
      <c r="B1" s="8"/>
      <c r="C1" s="8"/>
      <c r="D1" s="8"/>
      <c r="E1" s="8"/>
      <c r="F1" s="188" t="s">
        <v>31</v>
      </c>
      <c r="G1" s="188"/>
      <c r="H1" s="188"/>
      <c r="I1" s="188"/>
      <c r="J1" s="188"/>
      <c r="K1" s="188"/>
      <c r="L1" s="188"/>
      <c r="M1" s="188"/>
      <c r="N1" s="188"/>
      <c r="O1" s="372"/>
      <c r="P1" s="372"/>
      <c r="T1" s="2"/>
    </row>
    <row r="2" spans="1:20" ht="12" customHeight="1">
      <c r="A2" s="11"/>
      <c r="B2" s="8"/>
      <c r="C2" s="8"/>
      <c r="D2" s="8"/>
      <c r="E2" s="8"/>
      <c r="F2" s="182"/>
      <c r="G2" s="182"/>
      <c r="H2" s="182"/>
      <c r="I2" s="182"/>
      <c r="J2" s="182"/>
      <c r="K2" s="182"/>
      <c r="L2" s="182"/>
      <c r="M2" s="182"/>
      <c r="N2" s="182"/>
      <c r="O2" s="372"/>
      <c r="P2" s="372"/>
      <c r="T2" s="2"/>
    </row>
    <row r="3" spans="1:20" ht="22.2" customHeight="1">
      <c r="A3" s="8" t="s">
        <v>200</v>
      </c>
      <c r="B3" s="8"/>
      <c r="C3" s="8"/>
      <c r="D3" s="8"/>
      <c r="E3" s="8"/>
      <c r="F3" s="182"/>
      <c r="G3" s="182"/>
      <c r="H3" s="182"/>
      <c r="I3" s="182"/>
      <c r="J3" s="182"/>
      <c r="K3" s="182"/>
      <c r="L3" s="182"/>
      <c r="M3" s="182"/>
      <c r="N3" s="182"/>
      <c r="O3" s="372"/>
      <c r="P3" s="372"/>
      <c r="T3" s="2"/>
    </row>
    <row r="4" spans="1:20" ht="12" customHeight="1">
      <c r="A4" s="8"/>
      <c r="B4" s="8"/>
      <c r="C4" s="8"/>
      <c r="D4" s="8"/>
      <c r="E4" s="8"/>
      <c r="F4" s="182"/>
      <c r="G4" s="182"/>
      <c r="H4" s="182"/>
      <c r="I4" s="182"/>
      <c r="J4" s="182"/>
      <c r="K4" s="182"/>
      <c r="L4" s="182"/>
      <c r="M4" s="182"/>
      <c r="N4" s="182"/>
      <c r="O4" s="372"/>
      <c r="P4" s="372"/>
      <c r="T4" s="2"/>
    </row>
    <row r="5" spans="1:20" s="2" customFormat="1" ht="19.2" customHeight="1">
      <c r="A5" s="235" t="s">
        <v>97</v>
      </c>
      <c r="B5" s="235"/>
      <c r="C5" s="235"/>
      <c r="D5" s="235"/>
      <c r="E5" s="235" t="s">
        <v>98</v>
      </c>
      <c r="F5" s="235"/>
      <c r="G5" s="235"/>
      <c r="H5" s="235"/>
      <c r="I5" s="235"/>
      <c r="J5" s="235"/>
      <c r="K5" s="235"/>
      <c r="L5" s="235"/>
      <c r="M5" s="235"/>
      <c r="N5" s="235"/>
      <c r="O5" s="373"/>
    </row>
    <row r="6" spans="1:20" s="2" customFormat="1" ht="19.2" customHeight="1">
      <c r="A6" s="265" t="s">
        <v>90</v>
      </c>
      <c r="B6" s="265"/>
      <c r="C6" s="265"/>
      <c r="D6" s="265"/>
      <c r="E6" s="266" t="s">
        <v>144</v>
      </c>
      <c r="F6" s="266"/>
      <c r="G6" s="266"/>
      <c r="H6" s="266"/>
      <c r="I6" s="266"/>
      <c r="J6" s="281" t="s">
        <v>140</v>
      </c>
      <c r="K6" s="282"/>
      <c r="L6" s="282"/>
      <c r="M6" s="282"/>
      <c r="N6" s="283"/>
      <c r="O6" s="373"/>
    </row>
    <row r="7" spans="1:20" s="2" customFormat="1" ht="19.2" customHeight="1">
      <c r="A7" s="187" t="s">
        <v>132</v>
      </c>
      <c r="B7" s="187"/>
      <c r="C7" s="187"/>
      <c r="D7" s="187"/>
      <c r="E7" s="266"/>
      <c r="F7" s="266"/>
      <c r="G7" s="266"/>
      <c r="H7" s="266"/>
      <c r="I7" s="266"/>
      <c r="J7" s="284"/>
      <c r="K7" s="285"/>
      <c r="L7" s="285"/>
      <c r="M7" s="285"/>
      <c r="N7" s="286"/>
      <c r="O7" s="373"/>
    </row>
    <row r="8" spans="1:20" s="2" customFormat="1" ht="19.2" customHeight="1">
      <c r="A8" s="184" t="s">
        <v>152</v>
      </c>
      <c r="B8" s="185"/>
      <c r="C8" s="185"/>
      <c r="D8" s="186"/>
      <c r="E8" s="266"/>
      <c r="F8" s="266"/>
      <c r="G8" s="266"/>
      <c r="H8" s="266"/>
      <c r="I8" s="266"/>
      <c r="J8" s="284"/>
      <c r="K8" s="285"/>
      <c r="L8" s="285"/>
      <c r="M8" s="285"/>
      <c r="N8" s="286"/>
      <c r="O8" s="373"/>
    </row>
    <row r="9" spans="1:20" s="2" customFormat="1" ht="19.2" customHeight="1">
      <c r="A9" s="274" t="s">
        <v>160</v>
      </c>
      <c r="B9" s="274"/>
      <c r="C9" s="274"/>
      <c r="D9" s="274"/>
      <c r="E9" s="266"/>
      <c r="F9" s="266"/>
      <c r="G9" s="266"/>
      <c r="H9" s="266"/>
      <c r="I9" s="266"/>
      <c r="J9" s="287"/>
      <c r="K9" s="288"/>
      <c r="L9" s="288"/>
      <c r="M9" s="288"/>
      <c r="N9" s="289"/>
      <c r="O9" s="373"/>
    </row>
    <row r="10" spans="1:20" ht="19.2" customHeight="1">
      <c r="A10" s="275" t="s">
        <v>122</v>
      </c>
      <c r="B10" s="276"/>
      <c r="C10" s="277"/>
      <c r="D10" s="128">
        <v>222</v>
      </c>
      <c r="E10" s="8"/>
      <c r="F10" s="182"/>
      <c r="G10" s="182"/>
      <c r="H10" s="182"/>
      <c r="I10" s="182"/>
      <c r="J10" s="182"/>
      <c r="K10" s="182"/>
      <c r="L10" s="182"/>
      <c r="M10" s="182"/>
      <c r="N10" s="182"/>
      <c r="O10" s="372"/>
      <c r="P10" s="372"/>
      <c r="T10" s="2"/>
    </row>
    <row r="11" spans="1:20" ht="22.2" customHeight="1">
      <c r="A11" s="190" t="s">
        <v>0</v>
      </c>
      <c r="B11" s="200" t="s">
        <v>19</v>
      </c>
      <c r="C11" s="203" t="s">
        <v>8</v>
      </c>
      <c r="D11" s="203" t="s">
        <v>9</v>
      </c>
      <c r="E11" s="193" t="s">
        <v>11</v>
      </c>
      <c r="F11" s="194"/>
      <c r="G11" s="193" t="s">
        <v>13</v>
      </c>
      <c r="H11" s="194"/>
      <c r="I11" s="197" t="s">
        <v>16</v>
      </c>
      <c r="J11" s="197" t="s">
        <v>41</v>
      </c>
      <c r="K11" s="197" t="s">
        <v>42</v>
      </c>
      <c r="L11" s="197" t="s">
        <v>17</v>
      </c>
      <c r="M11" s="197" t="s">
        <v>40</v>
      </c>
      <c r="N11" s="190" t="s">
        <v>18</v>
      </c>
      <c r="O11" s="374"/>
    </row>
    <row r="12" spans="1:20" ht="22.2" customHeight="1">
      <c r="A12" s="191"/>
      <c r="B12" s="201"/>
      <c r="C12" s="204"/>
      <c r="D12" s="204"/>
      <c r="E12" s="195"/>
      <c r="F12" s="196"/>
      <c r="G12" s="195"/>
      <c r="H12" s="196"/>
      <c r="I12" s="198"/>
      <c r="J12" s="198"/>
      <c r="K12" s="198"/>
      <c r="L12" s="198"/>
      <c r="M12" s="198"/>
      <c r="N12" s="191"/>
      <c r="O12" s="178"/>
    </row>
    <row r="13" spans="1:20" ht="22.2" customHeight="1">
      <c r="A13" s="191"/>
      <c r="B13" s="201"/>
      <c r="C13" s="204"/>
      <c r="D13" s="204"/>
      <c r="E13" s="197" t="s">
        <v>10</v>
      </c>
      <c r="F13" s="197" t="s">
        <v>12</v>
      </c>
      <c r="G13" s="197" t="s">
        <v>14</v>
      </c>
      <c r="H13" s="197" t="s">
        <v>15</v>
      </c>
      <c r="I13" s="198"/>
      <c r="J13" s="198"/>
      <c r="K13" s="198"/>
      <c r="L13" s="198"/>
      <c r="M13" s="198"/>
      <c r="N13" s="191"/>
      <c r="O13" s="178"/>
    </row>
    <row r="14" spans="1:20" ht="22.2" customHeight="1">
      <c r="A14" s="192"/>
      <c r="B14" s="202"/>
      <c r="C14" s="205"/>
      <c r="D14" s="205"/>
      <c r="E14" s="199"/>
      <c r="F14" s="199"/>
      <c r="G14" s="199"/>
      <c r="H14" s="199"/>
      <c r="I14" s="199"/>
      <c r="J14" s="199"/>
      <c r="K14" s="199"/>
      <c r="L14" s="199"/>
      <c r="M14" s="199"/>
      <c r="N14" s="192"/>
      <c r="O14" s="178"/>
    </row>
    <row r="15" spans="1:20" ht="19.8" customHeight="1">
      <c r="A15" s="237" t="s">
        <v>34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/>
      <c r="O15" s="178"/>
    </row>
    <row r="16" spans="1:20" s="2" customFormat="1" ht="19.8" customHeight="1">
      <c r="A16" s="15">
        <v>1</v>
      </c>
      <c r="B16" s="16" t="s">
        <v>2</v>
      </c>
      <c r="C16" s="51">
        <f>L16/100*100</f>
        <v>290</v>
      </c>
      <c r="D16" s="52">
        <f>C16/100*60</f>
        <v>174</v>
      </c>
      <c r="E16" s="53">
        <f>C16/100*15</f>
        <v>43.5</v>
      </c>
      <c r="F16" s="53"/>
      <c r="G16" s="53"/>
      <c r="H16" s="53"/>
      <c r="I16" s="53"/>
      <c r="J16" s="96">
        <f>C16/100*387</f>
        <v>1122.3</v>
      </c>
      <c r="K16" s="96">
        <f>C16/100*0.09</f>
        <v>0.26100000000000001</v>
      </c>
      <c r="L16" s="412">
        <v>290</v>
      </c>
      <c r="M16" s="77">
        <v>20</v>
      </c>
      <c r="N16" s="55">
        <f>L16*M16</f>
        <v>5800</v>
      </c>
      <c r="O16" s="376"/>
    </row>
    <row r="17" spans="1:20" s="2" customFormat="1" ht="19.8" customHeight="1">
      <c r="A17" s="9">
        <v>2</v>
      </c>
      <c r="B17" s="146" t="s">
        <v>139</v>
      </c>
      <c r="C17" s="23">
        <f>L17/100*100</f>
        <v>660</v>
      </c>
      <c r="D17" s="24">
        <f>C17/100*899</f>
        <v>5933.4</v>
      </c>
      <c r="E17" s="25"/>
      <c r="F17" s="25"/>
      <c r="G17" s="25">
        <f>C17/100*100</f>
        <v>660</v>
      </c>
      <c r="H17" s="25"/>
      <c r="I17" s="25"/>
      <c r="J17" s="27"/>
      <c r="K17" s="27"/>
      <c r="L17" s="137">
        <v>660</v>
      </c>
      <c r="M17" s="75">
        <v>69</v>
      </c>
      <c r="N17" s="28">
        <f t="shared" ref="N17" si="0">L17*M17</f>
        <v>45540</v>
      </c>
      <c r="O17" s="153"/>
    </row>
    <row r="18" spans="1:20" s="2" customFormat="1" ht="19.8" customHeight="1">
      <c r="A18" s="9">
        <v>3</v>
      </c>
      <c r="B18" s="5" t="s">
        <v>1</v>
      </c>
      <c r="C18" s="23">
        <f>L18/100*100</f>
        <v>21090</v>
      </c>
      <c r="D18" s="120">
        <f>C18/100*344</f>
        <v>72549.600000000006</v>
      </c>
      <c r="E18" s="136"/>
      <c r="F18" s="119">
        <f>C18/100*7.9</f>
        <v>1666.1100000000001</v>
      </c>
      <c r="G18" s="136"/>
      <c r="H18" s="25">
        <f>C18/100*1</f>
        <v>210.9</v>
      </c>
      <c r="I18" s="119">
        <f>C18/100*72</f>
        <v>15184.800000000001</v>
      </c>
      <c r="J18" s="27">
        <f>C18/100*30</f>
        <v>6327</v>
      </c>
      <c r="K18" s="27">
        <f>C18/100*0.1</f>
        <v>21.090000000000003</v>
      </c>
      <c r="L18" s="137">
        <v>21090</v>
      </c>
      <c r="M18" s="77">
        <v>18</v>
      </c>
      <c r="N18" s="28">
        <f t="shared" ref="N18:N26" si="1">L18*M18</f>
        <v>379620</v>
      </c>
      <c r="O18" s="376"/>
    </row>
    <row r="19" spans="1:20" s="2" customFormat="1" ht="19.8" customHeight="1">
      <c r="A19" s="9">
        <v>4</v>
      </c>
      <c r="B19" s="5" t="s">
        <v>93</v>
      </c>
      <c r="C19" s="23">
        <f>L19/100*81.7</f>
        <v>6356.26</v>
      </c>
      <c r="D19" s="24">
        <f>C19/100*27</f>
        <v>1716.1902</v>
      </c>
      <c r="E19" s="29"/>
      <c r="F19" s="29">
        <f>C19/100*0.3</f>
        <v>19.06878</v>
      </c>
      <c r="G19" s="29"/>
      <c r="H19" s="29">
        <f>C19/100*0.1</f>
        <v>6.3562600000000007</v>
      </c>
      <c r="I19" s="29">
        <f>C19/100*6.1</f>
        <v>387.73185999999998</v>
      </c>
      <c r="J19" s="71">
        <f>C19/100*24</f>
        <v>1525.5024000000001</v>
      </c>
      <c r="K19" s="71">
        <f>C19/100*0.06</f>
        <v>3.8137560000000001</v>
      </c>
      <c r="L19" s="375">
        <v>7780</v>
      </c>
      <c r="M19" s="26">
        <v>22</v>
      </c>
      <c r="N19" s="28">
        <f t="shared" si="1"/>
        <v>171160</v>
      </c>
      <c r="O19" s="153"/>
      <c r="Q19" s="3"/>
      <c r="R19" s="3"/>
      <c r="S19" s="4"/>
    </row>
    <row r="20" spans="1:20" s="2" customFormat="1" ht="19.8" customHeight="1">
      <c r="A20" s="9">
        <v>5</v>
      </c>
      <c r="B20" s="5" t="s">
        <v>4</v>
      </c>
      <c r="C20" s="23">
        <f>L20/100*98.5</f>
        <v>2186.6999999999998</v>
      </c>
      <c r="D20" s="24">
        <f>C20/100*39</f>
        <v>852.81299999999987</v>
      </c>
      <c r="E20" s="29"/>
      <c r="F20" s="29">
        <f>C20/100*1.5</f>
        <v>32.8005</v>
      </c>
      <c r="G20" s="29"/>
      <c r="H20" s="29">
        <f>C20/100*0.2</f>
        <v>4.3733999999999993</v>
      </c>
      <c r="I20" s="29">
        <f>C20/100*7.8</f>
        <v>170.56259999999997</v>
      </c>
      <c r="J20" s="29">
        <f>C20/100*43</f>
        <v>940.28099999999984</v>
      </c>
      <c r="K20" s="29">
        <f>C20/100*0.06</f>
        <v>1.3120199999999997</v>
      </c>
      <c r="L20" s="375">
        <v>2220</v>
      </c>
      <c r="M20" s="26">
        <v>17</v>
      </c>
      <c r="N20" s="28">
        <f t="shared" si="1"/>
        <v>37740</v>
      </c>
      <c r="O20" s="153"/>
      <c r="Q20" s="3"/>
      <c r="R20" s="3"/>
      <c r="S20" s="4"/>
    </row>
    <row r="21" spans="1:20" s="2" customFormat="1" ht="19.8" customHeight="1">
      <c r="A21" s="9">
        <v>6</v>
      </c>
      <c r="B21" s="5" t="s">
        <v>75</v>
      </c>
      <c r="C21" s="23">
        <f>L21/100*75</f>
        <v>1665</v>
      </c>
      <c r="D21" s="24">
        <f>C21/100*12</f>
        <v>199.79999999999998</v>
      </c>
      <c r="E21" s="25"/>
      <c r="F21" s="25">
        <f>C21/100*0.6</f>
        <v>9.9899999999999984</v>
      </c>
      <c r="G21" s="25"/>
      <c r="H21" s="25"/>
      <c r="I21" s="25">
        <f>C21/100*2.4</f>
        <v>39.959999999999994</v>
      </c>
      <c r="J21" s="25">
        <f>C21/100*26</f>
        <v>432.9</v>
      </c>
      <c r="K21" s="25">
        <f>C21/100*0.02</f>
        <v>0.33299999999999996</v>
      </c>
      <c r="L21" s="137">
        <v>2220</v>
      </c>
      <c r="M21" s="75">
        <v>22</v>
      </c>
      <c r="N21" s="28">
        <f t="shared" si="1"/>
        <v>48840</v>
      </c>
      <c r="O21" s="153"/>
    </row>
    <row r="22" spans="1:20" s="2" customFormat="1" ht="19.8" customHeight="1">
      <c r="A22" s="9">
        <v>7</v>
      </c>
      <c r="B22" s="5" t="s">
        <v>134</v>
      </c>
      <c r="C22" s="23">
        <f>L22/100*100</f>
        <v>220.00000000000003</v>
      </c>
      <c r="D22" s="24">
        <f>C22/100*247</f>
        <v>543.40000000000009</v>
      </c>
      <c r="E22" s="29"/>
      <c r="F22" s="29">
        <f>C22/100*17.5</f>
        <v>38.5</v>
      </c>
      <c r="G22" s="29"/>
      <c r="H22" s="29">
        <f>C22/100*1.6</f>
        <v>3.5200000000000005</v>
      </c>
      <c r="I22" s="29">
        <f>C22/100*39.2</f>
        <v>86.240000000000009</v>
      </c>
      <c r="J22" s="71"/>
      <c r="K22" s="71"/>
      <c r="L22" s="375">
        <v>220</v>
      </c>
      <c r="M22" s="75">
        <v>50</v>
      </c>
      <c r="N22" s="28">
        <f t="shared" si="1"/>
        <v>11000</v>
      </c>
      <c r="O22" s="153"/>
      <c r="Q22" s="3"/>
      <c r="R22" s="3"/>
      <c r="S22" s="4"/>
      <c r="T22" s="3"/>
    </row>
    <row r="23" spans="1:20" s="2" customFormat="1" ht="19.8" customHeight="1">
      <c r="A23" s="9">
        <v>8</v>
      </c>
      <c r="B23" s="5" t="s">
        <v>20</v>
      </c>
      <c r="C23" s="23">
        <f>L23/100*95</f>
        <v>2527</v>
      </c>
      <c r="D23" s="24">
        <f>C23/100*20</f>
        <v>505.4</v>
      </c>
      <c r="E23" s="25"/>
      <c r="F23" s="25">
        <f>C23/100*0.6</f>
        <v>15.161999999999999</v>
      </c>
      <c r="G23" s="25"/>
      <c r="H23" s="25">
        <f>C23/100*0.2</f>
        <v>5.0540000000000003</v>
      </c>
      <c r="I23" s="25">
        <f>C23/100*4</f>
        <v>101.08</v>
      </c>
      <c r="J23" s="71">
        <f>C23/100*12</f>
        <v>303.24</v>
      </c>
      <c r="K23" s="71">
        <f>C23/100*0.04</f>
        <v>1.0107999999999999</v>
      </c>
      <c r="L23" s="375">
        <v>2660</v>
      </c>
      <c r="M23" s="75">
        <v>22</v>
      </c>
      <c r="N23" s="28">
        <f t="shared" si="1"/>
        <v>58520</v>
      </c>
      <c r="O23" s="153"/>
      <c r="Q23" s="3"/>
      <c r="R23" s="3"/>
    </row>
    <row r="24" spans="1:20" s="2" customFormat="1" ht="19.8" customHeight="1">
      <c r="A24" s="9">
        <v>9</v>
      </c>
      <c r="B24" s="5" t="s">
        <v>69</v>
      </c>
      <c r="C24" s="23">
        <f>L24/100*48</f>
        <v>1948.8000000000002</v>
      </c>
      <c r="D24" s="24">
        <f>C24/100*199</f>
        <v>3878.1120000000005</v>
      </c>
      <c r="E24" s="25">
        <f>C24/100*20.3</f>
        <v>395.60640000000006</v>
      </c>
      <c r="F24" s="25"/>
      <c r="G24" s="25">
        <f>C24/100*13.1</f>
        <v>255.29280000000003</v>
      </c>
      <c r="H24" s="25"/>
      <c r="I24" s="25"/>
      <c r="J24" s="27">
        <f>C24/100*12</f>
        <v>233.85600000000005</v>
      </c>
      <c r="K24" s="27">
        <f>C24/100*0.15</f>
        <v>2.9232000000000005</v>
      </c>
      <c r="L24" s="137">
        <v>4060</v>
      </c>
      <c r="M24" s="26">
        <v>84</v>
      </c>
      <c r="N24" s="28">
        <f t="shared" si="1"/>
        <v>341040</v>
      </c>
      <c r="O24" s="153"/>
      <c r="Q24" s="3"/>
      <c r="R24" s="3"/>
      <c r="S24" s="4"/>
    </row>
    <row r="25" spans="1:20" s="2" customFormat="1" ht="19.8" customHeight="1">
      <c r="A25" s="9">
        <v>10</v>
      </c>
      <c r="B25" s="10" t="s">
        <v>74</v>
      </c>
      <c r="C25" s="23">
        <f>L25/100*98</f>
        <v>2175.6</v>
      </c>
      <c r="D25" s="24">
        <f>C25/100*139</f>
        <v>3024.0839999999998</v>
      </c>
      <c r="E25" s="25">
        <f>C25/100*19</f>
        <v>413.36400000000003</v>
      </c>
      <c r="F25" s="25"/>
      <c r="G25" s="25">
        <f>C25/100*7</f>
        <v>152.292</v>
      </c>
      <c r="H25" s="25"/>
      <c r="I25" s="25"/>
      <c r="J25" s="25">
        <f>C25/100*7</f>
        <v>152.292</v>
      </c>
      <c r="K25" s="25">
        <f>C25/100*0.9</f>
        <v>19.580400000000001</v>
      </c>
      <c r="L25" s="137">
        <v>2220</v>
      </c>
      <c r="M25" s="75">
        <v>133</v>
      </c>
      <c r="N25" s="28">
        <f t="shared" si="1"/>
        <v>295260</v>
      </c>
      <c r="O25" s="153"/>
    </row>
    <row r="26" spans="1:20" s="2" customFormat="1" ht="19.8" customHeight="1">
      <c r="A26" s="9">
        <v>11</v>
      </c>
      <c r="B26" s="5" t="s">
        <v>3</v>
      </c>
      <c r="C26" s="23">
        <f>L26/100*98</f>
        <v>6899.2000000000007</v>
      </c>
      <c r="D26" s="24">
        <f>C26/100*118</f>
        <v>8141.0560000000005</v>
      </c>
      <c r="E26" s="119">
        <f>C26/100*27</f>
        <v>1862.7840000000001</v>
      </c>
      <c r="F26" s="25"/>
      <c r="G26" s="25">
        <f>C26/100*3.8</f>
        <v>262.1696</v>
      </c>
      <c r="H26" s="25"/>
      <c r="I26" s="25"/>
      <c r="J26" s="71">
        <f>C26/100*12</f>
        <v>827.904</v>
      </c>
      <c r="K26" s="71">
        <f>C26/100*0.1</f>
        <v>6.8992000000000004</v>
      </c>
      <c r="L26" s="375">
        <v>7040</v>
      </c>
      <c r="M26" s="77">
        <v>270</v>
      </c>
      <c r="N26" s="124">
        <f t="shared" si="1"/>
        <v>1900800</v>
      </c>
      <c r="O26" s="376"/>
      <c r="Q26" s="3"/>
      <c r="R26" s="3"/>
    </row>
    <row r="27" spans="1:20" s="2" customFormat="1" ht="19.8" customHeight="1">
      <c r="A27" s="9">
        <v>12</v>
      </c>
      <c r="B27" s="6" t="s">
        <v>123</v>
      </c>
      <c r="C27" s="23"/>
      <c r="D27" s="24"/>
      <c r="E27" s="25"/>
      <c r="F27" s="25"/>
      <c r="G27" s="25"/>
      <c r="H27" s="25"/>
      <c r="I27" s="25"/>
      <c r="J27" s="25"/>
      <c r="K27" s="25"/>
      <c r="L27" s="26"/>
      <c r="M27" s="26"/>
      <c r="N27" s="28">
        <v>16720</v>
      </c>
      <c r="O27" s="153"/>
    </row>
    <row r="28" spans="1:20" s="2" customFormat="1" ht="19.8" customHeight="1">
      <c r="A28" s="21" t="s">
        <v>105</v>
      </c>
      <c r="B28" s="22"/>
      <c r="C28" s="34"/>
      <c r="D28" s="121">
        <f>SUM(D16:D26)</f>
        <v>97517.855199999976</v>
      </c>
      <c r="E28" s="36"/>
      <c r="F28" s="36"/>
      <c r="G28" s="36"/>
      <c r="H28" s="36"/>
      <c r="I28" s="36"/>
      <c r="J28" s="36"/>
      <c r="K28" s="36"/>
      <c r="L28" s="37"/>
      <c r="M28" s="37"/>
      <c r="N28" s="263">
        <f>SUM(N16:N27)</f>
        <v>3312040</v>
      </c>
      <c r="O28" s="153"/>
    </row>
    <row r="29" spans="1:20" s="2" customFormat="1" ht="19.8" customHeight="1">
      <c r="A29" s="21" t="s">
        <v>6</v>
      </c>
      <c r="B29" s="22"/>
      <c r="C29" s="34"/>
      <c r="D29" s="35">
        <f>D28/D10</f>
        <v>439.26961801801792</v>
      </c>
      <c r="E29" s="36"/>
      <c r="F29" s="36"/>
      <c r="G29" s="36"/>
      <c r="H29" s="36"/>
      <c r="I29" s="36"/>
      <c r="J29" s="36"/>
      <c r="K29" s="36"/>
      <c r="L29" s="37"/>
      <c r="M29" s="37"/>
      <c r="N29" s="264"/>
      <c r="O29" s="153"/>
    </row>
    <row r="30" spans="1:20" s="2" customFormat="1" ht="19.8" customHeight="1">
      <c r="A30" s="301" t="s">
        <v>51</v>
      </c>
      <c r="B30" s="211"/>
      <c r="C30" s="377" t="s">
        <v>147</v>
      </c>
      <c r="D30" s="20" t="s">
        <v>45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19.8" customHeight="1">
      <c r="A31" s="212"/>
      <c r="B31" s="213"/>
      <c r="C31" s="76" t="s">
        <v>59</v>
      </c>
      <c r="D31" s="20">
        <f>D29*100/1320</f>
        <v>33.278001365001359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19.8" customHeight="1">
      <c r="A32" s="273" t="s">
        <v>35</v>
      </c>
      <c r="B32" s="273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3"/>
    </row>
    <row r="33" spans="1:22" s="2" customFormat="1" ht="19.8" customHeight="1">
      <c r="A33" s="15">
        <v>1</v>
      </c>
      <c r="B33" s="6" t="s">
        <v>123</v>
      </c>
      <c r="C33" s="51"/>
      <c r="D33" s="52"/>
      <c r="E33" s="53"/>
      <c r="F33" s="53"/>
      <c r="G33" s="53"/>
      <c r="H33" s="53"/>
      <c r="I33" s="53"/>
      <c r="J33" s="53"/>
      <c r="K33" s="53"/>
      <c r="L33" s="54"/>
      <c r="M33" s="54"/>
      <c r="N33" s="55">
        <v>14480</v>
      </c>
      <c r="O33" s="153"/>
    </row>
    <row r="34" spans="1:22" s="2" customFormat="1" ht="19.8" customHeight="1">
      <c r="A34" s="9">
        <v>2</v>
      </c>
      <c r="B34" s="5" t="s">
        <v>1</v>
      </c>
      <c r="C34" s="23">
        <f t="shared" ref="C34:C39" si="2">L34/100*100</f>
        <v>3329.9999999999995</v>
      </c>
      <c r="D34" s="120">
        <f>C34/100*344</f>
        <v>11455.199999999999</v>
      </c>
      <c r="E34" s="25"/>
      <c r="F34" s="25">
        <f>C34/100*7.9</f>
        <v>263.07</v>
      </c>
      <c r="G34" s="25"/>
      <c r="H34" s="25">
        <f>C34/100*1</f>
        <v>33.299999999999997</v>
      </c>
      <c r="I34" s="25">
        <f>C34/100*72</f>
        <v>2397.6</v>
      </c>
      <c r="J34" s="27">
        <f>C34/100*30</f>
        <v>998.99999999999989</v>
      </c>
      <c r="K34" s="27">
        <f>C34/100*0.1</f>
        <v>3.33</v>
      </c>
      <c r="L34" s="137">
        <v>3330</v>
      </c>
      <c r="M34" s="77">
        <v>18</v>
      </c>
      <c r="N34" s="28">
        <f t="shared" ref="N34:N42" si="3">L34*M34</f>
        <v>59940</v>
      </c>
      <c r="O34" s="376"/>
    </row>
    <row r="35" spans="1:22" s="2" customFormat="1" ht="19.8" customHeight="1">
      <c r="A35" s="9">
        <v>3</v>
      </c>
      <c r="B35" s="5" t="s">
        <v>73</v>
      </c>
      <c r="C35" s="23">
        <f t="shared" si="2"/>
        <v>2220</v>
      </c>
      <c r="D35" s="24">
        <f>C35/100*344</f>
        <v>7636.8</v>
      </c>
      <c r="E35" s="25"/>
      <c r="F35" s="25">
        <f>C35/100*8.6</f>
        <v>190.92</v>
      </c>
      <c r="G35" s="25"/>
      <c r="H35" s="25">
        <f>C35/100*1.5</f>
        <v>33.299999999999997</v>
      </c>
      <c r="I35" s="25">
        <f>C35/100*74.5</f>
        <v>1653.8999999999999</v>
      </c>
      <c r="J35" s="25">
        <f>C35/100*32</f>
        <v>710.4</v>
      </c>
      <c r="K35" s="25">
        <f>C35/100*0.14</f>
        <v>3.1080000000000001</v>
      </c>
      <c r="L35" s="137">
        <v>2220</v>
      </c>
      <c r="M35" s="75">
        <v>30</v>
      </c>
      <c r="N35" s="28">
        <f t="shared" si="3"/>
        <v>66600</v>
      </c>
      <c r="O35" s="153"/>
      <c r="P35" s="18"/>
    </row>
    <row r="36" spans="1:22" s="2" customFormat="1" ht="19.8" customHeight="1">
      <c r="A36" s="9">
        <v>4</v>
      </c>
      <c r="B36" s="16" t="s">
        <v>2</v>
      </c>
      <c r="C36" s="51">
        <f t="shared" si="2"/>
        <v>270</v>
      </c>
      <c r="D36" s="52">
        <f>C36/100*60</f>
        <v>162</v>
      </c>
      <c r="E36" s="53">
        <f>C36/100*15</f>
        <v>40.5</v>
      </c>
      <c r="F36" s="53"/>
      <c r="G36" s="53"/>
      <c r="H36" s="53"/>
      <c r="I36" s="53"/>
      <c r="J36" s="96">
        <f>C36/100*387</f>
        <v>1044.9000000000001</v>
      </c>
      <c r="K36" s="96">
        <f>C36/100*0.09</f>
        <v>0.24299999999999999</v>
      </c>
      <c r="L36" s="412">
        <v>270</v>
      </c>
      <c r="M36" s="77">
        <v>20</v>
      </c>
      <c r="N36" s="28">
        <f t="shared" si="3"/>
        <v>5400</v>
      </c>
      <c r="O36" s="153"/>
    </row>
    <row r="37" spans="1:22" s="2" customFormat="1" ht="19.8" customHeight="1">
      <c r="A37" s="9">
        <v>5</v>
      </c>
      <c r="B37" s="5" t="s">
        <v>134</v>
      </c>
      <c r="C37" s="23">
        <f t="shared" si="2"/>
        <v>140</v>
      </c>
      <c r="D37" s="24">
        <f>C37/100*247</f>
        <v>345.79999999999995</v>
      </c>
      <c r="E37" s="29"/>
      <c r="F37" s="29">
        <f>C37/100*17.5</f>
        <v>24.5</v>
      </c>
      <c r="G37" s="29"/>
      <c r="H37" s="29">
        <f>C37/100*1.6</f>
        <v>2.2399999999999998</v>
      </c>
      <c r="I37" s="29">
        <f>C37/100*39.2</f>
        <v>54.88</v>
      </c>
      <c r="J37" s="71"/>
      <c r="K37" s="71"/>
      <c r="L37" s="375">
        <v>140</v>
      </c>
      <c r="M37" s="75">
        <v>50</v>
      </c>
      <c r="N37" s="28">
        <f t="shared" si="3"/>
        <v>7000</v>
      </c>
      <c r="O37" s="153"/>
      <c r="Q37" s="3"/>
      <c r="R37" s="3"/>
      <c r="S37" s="4"/>
      <c r="T37" s="3"/>
    </row>
    <row r="38" spans="1:22" s="2" customFormat="1" ht="19.8" customHeight="1">
      <c r="A38" s="9">
        <v>6</v>
      </c>
      <c r="B38" s="79" t="s">
        <v>139</v>
      </c>
      <c r="C38" s="23">
        <f t="shared" si="2"/>
        <v>1570</v>
      </c>
      <c r="D38" s="120">
        <f>C38/100*899</f>
        <v>14114.3</v>
      </c>
      <c r="E38" s="25"/>
      <c r="F38" s="25"/>
      <c r="G38" s="119">
        <f>C38/100*99.6</f>
        <v>1563.7199999999998</v>
      </c>
      <c r="H38" s="25"/>
      <c r="I38" s="25"/>
      <c r="J38" s="25"/>
      <c r="K38" s="25"/>
      <c r="L38" s="137">
        <v>1570</v>
      </c>
      <c r="M38" s="24">
        <v>69</v>
      </c>
      <c r="N38" s="28">
        <f t="shared" si="3"/>
        <v>108330</v>
      </c>
      <c r="O38" s="378"/>
    </row>
    <row r="39" spans="1:22" s="2" customFormat="1" ht="19.8" customHeight="1">
      <c r="A39" s="9">
        <v>7</v>
      </c>
      <c r="B39" s="148" t="s">
        <v>142</v>
      </c>
      <c r="C39" s="23">
        <f t="shared" si="2"/>
        <v>220.00000000000003</v>
      </c>
      <c r="D39" s="120">
        <f>C39/100*900</f>
        <v>1980.0000000000002</v>
      </c>
      <c r="E39" s="25"/>
      <c r="F39" s="25"/>
      <c r="G39" s="119"/>
      <c r="H39" s="25">
        <f>C39/100*100</f>
        <v>220.00000000000003</v>
      </c>
      <c r="I39" s="25"/>
      <c r="J39" s="25"/>
      <c r="K39" s="25"/>
      <c r="L39" s="137">
        <v>220</v>
      </c>
      <c r="M39" s="75">
        <v>65</v>
      </c>
      <c r="N39" s="28">
        <f t="shared" si="3"/>
        <v>14300</v>
      </c>
      <c r="O39" s="378"/>
    </row>
    <row r="40" spans="1:22" s="2" customFormat="1" ht="19.8" customHeight="1">
      <c r="A40" s="9">
        <v>8</v>
      </c>
      <c r="B40" s="5" t="s">
        <v>4</v>
      </c>
      <c r="C40" s="23">
        <f>L40/100*98.5</f>
        <v>2186.6999999999998</v>
      </c>
      <c r="D40" s="24">
        <f>C40/100*39</f>
        <v>852.81299999999987</v>
      </c>
      <c r="E40" s="29"/>
      <c r="F40" s="29">
        <f>C40/100*1.5</f>
        <v>32.8005</v>
      </c>
      <c r="G40" s="29"/>
      <c r="H40" s="29">
        <f>C40/100*0.2</f>
        <v>4.3733999999999993</v>
      </c>
      <c r="I40" s="29">
        <f>C40/100*7.8</f>
        <v>170.56259999999997</v>
      </c>
      <c r="J40" s="71">
        <f>C40/100*43</f>
        <v>940.28099999999984</v>
      </c>
      <c r="K40" s="71">
        <f>C40/100*0.06</f>
        <v>1.3120199999999997</v>
      </c>
      <c r="L40" s="375">
        <v>2220</v>
      </c>
      <c r="M40" s="26">
        <v>17</v>
      </c>
      <c r="N40" s="28">
        <f t="shared" si="3"/>
        <v>37740</v>
      </c>
      <c r="O40" s="153"/>
      <c r="Q40" s="3"/>
      <c r="R40" s="3"/>
      <c r="S40" s="4"/>
    </row>
    <row r="41" spans="1:22" s="2" customFormat="1" ht="19.8" customHeight="1">
      <c r="A41" s="9">
        <v>9</v>
      </c>
      <c r="B41" s="10" t="s">
        <v>64</v>
      </c>
      <c r="C41" s="23">
        <f>L41/100*40</f>
        <v>1740</v>
      </c>
      <c r="D41" s="24">
        <f>C41/100*276</f>
        <v>4802.3999999999996</v>
      </c>
      <c r="E41" s="25">
        <f>C41/100*17.8</f>
        <v>309.71999999999997</v>
      </c>
      <c r="F41" s="136"/>
      <c r="G41" s="25">
        <f>C41/100*21.8</f>
        <v>379.32</v>
      </c>
      <c r="H41" s="25"/>
      <c r="I41" s="25"/>
      <c r="J41" s="27">
        <f>C41/100*13</f>
        <v>226.2</v>
      </c>
      <c r="K41" s="27">
        <f>C41/100*0.07</f>
        <v>1.218</v>
      </c>
      <c r="L41" s="137">
        <v>4350</v>
      </c>
      <c r="M41" s="75">
        <v>63</v>
      </c>
      <c r="N41" s="135">
        <f t="shared" si="3"/>
        <v>274050</v>
      </c>
      <c r="O41" s="153"/>
    </row>
    <row r="42" spans="1:22" s="2" customFormat="1" ht="19.8" customHeight="1">
      <c r="A42" s="103">
        <v>10</v>
      </c>
      <c r="B42" s="156" t="s">
        <v>145</v>
      </c>
      <c r="C42" s="104">
        <f>L42/100*100</f>
        <v>3779.9999999999995</v>
      </c>
      <c r="D42" s="169">
        <f>C42/100*487</f>
        <v>18408.599999999999</v>
      </c>
      <c r="E42" s="106"/>
      <c r="F42" s="106">
        <f>C42/100*19.5</f>
        <v>737.09999999999991</v>
      </c>
      <c r="G42" s="106"/>
      <c r="H42" s="106">
        <f>C42/100*23.2</f>
        <v>876.95999999999992</v>
      </c>
      <c r="I42" s="106">
        <f>C42/100*46</f>
        <v>1738.8</v>
      </c>
      <c r="J42" s="147">
        <f>C42/100*680</f>
        <v>25703.999999999996</v>
      </c>
      <c r="K42" s="106">
        <f>C42/100*0.55</f>
        <v>20.79</v>
      </c>
      <c r="L42" s="107">
        <v>3780</v>
      </c>
      <c r="M42" s="157">
        <v>260</v>
      </c>
      <c r="N42" s="108">
        <f t="shared" si="3"/>
        <v>982800</v>
      </c>
      <c r="O42" s="153"/>
      <c r="P42" s="3"/>
    </row>
    <row r="43" spans="1:22" ht="21.6" customHeight="1">
      <c r="A43" s="190" t="s">
        <v>0</v>
      </c>
      <c r="B43" s="200" t="s">
        <v>19</v>
      </c>
      <c r="C43" s="203" t="s">
        <v>8</v>
      </c>
      <c r="D43" s="203" t="s">
        <v>9</v>
      </c>
      <c r="E43" s="193" t="s">
        <v>11</v>
      </c>
      <c r="F43" s="194"/>
      <c r="G43" s="193" t="s">
        <v>13</v>
      </c>
      <c r="H43" s="194"/>
      <c r="I43" s="197" t="s">
        <v>16</v>
      </c>
      <c r="J43" s="197" t="s">
        <v>41</v>
      </c>
      <c r="K43" s="197" t="s">
        <v>42</v>
      </c>
      <c r="L43" s="197" t="s">
        <v>17</v>
      </c>
      <c r="M43" s="197" t="s">
        <v>40</v>
      </c>
      <c r="N43" s="190" t="s">
        <v>18</v>
      </c>
      <c r="O43" s="374"/>
    </row>
    <row r="44" spans="1:22" ht="21.6" customHeight="1">
      <c r="A44" s="191"/>
      <c r="B44" s="201"/>
      <c r="C44" s="204"/>
      <c r="D44" s="204"/>
      <c r="E44" s="195"/>
      <c r="F44" s="196"/>
      <c r="G44" s="195"/>
      <c r="H44" s="196"/>
      <c r="I44" s="198"/>
      <c r="J44" s="198"/>
      <c r="K44" s="198"/>
      <c r="L44" s="198"/>
      <c r="M44" s="198"/>
      <c r="N44" s="191"/>
      <c r="O44" s="178"/>
    </row>
    <row r="45" spans="1:22" ht="21.6" customHeight="1">
      <c r="A45" s="191"/>
      <c r="B45" s="201"/>
      <c r="C45" s="204"/>
      <c r="D45" s="204"/>
      <c r="E45" s="197" t="s">
        <v>10</v>
      </c>
      <c r="F45" s="197" t="s">
        <v>12</v>
      </c>
      <c r="G45" s="197" t="s">
        <v>14</v>
      </c>
      <c r="H45" s="197" t="s">
        <v>15</v>
      </c>
      <c r="I45" s="198"/>
      <c r="J45" s="198"/>
      <c r="K45" s="198"/>
      <c r="L45" s="198"/>
      <c r="M45" s="198"/>
      <c r="N45" s="191"/>
      <c r="O45" s="178"/>
    </row>
    <row r="46" spans="1:22" ht="21.6" customHeight="1">
      <c r="A46" s="192"/>
      <c r="B46" s="202"/>
      <c r="C46" s="205"/>
      <c r="D46" s="205"/>
      <c r="E46" s="199"/>
      <c r="F46" s="199"/>
      <c r="G46" s="199"/>
      <c r="H46" s="199"/>
      <c r="I46" s="199"/>
      <c r="J46" s="199"/>
      <c r="K46" s="199"/>
      <c r="L46" s="199"/>
      <c r="M46" s="199"/>
      <c r="N46" s="192"/>
      <c r="O46" s="178"/>
    </row>
    <row r="47" spans="1:22" s="2" customFormat="1" ht="21.6" customHeight="1">
      <c r="A47" s="21" t="s">
        <v>106</v>
      </c>
      <c r="B47" s="22"/>
      <c r="C47" s="34"/>
      <c r="D47" s="121">
        <f>SUM(D33:D42)</f>
        <v>59757.913</v>
      </c>
      <c r="E47" s="43"/>
      <c r="F47" s="43"/>
      <c r="G47" s="43"/>
      <c r="H47" s="43"/>
      <c r="I47" s="43"/>
      <c r="J47" s="43"/>
      <c r="K47" s="43"/>
      <c r="L47" s="44"/>
      <c r="M47" s="44"/>
      <c r="N47" s="263">
        <f>SUM(N33:N42)</f>
        <v>1570640</v>
      </c>
      <c r="O47" s="153"/>
    </row>
    <row r="48" spans="1:22" ht="21.6" customHeight="1">
      <c r="A48" s="21" t="s">
        <v>7</v>
      </c>
      <c r="B48" s="22"/>
      <c r="C48" s="45"/>
      <c r="D48" s="72">
        <f>D47/D10</f>
        <v>269.17978828828831</v>
      </c>
      <c r="E48" s="46"/>
      <c r="F48" s="46"/>
      <c r="G48" s="46"/>
      <c r="H48" s="46"/>
      <c r="I48" s="46"/>
      <c r="J48" s="46"/>
      <c r="K48" s="46"/>
      <c r="L48" s="47"/>
      <c r="M48" s="47"/>
      <c r="N48" s="264"/>
      <c r="O48" s="4"/>
      <c r="P48" s="2"/>
      <c r="Q48" s="2"/>
      <c r="R48" s="2"/>
      <c r="S48" s="2"/>
      <c r="T48" s="2"/>
      <c r="U48" s="2"/>
      <c r="V48" s="2"/>
    </row>
    <row r="49" spans="1:23" ht="21.6" customHeight="1">
      <c r="A49" s="301" t="s">
        <v>52</v>
      </c>
      <c r="B49" s="211"/>
      <c r="C49" s="377" t="s">
        <v>147</v>
      </c>
      <c r="D49" s="20" t="s">
        <v>58</v>
      </c>
      <c r="E49" s="46"/>
      <c r="F49" s="46"/>
      <c r="G49" s="46"/>
      <c r="H49" s="46"/>
      <c r="I49" s="46"/>
      <c r="J49" s="48"/>
      <c r="K49" s="48"/>
      <c r="L49" s="47"/>
      <c r="M49" s="47"/>
      <c r="N49" s="179"/>
      <c r="O49" s="4"/>
      <c r="P49" s="2"/>
      <c r="Q49" s="2"/>
      <c r="R49" s="2"/>
      <c r="S49" s="2"/>
      <c r="T49" s="2"/>
      <c r="U49" s="2"/>
      <c r="V49" s="2"/>
      <c r="W49" s="2"/>
    </row>
    <row r="50" spans="1:23" ht="21.6" customHeight="1">
      <c r="A50" s="212"/>
      <c r="B50" s="213"/>
      <c r="C50" s="76" t="s">
        <v>60</v>
      </c>
      <c r="D50" s="20">
        <f>D48*100/1320</f>
        <v>20.392408203658203</v>
      </c>
      <c r="E50" s="46"/>
      <c r="F50" s="46"/>
      <c r="G50" s="46"/>
      <c r="H50" s="46"/>
      <c r="I50" s="46"/>
      <c r="J50" s="48"/>
      <c r="K50" s="48"/>
      <c r="L50" s="47"/>
      <c r="M50" s="47"/>
      <c r="N50" s="179"/>
      <c r="O50" s="4"/>
      <c r="P50" s="2"/>
      <c r="Q50" s="2"/>
      <c r="R50" s="2"/>
      <c r="S50" s="2"/>
      <c r="T50" s="2"/>
      <c r="U50" s="2"/>
      <c r="V50" s="2"/>
      <c r="W50" s="2"/>
    </row>
    <row r="51" spans="1:23" ht="21.6" customHeight="1">
      <c r="A51" s="227" t="s">
        <v>113</v>
      </c>
      <c r="B51" s="228"/>
      <c r="C51" s="231"/>
      <c r="D51" s="302">
        <f>D28+D47</f>
        <v>157275.76819999999</v>
      </c>
      <c r="E51" s="123">
        <f t="shared" ref="E51:K51" si="4">SUM(E16:E42)</f>
        <v>3065.4744000000001</v>
      </c>
      <c r="F51" s="123">
        <f t="shared" si="4"/>
        <v>3030.02178</v>
      </c>
      <c r="G51" s="123">
        <f t="shared" si="4"/>
        <v>3272.7944000000002</v>
      </c>
      <c r="H51" s="123">
        <f t="shared" si="4"/>
        <v>1400.3770599999998</v>
      </c>
      <c r="I51" s="216">
        <f t="shared" si="4"/>
        <v>21986.11706</v>
      </c>
      <c r="J51" s="214">
        <f t="shared" si="4"/>
        <v>41490.056399999994</v>
      </c>
      <c r="K51" s="214">
        <f t="shared" si="4"/>
        <v>87.224396000000013</v>
      </c>
      <c r="L51" s="214"/>
      <c r="M51" s="214"/>
      <c r="N51" s="244">
        <f>N28+N47</f>
        <v>4882680</v>
      </c>
      <c r="U51" s="12"/>
      <c r="V51" s="12"/>
    </row>
    <row r="52" spans="1:23" ht="21.6" customHeight="1">
      <c r="A52" s="229"/>
      <c r="B52" s="230"/>
      <c r="C52" s="232"/>
      <c r="D52" s="303"/>
      <c r="E52" s="225">
        <f>E51+F51</f>
        <v>6095.4961800000001</v>
      </c>
      <c r="F52" s="226"/>
      <c r="G52" s="225">
        <f>G51+H51</f>
        <v>4673.1714599999996</v>
      </c>
      <c r="H52" s="226"/>
      <c r="I52" s="217"/>
      <c r="J52" s="215"/>
      <c r="K52" s="215"/>
      <c r="L52" s="304"/>
      <c r="M52" s="304"/>
      <c r="N52" s="245"/>
      <c r="P52" s="392"/>
      <c r="Q52" s="393"/>
      <c r="R52" s="393"/>
      <c r="S52" s="393"/>
      <c r="T52" s="393"/>
      <c r="U52" s="394"/>
      <c r="V52" s="394"/>
    </row>
    <row r="53" spans="1:23" ht="21.6" customHeight="1">
      <c r="A53" s="267" t="s">
        <v>77</v>
      </c>
      <c r="B53" s="268"/>
      <c r="C53" s="269"/>
      <c r="D53" s="134">
        <f>D51/D10</f>
        <v>708.44940630630629</v>
      </c>
      <c r="E53" s="379">
        <f>E51/D10</f>
        <v>13.808443243243243</v>
      </c>
      <c r="F53" s="380">
        <f>F51/D10</f>
        <v>13.648746756756758</v>
      </c>
      <c r="G53" s="379">
        <f>G51/D10</f>
        <v>14.742317117117118</v>
      </c>
      <c r="H53" s="403">
        <f>H51/D10</f>
        <v>6.3080047747747736</v>
      </c>
      <c r="I53" s="208">
        <f>I51/D10</f>
        <v>99.036563333333334</v>
      </c>
      <c r="J53" s="299">
        <f>J51/D10</f>
        <v>186.89214594594591</v>
      </c>
      <c r="K53" s="299">
        <f>K51/D10</f>
        <v>0.39290268468468476</v>
      </c>
      <c r="L53" s="304"/>
      <c r="M53" s="304"/>
      <c r="N53" s="245"/>
      <c r="P53" s="395"/>
      <c r="Q53" s="393"/>
      <c r="R53" s="393"/>
      <c r="S53" s="393"/>
      <c r="T53" s="393"/>
      <c r="U53" s="393"/>
      <c r="V53" s="393"/>
    </row>
    <row r="54" spans="1:23" ht="21.6" customHeight="1">
      <c r="A54" s="270"/>
      <c r="B54" s="271"/>
      <c r="C54" s="272"/>
      <c r="D54" s="127"/>
      <c r="E54" s="381">
        <f>E53+F53</f>
        <v>27.457190000000001</v>
      </c>
      <c r="F54" s="382"/>
      <c r="G54" s="381">
        <f>G53+H53</f>
        <v>21.05032189189189</v>
      </c>
      <c r="H54" s="382"/>
      <c r="I54" s="209"/>
      <c r="J54" s="300"/>
      <c r="K54" s="300"/>
      <c r="L54" s="304"/>
      <c r="M54" s="304"/>
      <c r="N54" s="245"/>
      <c r="P54" s="392"/>
      <c r="Q54" s="392"/>
      <c r="R54" s="392"/>
      <c r="S54" s="392"/>
      <c r="T54" s="392"/>
      <c r="U54" s="392"/>
      <c r="V54" s="392"/>
    </row>
    <row r="55" spans="1:23" ht="21.6" customHeight="1">
      <c r="A55" s="315" t="s">
        <v>80</v>
      </c>
      <c r="B55" s="316"/>
      <c r="C55" s="317"/>
      <c r="D55" s="183" t="s">
        <v>28</v>
      </c>
      <c r="E55" s="235" t="s">
        <v>21</v>
      </c>
      <c r="F55" s="235"/>
      <c r="G55" s="235" t="s">
        <v>22</v>
      </c>
      <c r="H55" s="235"/>
      <c r="I55" s="180" t="s">
        <v>23</v>
      </c>
      <c r="J55" s="383">
        <v>600</v>
      </c>
      <c r="K55" s="383">
        <v>0.7</v>
      </c>
      <c r="L55" s="304"/>
      <c r="M55" s="304"/>
      <c r="N55" s="245"/>
      <c r="O55" s="384"/>
      <c r="P55" s="392"/>
      <c r="Q55" s="392"/>
      <c r="R55" s="392"/>
      <c r="S55" s="392"/>
      <c r="T55" s="392"/>
      <c r="U55" s="392"/>
      <c r="V55" s="392"/>
    </row>
    <row r="56" spans="1:23" ht="21.6" customHeight="1">
      <c r="A56" s="218" t="s">
        <v>78</v>
      </c>
      <c r="B56" s="219"/>
      <c r="C56" s="220"/>
      <c r="D56" s="49"/>
      <c r="E56" s="206">
        <f>E54*4.1</f>
        <v>112.574479</v>
      </c>
      <c r="F56" s="207"/>
      <c r="G56" s="206">
        <f>G54*9</f>
        <v>189.45289702702701</v>
      </c>
      <c r="H56" s="207"/>
      <c r="I56" s="85">
        <f>I53*4.1</f>
        <v>406.04990966666662</v>
      </c>
      <c r="J56" s="253"/>
      <c r="K56" s="253"/>
      <c r="L56" s="304"/>
      <c r="M56" s="304"/>
      <c r="N56" s="245"/>
      <c r="O56" s="384"/>
      <c r="P56" s="396"/>
      <c r="Q56" s="397"/>
      <c r="R56" s="397"/>
      <c r="S56" s="397"/>
      <c r="T56" s="397"/>
      <c r="U56" s="392"/>
      <c r="V56" s="392"/>
    </row>
    <row r="57" spans="1:23" ht="21.6" customHeight="1">
      <c r="A57" s="221" t="s">
        <v>81</v>
      </c>
      <c r="B57" s="222"/>
      <c r="C57" s="218" t="s">
        <v>59</v>
      </c>
      <c r="D57" s="220"/>
      <c r="E57" s="305">
        <f>E56*100/D53</f>
        <v>15.890263722138982</v>
      </c>
      <c r="F57" s="306"/>
      <c r="G57" s="305">
        <f>G56*100/D53</f>
        <v>26.741909209126337</v>
      </c>
      <c r="H57" s="306"/>
      <c r="I57" s="116">
        <f>I56*100/D53</f>
        <v>57.315301001340138</v>
      </c>
      <c r="J57" s="254"/>
      <c r="K57" s="254"/>
      <c r="L57" s="304"/>
      <c r="M57" s="304"/>
      <c r="N57" s="245"/>
      <c r="O57" s="384"/>
      <c r="P57" s="392"/>
      <c r="Q57" s="392"/>
      <c r="R57" s="392"/>
      <c r="S57" s="392"/>
      <c r="T57" s="392"/>
      <c r="U57" s="392"/>
      <c r="V57" s="392"/>
    </row>
    <row r="58" spans="1:23" ht="18" customHeight="1">
      <c r="A58" s="223"/>
      <c r="B58" s="224"/>
      <c r="C58" s="218" t="s">
        <v>79</v>
      </c>
      <c r="D58" s="220"/>
      <c r="E58" s="218" t="s">
        <v>82</v>
      </c>
      <c r="F58" s="220"/>
      <c r="G58" s="218" t="s">
        <v>83</v>
      </c>
      <c r="H58" s="220"/>
      <c r="I58" s="183" t="s">
        <v>84</v>
      </c>
      <c r="J58" s="234"/>
      <c r="K58" s="234"/>
      <c r="L58" s="215"/>
      <c r="M58" s="215"/>
      <c r="N58" s="246"/>
      <c r="O58" s="384"/>
    </row>
    <row r="59" spans="1:23" ht="21" customHeight="1">
      <c r="A59" s="90"/>
      <c r="B59" s="93"/>
      <c r="C59" s="90"/>
      <c r="D59" s="90"/>
      <c r="E59" s="90"/>
      <c r="F59" s="90"/>
      <c r="G59" s="90"/>
      <c r="H59" s="90"/>
      <c r="I59" s="90"/>
      <c r="J59" s="90"/>
      <c r="K59" s="90"/>
      <c r="L59" s="91"/>
      <c r="M59" s="91"/>
      <c r="N59" s="92"/>
      <c r="O59" s="384"/>
      <c r="P59" s="132"/>
    </row>
    <row r="60" spans="1:23" ht="21" customHeight="1">
      <c r="A60" s="293" t="s">
        <v>114</v>
      </c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384"/>
    </row>
    <row r="61" spans="1:23" ht="21" customHeight="1">
      <c r="A61" s="117" t="s">
        <v>115</v>
      </c>
      <c r="B61" s="294" t="s">
        <v>116</v>
      </c>
      <c r="C61" s="294"/>
      <c r="D61" s="294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384"/>
    </row>
    <row r="62" spans="1:23" ht="21" customHeight="1">
      <c r="A62" s="118"/>
      <c r="B62" s="258" t="s">
        <v>201</v>
      </c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384"/>
    </row>
    <row r="63" spans="1:23" ht="21" customHeight="1">
      <c r="A63" s="118"/>
      <c r="B63" s="258" t="s">
        <v>178</v>
      </c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384"/>
    </row>
    <row r="64" spans="1:23" ht="21" customHeight="1">
      <c r="A64" s="118"/>
      <c r="B64" s="258" t="s">
        <v>174</v>
      </c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384"/>
    </row>
    <row r="65" spans="1:15" ht="21" customHeight="1">
      <c r="A65" s="90"/>
      <c r="B65" s="259" t="s">
        <v>117</v>
      </c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384"/>
    </row>
    <row r="66" spans="1:15" ht="21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4"/>
      <c r="M66" s="94"/>
      <c r="N66" s="95"/>
      <c r="O66" s="384"/>
    </row>
    <row r="67" spans="1:15" ht="22.2" customHeight="1">
      <c r="A67" s="260" t="s">
        <v>62</v>
      </c>
      <c r="B67" s="260"/>
      <c r="C67" s="260"/>
      <c r="D67" s="260"/>
      <c r="E67" s="385"/>
      <c r="F67" s="385"/>
      <c r="G67" s="385"/>
      <c r="H67" s="385"/>
      <c r="I67" s="385"/>
      <c r="J67" s="386" t="s">
        <v>33</v>
      </c>
      <c r="K67" s="386"/>
      <c r="L67" s="386"/>
      <c r="M67" s="386"/>
      <c r="N67" s="386"/>
      <c r="O67" s="384"/>
    </row>
    <row r="68" spans="1:15" ht="22.2" customHeight="1">
      <c r="A68" s="178"/>
      <c r="B68" s="178"/>
      <c r="C68" s="178"/>
      <c r="D68" s="385"/>
      <c r="E68" s="385"/>
      <c r="F68" s="385"/>
      <c r="G68" s="385"/>
      <c r="H68" s="387"/>
      <c r="I68" s="387"/>
      <c r="J68" s="387"/>
      <c r="K68" s="387"/>
      <c r="L68" s="387"/>
      <c r="M68" s="387"/>
      <c r="N68" s="387"/>
      <c r="O68" s="384"/>
    </row>
    <row r="69" spans="1:15" ht="22.2" customHeight="1">
      <c r="A69" s="178"/>
      <c r="B69" s="178"/>
      <c r="C69" s="178"/>
      <c r="D69" s="385"/>
      <c r="E69" s="385"/>
      <c r="F69" s="385"/>
      <c r="G69" s="385"/>
      <c r="H69" s="387"/>
      <c r="I69" s="387"/>
      <c r="J69" s="387"/>
      <c r="K69" s="387"/>
      <c r="L69" s="387"/>
      <c r="M69" s="387"/>
      <c r="N69" s="387"/>
      <c r="O69" s="384"/>
    </row>
    <row r="70" spans="1:15" ht="22.2" customHeight="1">
      <c r="A70" s="178"/>
      <c r="B70" s="178"/>
      <c r="C70" s="178"/>
      <c r="D70" s="385"/>
      <c r="E70" s="385"/>
      <c r="F70" s="385"/>
      <c r="G70" s="385"/>
      <c r="H70" s="387"/>
      <c r="I70" s="387"/>
      <c r="J70" s="388" t="s">
        <v>124</v>
      </c>
      <c r="K70" s="388"/>
      <c r="L70" s="388"/>
      <c r="M70" s="388"/>
      <c r="N70" s="388"/>
      <c r="O70" s="384"/>
    </row>
    <row r="71" spans="1:15" ht="22.2" customHeight="1">
      <c r="A71" s="261" t="s">
        <v>91</v>
      </c>
      <c r="B71" s="261"/>
      <c r="C71" s="261"/>
      <c r="D71" s="261"/>
      <c r="E71" s="385"/>
      <c r="F71" s="385"/>
      <c r="G71" s="385"/>
      <c r="H71" s="387"/>
      <c r="I71" s="387"/>
      <c r="J71" s="388"/>
      <c r="K71" s="388"/>
      <c r="L71" s="388"/>
      <c r="M71" s="388"/>
      <c r="N71" s="388"/>
      <c r="O71" s="384"/>
    </row>
    <row r="72" spans="1:15" ht="22.2" customHeight="1">
      <c r="A72" s="178"/>
      <c r="B72" s="178"/>
      <c r="C72" s="178"/>
      <c r="D72" s="385"/>
      <c r="E72" s="385"/>
      <c r="F72" s="385"/>
      <c r="G72" s="385"/>
      <c r="H72" s="387"/>
      <c r="I72" s="387"/>
      <c r="J72" s="387"/>
      <c r="K72" s="387"/>
      <c r="L72" s="387"/>
      <c r="M72" s="387"/>
      <c r="N72" s="387"/>
      <c r="O72" s="384"/>
    </row>
    <row r="73" spans="1:15" ht="18" customHeight="1">
      <c r="A73" s="178"/>
      <c r="B73" s="178"/>
      <c r="C73" s="178"/>
      <c r="D73" s="385"/>
      <c r="E73" s="385"/>
      <c r="F73" s="385"/>
      <c r="G73" s="385"/>
      <c r="H73" s="387"/>
      <c r="I73" s="387"/>
      <c r="J73" s="388" t="s">
        <v>127</v>
      </c>
      <c r="K73" s="388"/>
      <c r="L73" s="388"/>
      <c r="M73" s="388"/>
      <c r="N73" s="388"/>
      <c r="O73" s="384"/>
    </row>
    <row r="74" spans="1:15" ht="18" customHeight="1">
      <c r="A74" s="178"/>
      <c r="B74" s="178"/>
      <c r="C74" s="178"/>
      <c r="D74" s="385"/>
      <c r="E74" s="385"/>
      <c r="F74" s="385"/>
      <c r="G74" s="385"/>
      <c r="H74" s="387"/>
      <c r="I74" s="387"/>
      <c r="J74" s="388"/>
      <c r="K74" s="388"/>
      <c r="L74" s="388"/>
      <c r="M74" s="388"/>
      <c r="N74" s="388"/>
      <c r="O74" s="384"/>
    </row>
    <row r="75" spans="1:15" ht="18" customHeight="1">
      <c r="A75" s="178"/>
      <c r="B75" s="178"/>
      <c r="C75" s="178"/>
      <c r="D75" s="385"/>
      <c r="E75" s="385"/>
      <c r="F75" s="385"/>
      <c r="G75" s="385"/>
      <c r="H75" s="387"/>
      <c r="I75" s="387"/>
      <c r="J75" s="387"/>
      <c r="K75" s="387"/>
      <c r="L75" s="387"/>
      <c r="M75" s="387"/>
      <c r="N75" s="387"/>
      <c r="O75" s="384"/>
    </row>
    <row r="76" spans="1:15" ht="18" customHeight="1">
      <c r="A76" s="178"/>
      <c r="B76" s="178"/>
      <c r="C76" s="178"/>
      <c r="D76" s="385"/>
      <c r="E76" s="385"/>
      <c r="F76" s="385"/>
      <c r="G76" s="385"/>
      <c r="H76" s="387"/>
      <c r="I76" s="387"/>
      <c r="J76" s="387"/>
      <c r="K76" s="387"/>
      <c r="L76" s="387"/>
      <c r="M76" s="387"/>
      <c r="N76" s="387"/>
      <c r="O76" s="384"/>
    </row>
    <row r="77" spans="1:15" ht="18" customHeight="1">
      <c r="A77" s="178"/>
      <c r="B77" s="178"/>
      <c r="C77" s="178"/>
      <c r="D77" s="385"/>
      <c r="E77" s="385"/>
      <c r="F77" s="385"/>
      <c r="G77" s="385"/>
      <c r="H77" s="387"/>
      <c r="I77" s="387"/>
      <c r="J77" s="387"/>
      <c r="K77" s="387"/>
      <c r="L77" s="387"/>
      <c r="M77" s="387"/>
      <c r="N77" s="387"/>
      <c r="O77" s="384"/>
    </row>
    <row r="78" spans="1:15" ht="18" customHeight="1">
      <c r="A78" s="178"/>
      <c r="B78" s="178"/>
      <c r="C78" s="178"/>
      <c r="D78" s="385"/>
      <c r="E78" s="385"/>
      <c r="F78" s="385"/>
      <c r="G78" s="385"/>
      <c r="H78" s="387"/>
      <c r="I78" s="387"/>
      <c r="J78" s="387"/>
      <c r="K78" s="387"/>
      <c r="L78" s="387"/>
      <c r="M78" s="387"/>
      <c r="N78" s="387"/>
      <c r="O78" s="384"/>
    </row>
    <row r="79" spans="1:15" ht="18" customHeight="1">
      <c r="A79" s="178"/>
      <c r="B79" s="178"/>
      <c r="C79" s="178"/>
      <c r="D79" s="385"/>
      <c r="E79" s="385"/>
      <c r="F79" s="385"/>
      <c r="G79" s="385"/>
      <c r="H79" s="387"/>
      <c r="I79" s="387"/>
      <c r="J79" s="387"/>
      <c r="K79" s="387"/>
      <c r="L79" s="387"/>
      <c r="M79" s="387"/>
      <c r="N79" s="387"/>
      <c r="O79" s="384"/>
    </row>
    <row r="80" spans="1:15" ht="18" customHeight="1">
      <c r="A80" s="178"/>
      <c r="B80" s="178"/>
      <c r="C80" s="178"/>
      <c r="D80" s="385"/>
      <c r="E80" s="385"/>
      <c r="F80" s="385"/>
      <c r="G80" s="385"/>
      <c r="H80" s="387"/>
      <c r="I80" s="387"/>
      <c r="J80" s="387"/>
      <c r="K80" s="387"/>
      <c r="L80" s="387"/>
      <c r="M80" s="387"/>
      <c r="N80" s="387"/>
      <c r="O80" s="384"/>
    </row>
    <row r="81" spans="1:20" ht="18" customHeight="1">
      <c r="A81" s="178"/>
      <c r="B81" s="178"/>
      <c r="C81" s="178"/>
      <c r="D81" s="385"/>
      <c r="E81" s="385"/>
      <c r="F81" s="385"/>
      <c r="G81" s="385"/>
      <c r="H81" s="387"/>
      <c r="I81" s="387"/>
      <c r="J81" s="387"/>
      <c r="K81" s="387"/>
      <c r="L81" s="387"/>
      <c r="M81" s="387"/>
      <c r="N81" s="387"/>
      <c r="O81" s="384"/>
    </row>
    <row r="82" spans="1:20" ht="19.2" customHeight="1">
      <c r="A82" s="178"/>
      <c r="B82" s="178"/>
      <c r="C82" s="178"/>
      <c r="D82" s="385"/>
      <c r="E82" s="385"/>
      <c r="F82" s="385"/>
      <c r="G82" s="385"/>
      <c r="H82" s="387"/>
      <c r="I82" s="387"/>
      <c r="J82" s="387"/>
      <c r="K82" s="387"/>
      <c r="L82" s="387"/>
      <c r="M82" s="387"/>
      <c r="N82" s="387"/>
      <c r="O82" s="384"/>
    </row>
    <row r="83" spans="1:20" ht="19.2" customHeight="1">
      <c r="A83" s="11" t="s">
        <v>61</v>
      </c>
      <c r="B83" s="8"/>
      <c r="C83" s="8"/>
      <c r="D83" s="8"/>
      <c r="E83" s="8"/>
      <c r="F83" s="188" t="s">
        <v>32</v>
      </c>
      <c r="G83" s="188"/>
      <c r="H83" s="188"/>
      <c r="I83" s="188"/>
      <c r="J83" s="188"/>
      <c r="K83" s="188"/>
      <c r="L83" s="188"/>
      <c r="M83" s="188"/>
      <c r="N83" s="188"/>
      <c r="O83" s="372"/>
      <c r="P83" s="372"/>
      <c r="T83" s="2"/>
    </row>
    <row r="84" spans="1:20" ht="11.4" customHeight="1">
      <c r="A84" s="11"/>
      <c r="B84" s="8"/>
      <c r="C84" s="8"/>
      <c r="D84" s="8"/>
      <c r="E84" s="8"/>
      <c r="F84" s="182"/>
      <c r="G84" s="182"/>
      <c r="H84" s="182"/>
      <c r="I84" s="182"/>
      <c r="J84" s="182"/>
      <c r="K84" s="182"/>
      <c r="L84" s="182"/>
      <c r="M84" s="182"/>
      <c r="N84" s="182"/>
      <c r="O84" s="372"/>
      <c r="P84" s="372"/>
      <c r="T84" s="2"/>
    </row>
    <row r="85" spans="1:20" ht="19.2" customHeight="1">
      <c r="A85" s="8" t="s">
        <v>200</v>
      </c>
      <c r="B85" s="8"/>
      <c r="C85" s="8"/>
      <c r="D85" s="8"/>
      <c r="E85" s="8"/>
      <c r="F85" s="182"/>
      <c r="G85" s="182"/>
      <c r="H85" s="182"/>
      <c r="I85" s="182"/>
      <c r="J85" s="182"/>
      <c r="K85" s="182"/>
      <c r="L85" s="182"/>
      <c r="M85" s="182"/>
      <c r="N85" s="182"/>
      <c r="O85" s="372"/>
      <c r="P85" s="372"/>
      <c r="T85" s="2"/>
    </row>
    <row r="86" spans="1:20" ht="10.8" customHeight="1">
      <c r="A86" s="8"/>
      <c r="B86" s="8"/>
      <c r="C86" s="8"/>
      <c r="D86" s="8"/>
      <c r="E86" s="8"/>
      <c r="F86" s="182"/>
      <c r="G86" s="182"/>
      <c r="H86" s="182"/>
      <c r="I86" s="182"/>
      <c r="J86" s="182"/>
      <c r="K86" s="182"/>
      <c r="L86" s="182"/>
      <c r="M86" s="182"/>
      <c r="N86" s="182"/>
      <c r="O86" s="372"/>
      <c r="P86" s="372"/>
      <c r="T86" s="2"/>
    </row>
    <row r="87" spans="1:20" s="2" customFormat="1" ht="19.2" customHeight="1">
      <c r="A87" s="235" t="s">
        <v>97</v>
      </c>
      <c r="B87" s="235"/>
      <c r="C87" s="235"/>
      <c r="D87" s="235"/>
      <c r="E87" s="235" t="s">
        <v>89</v>
      </c>
      <c r="F87" s="235"/>
      <c r="G87" s="235"/>
      <c r="H87" s="235"/>
      <c r="I87" s="235"/>
      <c r="J87" s="235"/>
      <c r="K87" s="235"/>
      <c r="L87" s="235"/>
      <c r="M87" s="235"/>
      <c r="N87" s="235"/>
      <c r="O87" s="373"/>
    </row>
    <row r="88" spans="1:20" s="2" customFormat="1" ht="19.2" customHeight="1">
      <c r="A88" s="235"/>
      <c r="B88" s="235"/>
      <c r="C88" s="235"/>
      <c r="D88" s="235"/>
      <c r="E88" s="235" t="s">
        <v>100</v>
      </c>
      <c r="F88" s="235"/>
      <c r="G88" s="235"/>
      <c r="H88" s="235"/>
      <c r="I88" s="235"/>
      <c r="J88" s="235" t="s">
        <v>101</v>
      </c>
      <c r="K88" s="235"/>
      <c r="L88" s="235"/>
      <c r="M88" s="235"/>
      <c r="N88" s="235"/>
      <c r="O88" s="373"/>
    </row>
    <row r="89" spans="1:20" s="2" customFormat="1" ht="19.2" customHeight="1">
      <c r="A89" s="265" t="s">
        <v>90</v>
      </c>
      <c r="B89" s="265"/>
      <c r="C89" s="265"/>
      <c r="D89" s="265"/>
      <c r="E89" s="266" t="s">
        <v>144</v>
      </c>
      <c r="F89" s="266"/>
      <c r="G89" s="266"/>
      <c r="H89" s="266"/>
      <c r="I89" s="266"/>
      <c r="J89" s="265" t="s">
        <v>90</v>
      </c>
      <c r="K89" s="265"/>
      <c r="L89" s="265"/>
      <c r="M89" s="265"/>
      <c r="N89" s="265"/>
      <c r="O89" s="373"/>
    </row>
    <row r="90" spans="1:20" s="2" customFormat="1" ht="19.2" customHeight="1">
      <c r="A90" s="187" t="s">
        <v>132</v>
      </c>
      <c r="B90" s="187"/>
      <c r="C90" s="187"/>
      <c r="D90" s="187"/>
      <c r="E90" s="266"/>
      <c r="F90" s="266"/>
      <c r="G90" s="266"/>
      <c r="H90" s="266"/>
      <c r="I90" s="266"/>
      <c r="J90" s="187" t="s">
        <v>146</v>
      </c>
      <c r="K90" s="187"/>
      <c r="L90" s="187"/>
      <c r="M90" s="187"/>
      <c r="N90" s="187"/>
      <c r="O90" s="373"/>
    </row>
    <row r="91" spans="1:20" s="2" customFormat="1" ht="19.2" customHeight="1">
      <c r="A91" s="274" t="s">
        <v>160</v>
      </c>
      <c r="B91" s="274"/>
      <c r="C91" s="274"/>
      <c r="D91" s="274"/>
      <c r="E91" s="266"/>
      <c r="F91" s="266"/>
      <c r="G91" s="266"/>
      <c r="H91" s="266"/>
      <c r="I91" s="266"/>
      <c r="J91" s="274" t="s">
        <v>95</v>
      </c>
      <c r="K91" s="274"/>
      <c r="L91" s="274"/>
      <c r="M91" s="274"/>
      <c r="N91" s="274"/>
      <c r="O91" s="373"/>
    </row>
    <row r="92" spans="1:20" ht="19.2" customHeight="1">
      <c r="A92" s="275" t="s">
        <v>122</v>
      </c>
      <c r="B92" s="276"/>
      <c r="C92" s="277"/>
      <c r="D92" s="128">
        <v>55</v>
      </c>
      <c r="E92" s="8"/>
      <c r="F92" s="182"/>
      <c r="G92" s="182"/>
      <c r="H92" s="182"/>
      <c r="I92" s="182"/>
      <c r="J92" s="182"/>
      <c r="K92" s="182"/>
      <c r="L92" s="182"/>
      <c r="M92" s="182"/>
      <c r="N92" s="182"/>
      <c r="O92" s="372"/>
      <c r="P92" s="372"/>
      <c r="T92" s="2"/>
    </row>
    <row r="93" spans="1:20" ht="19.2" customHeight="1">
      <c r="A93" s="190" t="s">
        <v>0</v>
      </c>
      <c r="B93" s="200" t="s">
        <v>19</v>
      </c>
      <c r="C93" s="203" t="s">
        <v>8</v>
      </c>
      <c r="D93" s="203" t="s">
        <v>9</v>
      </c>
      <c r="E93" s="193" t="s">
        <v>11</v>
      </c>
      <c r="F93" s="194"/>
      <c r="G93" s="193" t="s">
        <v>13</v>
      </c>
      <c r="H93" s="194"/>
      <c r="I93" s="197" t="s">
        <v>16</v>
      </c>
      <c r="J93" s="197" t="s">
        <v>41</v>
      </c>
      <c r="K93" s="197" t="s">
        <v>42</v>
      </c>
      <c r="L93" s="197" t="s">
        <v>17</v>
      </c>
      <c r="M93" s="197" t="s">
        <v>40</v>
      </c>
      <c r="N93" s="190" t="s">
        <v>18</v>
      </c>
      <c r="O93" s="374"/>
    </row>
    <row r="94" spans="1:20" ht="19.2" customHeight="1">
      <c r="A94" s="191"/>
      <c r="B94" s="201"/>
      <c r="C94" s="204"/>
      <c r="D94" s="204"/>
      <c r="E94" s="195"/>
      <c r="F94" s="196"/>
      <c r="G94" s="195"/>
      <c r="H94" s="196"/>
      <c r="I94" s="198"/>
      <c r="J94" s="198"/>
      <c r="K94" s="198"/>
      <c r="L94" s="198"/>
      <c r="M94" s="198"/>
      <c r="N94" s="191"/>
      <c r="O94" s="178"/>
    </row>
    <row r="95" spans="1:20" ht="19.2" customHeight="1">
      <c r="A95" s="191"/>
      <c r="B95" s="201"/>
      <c r="C95" s="204"/>
      <c r="D95" s="204"/>
      <c r="E95" s="197" t="s">
        <v>10</v>
      </c>
      <c r="F95" s="197" t="s">
        <v>12</v>
      </c>
      <c r="G95" s="197" t="s">
        <v>14</v>
      </c>
      <c r="H95" s="197" t="s">
        <v>15</v>
      </c>
      <c r="I95" s="198"/>
      <c r="J95" s="198"/>
      <c r="K95" s="198"/>
      <c r="L95" s="198"/>
      <c r="M95" s="198"/>
      <c r="N95" s="191"/>
      <c r="O95" s="178"/>
    </row>
    <row r="96" spans="1:20" ht="19.2" customHeight="1">
      <c r="A96" s="192"/>
      <c r="B96" s="202"/>
      <c r="C96" s="205"/>
      <c r="D96" s="205"/>
      <c r="E96" s="199"/>
      <c r="F96" s="199"/>
      <c r="G96" s="199"/>
      <c r="H96" s="199"/>
      <c r="I96" s="199"/>
      <c r="J96" s="199"/>
      <c r="K96" s="199"/>
      <c r="L96" s="199"/>
      <c r="M96" s="199"/>
      <c r="N96" s="192"/>
      <c r="O96" s="178"/>
    </row>
    <row r="97" spans="1:23" ht="18.600000000000001" customHeight="1">
      <c r="A97" s="237" t="s">
        <v>39</v>
      </c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9"/>
      <c r="O97" s="178"/>
    </row>
    <row r="98" spans="1:23" ht="18.600000000000001" customHeight="1">
      <c r="A98" s="17">
        <v>1</v>
      </c>
      <c r="B98" s="6" t="s">
        <v>123</v>
      </c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28">
        <v>4000</v>
      </c>
      <c r="O98" s="416"/>
    </row>
    <row r="99" spans="1:23" s="2" customFormat="1" ht="18.600000000000001" customHeight="1">
      <c r="A99" s="9">
        <v>2</v>
      </c>
      <c r="B99" s="10" t="s">
        <v>2</v>
      </c>
      <c r="C99" s="23">
        <f>L99/100*100</f>
        <v>70</v>
      </c>
      <c r="D99" s="24">
        <f>C99/100*60</f>
        <v>42</v>
      </c>
      <c r="E99" s="25">
        <f>C99/100*15</f>
        <v>10.5</v>
      </c>
      <c r="F99" s="25"/>
      <c r="G99" s="25"/>
      <c r="H99" s="25"/>
      <c r="I99" s="25"/>
      <c r="J99" s="27">
        <f>C99/100*387</f>
        <v>270.89999999999998</v>
      </c>
      <c r="K99" s="27">
        <f>C99/100*0.09</f>
        <v>6.3E-2</v>
      </c>
      <c r="L99" s="137">
        <v>70</v>
      </c>
      <c r="M99" s="75">
        <v>20</v>
      </c>
      <c r="N99" s="28">
        <f>L99*M99</f>
        <v>1400</v>
      </c>
      <c r="O99" s="376"/>
    </row>
    <row r="100" spans="1:23" s="2" customFormat="1" ht="18.600000000000001" customHeight="1">
      <c r="A100" s="9">
        <v>3</v>
      </c>
      <c r="B100" s="79" t="s">
        <v>139</v>
      </c>
      <c r="C100" s="23">
        <f>L100/100*100</f>
        <v>440.00000000000006</v>
      </c>
      <c r="D100" s="24">
        <f>C100/100*899</f>
        <v>3955.6000000000004</v>
      </c>
      <c r="E100" s="25"/>
      <c r="F100" s="25"/>
      <c r="G100" s="25">
        <f>C100/100*100</f>
        <v>440.00000000000006</v>
      </c>
      <c r="H100" s="25"/>
      <c r="I100" s="25"/>
      <c r="J100" s="25"/>
      <c r="K100" s="25"/>
      <c r="L100" s="137">
        <v>440</v>
      </c>
      <c r="M100" s="24">
        <v>69</v>
      </c>
      <c r="N100" s="28">
        <f t="shared" ref="N100:N107" si="5">L100*M100</f>
        <v>30360</v>
      </c>
      <c r="O100" s="378"/>
    </row>
    <row r="101" spans="1:23" s="2" customFormat="1" ht="18.600000000000001" customHeight="1">
      <c r="A101" s="9">
        <v>4</v>
      </c>
      <c r="B101" s="5" t="s">
        <v>1</v>
      </c>
      <c r="C101" s="23">
        <f>L101/100*100</f>
        <v>2365</v>
      </c>
      <c r="D101" s="24">
        <f>C101/100*361.5</f>
        <v>8549.4750000000004</v>
      </c>
      <c r="E101" s="25"/>
      <c r="F101" s="25">
        <f>C101/100*7.9</f>
        <v>186.83500000000001</v>
      </c>
      <c r="G101" s="25"/>
      <c r="H101" s="25">
        <f>C101/100*1</f>
        <v>23.65</v>
      </c>
      <c r="I101" s="25">
        <f>C101/100*72.9</f>
        <v>1724.085</v>
      </c>
      <c r="J101" s="27">
        <f>C101/100*30</f>
        <v>709.5</v>
      </c>
      <c r="K101" s="27">
        <f>C101/100*0.1</f>
        <v>2.3649999999999998</v>
      </c>
      <c r="L101" s="137">
        <v>2365</v>
      </c>
      <c r="M101" s="75">
        <v>18</v>
      </c>
      <c r="N101" s="28">
        <f t="shared" si="5"/>
        <v>42570</v>
      </c>
      <c r="O101" s="376"/>
    </row>
    <row r="102" spans="1:23" s="2" customFormat="1" ht="18.600000000000001" customHeight="1">
      <c r="A102" s="9">
        <v>5</v>
      </c>
      <c r="B102" s="5" t="s">
        <v>93</v>
      </c>
      <c r="C102" s="23">
        <f>L102/100*81.7</f>
        <v>988.57</v>
      </c>
      <c r="D102" s="24">
        <f>C102/100*27</f>
        <v>266.91390000000001</v>
      </c>
      <c r="E102" s="29"/>
      <c r="F102" s="29">
        <f>C102/100*0.3</f>
        <v>2.9657100000000001</v>
      </c>
      <c r="G102" s="29"/>
      <c r="H102" s="29">
        <f>C102/100*0.1</f>
        <v>0.98857000000000006</v>
      </c>
      <c r="I102" s="29">
        <f>C102/100*6.1</f>
        <v>60.302769999999995</v>
      </c>
      <c r="J102" s="71">
        <f>C102/100*24</f>
        <v>237.2568</v>
      </c>
      <c r="K102" s="71">
        <f>C102/100*0.06</f>
        <v>0.59314199999999995</v>
      </c>
      <c r="L102" s="375">
        <v>1210</v>
      </c>
      <c r="M102" s="26">
        <v>22</v>
      </c>
      <c r="N102" s="28">
        <f t="shared" si="5"/>
        <v>26620</v>
      </c>
      <c r="O102" s="153"/>
      <c r="Q102" s="3"/>
      <c r="R102" s="3"/>
      <c r="S102" s="4"/>
    </row>
    <row r="103" spans="1:23" s="2" customFormat="1" ht="18.600000000000001" customHeight="1">
      <c r="A103" s="9">
        <v>6</v>
      </c>
      <c r="B103" s="5" t="s">
        <v>4</v>
      </c>
      <c r="C103" s="23">
        <f>L103/100*98.5</f>
        <v>433.40000000000003</v>
      </c>
      <c r="D103" s="24">
        <f>C103/100*39</f>
        <v>169.02600000000001</v>
      </c>
      <c r="E103" s="29"/>
      <c r="F103" s="29">
        <f>C103/100*1.5</f>
        <v>6.5010000000000012</v>
      </c>
      <c r="G103" s="29"/>
      <c r="H103" s="29">
        <f>C103/100*0.2</f>
        <v>0.86680000000000013</v>
      </c>
      <c r="I103" s="29">
        <f>C103/100*7.8</f>
        <v>33.805200000000006</v>
      </c>
      <c r="J103" s="71">
        <f>C103/100*43</f>
        <v>186.36200000000002</v>
      </c>
      <c r="K103" s="71">
        <f>C103/100*0.06</f>
        <v>0.26004000000000005</v>
      </c>
      <c r="L103" s="375">
        <v>440</v>
      </c>
      <c r="M103" s="26">
        <v>17</v>
      </c>
      <c r="N103" s="28">
        <f t="shared" si="5"/>
        <v>7480</v>
      </c>
      <c r="O103" s="153"/>
      <c r="Q103" s="3"/>
      <c r="R103" s="3"/>
      <c r="S103" s="4"/>
    </row>
    <row r="104" spans="1:23" s="2" customFormat="1" ht="18.600000000000001" customHeight="1">
      <c r="A104" s="9">
        <v>7</v>
      </c>
      <c r="B104" s="5" t="s">
        <v>134</v>
      </c>
      <c r="C104" s="23">
        <f>L104/100*100</f>
        <v>40</v>
      </c>
      <c r="D104" s="24">
        <f>C104/100*247</f>
        <v>98.800000000000011</v>
      </c>
      <c r="E104" s="29"/>
      <c r="F104" s="29">
        <f>C104/100*17.5</f>
        <v>7</v>
      </c>
      <c r="G104" s="29"/>
      <c r="H104" s="29">
        <f>C104/100*1.6</f>
        <v>0.64000000000000012</v>
      </c>
      <c r="I104" s="29">
        <f>C104/100*39.2</f>
        <v>15.680000000000001</v>
      </c>
      <c r="J104" s="71"/>
      <c r="K104" s="71"/>
      <c r="L104" s="375">
        <v>40</v>
      </c>
      <c r="M104" s="75">
        <v>50</v>
      </c>
      <c r="N104" s="28">
        <f t="shared" si="5"/>
        <v>2000</v>
      </c>
      <c r="O104" s="153"/>
      <c r="Q104" s="3"/>
      <c r="R104" s="3"/>
      <c r="S104" s="4"/>
      <c r="T104" s="3"/>
    </row>
    <row r="105" spans="1:23" s="2" customFormat="1" ht="18.600000000000001" customHeight="1">
      <c r="A105" s="9">
        <v>8</v>
      </c>
      <c r="B105" s="10" t="s">
        <v>74</v>
      </c>
      <c r="C105" s="23">
        <f>L105/100*98</f>
        <v>431.20000000000005</v>
      </c>
      <c r="D105" s="24">
        <f>C105/100*139</f>
        <v>599.36800000000005</v>
      </c>
      <c r="E105" s="25">
        <f>C105/100*19</f>
        <v>81.928000000000011</v>
      </c>
      <c r="F105" s="25"/>
      <c r="G105" s="25">
        <f>C105/100*7</f>
        <v>30.184000000000001</v>
      </c>
      <c r="H105" s="25"/>
      <c r="I105" s="25"/>
      <c r="J105" s="25">
        <f>C105/100*7</f>
        <v>30.184000000000001</v>
      </c>
      <c r="K105" s="25">
        <f>C105/100*0.9</f>
        <v>3.8808000000000002</v>
      </c>
      <c r="L105" s="137">
        <v>440</v>
      </c>
      <c r="M105" s="75">
        <v>133</v>
      </c>
      <c r="N105" s="28">
        <f t="shared" si="5"/>
        <v>58520</v>
      </c>
      <c r="O105" s="153"/>
    </row>
    <row r="106" spans="1:23" s="2" customFormat="1" ht="18.600000000000001" customHeight="1">
      <c r="A106" s="9">
        <v>9</v>
      </c>
      <c r="B106" s="79" t="s">
        <v>3</v>
      </c>
      <c r="C106" s="23">
        <f>L106/100*98</f>
        <v>1636.6</v>
      </c>
      <c r="D106" s="24">
        <f>C106/100*118</f>
        <v>1931.1879999999999</v>
      </c>
      <c r="E106" s="25">
        <f>C106/100*21</f>
        <v>343.68599999999998</v>
      </c>
      <c r="F106" s="25"/>
      <c r="G106" s="25">
        <f>C106/100*3.8</f>
        <v>62.190799999999996</v>
      </c>
      <c r="H106" s="25"/>
      <c r="I106" s="25"/>
      <c r="J106" s="25">
        <f>C106/100*12</f>
        <v>196.392</v>
      </c>
      <c r="K106" s="25">
        <f>C106/100*0.1</f>
        <v>1.6366000000000001</v>
      </c>
      <c r="L106" s="137">
        <v>1670</v>
      </c>
      <c r="M106" s="75">
        <v>270</v>
      </c>
      <c r="N106" s="28">
        <f t="shared" si="5"/>
        <v>450900</v>
      </c>
      <c r="O106" s="153"/>
    </row>
    <row r="107" spans="1:23" s="2" customFormat="1" ht="18.600000000000001" customHeight="1">
      <c r="A107" s="9">
        <v>10</v>
      </c>
      <c r="B107" s="5" t="s">
        <v>20</v>
      </c>
      <c r="C107" s="23">
        <f>L107/100*95</f>
        <v>627</v>
      </c>
      <c r="D107" s="24">
        <f>C107/100*20</f>
        <v>125.39999999999999</v>
      </c>
      <c r="E107" s="25"/>
      <c r="F107" s="25">
        <f>C107/100*0.6</f>
        <v>3.7619999999999996</v>
      </c>
      <c r="G107" s="25"/>
      <c r="H107" s="25">
        <f>C107/100*0.2</f>
        <v>1.254</v>
      </c>
      <c r="I107" s="25">
        <f>C107/100*4</f>
        <v>25.08</v>
      </c>
      <c r="J107" s="71">
        <f>C107/100*12</f>
        <v>75.239999999999995</v>
      </c>
      <c r="K107" s="71">
        <f>C107/100*0.04</f>
        <v>0.25079999999999997</v>
      </c>
      <c r="L107" s="30">
        <v>660</v>
      </c>
      <c r="M107" s="75">
        <v>22</v>
      </c>
      <c r="N107" s="28">
        <f t="shared" si="5"/>
        <v>14520</v>
      </c>
      <c r="O107" s="153"/>
      <c r="Q107" s="3"/>
      <c r="R107" s="3"/>
    </row>
    <row r="108" spans="1:23" s="2" customFormat="1" ht="18.600000000000001" customHeight="1">
      <c r="A108" s="21" t="s">
        <v>118</v>
      </c>
      <c r="B108" s="22"/>
      <c r="C108" s="34"/>
      <c r="D108" s="121">
        <f>SUM(D98:D107)</f>
        <v>15737.7709</v>
      </c>
      <c r="E108" s="43"/>
      <c r="F108" s="43"/>
      <c r="G108" s="43"/>
      <c r="H108" s="43"/>
      <c r="I108" s="43"/>
      <c r="J108" s="43"/>
      <c r="K108" s="43"/>
      <c r="L108" s="44"/>
      <c r="M108" s="44"/>
      <c r="N108" s="278">
        <f>SUM(N98:N107)</f>
        <v>638370</v>
      </c>
      <c r="O108" s="153"/>
    </row>
    <row r="109" spans="1:23" ht="18.600000000000001" customHeight="1">
      <c r="A109" s="21" t="s">
        <v>37</v>
      </c>
      <c r="B109" s="22"/>
      <c r="C109" s="45"/>
      <c r="D109" s="46">
        <f>D108/D92</f>
        <v>286.14128909090908</v>
      </c>
      <c r="E109" s="46"/>
      <c r="F109" s="46"/>
      <c r="G109" s="46"/>
      <c r="H109" s="46"/>
      <c r="I109" s="46"/>
      <c r="J109" s="46"/>
      <c r="K109" s="46"/>
      <c r="L109" s="47"/>
      <c r="M109" s="47"/>
      <c r="N109" s="280"/>
      <c r="O109" s="4"/>
      <c r="P109" s="2"/>
      <c r="Q109" s="2"/>
      <c r="R109" s="2"/>
      <c r="S109" s="2"/>
      <c r="T109" s="2"/>
      <c r="U109" s="2"/>
      <c r="V109" s="2"/>
    </row>
    <row r="110" spans="1:23" ht="18.600000000000001" customHeight="1">
      <c r="A110" s="301" t="s">
        <v>53</v>
      </c>
      <c r="B110" s="211"/>
      <c r="C110" s="377" t="s">
        <v>147</v>
      </c>
      <c r="D110" s="20" t="s">
        <v>45</v>
      </c>
      <c r="E110" s="46"/>
      <c r="F110" s="46"/>
      <c r="G110" s="46"/>
      <c r="H110" s="46"/>
      <c r="I110" s="46"/>
      <c r="J110" s="48"/>
      <c r="K110" s="48"/>
      <c r="L110" s="47"/>
      <c r="M110" s="47"/>
      <c r="N110" s="179"/>
      <c r="O110" s="4"/>
      <c r="P110" s="2"/>
      <c r="Q110" s="2"/>
      <c r="R110" s="2"/>
      <c r="S110" s="2"/>
      <c r="T110" s="2"/>
      <c r="U110" s="2"/>
      <c r="V110" s="2"/>
      <c r="W110" s="2"/>
    </row>
    <row r="111" spans="1:23" ht="18.600000000000001" customHeight="1">
      <c r="A111" s="212"/>
      <c r="B111" s="213"/>
      <c r="C111" s="76" t="s">
        <v>60</v>
      </c>
      <c r="D111" s="78">
        <f>D109*100/930</f>
        <v>30.767880547409579</v>
      </c>
      <c r="E111" s="46"/>
      <c r="F111" s="46"/>
      <c r="G111" s="46"/>
      <c r="H111" s="46"/>
      <c r="I111" s="46"/>
      <c r="J111" s="48"/>
      <c r="K111" s="48"/>
      <c r="L111" s="47"/>
      <c r="M111" s="47"/>
      <c r="N111" s="179"/>
      <c r="O111" s="4"/>
      <c r="P111" s="2"/>
      <c r="Q111" s="2"/>
      <c r="R111" s="2"/>
      <c r="S111" s="2"/>
      <c r="T111" s="2"/>
      <c r="U111" s="2"/>
      <c r="V111" s="2"/>
      <c r="W111" s="2"/>
    </row>
    <row r="112" spans="1:23" s="2" customFormat="1" ht="18.600000000000001" customHeight="1">
      <c r="A112" s="273" t="s">
        <v>38</v>
      </c>
      <c r="B112" s="273"/>
      <c r="C112" s="56"/>
      <c r="D112" s="57"/>
      <c r="E112" s="58"/>
      <c r="F112" s="58"/>
      <c r="G112" s="58"/>
      <c r="H112" s="58"/>
      <c r="I112" s="58"/>
      <c r="J112" s="58"/>
      <c r="K112" s="58"/>
      <c r="L112" s="59"/>
      <c r="M112" s="59"/>
      <c r="N112" s="60"/>
      <c r="O112" s="153"/>
    </row>
    <row r="113" spans="1:23" s="2" customFormat="1" ht="18.600000000000001" customHeight="1">
      <c r="A113" s="14">
        <v>1</v>
      </c>
      <c r="B113" s="6" t="s">
        <v>123</v>
      </c>
      <c r="C113" s="39"/>
      <c r="D113" s="417"/>
      <c r="E113" s="40"/>
      <c r="F113" s="40"/>
      <c r="G113" s="40"/>
      <c r="H113" s="40"/>
      <c r="I113" s="40"/>
      <c r="J113" s="40"/>
      <c r="K113" s="40"/>
      <c r="L113" s="41"/>
      <c r="M113" s="41"/>
      <c r="N113" s="42">
        <v>4000</v>
      </c>
      <c r="O113" s="153"/>
    </row>
    <row r="114" spans="1:23" s="2" customFormat="1" ht="18.600000000000001" customHeight="1">
      <c r="A114" s="9">
        <v>2</v>
      </c>
      <c r="B114" s="5" t="s">
        <v>1</v>
      </c>
      <c r="C114" s="23">
        <f>L114/100*100</f>
        <v>2310</v>
      </c>
      <c r="D114" s="24">
        <f>C114/100*361.5</f>
        <v>8350.65</v>
      </c>
      <c r="E114" s="25"/>
      <c r="F114" s="25">
        <f>C114/100*7.9</f>
        <v>182.49</v>
      </c>
      <c r="G114" s="25"/>
      <c r="H114" s="25">
        <f>C114/100*1</f>
        <v>23.1</v>
      </c>
      <c r="I114" s="25">
        <f>C114/100*72.9</f>
        <v>1683.9900000000002</v>
      </c>
      <c r="J114" s="27">
        <f>C114/100*30</f>
        <v>693</v>
      </c>
      <c r="K114" s="27">
        <f>C114/100*0.1</f>
        <v>2.31</v>
      </c>
      <c r="L114" s="26">
        <v>2310</v>
      </c>
      <c r="M114" s="75">
        <v>18</v>
      </c>
      <c r="N114" s="135">
        <f>L114*M114</f>
        <v>41580</v>
      </c>
      <c r="O114" s="376"/>
    </row>
    <row r="115" spans="1:23" s="2" customFormat="1" ht="18.600000000000001" customHeight="1">
      <c r="A115" s="9">
        <v>3</v>
      </c>
      <c r="B115" s="10" t="s">
        <v>2</v>
      </c>
      <c r="C115" s="23">
        <f>L115/100*100</f>
        <v>70</v>
      </c>
      <c r="D115" s="24">
        <f>C115/100*60</f>
        <v>42</v>
      </c>
      <c r="E115" s="25">
        <f>C115/100*15</f>
        <v>10.5</v>
      </c>
      <c r="F115" s="25"/>
      <c r="G115" s="25"/>
      <c r="H115" s="25"/>
      <c r="I115" s="25"/>
      <c r="J115" s="27">
        <f>C115/100*387</f>
        <v>270.89999999999998</v>
      </c>
      <c r="K115" s="27">
        <f>C115/100*0.09</f>
        <v>6.3E-2</v>
      </c>
      <c r="L115" s="26">
        <v>70</v>
      </c>
      <c r="M115" s="75">
        <v>20</v>
      </c>
      <c r="N115" s="135">
        <f t="shared" ref="N115:N121" si="6">L115*M115</f>
        <v>1400</v>
      </c>
      <c r="O115" s="376"/>
    </row>
    <row r="116" spans="1:23" s="2" customFormat="1" ht="18.600000000000001" customHeight="1">
      <c r="A116" s="9">
        <v>4</v>
      </c>
      <c r="B116" s="79" t="s">
        <v>139</v>
      </c>
      <c r="C116" s="23">
        <f>L116/100*100</f>
        <v>110.00000000000001</v>
      </c>
      <c r="D116" s="24">
        <f>C116/100*900</f>
        <v>990.00000000000011</v>
      </c>
      <c r="E116" s="25"/>
      <c r="F116" s="25"/>
      <c r="G116" s="25">
        <f>C116/100*100</f>
        <v>110.00000000000001</v>
      </c>
      <c r="H116" s="25">
        <f>C116/100*100</f>
        <v>110.00000000000001</v>
      </c>
      <c r="I116" s="25"/>
      <c r="J116" s="27"/>
      <c r="K116" s="27"/>
      <c r="L116" s="26">
        <v>110</v>
      </c>
      <c r="M116" s="75">
        <v>69</v>
      </c>
      <c r="N116" s="135">
        <f t="shared" si="6"/>
        <v>7590</v>
      </c>
      <c r="O116" s="153"/>
    </row>
    <row r="117" spans="1:23" s="2" customFormat="1" ht="18.600000000000001" customHeight="1">
      <c r="A117" s="9">
        <v>5</v>
      </c>
      <c r="B117" s="10" t="s">
        <v>137</v>
      </c>
      <c r="C117" s="23">
        <f>L117/100*100</f>
        <v>280</v>
      </c>
      <c r="D117" s="24">
        <f>C117/100*53</f>
        <v>148.39999999999998</v>
      </c>
      <c r="E117" s="25"/>
      <c r="F117" s="25">
        <f>C117/100*6.3</f>
        <v>17.639999999999997</v>
      </c>
      <c r="G117" s="25"/>
      <c r="H117" s="25">
        <f>C117/100*0.04</f>
        <v>0.11199999999999999</v>
      </c>
      <c r="I117" s="25">
        <f>C117/100*6.8</f>
        <v>19.04</v>
      </c>
      <c r="J117" s="27">
        <f>C117/100*19</f>
        <v>53.199999999999996</v>
      </c>
      <c r="K117" s="27">
        <f>C117/100*0.03</f>
        <v>8.3999999999999991E-2</v>
      </c>
      <c r="L117" s="26">
        <v>280</v>
      </c>
      <c r="M117" s="75">
        <v>45</v>
      </c>
      <c r="N117" s="135">
        <f t="shared" si="6"/>
        <v>12600</v>
      </c>
      <c r="O117" s="376"/>
    </row>
    <row r="118" spans="1:23" s="2" customFormat="1" ht="18.600000000000001" customHeight="1">
      <c r="A118" s="9">
        <v>6</v>
      </c>
      <c r="B118" s="5" t="s">
        <v>75</v>
      </c>
      <c r="C118" s="23">
        <f>L118/100*75</f>
        <v>990</v>
      </c>
      <c r="D118" s="24">
        <f>C118/100*12</f>
        <v>118.80000000000001</v>
      </c>
      <c r="E118" s="25">
        <f>C118/100*0.6</f>
        <v>5.94</v>
      </c>
      <c r="F118" s="25"/>
      <c r="G118" s="25"/>
      <c r="H118" s="25"/>
      <c r="I118" s="25">
        <f>C118/100*2.4</f>
        <v>23.76</v>
      </c>
      <c r="J118" s="27">
        <f>C118/100*26</f>
        <v>257.40000000000003</v>
      </c>
      <c r="K118" s="27">
        <f>C118/100*0.02</f>
        <v>0.19800000000000001</v>
      </c>
      <c r="L118" s="26">
        <v>1320</v>
      </c>
      <c r="M118" s="26">
        <v>22</v>
      </c>
      <c r="N118" s="135">
        <f t="shared" si="6"/>
        <v>29040</v>
      </c>
      <c r="O118" s="153"/>
    </row>
    <row r="119" spans="1:23" s="2" customFormat="1" ht="18.600000000000001" customHeight="1">
      <c r="A119" s="9">
        <v>7</v>
      </c>
      <c r="B119" s="5" t="s">
        <v>4</v>
      </c>
      <c r="C119" s="23">
        <f>L119/100*98.5</f>
        <v>433.40000000000003</v>
      </c>
      <c r="D119" s="24">
        <f>C119/100*39</f>
        <v>169.02600000000001</v>
      </c>
      <c r="E119" s="29"/>
      <c r="F119" s="29">
        <f>C119/100*1.5</f>
        <v>6.5010000000000012</v>
      </c>
      <c r="G119" s="411"/>
      <c r="H119" s="29">
        <f>C119/100*0.2</f>
        <v>0.86680000000000013</v>
      </c>
      <c r="I119" s="29">
        <f>C119/100*7.8</f>
        <v>33.805200000000006</v>
      </c>
      <c r="J119" s="71">
        <f>C119/100*43</f>
        <v>186.36200000000002</v>
      </c>
      <c r="K119" s="71">
        <f>C119/100*0.06</f>
        <v>0.26004000000000005</v>
      </c>
      <c r="L119" s="30">
        <v>440</v>
      </c>
      <c r="M119" s="26">
        <v>17</v>
      </c>
      <c r="N119" s="135">
        <f t="shared" si="6"/>
        <v>7480</v>
      </c>
      <c r="O119" s="153"/>
      <c r="Q119" s="3"/>
      <c r="R119" s="3"/>
      <c r="S119" s="4"/>
    </row>
    <row r="120" spans="1:23" s="2" customFormat="1" ht="18.600000000000001" customHeight="1">
      <c r="A120" s="9">
        <v>8</v>
      </c>
      <c r="B120" s="10" t="s">
        <v>64</v>
      </c>
      <c r="C120" s="23">
        <f>L120/100*40</f>
        <v>1432</v>
      </c>
      <c r="D120" s="24">
        <f>C120/100*276</f>
        <v>3952.32</v>
      </c>
      <c r="E120" s="25">
        <f>C120/100*17.8</f>
        <v>254.89600000000002</v>
      </c>
      <c r="F120" s="136"/>
      <c r="G120" s="25">
        <f>C120/100*21.8</f>
        <v>312.17600000000004</v>
      </c>
      <c r="H120" s="25"/>
      <c r="I120" s="25"/>
      <c r="J120" s="27">
        <f>C120/100*13</f>
        <v>186.16</v>
      </c>
      <c r="K120" s="27">
        <f>C120/100*0.07</f>
        <v>1.0024000000000002</v>
      </c>
      <c r="L120" s="26">
        <v>3580</v>
      </c>
      <c r="M120" s="75">
        <v>63</v>
      </c>
      <c r="N120" s="135">
        <f t="shared" si="6"/>
        <v>225540</v>
      </c>
      <c r="O120" s="153"/>
    </row>
    <row r="121" spans="1:23" s="2" customFormat="1" ht="18.600000000000001" customHeight="1">
      <c r="A121" s="9">
        <v>9</v>
      </c>
      <c r="B121" s="5" t="s">
        <v>134</v>
      </c>
      <c r="C121" s="23">
        <f>L121/100*100</f>
        <v>40</v>
      </c>
      <c r="D121" s="24">
        <f>C121/100*247</f>
        <v>98.800000000000011</v>
      </c>
      <c r="E121" s="29"/>
      <c r="F121" s="29">
        <f>C121/100*17.5</f>
        <v>7</v>
      </c>
      <c r="G121" s="29"/>
      <c r="H121" s="29">
        <f>C121/100*1.6</f>
        <v>0.64000000000000012</v>
      </c>
      <c r="I121" s="29">
        <f>C121/100*39.2</f>
        <v>15.680000000000001</v>
      </c>
      <c r="J121" s="71"/>
      <c r="K121" s="71"/>
      <c r="L121" s="375">
        <v>40</v>
      </c>
      <c r="M121" s="75">
        <v>50</v>
      </c>
      <c r="N121" s="28">
        <f t="shared" si="6"/>
        <v>2000</v>
      </c>
      <c r="O121" s="153"/>
      <c r="Q121" s="3"/>
      <c r="R121" s="3"/>
      <c r="S121" s="4"/>
      <c r="T121" s="3"/>
    </row>
    <row r="122" spans="1:23" s="2" customFormat="1" ht="18.600000000000001" customHeight="1">
      <c r="A122" s="21" t="s">
        <v>119</v>
      </c>
      <c r="B122" s="22"/>
      <c r="C122" s="34"/>
      <c r="D122" s="121">
        <f>SUM(D113:D121)</f>
        <v>13869.995999999997</v>
      </c>
      <c r="E122" s="43"/>
      <c r="F122" s="43"/>
      <c r="G122" s="43"/>
      <c r="H122" s="43"/>
      <c r="I122" s="43"/>
      <c r="J122" s="43"/>
      <c r="K122" s="43"/>
      <c r="L122" s="44"/>
      <c r="M122" s="44"/>
      <c r="N122" s="278">
        <f>SUM(N113:N121)</f>
        <v>331230</v>
      </c>
      <c r="O122" s="153"/>
    </row>
    <row r="123" spans="1:23" ht="18.600000000000001" customHeight="1">
      <c r="A123" s="21" t="s">
        <v>36</v>
      </c>
      <c r="B123" s="22"/>
      <c r="C123" s="61"/>
      <c r="D123" s="48">
        <f>D122/D92</f>
        <v>252.18174545454539</v>
      </c>
      <c r="E123" s="48"/>
      <c r="F123" s="48"/>
      <c r="G123" s="48"/>
      <c r="H123" s="48"/>
      <c r="I123" s="48"/>
      <c r="J123" s="48"/>
      <c r="K123" s="48"/>
      <c r="L123" s="62"/>
      <c r="M123" s="47"/>
      <c r="N123" s="279"/>
      <c r="O123" s="4"/>
      <c r="P123" s="2"/>
      <c r="Q123" s="2"/>
      <c r="R123" s="2"/>
      <c r="S123" s="2"/>
      <c r="T123" s="2"/>
      <c r="U123" s="2"/>
      <c r="V123" s="2"/>
    </row>
    <row r="124" spans="1:23" ht="18.600000000000001" customHeight="1">
      <c r="A124" s="301" t="s">
        <v>54</v>
      </c>
      <c r="B124" s="211"/>
      <c r="C124" s="377" t="s">
        <v>147</v>
      </c>
      <c r="D124" s="20" t="s">
        <v>46</v>
      </c>
      <c r="E124" s="46"/>
      <c r="F124" s="46"/>
      <c r="G124" s="46"/>
      <c r="H124" s="46"/>
      <c r="I124" s="46"/>
      <c r="J124" s="48"/>
      <c r="K124" s="48"/>
      <c r="L124" s="47"/>
      <c r="M124" s="47"/>
      <c r="N124" s="179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8.600000000000001" customHeight="1">
      <c r="A125" s="212"/>
      <c r="B125" s="213"/>
      <c r="C125" s="76" t="s">
        <v>60</v>
      </c>
      <c r="D125" s="78">
        <f>D123*100/930</f>
        <v>27.116316715542514</v>
      </c>
      <c r="E125" s="46"/>
      <c r="F125" s="46"/>
      <c r="G125" s="46"/>
      <c r="H125" s="46">
        <v>13</v>
      </c>
      <c r="I125" s="46"/>
      <c r="J125" s="48"/>
      <c r="K125" s="48"/>
      <c r="L125" s="47"/>
      <c r="M125" s="47"/>
      <c r="N125" s="179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8.600000000000001" customHeight="1">
      <c r="A126" s="273" t="s">
        <v>35</v>
      </c>
      <c r="B126" s="273"/>
      <c r="C126" s="63"/>
      <c r="D126" s="64"/>
      <c r="E126" s="64"/>
      <c r="F126" s="64"/>
      <c r="G126" s="64"/>
      <c r="H126" s="64"/>
      <c r="I126" s="64"/>
      <c r="J126" s="64"/>
      <c r="K126" s="64"/>
      <c r="L126" s="65"/>
      <c r="M126" s="65"/>
      <c r="N126" s="66"/>
      <c r="O126" s="4"/>
      <c r="P126" s="2"/>
      <c r="Q126" s="2"/>
      <c r="R126" s="2"/>
      <c r="S126" s="2"/>
      <c r="T126" s="2"/>
      <c r="U126" s="2"/>
      <c r="V126" s="2"/>
    </row>
    <row r="127" spans="1:23" s="2" customFormat="1" ht="18.600000000000001" customHeight="1">
      <c r="A127" s="103">
        <v>1</v>
      </c>
      <c r="B127" s="156" t="s">
        <v>145</v>
      </c>
      <c r="C127" s="104">
        <f>L127/100*100</f>
        <v>930.00000000000011</v>
      </c>
      <c r="D127" s="105">
        <f>C127/100*487</f>
        <v>4529.1000000000004</v>
      </c>
      <c r="E127" s="106"/>
      <c r="F127" s="106">
        <f>C127/100*19.5</f>
        <v>181.35000000000002</v>
      </c>
      <c r="G127" s="106"/>
      <c r="H127" s="106">
        <f>C127/100*23.2</f>
        <v>215.76000000000002</v>
      </c>
      <c r="I127" s="106">
        <f>C127/100*46</f>
        <v>427.8</v>
      </c>
      <c r="J127" s="147">
        <f>C127/100*680</f>
        <v>6324.0000000000009</v>
      </c>
      <c r="K127" s="106">
        <f>C127/100*0.55</f>
        <v>5.1150000000000011</v>
      </c>
      <c r="L127" s="107">
        <v>930</v>
      </c>
      <c r="M127" s="157">
        <v>260</v>
      </c>
      <c r="N127" s="108">
        <f t="shared" ref="N127" si="7">L127*M127</f>
        <v>241800</v>
      </c>
      <c r="O127" s="153"/>
      <c r="P127" s="3"/>
    </row>
    <row r="128" spans="1:23" ht="19.2" customHeight="1">
      <c r="A128" s="190" t="s">
        <v>0</v>
      </c>
      <c r="B128" s="200" t="s">
        <v>19</v>
      </c>
      <c r="C128" s="203" t="s">
        <v>8</v>
      </c>
      <c r="D128" s="203" t="s">
        <v>9</v>
      </c>
      <c r="E128" s="193" t="s">
        <v>11</v>
      </c>
      <c r="F128" s="194"/>
      <c r="G128" s="193" t="s">
        <v>13</v>
      </c>
      <c r="H128" s="194"/>
      <c r="I128" s="197" t="s">
        <v>16</v>
      </c>
      <c r="J128" s="197" t="s">
        <v>41</v>
      </c>
      <c r="K128" s="197" t="s">
        <v>42</v>
      </c>
      <c r="L128" s="197" t="s">
        <v>17</v>
      </c>
      <c r="M128" s="197" t="s">
        <v>40</v>
      </c>
      <c r="N128" s="190" t="s">
        <v>18</v>
      </c>
      <c r="O128" s="374"/>
    </row>
    <row r="129" spans="1:23" ht="19.2" customHeight="1">
      <c r="A129" s="191"/>
      <c r="B129" s="201"/>
      <c r="C129" s="204"/>
      <c r="D129" s="204"/>
      <c r="E129" s="195"/>
      <c r="F129" s="196"/>
      <c r="G129" s="195"/>
      <c r="H129" s="196"/>
      <c r="I129" s="198"/>
      <c r="J129" s="198"/>
      <c r="K129" s="198"/>
      <c r="L129" s="198"/>
      <c r="M129" s="198"/>
      <c r="N129" s="191"/>
      <c r="O129" s="178"/>
    </row>
    <row r="130" spans="1:23" ht="19.2" customHeight="1">
      <c r="A130" s="191"/>
      <c r="B130" s="201"/>
      <c r="C130" s="204"/>
      <c r="D130" s="204"/>
      <c r="E130" s="197" t="s">
        <v>10</v>
      </c>
      <c r="F130" s="197" t="s">
        <v>12</v>
      </c>
      <c r="G130" s="197" t="s">
        <v>14</v>
      </c>
      <c r="H130" s="197" t="s">
        <v>15</v>
      </c>
      <c r="I130" s="198"/>
      <c r="J130" s="198"/>
      <c r="K130" s="198"/>
      <c r="L130" s="198"/>
      <c r="M130" s="198"/>
      <c r="N130" s="191"/>
      <c r="O130" s="178"/>
    </row>
    <row r="131" spans="1:23" ht="19.2" customHeight="1">
      <c r="A131" s="192"/>
      <c r="B131" s="202"/>
      <c r="C131" s="205"/>
      <c r="D131" s="205"/>
      <c r="E131" s="199"/>
      <c r="F131" s="199"/>
      <c r="G131" s="199"/>
      <c r="H131" s="199"/>
      <c r="I131" s="199"/>
      <c r="J131" s="199"/>
      <c r="K131" s="199"/>
      <c r="L131" s="199"/>
      <c r="M131" s="199"/>
      <c r="N131" s="192"/>
      <c r="O131" s="178"/>
    </row>
    <row r="132" spans="1:23" s="2" customFormat="1" ht="19.2" customHeight="1">
      <c r="A132" s="21" t="s">
        <v>106</v>
      </c>
      <c r="B132" s="22"/>
      <c r="C132" s="34"/>
      <c r="D132" s="35">
        <f>SUM(D126:D127)</f>
        <v>4529.1000000000004</v>
      </c>
      <c r="E132" s="43"/>
      <c r="F132" s="43"/>
      <c r="G132" s="43"/>
      <c r="H132" s="43"/>
      <c r="I132" s="43"/>
      <c r="J132" s="43"/>
      <c r="K132" s="43"/>
      <c r="L132" s="44"/>
      <c r="M132" s="44"/>
      <c r="N132" s="278">
        <f>SUM(N126:N127)</f>
        <v>241800</v>
      </c>
      <c r="O132" s="153"/>
    </row>
    <row r="133" spans="1:23" ht="19.2" customHeight="1">
      <c r="A133" s="21" t="s">
        <v>7</v>
      </c>
      <c r="B133" s="22"/>
      <c r="C133" s="45"/>
      <c r="D133" s="46">
        <f>D132/D92</f>
        <v>82.347272727272738</v>
      </c>
      <c r="E133" s="46"/>
      <c r="F133" s="46"/>
      <c r="G133" s="46"/>
      <c r="H133" s="46"/>
      <c r="I133" s="46"/>
      <c r="J133" s="46"/>
      <c r="K133" s="46"/>
      <c r="L133" s="47"/>
      <c r="M133" s="47"/>
      <c r="N133" s="280"/>
      <c r="O133" s="4"/>
      <c r="P133" s="2"/>
      <c r="Q133" s="2"/>
      <c r="R133" s="2"/>
      <c r="S133" s="2"/>
      <c r="T133" s="2"/>
      <c r="U133" s="2"/>
      <c r="V133" s="2"/>
    </row>
    <row r="134" spans="1:23" ht="19.2" customHeight="1">
      <c r="A134" s="301" t="s">
        <v>52</v>
      </c>
      <c r="B134" s="211"/>
      <c r="C134" s="377" t="s">
        <v>147</v>
      </c>
      <c r="D134" s="20" t="s">
        <v>50</v>
      </c>
      <c r="E134" s="46"/>
      <c r="F134" s="46"/>
      <c r="G134" s="46"/>
      <c r="H134" s="46"/>
      <c r="I134" s="46"/>
      <c r="J134" s="48"/>
      <c r="K134" s="48"/>
      <c r="L134" s="47"/>
      <c r="M134" s="47"/>
      <c r="N134" s="179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19.2" customHeight="1">
      <c r="A135" s="212"/>
      <c r="B135" s="213"/>
      <c r="C135" s="76" t="s">
        <v>60</v>
      </c>
      <c r="D135" s="20">
        <f>D133*100/930</f>
        <v>8.8545454545454554</v>
      </c>
      <c r="E135" s="46"/>
      <c r="F135" s="46"/>
      <c r="G135" s="46"/>
      <c r="H135" s="46"/>
      <c r="I135" s="46"/>
      <c r="J135" s="48"/>
      <c r="K135" s="48"/>
      <c r="L135" s="47"/>
      <c r="M135" s="47"/>
      <c r="N135" s="179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19.2" customHeight="1">
      <c r="A136" s="227" t="s">
        <v>107</v>
      </c>
      <c r="B136" s="228"/>
      <c r="C136" s="231"/>
      <c r="D136" s="296">
        <f>D108+D122+D132</f>
        <v>34136.866899999994</v>
      </c>
      <c r="E136" s="7">
        <f>SUM(E99:E126)</f>
        <v>707.45</v>
      </c>
      <c r="F136" s="7">
        <f>SUM(F98:F127)</f>
        <v>602.04471000000001</v>
      </c>
      <c r="G136" s="7">
        <f t="shared" ref="G136" si="8">SUM(G99:G126)</f>
        <v>954.55080000000009</v>
      </c>
      <c r="H136" s="7">
        <f>SUM(H98:H127)</f>
        <v>390.87817000000001</v>
      </c>
      <c r="I136" s="214">
        <f>SUM(I98:I127)</f>
        <v>4063.02817</v>
      </c>
      <c r="J136" s="214">
        <f>SUM(J98:J127)</f>
        <v>9676.8568000000014</v>
      </c>
      <c r="K136" s="214">
        <f>SUM(K98:K127)</f>
        <v>18.081822000000003</v>
      </c>
      <c r="L136" s="243"/>
      <c r="M136" s="243"/>
      <c r="N136" s="298">
        <f>N108+N122+N132</f>
        <v>1211400</v>
      </c>
      <c r="U136" s="12"/>
      <c r="V136" s="12"/>
    </row>
    <row r="137" spans="1:23" ht="19.2" customHeight="1">
      <c r="A137" s="229"/>
      <c r="B137" s="230"/>
      <c r="C137" s="232"/>
      <c r="D137" s="297"/>
      <c r="E137" s="307">
        <f>E136+F136</f>
        <v>1309.4947099999999</v>
      </c>
      <c r="F137" s="308"/>
      <c r="G137" s="307">
        <f>G136+H136</f>
        <v>1345.4289700000002</v>
      </c>
      <c r="H137" s="308"/>
      <c r="I137" s="215"/>
      <c r="J137" s="215"/>
      <c r="K137" s="215"/>
      <c r="L137" s="243"/>
      <c r="M137" s="243"/>
      <c r="N137" s="298"/>
      <c r="U137" s="12"/>
      <c r="V137" s="12"/>
    </row>
    <row r="138" spans="1:23" ht="19.2" customHeight="1">
      <c r="A138" s="247" t="s">
        <v>77</v>
      </c>
      <c r="B138" s="248"/>
      <c r="C138" s="249"/>
      <c r="D138" s="133">
        <f>D136/D92</f>
        <v>620.6703072727272</v>
      </c>
      <c r="E138" s="404">
        <f>E136/D92</f>
        <v>12.862727272727273</v>
      </c>
      <c r="F138" s="403">
        <f>F136/D92</f>
        <v>10.946267454545454</v>
      </c>
      <c r="G138" s="404">
        <f>G136/D92</f>
        <v>17.355469090909093</v>
      </c>
      <c r="H138" s="403">
        <f>H136/D92</f>
        <v>7.1068758181818188</v>
      </c>
      <c r="I138" s="299">
        <f>I136/D92</f>
        <v>73.873239454545455</v>
      </c>
      <c r="J138" s="299">
        <f>J136/D92</f>
        <v>175.94285090909094</v>
      </c>
      <c r="K138" s="299">
        <f>K136/D92</f>
        <v>0.32876040000000006</v>
      </c>
      <c r="L138" s="243"/>
      <c r="M138" s="243"/>
      <c r="N138" s="298"/>
      <c r="P138" s="392"/>
      <c r="Q138" s="393"/>
      <c r="R138" s="393"/>
      <c r="S138" s="393"/>
      <c r="T138" s="393"/>
      <c r="U138" s="394"/>
      <c r="V138" s="394"/>
    </row>
    <row r="139" spans="1:23" ht="19.2" customHeight="1">
      <c r="A139" s="250"/>
      <c r="B139" s="251"/>
      <c r="C139" s="252"/>
      <c r="D139" s="127"/>
      <c r="E139" s="381">
        <f>E138+F138</f>
        <v>23.808994727272726</v>
      </c>
      <c r="F139" s="382"/>
      <c r="G139" s="381">
        <f>G138+H138</f>
        <v>24.462344909090913</v>
      </c>
      <c r="H139" s="382"/>
      <c r="I139" s="300"/>
      <c r="J139" s="300"/>
      <c r="K139" s="300"/>
      <c r="L139" s="243"/>
      <c r="M139" s="243"/>
      <c r="N139" s="298"/>
      <c r="P139" s="395"/>
      <c r="Q139" s="393"/>
      <c r="R139" s="393"/>
      <c r="S139" s="398"/>
      <c r="T139" s="398"/>
      <c r="U139" s="393"/>
      <c r="V139" s="393"/>
    </row>
    <row r="140" spans="1:23" ht="19.2" customHeight="1">
      <c r="A140" s="315" t="s">
        <v>80</v>
      </c>
      <c r="B140" s="316"/>
      <c r="C140" s="317"/>
      <c r="D140" s="183" t="s">
        <v>29</v>
      </c>
      <c r="E140" s="362" t="s">
        <v>24</v>
      </c>
      <c r="F140" s="362"/>
      <c r="G140" s="362" t="s">
        <v>25</v>
      </c>
      <c r="H140" s="362"/>
      <c r="I140" s="183" t="s">
        <v>26</v>
      </c>
      <c r="J140" s="181">
        <v>500</v>
      </c>
      <c r="K140" s="181">
        <v>0.5</v>
      </c>
      <c r="L140" s="243"/>
      <c r="M140" s="243"/>
      <c r="N140" s="298"/>
      <c r="O140" s="384"/>
      <c r="P140" s="392"/>
      <c r="Q140" s="397"/>
      <c r="R140" s="397"/>
      <c r="S140" s="397"/>
      <c r="T140" s="397"/>
      <c r="U140" s="392"/>
      <c r="V140" s="392"/>
    </row>
    <row r="141" spans="1:23" ht="19.2" customHeight="1">
      <c r="A141" s="218" t="s">
        <v>78</v>
      </c>
      <c r="B141" s="219"/>
      <c r="C141" s="220"/>
      <c r="D141" s="49"/>
      <c r="E141" s="206">
        <f>E139*4.1</f>
        <v>97.616878381818168</v>
      </c>
      <c r="F141" s="207"/>
      <c r="G141" s="206">
        <f>G139*9</f>
        <v>220.16110418181822</v>
      </c>
      <c r="H141" s="207"/>
      <c r="I141" s="85">
        <f>I138*4.1</f>
        <v>302.88028176363633</v>
      </c>
      <c r="J141" s="253"/>
      <c r="K141" s="253"/>
      <c r="L141" s="243"/>
      <c r="M141" s="243"/>
      <c r="N141" s="298"/>
      <c r="O141" s="384"/>
      <c r="P141" s="396"/>
      <c r="Q141" s="392"/>
      <c r="R141" s="392"/>
      <c r="S141" s="392"/>
      <c r="T141" s="392"/>
      <c r="U141" s="392"/>
      <c r="V141" s="392"/>
    </row>
    <row r="142" spans="1:23" ht="19.2" customHeight="1">
      <c r="A142" s="221" t="s">
        <v>87</v>
      </c>
      <c r="B142" s="222"/>
      <c r="C142" s="218" t="s">
        <v>59</v>
      </c>
      <c r="D142" s="220"/>
      <c r="E142" s="255">
        <f>E141*100/D138</f>
        <v>15.727653995686405</v>
      </c>
      <c r="F142" s="256"/>
      <c r="G142" s="255">
        <f>G141*100/D138</f>
        <v>35.471505822345996</v>
      </c>
      <c r="H142" s="256"/>
      <c r="I142" s="115">
        <f>I141*100/D138</f>
        <v>48.798899869161694</v>
      </c>
      <c r="J142" s="254"/>
      <c r="K142" s="254"/>
      <c r="L142" s="243"/>
      <c r="M142" s="243"/>
      <c r="N142" s="298"/>
      <c r="O142" s="384"/>
    </row>
    <row r="143" spans="1:23" ht="19.2" customHeight="1">
      <c r="A143" s="223"/>
      <c r="B143" s="224"/>
      <c r="C143" s="218" t="s">
        <v>79</v>
      </c>
      <c r="D143" s="220"/>
      <c r="E143" s="218" t="s">
        <v>82</v>
      </c>
      <c r="F143" s="220"/>
      <c r="G143" s="218" t="s">
        <v>85</v>
      </c>
      <c r="H143" s="220"/>
      <c r="I143" s="183" t="s">
        <v>86</v>
      </c>
      <c r="J143" s="234"/>
      <c r="K143" s="234"/>
      <c r="L143" s="243"/>
      <c r="M143" s="243"/>
      <c r="N143" s="298"/>
      <c r="O143" s="384"/>
      <c r="P143" s="132"/>
    </row>
    <row r="144" spans="1:23" ht="18" customHeight="1">
      <c r="A144" s="90"/>
      <c r="B144" s="93"/>
      <c r="C144" s="90"/>
      <c r="D144" s="90"/>
      <c r="E144" s="90"/>
      <c r="F144" s="90"/>
      <c r="G144" s="90"/>
      <c r="H144" s="90"/>
      <c r="I144" s="90"/>
      <c r="J144" s="90"/>
      <c r="K144" s="90"/>
      <c r="L144" s="91"/>
      <c r="M144" s="91"/>
      <c r="N144" s="92"/>
      <c r="O144" s="384"/>
    </row>
    <row r="145" spans="1:15" ht="21" customHeight="1">
      <c r="A145" s="293" t="s">
        <v>114</v>
      </c>
      <c r="B145" s="293"/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384"/>
    </row>
    <row r="146" spans="1:15" ht="21" customHeight="1">
      <c r="A146" s="117" t="s">
        <v>115</v>
      </c>
      <c r="B146" s="294" t="s">
        <v>116</v>
      </c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384"/>
    </row>
    <row r="147" spans="1:15" ht="21" customHeight="1">
      <c r="A147" s="118"/>
      <c r="B147" s="258" t="s">
        <v>202</v>
      </c>
      <c r="C147" s="258"/>
      <c r="D147" s="258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384"/>
    </row>
    <row r="148" spans="1:15" ht="21" customHeight="1">
      <c r="A148" s="118"/>
      <c r="B148" s="258" t="s">
        <v>203</v>
      </c>
      <c r="C148" s="258"/>
      <c r="D148" s="258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384"/>
    </row>
    <row r="149" spans="1:15" ht="21" customHeight="1">
      <c r="A149" s="118"/>
      <c r="B149" s="258" t="s">
        <v>204</v>
      </c>
      <c r="C149" s="258"/>
      <c r="D149" s="258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384"/>
    </row>
    <row r="150" spans="1:15" ht="21" customHeight="1">
      <c r="A150" s="90"/>
      <c r="B150" s="259"/>
      <c r="C150" s="259"/>
      <c r="D150" s="259"/>
      <c r="E150" s="259"/>
      <c r="F150" s="259"/>
      <c r="G150" s="259"/>
      <c r="H150" s="259"/>
      <c r="I150" s="259"/>
      <c r="J150" s="259"/>
      <c r="K150" s="259"/>
      <c r="L150" s="259"/>
      <c r="M150" s="259"/>
      <c r="N150" s="259"/>
      <c r="O150" s="384"/>
    </row>
    <row r="151" spans="1:15" ht="21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4"/>
      <c r="M151" s="94"/>
      <c r="N151" s="95"/>
      <c r="O151" s="384"/>
    </row>
    <row r="152" spans="1:15" ht="21" customHeight="1">
      <c r="A152" s="260" t="s">
        <v>62</v>
      </c>
      <c r="B152" s="260"/>
      <c r="C152" s="260"/>
      <c r="D152" s="260"/>
      <c r="E152" s="385"/>
      <c r="F152" s="385"/>
      <c r="G152" s="385"/>
      <c r="H152" s="385"/>
      <c r="I152" s="385"/>
      <c r="J152" s="386" t="s">
        <v>33</v>
      </c>
      <c r="K152" s="386"/>
      <c r="L152" s="386"/>
      <c r="M152" s="386"/>
      <c r="N152" s="386"/>
      <c r="O152" s="384"/>
    </row>
    <row r="153" spans="1:15" ht="21" customHeight="1">
      <c r="A153" s="178"/>
      <c r="B153" s="178"/>
      <c r="C153" s="178"/>
      <c r="D153" s="385"/>
      <c r="E153" s="385"/>
      <c r="F153" s="385"/>
      <c r="G153" s="385"/>
      <c r="H153" s="387"/>
      <c r="I153" s="387"/>
      <c r="J153" s="387"/>
      <c r="K153" s="387"/>
      <c r="L153" s="387"/>
      <c r="M153" s="387"/>
      <c r="N153" s="387"/>
      <c r="O153" s="384"/>
    </row>
    <row r="154" spans="1:15" ht="21" customHeight="1">
      <c r="A154" s="178"/>
      <c r="B154" s="178"/>
      <c r="C154" s="178"/>
      <c r="D154" s="385"/>
      <c r="E154" s="385"/>
      <c r="F154" s="385"/>
      <c r="G154" s="385"/>
      <c r="H154" s="387"/>
      <c r="I154" s="387"/>
      <c r="J154" s="387"/>
      <c r="K154" s="387"/>
      <c r="L154" s="387"/>
      <c r="M154" s="387"/>
      <c r="N154" s="387"/>
      <c r="O154" s="384"/>
    </row>
    <row r="155" spans="1:15" ht="21" customHeight="1">
      <c r="A155" s="178"/>
      <c r="B155" s="178"/>
      <c r="C155" s="178"/>
      <c r="D155" s="385"/>
      <c r="E155" s="385"/>
      <c r="F155" s="385"/>
      <c r="G155" s="385"/>
      <c r="H155" s="387"/>
      <c r="I155" s="387"/>
      <c r="J155" s="388" t="s">
        <v>124</v>
      </c>
      <c r="K155" s="388"/>
      <c r="L155" s="388"/>
      <c r="M155" s="388"/>
      <c r="N155" s="388"/>
      <c r="O155" s="384"/>
    </row>
    <row r="156" spans="1:15" ht="21" customHeight="1">
      <c r="A156" s="261" t="s">
        <v>91</v>
      </c>
      <c r="B156" s="261"/>
      <c r="C156" s="261"/>
      <c r="D156" s="261"/>
      <c r="E156" s="385"/>
      <c r="F156" s="385"/>
      <c r="G156" s="385"/>
      <c r="H156" s="387"/>
      <c r="I156" s="387"/>
      <c r="J156" s="388"/>
      <c r="K156" s="388"/>
      <c r="L156" s="388"/>
      <c r="M156" s="388"/>
      <c r="N156" s="388"/>
      <c r="O156" s="384"/>
    </row>
    <row r="157" spans="1:15" ht="21" customHeight="1"/>
    <row r="158" spans="1:15" ht="21" customHeight="1">
      <c r="J158" s="388" t="s">
        <v>127</v>
      </c>
      <c r="K158" s="388"/>
      <c r="L158" s="388"/>
      <c r="M158" s="388"/>
      <c r="N158" s="388"/>
    </row>
  </sheetData>
  <mergeCells count="203">
    <mergeCell ref="B149:N149"/>
    <mergeCell ref="B150:N150"/>
    <mergeCell ref="A152:D152"/>
    <mergeCell ref="J152:N152"/>
    <mergeCell ref="A92:C92"/>
    <mergeCell ref="A93:A96"/>
    <mergeCell ref="B93:B96"/>
    <mergeCell ref="C93:C96"/>
    <mergeCell ref="D93:D96"/>
    <mergeCell ref="E93:F94"/>
    <mergeCell ref="G93:H94"/>
    <mergeCell ref="I93:I96"/>
    <mergeCell ref="J93:J96"/>
    <mergeCell ref="K93:K96"/>
    <mergeCell ref="L93:L96"/>
    <mergeCell ref="M93:M96"/>
    <mergeCell ref="N93:N96"/>
    <mergeCell ref="E95:E96"/>
    <mergeCell ref="F95:F96"/>
    <mergeCell ref="G95:G96"/>
    <mergeCell ref="H95:H96"/>
    <mergeCell ref="A97:N97"/>
    <mergeCell ref="N108:N109"/>
    <mergeCell ref="A110:B111"/>
    <mergeCell ref="B61:N61"/>
    <mergeCell ref="B62:N62"/>
    <mergeCell ref="B63:N63"/>
    <mergeCell ref="B64:N64"/>
    <mergeCell ref="J70:N70"/>
    <mergeCell ref="J73:N73"/>
    <mergeCell ref="B65:N65"/>
    <mergeCell ref="A67:D67"/>
    <mergeCell ref="J67:N67"/>
    <mergeCell ref="A71:D71"/>
    <mergeCell ref="J71:N71"/>
    <mergeCell ref="J74:N74"/>
    <mergeCell ref="A5:D5"/>
    <mergeCell ref="A6:D6"/>
    <mergeCell ref="A7:D7"/>
    <mergeCell ref="A55:C55"/>
    <mergeCell ref="G56:H56"/>
    <mergeCell ref="E5:N5"/>
    <mergeCell ref="E6:I9"/>
    <mergeCell ref="J6:N9"/>
    <mergeCell ref="A9:D9"/>
    <mergeCell ref="A10:C10"/>
    <mergeCell ref="G55:H55"/>
    <mergeCell ref="L11:L14"/>
    <mergeCell ref="M11:M14"/>
    <mergeCell ref="N11:N14"/>
    <mergeCell ref="E13:E14"/>
    <mergeCell ref="F13:F14"/>
    <mergeCell ref="G13:G14"/>
    <mergeCell ref="H13:H14"/>
    <mergeCell ref="A15:N15"/>
    <mergeCell ref="N28:N29"/>
    <mergeCell ref="A11:A14"/>
    <mergeCell ref="B11:B14"/>
    <mergeCell ref="C11:C14"/>
    <mergeCell ref="U52:V52"/>
    <mergeCell ref="G54:H54"/>
    <mergeCell ref="F1:N1"/>
    <mergeCell ref="E54:F54"/>
    <mergeCell ref="G57:H57"/>
    <mergeCell ref="E55:F55"/>
    <mergeCell ref="E140:F140"/>
    <mergeCell ref="G140:H140"/>
    <mergeCell ref="E141:F141"/>
    <mergeCell ref="G141:H141"/>
    <mergeCell ref="E56:F56"/>
    <mergeCell ref="I136:I137"/>
    <mergeCell ref="E137:F137"/>
    <mergeCell ref="G137:H137"/>
    <mergeCell ref="Q52:R52"/>
    <mergeCell ref="S52:T52"/>
    <mergeCell ref="E139:F139"/>
    <mergeCell ref="G139:H139"/>
    <mergeCell ref="J88:N88"/>
    <mergeCell ref="J89:N89"/>
    <mergeCell ref="J136:J137"/>
    <mergeCell ref="K136:K137"/>
    <mergeCell ref="E57:F57"/>
    <mergeCell ref="A60:N60"/>
    <mergeCell ref="D11:D14"/>
    <mergeCell ref="E11:F12"/>
    <mergeCell ref="G11:H12"/>
    <mergeCell ref="I11:I14"/>
    <mergeCell ref="J11:J14"/>
    <mergeCell ref="K11:K14"/>
    <mergeCell ref="A30:B31"/>
    <mergeCell ref="A32:B32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L43:L46"/>
    <mergeCell ref="M43:M46"/>
    <mergeCell ref="N43:N46"/>
    <mergeCell ref="E45:E46"/>
    <mergeCell ref="F45:F46"/>
    <mergeCell ref="G45:G46"/>
    <mergeCell ref="H45:H46"/>
    <mergeCell ref="N47:N48"/>
    <mergeCell ref="A49:B50"/>
    <mergeCell ref="A51:B52"/>
    <mergeCell ref="C51:C52"/>
    <mergeCell ref="D51:D52"/>
    <mergeCell ref="I51:I52"/>
    <mergeCell ref="J51:J52"/>
    <mergeCell ref="K51:K52"/>
    <mergeCell ref="L51:L58"/>
    <mergeCell ref="M51:M58"/>
    <mergeCell ref="N51:N58"/>
    <mergeCell ref="E52:F52"/>
    <mergeCell ref="G52:H52"/>
    <mergeCell ref="A53:C54"/>
    <mergeCell ref="I53:I54"/>
    <mergeCell ref="J53:J54"/>
    <mergeCell ref="K53:K54"/>
    <mergeCell ref="C57:D57"/>
    <mergeCell ref="Q53:R53"/>
    <mergeCell ref="S53:T53"/>
    <mergeCell ref="U53:V53"/>
    <mergeCell ref="A56:C56"/>
    <mergeCell ref="J56:J58"/>
    <mergeCell ref="K56:K58"/>
    <mergeCell ref="A57:B58"/>
    <mergeCell ref="C58:D58"/>
    <mergeCell ref="E58:F58"/>
    <mergeCell ref="G58:H58"/>
    <mergeCell ref="F83:N83"/>
    <mergeCell ref="A87:D88"/>
    <mergeCell ref="E87:N87"/>
    <mergeCell ref="E88:I88"/>
    <mergeCell ref="E89:I91"/>
    <mergeCell ref="A90:D90"/>
    <mergeCell ref="J90:N90"/>
    <mergeCell ref="A91:D91"/>
    <mergeCell ref="J91:N91"/>
    <mergeCell ref="A89:D89"/>
    <mergeCell ref="A112:B112"/>
    <mergeCell ref="N122:N123"/>
    <mergeCell ref="A124:B125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J128:J131"/>
    <mergeCell ref="K128:K131"/>
    <mergeCell ref="L128:L131"/>
    <mergeCell ref="M128:M131"/>
    <mergeCell ref="N128:N131"/>
    <mergeCell ref="E130:E131"/>
    <mergeCell ref="F130:F131"/>
    <mergeCell ref="G130:G131"/>
    <mergeCell ref="H130:H131"/>
    <mergeCell ref="B148:N148"/>
    <mergeCell ref="N132:N133"/>
    <mergeCell ref="A136:B137"/>
    <mergeCell ref="C136:C137"/>
    <mergeCell ref="D136:D137"/>
    <mergeCell ref="L136:L143"/>
    <mergeCell ref="M136:M143"/>
    <mergeCell ref="N136:N143"/>
    <mergeCell ref="A138:C139"/>
    <mergeCell ref="I138:I139"/>
    <mergeCell ref="J138:J139"/>
    <mergeCell ref="K138:K139"/>
    <mergeCell ref="A134:B135"/>
    <mergeCell ref="A145:N145"/>
    <mergeCell ref="A8:D8"/>
    <mergeCell ref="J155:N155"/>
    <mergeCell ref="A156:D156"/>
    <mergeCell ref="J158:N158"/>
    <mergeCell ref="Q138:R138"/>
    <mergeCell ref="S138:T138"/>
    <mergeCell ref="U138:V138"/>
    <mergeCell ref="Q139:R139"/>
    <mergeCell ref="S139:T139"/>
    <mergeCell ref="U139:V139"/>
    <mergeCell ref="A140:C140"/>
    <mergeCell ref="A141:C141"/>
    <mergeCell ref="J141:J143"/>
    <mergeCell ref="K141:K143"/>
    <mergeCell ref="A142:B143"/>
    <mergeCell ref="C142:D142"/>
    <mergeCell ref="E142:F142"/>
    <mergeCell ref="G142:H142"/>
    <mergeCell ref="C143:D143"/>
    <mergeCell ref="E143:F143"/>
    <mergeCell ref="G143:H143"/>
    <mergeCell ref="J156:N156"/>
    <mergeCell ref="B146:N146"/>
    <mergeCell ref="B147:N147"/>
  </mergeCells>
  <pageMargins left="0.15" right="0.10833333333333334" top="0.42708333333333331" bottom="0.3958333333333333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56"/>
  <sheetViews>
    <sheetView workbookViewId="0">
      <selection activeCell="O1" sqref="O1"/>
    </sheetView>
  </sheetViews>
  <sheetFormatPr defaultColWidth="9.109375" defaultRowHeight="22.2" customHeight="1"/>
  <cols>
    <col min="1" max="1" width="4" style="1" customWidth="1"/>
    <col min="2" max="2" width="12.6640625" style="1" customWidth="1"/>
    <col min="3" max="3" width="6.88671875" style="1" customWidth="1"/>
    <col min="4" max="4" width="7.33203125" style="1" customWidth="1"/>
    <col min="5" max="8" width="6.6640625" style="1" customWidth="1"/>
    <col min="9" max="9" width="7.77734375" style="1" customWidth="1"/>
    <col min="10" max="10" width="8.21875" style="1" customWidth="1"/>
    <col min="11" max="11" width="8" style="1" customWidth="1"/>
    <col min="12" max="12" width="5.6640625" style="1" customWidth="1"/>
    <col min="13" max="13" width="6.6640625" style="1" customWidth="1"/>
    <col min="14" max="14" width="7.3320312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20" ht="19.8" customHeight="1">
      <c r="A1" s="11" t="s">
        <v>61</v>
      </c>
      <c r="B1" s="8"/>
      <c r="C1" s="8"/>
      <c r="D1" s="8"/>
      <c r="E1" s="8"/>
      <c r="F1" s="188" t="s">
        <v>31</v>
      </c>
      <c r="G1" s="188"/>
      <c r="H1" s="188"/>
      <c r="I1" s="188"/>
      <c r="J1" s="188"/>
      <c r="K1" s="188"/>
      <c r="L1" s="188"/>
      <c r="M1" s="188"/>
      <c r="N1" s="188"/>
      <c r="O1" s="372"/>
      <c r="P1" s="372"/>
      <c r="Q1" s="2"/>
      <c r="R1" s="2"/>
      <c r="S1" s="2"/>
      <c r="T1" s="2"/>
    </row>
    <row r="2" spans="1:20" ht="19.8" customHeight="1">
      <c r="A2" s="11"/>
      <c r="B2" s="8"/>
      <c r="C2" s="8"/>
      <c r="D2" s="8"/>
      <c r="E2" s="8"/>
      <c r="F2" s="182"/>
      <c r="G2" s="182"/>
      <c r="H2" s="182"/>
      <c r="I2" s="182"/>
      <c r="J2" s="182"/>
      <c r="K2" s="182"/>
      <c r="L2" s="182"/>
      <c r="M2" s="182"/>
      <c r="N2" s="182"/>
      <c r="O2" s="372"/>
      <c r="P2" s="372"/>
      <c r="Q2" s="2"/>
      <c r="R2" s="2"/>
      <c r="S2" s="2"/>
      <c r="T2" s="2"/>
    </row>
    <row r="3" spans="1:20" ht="19.8" customHeight="1">
      <c r="A3" s="8" t="s">
        <v>205</v>
      </c>
      <c r="B3" s="8"/>
      <c r="C3" s="8"/>
      <c r="D3" s="8"/>
      <c r="E3" s="8"/>
      <c r="F3" s="182"/>
      <c r="G3" s="182"/>
      <c r="H3" s="182"/>
      <c r="I3" s="182"/>
      <c r="J3" s="182"/>
      <c r="K3" s="182"/>
      <c r="L3" s="182"/>
      <c r="M3" s="182"/>
      <c r="N3" s="182"/>
      <c r="O3" s="372"/>
      <c r="P3" s="372"/>
      <c r="T3" s="2"/>
    </row>
    <row r="4" spans="1:20" ht="19.8" customHeight="1">
      <c r="A4" s="8"/>
      <c r="B4" s="8"/>
      <c r="C4" s="8"/>
      <c r="D4" s="8"/>
      <c r="E4" s="8"/>
      <c r="F4" s="182"/>
      <c r="G4" s="182"/>
      <c r="H4" s="182"/>
      <c r="I4" s="182"/>
      <c r="J4" s="182"/>
      <c r="K4" s="182"/>
      <c r="L4" s="182"/>
      <c r="M4" s="182"/>
      <c r="N4" s="182"/>
      <c r="O4" s="372"/>
      <c r="P4" s="372"/>
      <c r="T4" s="2"/>
    </row>
    <row r="5" spans="1:20" s="2" customFormat="1" ht="19.8" customHeight="1">
      <c r="A5" s="235" t="s">
        <v>97</v>
      </c>
      <c r="B5" s="235"/>
      <c r="C5" s="235"/>
      <c r="D5" s="235"/>
      <c r="E5" s="235" t="s">
        <v>98</v>
      </c>
      <c r="F5" s="235"/>
      <c r="G5" s="235"/>
      <c r="H5" s="235"/>
      <c r="I5" s="235"/>
      <c r="J5" s="235"/>
      <c r="K5" s="235"/>
      <c r="L5" s="235"/>
      <c r="M5" s="235"/>
      <c r="N5" s="235"/>
      <c r="O5" s="373"/>
    </row>
    <row r="6" spans="1:20" s="2" customFormat="1" ht="19.8" customHeight="1">
      <c r="A6" s="265" t="s">
        <v>90</v>
      </c>
      <c r="B6" s="265"/>
      <c r="C6" s="265"/>
      <c r="D6" s="265"/>
      <c r="E6" s="266" t="s">
        <v>144</v>
      </c>
      <c r="F6" s="266"/>
      <c r="G6" s="266"/>
      <c r="H6" s="266"/>
      <c r="I6" s="266"/>
      <c r="J6" s="281" t="s">
        <v>141</v>
      </c>
      <c r="K6" s="282"/>
      <c r="L6" s="282"/>
      <c r="M6" s="282"/>
      <c r="N6" s="283"/>
      <c r="O6" s="373"/>
    </row>
    <row r="7" spans="1:20" s="2" customFormat="1" ht="19.8" customHeight="1">
      <c r="A7" s="309" t="s">
        <v>153</v>
      </c>
      <c r="B7" s="310"/>
      <c r="C7" s="310"/>
      <c r="D7" s="311"/>
      <c r="E7" s="266"/>
      <c r="F7" s="266"/>
      <c r="G7" s="266"/>
      <c r="H7" s="266"/>
      <c r="I7" s="266"/>
      <c r="J7" s="284"/>
      <c r="K7" s="285"/>
      <c r="L7" s="285"/>
      <c r="M7" s="285"/>
      <c r="N7" s="286"/>
      <c r="O7" s="373"/>
    </row>
    <row r="8" spans="1:20" s="2" customFormat="1" ht="19.8" customHeight="1">
      <c r="A8" s="187" t="s">
        <v>172</v>
      </c>
      <c r="B8" s="187"/>
      <c r="C8" s="187"/>
      <c r="D8" s="187"/>
      <c r="E8" s="266"/>
      <c r="F8" s="266"/>
      <c r="G8" s="266"/>
      <c r="H8" s="266"/>
      <c r="I8" s="266"/>
      <c r="J8" s="284"/>
      <c r="K8" s="285"/>
      <c r="L8" s="285"/>
      <c r="M8" s="285"/>
      <c r="N8" s="286"/>
      <c r="O8" s="373"/>
    </row>
    <row r="9" spans="1:20" s="2" customFormat="1" ht="19.8" customHeight="1">
      <c r="A9" s="274" t="s">
        <v>171</v>
      </c>
      <c r="B9" s="274"/>
      <c r="C9" s="274"/>
      <c r="D9" s="274"/>
      <c r="E9" s="266"/>
      <c r="F9" s="266"/>
      <c r="G9" s="266"/>
      <c r="H9" s="266"/>
      <c r="I9" s="266"/>
      <c r="J9" s="287"/>
      <c r="K9" s="288"/>
      <c r="L9" s="288"/>
      <c r="M9" s="288"/>
      <c r="N9" s="289"/>
      <c r="O9" s="373"/>
    </row>
    <row r="10" spans="1:20" s="2" customFormat="1" ht="19.8" customHeight="1">
      <c r="A10" s="275" t="s">
        <v>122</v>
      </c>
      <c r="B10" s="276"/>
      <c r="C10" s="277"/>
      <c r="D10" s="128">
        <v>232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73"/>
    </row>
    <row r="11" spans="1:20" ht="19.8" customHeight="1">
      <c r="A11" s="190" t="s">
        <v>0</v>
      </c>
      <c r="B11" s="200" t="s">
        <v>19</v>
      </c>
      <c r="C11" s="203" t="s">
        <v>8</v>
      </c>
      <c r="D11" s="203" t="s">
        <v>9</v>
      </c>
      <c r="E11" s="193" t="s">
        <v>11</v>
      </c>
      <c r="F11" s="194"/>
      <c r="G11" s="193" t="s">
        <v>13</v>
      </c>
      <c r="H11" s="194"/>
      <c r="I11" s="197" t="s">
        <v>16</v>
      </c>
      <c r="J11" s="197" t="s">
        <v>41</v>
      </c>
      <c r="K11" s="197" t="s">
        <v>42</v>
      </c>
      <c r="L11" s="312" t="s">
        <v>17</v>
      </c>
      <c r="M11" s="197" t="s">
        <v>55</v>
      </c>
      <c r="N11" s="190" t="s">
        <v>18</v>
      </c>
      <c r="O11" s="374"/>
    </row>
    <row r="12" spans="1:20" ht="19.8" customHeight="1">
      <c r="A12" s="191"/>
      <c r="B12" s="201"/>
      <c r="C12" s="204"/>
      <c r="D12" s="204"/>
      <c r="E12" s="195"/>
      <c r="F12" s="196"/>
      <c r="G12" s="195"/>
      <c r="H12" s="196"/>
      <c r="I12" s="198"/>
      <c r="J12" s="198"/>
      <c r="K12" s="198"/>
      <c r="L12" s="313"/>
      <c r="M12" s="198"/>
      <c r="N12" s="191"/>
      <c r="O12" s="178"/>
    </row>
    <row r="13" spans="1:20" ht="19.8" customHeight="1">
      <c r="A13" s="191"/>
      <c r="B13" s="201"/>
      <c r="C13" s="204"/>
      <c r="D13" s="204"/>
      <c r="E13" s="197" t="s">
        <v>10</v>
      </c>
      <c r="F13" s="197" t="s">
        <v>12</v>
      </c>
      <c r="G13" s="197" t="s">
        <v>14</v>
      </c>
      <c r="H13" s="197" t="s">
        <v>15</v>
      </c>
      <c r="I13" s="198"/>
      <c r="J13" s="198"/>
      <c r="K13" s="198"/>
      <c r="L13" s="313"/>
      <c r="M13" s="198"/>
      <c r="N13" s="191"/>
      <c r="O13" s="178"/>
    </row>
    <row r="14" spans="1:20" ht="19.8" customHeight="1">
      <c r="A14" s="192"/>
      <c r="B14" s="202"/>
      <c r="C14" s="205"/>
      <c r="D14" s="205"/>
      <c r="E14" s="199"/>
      <c r="F14" s="199"/>
      <c r="G14" s="199"/>
      <c r="H14" s="199"/>
      <c r="I14" s="199"/>
      <c r="J14" s="199"/>
      <c r="K14" s="199"/>
      <c r="L14" s="314"/>
      <c r="M14" s="199"/>
      <c r="N14" s="192"/>
      <c r="O14" s="178"/>
    </row>
    <row r="15" spans="1:20" ht="20.399999999999999" customHeight="1">
      <c r="A15" s="237" t="s">
        <v>34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/>
      <c r="O15" s="178"/>
    </row>
    <row r="16" spans="1:20" s="2" customFormat="1" ht="20.399999999999999" customHeight="1">
      <c r="A16" s="9">
        <v>1</v>
      </c>
      <c r="B16" s="6" t="s">
        <v>123</v>
      </c>
      <c r="C16" s="23"/>
      <c r="D16" s="139"/>
      <c r="E16" s="25"/>
      <c r="F16" s="25"/>
      <c r="G16" s="25"/>
      <c r="H16" s="25"/>
      <c r="I16" s="25"/>
      <c r="J16" s="25"/>
      <c r="K16" s="25"/>
      <c r="L16" s="26"/>
      <c r="M16" s="26"/>
      <c r="N16" s="28">
        <v>17480</v>
      </c>
      <c r="O16" s="153"/>
    </row>
    <row r="17" spans="1:20" s="2" customFormat="1" ht="20.399999999999999" customHeight="1">
      <c r="A17" s="9">
        <v>2</v>
      </c>
      <c r="B17" s="10" t="s">
        <v>2</v>
      </c>
      <c r="C17" s="23">
        <f>L17/100*100</f>
        <v>300</v>
      </c>
      <c r="D17" s="24">
        <f>C17/100*60</f>
        <v>180</v>
      </c>
      <c r="E17" s="25">
        <f>C17/100*15</f>
        <v>45</v>
      </c>
      <c r="F17" s="25"/>
      <c r="G17" s="25"/>
      <c r="H17" s="25"/>
      <c r="I17" s="25"/>
      <c r="J17" s="27">
        <f>C17/100*387</f>
        <v>1161</v>
      </c>
      <c r="K17" s="27">
        <f>C17/100*0.09</f>
        <v>0.27</v>
      </c>
      <c r="L17" s="137">
        <v>300</v>
      </c>
      <c r="M17" s="75">
        <v>20</v>
      </c>
      <c r="N17" s="28">
        <f>L17*M17</f>
        <v>6000</v>
      </c>
      <c r="O17" s="153"/>
    </row>
    <row r="18" spans="1:20" s="2" customFormat="1" ht="20.399999999999999" customHeight="1">
      <c r="A18" s="9">
        <v>3</v>
      </c>
      <c r="B18" s="10" t="s">
        <v>139</v>
      </c>
      <c r="C18" s="23">
        <f>L18/100*100</f>
        <v>1680</v>
      </c>
      <c r="D18" s="120">
        <f>C18/100*899</f>
        <v>15103.2</v>
      </c>
      <c r="E18" s="25"/>
      <c r="F18" s="25"/>
      <c r="G18" s="119">
        <f>C18/100*100</f>
        <v>1680</v>
      </c>
      <c r="H18" s="25"/>
      <c r="I18" s="25"/>
      <c r="J18" s="25"/>
      <c r="K18" s="25"/>
      <c r="L18" s="137">
        <v>1680</v>
      </c>
      <c r="M18" s="24">
        <v>69</v>
      </c>
      <c r="N18" s="28">
        <f t="shared" ref="N18" si="0">L18*M18</f>
        <v>115920</v>
      </c>
      <c r="O18" s="378"/>
    </row>
    <row r="19" spans="1:20" s="2" customFormat="1" ht="20.399999999999999" customHeight="1">
      <c r="A19" s="9">
        <v>4</v>
      </c>
      <c r="B19" s="10" t="s">
        <v>5</v>
      </c>
      <c r="C19" s="23">
        <f>L19/100*90</f>
        <v>186.29999999999998</v>
      </c>
      <c r="D19" s="24">
        <f>C19/100*281</f>
        <v>523.50299999999993</v>
      </c>
      <c r="E19" s="25"/>
      <c r="F19" s="25">
        <f>C19/100*9.5</f>
        <v>17.698499999999999</v>
      </c>
      <c r="G19" s="25"/>
      <c r="H19" s="25">
        <f>C19/100*0.2</f>
        <v>0.37259999999999999</v>
      </c>
      <c r="I19" s="25">
        <f>C19/100*58.5</f>
        <v>108.98549999999999</v>
      </c>
      <c r="J19" s="27">
        <f>C19/100*321.3</f>
        <v>598.58189999999991</v>
      </c>
      <c r="K19" s="27">
        <f>C19/100*0.14</f>
        <v>0.26082</v>
      </c>
      <c r="L19" s="137">
        <v>207</v>
      </c>
      <c r="M19" s="75">
        <v>120</v>
      </c>
      <c r="N19" s="28">
        <f t="shared" ref="N19:N27" si="1">L19*M19</f>
        <v>24840</v>
      </c>
      <c r="O19" s="153"/>
    </row>
    <row r="20" spans="1:20" s="2" customFormat="1" ht="20.399999999999999" customHeight="1">
      <c r="A20" s="9">
        <v>5</v>
      </c>
      <c r="B20" s="10" t="s">
        <v>70</v>
      </c>
      <c r="C20" s="23">
        <f>L20/100*90</f>
        <v>125.99999999999999</v>
      </c>
      <c r="D20" s="24">
        <f>C20/100*253</f>
        <v>318.77999999999997</v>
      </c>
      <c r="E20" s="25"/>
      <c r="F20" s="25">
        <f>C20/100*32.4</f>
        <v>40.823999999999991</v>
      </c>
      <c r="G20" s="25"/>
      <c r="H20" s="25">
        <f>C20/100*3.6</f>
        <v>4.5359999999999996</v>
      </c>
      <c r="I20" s="25">
        <f>C20/100*21.1</f>
        <v>26.585999999999999</v>
      </c>
      <c r="J20" s="27">
        <f>C20/100*165.6</f>
        <v>208.65599999999995</v>
      </c>
      <c r="K20" s="27">
        <f>C20/100*0.14</f>
        <v>0.17639999999999997</v>
      </c>
      <c r="L20" s="137">
        <v>140</v>
      </c>
      <c r="M20" s="75">
        <v>275</v>
      </c>
      <c r="N20" s="28">
        <f t="shared" si="1"/>
        <v>38500</v>
      </c>
      <c r="O20" s="153"/>
    </row>
    <row r="21" spans="1:20" s="2" customFormat="1" ht="20.399999999999999" customHeight="1">
      <c r="A21" s="9">
        <v>6</v>
      </c>
      <c r="B21" s="5" t="s">
        <v>1</v>
      </c>
      <c r="C21" s="23">
        <f>L21/100*100</f>
        <v>22040</v>
      </c>
      <c r="D21" s="120">
        <f>C21/100*344</f>
        <v>75817.600000000006</v>
      </c>
      <c r="E21" s="25"/>
      <c r="F21" s="140">
        <f>C21/100*7.9</f>
        <v>1741.16</v>
      </c>
      <c r="G21" s="25"/>
      <c r="H21" s="25">
        <f>C21/100*1</f>
        <v>220.4</v>
      </c>
      <c r="I21" s="140">
        <f>C21/100*73.3</f>
        <v>16155.32</v>
      </c>
      <c r="J21" s="27">
        <f>C21/100*30</f>
        <v>6612</v>
      </c>
      <c r="K21" s="27">
        <f>C21/100*0.1</f>
        <v>22.040000000000003</v>
      </c>
      <c r="L21" s="399">
        <v>22040</v>
      </c>
      <c r="M21" s="75">
        <v>18</v>
      </c>
      <c r="N21" s="28">
        <f t="shared" si="1"/>
        <v>396720</v>
      </c>
      <c r="O21" s="153"/>
      <c r="R21" s="18"/>
      <c r="S21" s="18"/>
    </row>
    <row r="22" spans="1:20" s="2" customFormat="1" ht="20.399999999999999" customHeight="1">
      <c r="A22" s="9">
        <v>7</v>
      </c>
      <c r="B22" s="5" t="s">
        <v>63</v>
      </c>
      <c r="C22" s="23">
        <f>L22/100*86</f>
        <v>2958.4</v>
      </c>
      <c r="D22" s="24">
        <f>C22/100*166</f>
        <v>4910.9439999999995</v>
      </c>
      <c r="E22" s="25">
        <f>C22/100*14.8</f>
        <v>437.84320000000002</v>
      </c>
      <c r="F22" s="25"/>
      <c r="G22" s="25">
        <f>C22/100*11.6</f>
        <v>343.17439999999999</v>
      </c>
      <c r="H22" s="25"/>
      <c r="I22" s="25">
        <f>C22/100*0.5</f>
        <v>14.792</v>
      </c>
      <c r="J22" s="27">
        <f>C22/100*55</f>
        <v>1627.12</v>
      </c>
      <c r="K22" s="27">
        <f>C22/100*0.16</f>
        <v>4.7334399999999999</v>
      </c>
      <c r="L22" s="137">
        <v>3440</v>
      </c>
      <c r="M22" s="75">
        <v>57</v>
      </c>
      <c r="N22" s="28">
        <f t="shared" si="1"/>
        <v>196080</v>
      </c>
      <c r="O22" s="153"/>
      <c r="Q22" s="3"/>
      <c r="R22" s="3"/>
      <c r="S22" s="4"/>
    </row>
    <row r="23" spans="1:20" s="2" customFormat="1" ht="20.399999999999999" customHeight="1">
      <c r="A23" s="9">
        <v>8</v>
      </c>
      <c r="B23" s="10" t="s">
        <v>71</v>
      </c>
      <c r="C23" s="23">
        <f>L23/100*98</f>
        <v>8976.7999999999993</v>
      </c>
      <c r="D23" s="120">
        <f>C23/100*139</f>
        <v>12477.751999999999</v>
      </c>
      <c r="E23" s="119">
        <f>C23/100*19</f>
        <v>1705.5919999999996</v>
      </c>
      <c r="F23" s="25"/>
      <c r="G23" s="25">
        <f>C23/100*7</f>
        <v>628.37599999999986</v>
      </c>
      <c r="H23" s="25"/>
      <c r="I23" s="25"/>
      <c r="J23" s="27">
        <f>C23/100*7</f>
        <v>628.37599999999986</v>
      </c>
      <c r="K23" s="27">
        <f>C23/100*0.9</f>
        <v>80.791199999999989</v>
      </c>
      <c r="L23" s="137">
        <v>9160</v>
      </c>
      <c r="M23" s="75">
        <v>133</v>
      </c>
      <c r="N23" s="124">
        <f t="shared" si="1"/>
        <v>1218280</v>
      </c>
      <c r="O23" s="153"/>
    </row>
    <row r="24" spans="1:20" s="2" customFormat="1" ht="20.399999999999999" customHeight="1">
      <c r="A24" s="9">
        <v>9</v>
      </c>
      <c r="B24" s="149" t="s">
        <v>96</v>
      </c>
      <c r="C24" s="23">
        <f>L24/100*90</f>
        <v>2052</v>
      </c>
      <c r="D24" s="24">
        <f>C24/100*90</f>
        <v>1846.8</v>
      </c>
      <c r="E24" s="25">
        <f>C24/100*18.4</f>
        <v>377.56799999999998</v>
      </c>
      <c r="F24" s="25"/>
      <c r="G24" s="25">
        <f>C24/100*1.8</f>
        <v>36.936</v>
      </c>
      <c r="H24" s="25"/>
      <c r="I24" s="25"/>
      <c r="J24" s="81">
        <f>C24/100*1120</f>
        <v>22982.399999999998</v>
      </c>
      <c r="K24" s="27">
        <f>C24/100*0.02</f>
        <v>0.41039999999999999</v>
      </c>
      <c r="L24" s="137">
        <v>2280</v>
      </c>
      <c r="M24" s="26">
        <v>260</v>
      </c>
      <c r="N24" s="124">
        <f t="shared" si="1"/>
        <v>592800</v>
      </c>
      <c r="O24" s="153"/>
      <c r="Q24" s="3"/>
      <c r="R24" s="3"/>
      <c r="S24" s="4"/>
    </row>
    <row r="25" spans="1:20" s="2" customFormat="1" ht="20.399999999999999" customHeight="1">
      <c r="A25" s="9">
        <v>10</v>
      </c>
      <c r="B25" s="5" t="s">
        <v>168</v>
      </c>
      <c r="C25" s="23">
        <f>L25/100*90</f>
        <v>7218</v>
      </c>
      <c r="D25" s="24">
        <f>C25/100*29</f>
        <v>2093.2200000000003</v>
      </c>
      <c r="E25" s="25"/>
      <c r="F25" s="25">
        <f>C25/100*1.8</f>
        <v>129.92400000000001</v>
      </c>
      <c r="G25" s="25"/>
      <c r="H25" s="25">
        <f>C25/100*0.1</f>
        <v>7.2180000000000009</v>
      </c>
      <c r="I25" s="25">
        <f>C25/100*5.3</f>
        <v>382.55400000000003</v>
      </c>
      <c r="J25" s="25">
        <f>C25/100*48</f>
        <v>3464.6400000000003</v>
      </c>
      <c r="K25" s="25">
        <f>C25/100*0.05</f>
        <v>3.6090000000000004</v>
      </c>
      <c r="L25" s="137">
        <v>8020</v>
      </c>
      <c r="M25" s="75">
        <v>13</v>
      </c>
      <c r="N25" s="28">
        <f t="shared" si="1"/>
        <v>104260</v>
      </c>
      <c r="O25" s="153"/>
    </row>
    <row r="26" spans="1:20" s="2" customFormat="1" ht="20.399999999999999" customHeight="1">
      <c r="A26" s="9">
        <v>11</v>
      </c>
      <c r="B26" s="5" t="s">
        <v>93</v>
      </c>
      <c r="C26" s="23">
        <f>L26/100*81.7</f>
        <v>3750.03</v>
      </c>
      <c r="D26" s="24">
        <f>C26/100*27</f>
        <v>1012.5081000000001</v>
      </c>
      <c r="E26" s="29"/>
      <c r="F26" s="29">
        <f>C26/100*0.3</f>
        <v>11.25009</v>
      </c>
      <c r="G26" s="29"/>
      <c r="H26" s="29">
        <f>C26/100*0.1</f>
        <v>3.7500300000000006</v>
      </c>
      <c r="I26" s="29">
        <f>C26/100*6.1</f>
        <v>228.75183000000001</v>
      </c>
      <c r="J26" s="71">
        <f>C26/100*24</f>
        <v>900.00720000000001</v>
      </c>
      <c r="K26" s="71">
        <f>C26/100*0.06</f>
        <v>2.2500180000000003</v>
      </c>
      <c r="L26" s="375">
        <v>4590</v>
      </c>
      <c r="M26" s="26">
        <v>22</v>
      </c>
      <c r="N26" s="28">
        <f t="shared" si="1"/>
        <v>100980</v>
      </c>
      <c r="O26" s="153"/>
      <c r="Q26" s="3"/>
      <c r="R26" s="3"/>
      <c r="S26" s="4"/>
    </row>
    <row r="27" spans="1:20" s="2" customFormat="1" ht="20.399999999999999" customHeight="1">
      <c r="A27" s="9">
        <v>12</v>
      </c>
      <c r="B27" s="5" t="s">
        <v>134</v>
      </c>
      <c r="C27" s="23">
        <f>L27/100*100</f>
        <v>229.99999999999997</v>
      </c>
      <c r="D27" s="24">
        <f>C27/100*247</f>
        <v>568.09999999999991</v>
      </c>
      <c r="E27" s="29"/>
      <c r="F27" s="29">
        <f>C27/100*17.5</f>
        <v>40.25</v>
      </c>
      <c r="G27" s="29"/>
      <c r="H27" s="29">
        <f>C27/100*1.6</f>
        <v>3.6799999999999997</v>
      </c>
      <c r="I27" s="29">
        <f>C27/100*39.2</f>
        <v>90.16</v>
      </c>
      <c r="J27" s="71"/>
      <c r="K27" s="71"/>
      <c r="L27" s="375">
        <v>230</v>
      </c>
      <c r="M27" s="75">
        <v>50</v>
      </c>
      <c r="N27" s="28">
        <f t="shared" si="1"/>
        <v>11500</v>
      </c>
      <c r="O27" s="153"/>
      <c r="Q27" s="3"/>
      <c r="R27" s="3"/>
      <c r="S27" s="4"/>
      <c r="T27" s="3"/>
    </row>
    <row r="28" spans="1:20" s="2" customFormat="1" ht="20.399999999999999" customHeight="1">
      <c r="A28" s="21" t="s">
        <v>105</v>
      </c>
      <c r="B28" s="22"/>
      <c r="C28" s="34"/>
      <c r="D28" s="170">
        <f>SUM(D16:D27)</f>
        <v>114852.40710000003</v>
      </c>
      <c r="E28" s="36"/>
      <c r="F28" s="36"/>
      <c r="G28" s="36"/>
      <c r="H28" s="36"/>
      <c r="I28" s="36"/>
      <c r="J28" s="36"/>
      <c r="K28" s="36"/>
      <c r="L28" s="37"/>
      <c r="M28" s="320"/>
      <c r="N28" s="263">
        <f>SUM(N16:N27)</f>
        <v>2823360</v>
      </c>
      <c r="O28" s="153"/>
    </row>
    <row r="29" spans="1:20" s="2" customFormat="1" ht="20.399999999999999" customHeight="1">
      <c r="A29" s="21" t="s">
        <v>6</v>
      </c>
      <c r="B29" s="22"/>
      <c r="C29" s="34"/>
      <c r="D29" s="35">
        <f>D28/D10</f>
        <v>495.05347887931043</v>
      </c>
      <c r="E29" s="36"/>
      <c r="F29" s="36"/>
      <c r="G29" s="36"/>
      <c r="H29" s="36"/>
      <c r="I29" s="36"/>
      <c r="J29" s="36"/>
      <c r="K29" s="36"/>
      <c r="L29" s="37"/>
      <c r="M29" s="321"/>
      <c r="N29" s="264"/>
      <c r="O29" s="153"/>
    </row>
    <row r="30" spans="1:20" s="2" customFormat="1" ht="20.399999999999999" customHeight="1">
      <c r="A30" s="301" t="s">
        <v>51</v>
      </c>
      <c r="B30" s="211"/>
      <c r="C30" s="377" t="s">
        <v>147</v>
      </c>
      <c r="D30" s="20" t="s">
        <v>45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20.399999999999999" customHeight="1">
      <c r="A31" s="212"/>
      <c r="B31" s="213"/>
      <c r="C31" s="76" t="s">
        <v>60</v>
      </c>
      <c r="D31" s="20">
        <f>D29*100/1320</f>
        <v>37.50405143025079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20.399999999999999" customHeight="1">
      <c r="A32" s="273" t="s">
        <v>35</v>
      </c>
      <c r="B32" s="273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3"/>
    </row>
    <row r="33" spans="1:23" s="2" customFormat="1" ht="20.399999999999999" customHeight="1">
      <c r="A33" s="9">
        <v>1</v>
      </c>
      <c r="B33" s="6" t="s">
        <v>123</v>
      </c>
      <c r="C33" s="23"/>
      <c r="D33" s="139"/>
      <c r="E33" s="25"/>
      <c r="F33" s="25"/>
      <c r="G33" s="25"/>
      <c r="H33" s="25"/>
      <c r="I33" s="25">
        <v>49</v>
      </c>
      <c r="J33" s="25"/>
      <c r="K33" s="25"/>
      <c r="L33" s="26"/>
      <c r="M33" s="26"/>
      <c r="N33" s="28">
        <v>15240</v>
      </c>
      <c r="O33" s="153"/>
    </row>
    <row r="34" spans="1:23" s="2" customFormat="1" ht="20.399999999999999" customHeight="1">
      <c r="A34" s="9">
        <v>2</v>
      </c>
      <c r="B34" s="5" t="s">
        <v>1</v>
      </c>
      <c r="C34" s="23">
        <f>L34/100*100</f>
        <v>3479.9999999999995</v>
      </c>
      <c r="D34" s="120">
        <f>C34/100*344</f>
        <v>11971.199999999999</v>
      </c>
      <c r="E34" s="25"/>
      <c r="F34" s="25">
        <f>C34/100*7.9</f>
        <v>274.92</v>
      </c>
      <c r="G34" s="25"/>
      <c r="H34" s="25">
        <f>C34/100*1</f>
        <v>34.799999999999997</v>
      </c>
      <c r="I34" s="25">
        <f>C34/100*73.3</f>
        <v>2550.8399999999997</v>
      </c>
      <c r="J34" s="27">
        <f>C34/100*30</f>
        <v>1044</v>
      </c>
      <c r="K34" s="27">
        <f>C34/100*0.1</f>
        <v>3.48</v>
      </c>
      <c r="L34" s="137">
        <v>3480</v>
      </c>
      <c r="M34" s="77">
        <v>18</v>
      </c>
      <c r="N34" s="28">
        <f t="shared" ref="N34:N35" si="2">L34*M34</f>
        <v>62640</v>
      </c>
      <c r="O34" s="153"/>
    </row>
    <row r="35" spans="1:23" s="2" customFormat="1" ht="20.399999999999999" customHeight="1">
      <c r="A35" s="9">
        <v>3</v>
      </c>
      <c r="B35" s="5" t="s">
        <v>73</v>
      </c>
      <c r="C35" s="23">
        <f>L35/100*100</f>
        <v>2320</v>
      </c>
      <c r="D35" s="24">
        <f>C35/100*344</f>
        <v>7980.8</v>
      </c>
      <c r="E35" s="25"/>
      <c r="F35" s="25">
        <f>C35/100*8.6</f>
        <v>199.51999999999998</v>
      </c>
      <c r="G35" s="25"/>
      <c r="H35" s="25">
        <f>C35/100*1.5</f>
        <v>34.799999999999997</v>
      </c>
      <c r="I35" s="25">
        <f>C35/100*74.5</f>
        <v>1728.3999999999999</v>
      </c>
      <c r="J35" s="25">
        <f>C35/100*32</f>
        <v>742.4</v>
      </c>
      <c r="K35" s="25">
        <f>C35/100*0.14</f>
        <v>3.2480000000000002</v>
      </c>
      <c r="L35" s="137">
        <v>2320</v>
      </c>
      <c r="M35" s="75">
        <v>30</v>
      </c>
      <c r="N35" s="28">
        <f t="shared" si="2"/>
        <v>69600</v>
      </c>
      <c r="O35" s="153"/>
      <c r="P35" s="18"/>
    </row>
    <row r="36" spans="1:23" s="2" customFormat="1" ht="20.399999999999999" customHeight="1">
      <c r="A36" s="9">
        <v>4</v>
      </c>
      <c r="B36" s="10" t="s">
        <v>2</v>
      </c>
      <c r="C36" s="23">
        <f>L36/100*100</f>
        <v>280</v>
      </c>
      <c r="D36" s="24">
        <f>C36/100*60</f>
        <v>168</v>
      </c>
      <c r="E36" s="25">
        <f>C36/100*15</f>
        <v>42</v>
      </c>
      <c r="F36" s="25"/>
      <c r="G36" s="25"/>
      <c r="H36" s="25"/>
      <c r="I36" s="25"/>
      <c r="J36" s="27">
        <f>C36/100*387</f>
        <v>1083.5999999999999</v>
      </c>
      <c r="K36" s="27">
        <f>C36/100*0.09</f>
        <v>0.252</v>
      </c>
      <c r="L36" s="137">
        <v>280</v>
      </c>
      <c r="M36" s="75">
        <v>20</v>
      </c>
      <c r="N36" s="28">
        <f>L36*M36</f>
        <v>5600</v>
      </c>
      <c r="O36" s="153"/>
    </row>
    <row r="37" spans="1:23" s="2" customFormat="1" ht="20.399999999999999" customHeight="1">
      <c r="A37" s="9">
        <v>5</v>
      </c>
      <c r="B37" s="148" t="s">
        <v>142</v>
      </c>
      <c r="C37" s="23">
        <f t="shared" ref="C37" si="3">L37/100*100</f>
        <v>229.99999999999997</v>
      </c>
      <c r="D37" s="120">
        <f>C37/100*900</f>
        <v>2070</v>
      </c>
      <c r="E37" s="25"/>
      <c r="F37" s="25"/>
      <c r="G37" s="119"/>
      <c r="H37" s="25">
        <f>C37/100*100</f>
        <v>229.99999999999997</v>
      </c>
      <c r="I37" s="25"/>
      <c r="J37" s="25"/>
      <c r="K37" s="25"/>
      <c r="L37" s="137">
        <v>230</v>
      </c>
      <c r="M37" s="75">
        <v>65</v>
      </c>
      <c r="N37" s="28">
        <f t="shared" ref="N37" si="4">L37*M37</f>
        <v>14950</v>
      </c>
      <c r="O37" s="378"/>
    </row>
    <row r="38" spans="1:23" s="2" customFormat="1" ht="20.399999999999999" customHeight="1">
      <c r="A38" s="9">
        <v>6</v>
      </c>
      <c r="B38" s="5" t="s">
        <v>69</v>
      </c>
      <c r="C38" s="23">
        <f>L38/100*48</f>
        <v>5587.2000000000007</v>
      </c>
      <c r="D38" s="120">
        <f>C38/100*199</f>
        <v>11118.528000000002</v>
      </c>
      <c r="E38" s="119">
        <f>C38/100*20.3</f>
        <v>1134.2016000000001</v>
      </c>
      <c r="F38" s="25"/>
      <c r="G38" s="25">
        <f>C38/100*13.1</f>
        <v>731.92320000000007</v>
      </c>
      <c r="H38" s="25"/>
      <c r="I38" s="25"/>
      <c r="J38" s="27">
        <f>C38/100*12</f>
        <v>670.46400000000006</v>
      </c>
      <c r="K38" s="27">
        <f>C38/100*0.15</f>
        <v>8.3808000000000007</v>
      </c>
      <c r="L38" s="407">
        <v>11640</v>
      </c>
      <c r="M38" s="137">
        <v>84</v>
      </c>
      <c r="N38" s="28">
        <f t="shared" ref="N38:N41" si="5">L38*M38</f>
        <v>977760</v>
      </c>
      <c r="O38" s="153"/>
      <c r="Q38" s="3"/>
      <c r="R38" s="3"/>
      <c r="S38" s="4"/>
    </row>
    <row r="39" spans="1:23" s="2" customFormat="1" ht="20.399999999999999" customHeight="1">
      <c r="A39" s="9">
        <v>7</v>
      </c>
      <c r="B39" s="5" t="s">
        <v>134</v>
      </c>
      <c r="C39" s="23">
        <f>L39/100*100</f>
        <v>140</v>
      </c>
      <c r="D39" s="24">
        <f>C39/100*247</f>
        <v>345.79999999999995</v>
      </c>
      <c r="E39" s="29"/>
      <c r="F39" s="29">
        <f>C39/100*17.5</f>
        <v>24.5</v>
      </c>
      <c r="G39" s="29"/>
      <c r="H39" s="29">
        <f>C39/100*1.6</f>
        <v>2.2399999999999998</v>
      </c>
      <c r="I39" s="29">
        <f>C39/100*39.2</f>
        <v>54.88</v>
      </c>
      <c r="J39" s="71"/>
      <c r="K39" s="71"/>
      <c r="L39" s="375">
        <v>140</v>
      </c>
      <c r="M39" s="75">
        <v>50</v>
      </c>
      <c r="N39" s="28">
        <f t="shared" si="5"/>
        <v>7000</v>
      </c>
      <c r="O39" s="153"/>
      <c r="Q39" s="3"/>
      <c r="R39" s="3"/>
      <c r="S39" s="4"/>
      <c r="T39" s="3"/>
    </row>
    <row r="40" spans="1:23" s="2" customFormat="1" ht="20.399999999999999" customHeight="1">
      <c r="A40" s="9">
        <v>8</v>
      </c>
      <c r="B40" s="5" t="s">
        <v>75</v>
      </c>
      <c r="C40" s="23">
        <f>L40/100*75</f>
        <v>3435</v>
      </c>
      <c r="D40" s="24">
        <f>C40/100*12</f>
        <v>412.20000000000005</v>
      </c>
      <c r="E40" s="25"/>
      <c r="F40" s="25">
        <f>C40/100*0.6</f>
        <v>20.61</v>
      </c>
      <c r="G40" s="25"/>
      <c r="H40" s="25"/>
      <c r="I40" s="25">
        <f>C40/100*2.4</f>
        <v>82.44</v>
      </c>
      <c r="J40" s="25">
        <f>C40/100*26</f>
        <v>893.1</v>
      </c>
      <c r="K40" s="25">
        <f>C40/100*0.02</f>
        <v>0.68700000000000006</v>
      </c>
      <c r="L40" s="137">
        <v>4580</v>
      </c>
      <c r="M40" s="75">
        <v>22</v>
      </c>
      <c r="N40" s="28">
        <f t="shared" si="5"/>
        <v>100760</v>
      </c>
      <c r="O40" s="153"/>
    </row>
    <row r="41" spans="1:23" s="2" customFormat="1" ht="20.399999999999999" customHeight="1">
      <c r="A41" s="103">
        <v>9</v>
      </c>
      <c r="B41" s="156" t="s">
        <v>145</v>
      </c>
      <c r="C41" s="104">
        <f>L41/100*100</f>
        <v>3950</v>
      </c>
      <c r="D41" s="169">
        <f>C41/100*487</f>
        <v>19236.5</v>
      </c>
      <c r="E41" s="106"/>
      <c r="F41" s="106">
        <f>C41/100*19.5</f>
        <v>770.25</v>
      </c>
      <c r="G41" s="106"/>
      <c r="H41" s="106">
        <f>C41/100*23.2</f>
        <v>916.4</v>
      </c>
      <c r="I41" s="106">
        <f>C41/100*46</f>
        <v>1817</v>
      </c>
      <c r="J41" s="147">
        <f>C41/100*680</f>
        <v>26860</v>
      </c>
      <c r="K41" s="106">
        <f>C41/100*0.55</f>
        <v>21.725000000000001</v>
      </c>
      <c r="L41" s="107">
        <v>3950</v>
      </c>
      <c r="M41" s="157">
        <v>260</v>
      </c>
      <c r="N41" s="171">
        <f t="shared" si="5"/>
        <v>1027000</v>
      </c>
      <c r="O41" s="153"/>
      <c r="P41" s="3"/>
    </row>
    <row r="42" spans="1:23" ht="19.2" customHeight="1">
      <c r="A42" s="190" t="s">
        <v>0</v>
      </c>
      <c r="B42" s="200" t="s">
        <v>19</v>
      </c>
      <c r="C42" s="203" t="s">
        <v>8</v>
      </c>
      <c r="D42" s="203" t="s">
        <v>9</v>
      </c>
      <c r="E42" s="193" t="s">
        <v>11</v>
      </c>
      <c r="F42" s="194"/>
      <c r="G42" s="193" t="s">
        <v>13</v>
      </c>
      <c r="H42" s="194"/>
      <c r="I42" s="197" t="s">
        <v>16</v>
      </c>
      <c r="J42" s="197" t="s">
        <v>41</v>
      </c>
      <c r="K42" s="197" t="s">
        <v>42</v>
      </c>
      <c r="L42" s="197" t="s">
        <v>17</v>
      </c>
      <c r="M42" s="197" t="s">
        <v>55</v>
      </c>
      <c r="N42" s="190" t="s">
        <v>18</v>
      </c>
      <c r="O42" s="374"/>
    </row>
    <row r="43" spans="1:23" ht="19.2" customHeight="1">
      <c r="A43" s="191"/>
      <c r="B43" s="201"/>
      <c r="C43" s="204"/>
      <c r="D43" s="204"/>
      <c r="E43" s="195"/>
      <c r="F43" s="196"/>
      <c r="G43" s="195"/>
      <c r="H43" s="196"/>
      <c r="I43" s="198"/>
      <c r="J43" s="198"/>
      <c r="K43" s="198"/>
      <c r="L43" s="198"/>
      <c r="M43" s="198"/>
      <c r="N43" s="191"/>
      <c r="O43" s="178"/>
    </row>
    <row r="44" spans="1:23" ht="19.2" customHeight="1">
      <c r="A44" s="191"/>
      <c r="B44" s="201"/>
      <c r="C44" s="204"/>
      <c r="D44" s="204"/>
      <c r="E44" s="197" t="s">
        <v>10</v>
      </c>
      <c r="F44" s="197" t="s">
        <v>12</v>
      </c>
      <c r="G44" s="197" t="s">
        <v>14</v>
      </c>
      <c r="H44" s="197" t="s">
        <v>15</v>
      </c>
      <c r="I44" s="198"/>
      <c r="J44" s="198"/>
      <c r="K44" s="198"/>
      <c r="L44" s="198"/>
      <c r="M44" s="198"/>
      <c r="N44" s="191"/>
      <c r="O44" s="178"/>
    </row>
    <row r="45" spans="1:23" ht="30.6" customHeight="1">
      <c r="A45" s="192"/>
      <c r="B45" s="202"/>
      <c r="C45" s="205"/>
      <c r="D45" s="205"/>
      <c r="E45" s="199"/>
      <c r="F45" s="199"/>
      <c r="G45" s="199"/>
      <c r="H45" s="199"/>
      <c r="I45" s="199"/>
      <c r="J45" s="199"/>
      <c r="K45" s="199"/>
      <c r="L45" s="199"/>
      <c r="M45" s="199"/>
      <c r="N45" s="192"/>
      <c r="O45" s="178"/>
    </row>
    <row r="46" spans="1:23" s="2" customFormat="1" ht="22.2" customHeight="1">
      <c r="A46" s="21" t="s">
        <v>106</v>
      </c>
      <c r="B46" s="22"/>
      <c r="C46" s="34"/>
      <c r="D46" s="121">
        <f>SUM(D33:D41)</f>
        <v>53303.028000000006</v>
      </c>
      <c r="E46" s="43"/>
      <c r="F46" s="43"/>
      <c r="G46" s="43"/>
      <c r="H46" s="43"/>
      <c r="I46" s="43"/>
      <c r="J46" s="43"/>
      <c r="K46" s="43"/>
      <c r="L46" s="44"/>
      <c r="M46" s="318"/>
      <c r="N46" s="263">
        <f>SUM(N33:N41)</f>
        <v>2280550</v>
      </c>
      <c r="O46" s="153"/>
    </row>
    <row r="47" spans="1:23" ht="22.2" customHeight="1">
      <c r="A47" s="21" t="s">
        <v>7</v>
      </c>
      <c r="B47" s="22"/>
      <c r="C47" s="45"/>
      <c r="D47" s="46">
        <f>D46/D10</f>
        <v>229.75443103448279</v>
      </c>
      <c r="E47" s="46"/>
      <c r="F47" s="46"/>
      <c r="G47" s="46"/>
      <c r="H47" s="46"/>
      <c r="I47" s="46"/>
      <c r="J47" s="46"/>
      <c r="K47" s="46"/>
      <c r="L47" s="47"/>
      <c r="M47" s="319"/>
      <c r="N47" s="264"/>
      <c r="O47" s="402"/>
      <c r="P47" s="2"/>
      <c r="Q47" s="2"/>
      <c r="R47" s="2"/>
      <c r="S47" s="2"/>
      <c r="T47" s="2"/>
      <c r="U47" s="2"/>
      <c r="V47" s="2"/>
    </row>
    <row r="48" spans="1:23" ht="22.2" customHeight="1">
      <c r="A48" s="301" t="s">
        <v>52</v>
      </c>
      <c r="B48" s="211"/>
      <c r="C48" s="377" t="s">
        <v>147</v>
      </c>
      <c r="D48" s="20" t="s">
        <v>58</v>
      </c>
      <c r="E48" s="46"/>
      <c r="F48" s="46"/>
      <c r="G48" s="46"/>
      <c r="H48" s="46"/>
      <c r="I48" s="46"/>
      <c r="J48" s="48"/>
      <c r="K48" s="48"/>
      <c r="L48" s="47"/>
      <c r="M48" s="47"/>
      <c r="N48" s="179"/>
      <c r="O48" s="4"/>
      <c r="P48" s="2"/>
      <c r="Q48" s="2"/>
      <c r="R48" s="2"/>
      <c r="S48" s="2"/>
      <c r="T48" s="2"/>
      <c r="U48" s="2"/>
      <c r="V48" s="2"/>
      <c r="W48" s="2"/>
    </row>
    <row r="49" spans="1:23" ht="22.2" customHeight="1">
      <c r="A49" s="212"/>
      <c r="B49" s="213"/>
      <c r="C49" s="76" t="s">
        <v>60</v>
      </c>
      <c r="D49" s="20">
        <f>D47*100/1320</f>
        <v>17.405638714733545</v>
      </c>
      <c r="E49" s="46"/>
      <c r="F49" s="46"/>
      <c r="G49" s="46"/>
      <c r="H49" s="46"/>
      <c r="I49" s="46"/>
      <c r="J49" s="48"/>
      <c r="K49" s="48"/>
      <c r="L49" s="47"/>
      <c r="M49" s="47"/>
      <c r="N49" s="179"/>
      <c r="O49" s="4"/>
      <c r="P49" s="2"/>
      <c r="Q49" s="2"/>
      <c r="R49" s="2"/>
      <c r="S49" s="2"/>
      <c r="T49" s="2"/>
      <c r="U49" s="2"/>
      <c r="V49" s="2"/>
      <c r="W49" s="2"/>
    </row>
    <row r="50" spans="1:23" ht="22.2" customHeight="1">
      <c r="A50" s="227" t="s">
        <v>107</v>
      </c>
      <c r="B50" s="228"/>
      <c r="C50" s="231"/>
      <c r="D50" s="302">
        <f>D28+D46</f>
        <v>168155.43510000003</v>
      </c>
      <c r="E50" s="123">
        <f>SUM(E16:E41)</f>
        <v>3742.2048000000004</v>
      </c>
      <c r="F50" s="123">
        <f>SUM(F17:F41)</f>
        <v>3270.9065900000001</v>
      </c>
      <c r="G50" s="123">
        <f>SUM(G17:G41)</f>
        <v>3420.4096</v>
      </c>
      <c r="H50" s="123">
        <f>SUM(H17:H41)</f>
        <v>1458.1966299999999</v>
      </c>
      <c r="I50" s="216">
        <f>SUM(I17:I41)</f>
        <v>23289.709330000002</v>
      </c>
      <c r="J50" s="216">
        <f>SUM(J16:J41)</f>
        <v>69476.345100000006</v>
      </c>
      <c r="K50" s="214">
        <f>SUM(K16:K41)</f>
        <v>152.31407799999999</v>
      </c>
      <c r="L50" s="243"/>
      <c r="M50" s="243"/>
      <c r="N50" s="298">
        <f>N28+N46</f>
        <v>5103910</v>
      </c>
      <c r="U50" s="12"/>
      <c r="V50" s="12"/>
    </row>
    <row r="51" spans="1:23" ht="22.2" customHeight="1">
      <c r="A51" s="229"/>
      <c r="B51" s="230"/>
      <c r="C51" s="232"/>
      <c r="D51" s="303"/>
      <c r="E51" s="225">
        <f>E50+F50</f>
        <v>7013.11139</v>
      </c>
      <c r="F51" s="226"/>
      <c r="G51" s="225">
        <f>G50+H50</f>
        <v>4878.6062299999994</v>
      </c>
      <c r="H51" s="226"/>
      <c r="I51" s="217"/>
      <c r="J51" s="217"/>
      <c r="K51" s="215"/>
      <c r="L51" s="243"/>
      <c r="M51" s="243"/>
      <c r="N51" s="298"/>
      <c r="U51" s="12"/>
      <c r="V51" s="12"/>
    </row>
    <row r="52" spans="1:23" ht="22.2" customHeight="1">
      <c r="A52" s="267" t="s">
        <v>77</v>
      </c>
      <c r="B52" s="268"/>
      <c r="C52" s="269"/>
      <c r="D52" s="138">
        <f>D50/D10</f>
        <v>724.8079099137932</v>
      </c>
      <c r="E52" s="379">
        <f>E50/D10</f>
        <v>16.130193103448278</v>
      </c>
      <c r="F52" s="380">
        <f>F50/D10</f>
        <v>14.098735301724139</v>
      </c>
      <c r="G52" s="379">
        <f>G50/D10</f>
        <v>14.743144827586207</v>
      </c>
      <c r="H52" s="403">
        <f>H50/D10</f>
        <v>6.2853303017241373</v>
      </c>
      <c r="I52" s="208">
        <f>I50/D10</f>
        <v>100.38667814655173</v>
      </c>
      <c r="J52" s="299">
        <f>J50/D10</f>
        <v>299.46700474137936</v>
      </c>
      <c r="K52" s="299">
        <f>K50/D10</f>
        <v>0.65652619827586201</v>
      </c>
      <c r="L52" s="243"/>
      <c r="M52" s="243"/>
      <c r="N52" s="298"/>
      <c r="P52" s="392"/>
      <c r="Q52" s="393"/>
      <c r="R52" s="393"/>
      <c r="S52" s="393"/>
      <c r="T52" s="393"/>
      <c r="U52" s="394"/>
      <c r="V52" s="394"/>
    </row>
    <row r="53" spans="1:23" ht="22.2" customHeight="1">
      <c r="A53" s="270"/>
      <c r="B53" s="271"/>
      <c r="C53" s="272"/>
      <c r="D53" s="408"/>
      <c r="E53" s="381">
        <f>E52+F52</f>
        <v>30.228928405172418</v>
      </c>
      <c r="F53" s="382"/>
      <c r="G53" s="381">
        <f>G52+H52</f>
        <v>21.028475129310344</v>
      </c>
      <c r="H53" s="382"/>
      <c r="I53" s="209"/>
      <c r="J53" s="300"/>
      <c r="K53" s="300"/>
      <c r="L53" s="243"/>
      <c r="M53" s="243"/>
      <c r="N53" s="298"/>
      <c r="P53" s="395"/>
      <c r="Q53" s="393"/>
      <c r="R53" s="393"/>
      <c r="S53" s="393"/>
      <c r="T53" s="393"/>
      <c r="U53" s="393"/>
      <c r="V53" s="393"/>
    </row>
    <row r="54" spans="1:23" ht="22.2" customHeight="1">
      <c r="A54" s="315" t="s">
        <v>80</v>
      </c>
      <c r="B54" s="316"/>
      <c r="C54" s="317"/>
      <c r="D54" s="183" t="s">
        <v>28</v>
      </c>
      <c r="E54" s="235" t="s">
        <v>21</v>
      </c>
      <c r="F54" s="235"/>
      <c r="G54" s="235" t="s">
        <v>22</v>
      </c>
      <c r="H54" s="235"/>
      <c r="I54" s="180" t="s">
        <v>23</v>
      </c>
      <c r="J54" s="383">
        <v>600</v>
      </c>
      <c r="K54" s="383">
        <v>0.7</v>
      </c>
      <c r="L54" s="243"/>
      <c r="M54" s="243"/>
      <c r="N54" s="298"/>
      <c r="O54" s="384"/>
      <c r="P54" s="392"/>
      <c r="Q54" s="397"/>
      <c r="R54" s="397"/>
      <c r="S54" s="397"/>
      <c r="T54" s="397"/>
      <c r="U54" s="392"/>
      <c r="V54" s="392"/>
    </row>
    <row r="55" spans="1:23" ht="22.2" customHeight="1">
      <c r="A55" s="218" t="s">
        <v>78</v>
      </c>
      <c r="B55" s="219"/>
      <c r="C55" s="220"/>
      <c r="D55" s="49"/>
      <c r="E55" s="206">
        <f>E53*4.1</f>
        <v>123.9386064612069</v>
      </c>
      <c r="F55" s="207"/>
      <c r="G55" s="206">
        <f>G53*9</f>
        <v>189.2562761637931</v>
      </c>
      <c r="H55" s="207"/>
      <c r="I55" s="85">
        <f>I52*4.1</f>
        <v>411.58538040086205</v>
      </c>
      <c r="J55" s="253"/>
      <c r="K55" s="253"/>
      <c r="L55" s="243"/>
      <c r="M55" s="243"/>
      <c r="N55" s="298"/>
      <c r="O55" s="384"/>
      <c r="P55" s="396"/>
      <c r="Q55" s="392"/>
      <c r="R55" s="392"/>
      <c r="S55" s="392"/>
      <c r="T55" s="392"/>
      <c r="U55" s="392"/>
      <c r="V55" s="392"/>
    </row>
    <row r="56" spans="1:23" ht="22.2" customHeight="1">
      <c r="A56" s="221" t="s">
        <v>81</v>
      </c>
      <c r="B56" s="222"/>
      <c r="C56" s="218" t="s">
        <v>59</v>
      </c>
      <c r="D56" s="220"/>
      <c r="E56" s="255">
        <f>E55*100/D52</f>
        <v>17.099510748433726</v>
      </c>
      <c r="F56" s="256"/>
      <c r="G56" s="255">
        <f>G55*100/D52</f>
        <v>26.111232172714946</v>
      </c>
      <c r="H56" s="256"/>
      <c r="I56" s="115">
        <f>I55*100/D52</f>
        <v>56.78544270437321</v>
      </c>
      <c r="J56" s="254"/>
      <c r="K56" s="254"/>
      <c r="L56" s="243"/>
      <c r="M56" s="243"/>
      <c r="N56" s="298"/>
      <c r="O56" s="384"/>
    </row>
    <row r="57" spans="1:23" ht="22.2" customHeight="1">
      <c r="A57" s="223"/>
      <c r="B57" s="224"/>
      <c r="C57" s="218" t="s">
        <v>79</v>
      </c>
      <c r="D57" s="220"/>
      <c r="E57" s="218" t="s">
        <v>82</v>
      </c>
      <c r="F57" s="220"/>
      <c r="G57" s="218" t="s">
        <v>83</v>
      </c>
      <c r="H57" s="220"/>
      <c r="I57" s="183" t="s">
        <v>84</v>
      </c>
      <c r="J57" s="234"/>
      <c r="K57" s="234"/>
      <c r="L57" s="243"/>
      <c r="M57" s="243"/>
      <c r="N57" s="298"/>
      <c r="O57" s="384"/>
      <c r="P57" s="132"/>
    </row>
    <row r="58" spans="1:23" ht="22.2" customHeight="1">
      <c r="A58" s="90"/>
      <c r="B58" s="93"/>
      <c r="C58" s="90"/>
      <c r="D58" s="90"/>
      <c r="E58" s="90"/>
      <c r="F58" s="90"/>
      <c r="G58" s="90"/>
      <c r="H58" s="90"/>
      <c r="I58" s="90"/>
      <c r="J58" s="90"/>
      <c r="K58" s="90"/>
      <c r="L58" s="91"/>
      <c r="M58" s="91"/>
      <c r="N58" s="92"/>
      <c r="O58" s="384"/>
    </row>
    <row r="59" spans="1:23" ht="21" customHeight="1">
      <c r="A59" s="293" t="s">
        <v>114</v>
      </c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384"/>
    </row>
    <row r="60" spans="1:23" ht="21" customHeight="1">
      <c r="A60" s="117" t="s">
        <v>115</v>
      </c>
      <c r="B60" s="294" t="s">
        <v>125</v>
      </c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384"/>
    </row>
    <row r="61" spans="1:23" ht="21" customHeight="1">
      <c r="A61" s="118"/>
      <c r="B61" s="258" t="s">
        <v>206</v>
      </c>
      <c r="C61" s="258"/>
      <c r="D61" s="258"/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384"/>
    </row>
    <row r="62" spans="1:23" ht="21" customHeight="1">
      <c r="A62" s="118"/>
      <c r="B62" s="258" t="s">
        <v>179</v>
      </c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384"/>
    </row>
    <row r="63" spans="1:23" ht="21" customHeight="1">
      <c r="A63" s="118"/>
      <c r="B63" s="258" t="s">
        <v>174</v>
      </c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384"/>
    </row>
    <row r="64" spans="1:23" ht="21" customHeight="1">
      <c r="A64" s="90"/>
      <c r="B64" s="259" t="s">
        <v>117</v>
      </c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384"/>
    </row>
    <row r="65" spans="1:20" ht="21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4"/>
      <c r="M65" s="94"/>
      <c r="N65" s="95"/>
      <c r="O65" s="384"/>
    </row>
    <row r="66" spans="1:20" ht="21" customHeight="1">
      <c r="A66" s="260" t="s">
        <v>62</v>
      </c>
      <c r="B66" s="260"/>
      <c r="C66" s="260"/>
      <c r="D66" s="260"/>
      <c r="E66" s="385"/>
      <c r="F66" s="385"/>
      <c r="G66" s="385"/>
      <c r="H66" s="385"/>
      <c r="I66" s="385"/>
      <c r="J66" s="386" t="s">
        <v>33</v>
      </c>
      <c r="K66" s="386"/>
      <c r="L66" s="386"/>
      <c r="M66" s="386"/>
      <c r="N66" s="386"/>
      <c r="O66" s="384"/>
    </row>
    <row r="67" spans="1:20" ht="21" customHeight="1">
      <c r="A67" s="178"/>
      <c r="B67" s="178"/>
      <c r="C67" s="178"/>
      <c r="D67" s="385"/>
      <c r="E67" s="385"/>
      <c r="F67" s="385"/>
      <c r="G67" s="385"/>
      <c r="H67" s="387"/>
      <c r="I67" s="387"/>
      <c r="J67" s="387"/>
      <c r="K67" s="387"/>
      <c r="L67" s="387"/>
      <c r="M67" s="387"/>
      <c r="N67" s="387"/>
      <c r="O67" s="384"/>
    </row>
    <row r="68" spans="1:20" ht="21" customHeight="1">
      <c r="A68" s="178"/>
      <c r="B68" s="178"/>
      <c r="C68" s="178"/>
      <c r="D68" s="385"/>
      <c r="E68" s="385"/>
      <c r="F68" s="385"/>
      <c r="G68" s="385"/>
      <c r="H68" s="387"/>
      <c r="I68" s="387"/>
      <c r="J68" s="387"/>
      <c r="K68" s="387"/>
      <c r="L68" s="387"/>
      <c r="M68" s="387"/>
      <c r="N68" s="387"/>
      <c r="O68" s="384"/>
    </row>
    <row r="69" spans="1:20" ht="21" customHeight="1">
      <c r="A69" s="178"/>
      <c r="B69" s="178"/>
      <c r="C69" s="178"/>
      <c r="D69" s="385"/>
      <c r="E69" s="385"/>
      <c r="F69" s="385"/>
      <c r="G69" s="385"/>
      <c r="H69" s="387"/>
      <c r="I69" s="387"/>
      <c r="J69" s="388" t="s">
        <v>124</v>
      </c>
      <c r="K69" s="388"/>
      <c r="L69" s="388"/>
      <c r="M69" s="388"/>
      <c r="N69" s="388"/>
      <c r="O69" s="384"/>
    </row>
    <row r="70" spans="1:20" ht="22.2" customHeight="1">
      <c r="A70" s="261" t="s">
        <v>91</v>
      </c>
      <c r="B70" s="261"/>
      <c r="C70" s="261"/>
      <c r="D70" s="261"/>
      <c r="E70" s="385"/>
      <c r="F70" s="385"/>
      <c r="G70" s="385"/>
      <c r="H70" s="387"/>
      <c r="I70" s="387"/>
      <c r="J70" s="388"/>
      <c r="K70" s="388"/>
      <c r="L70" s="388"/>
      <c r="M70" s="388"/>
      <c r="N70" s="388"/>
      <c r="O70" s="384"/>
    </row>
    <row r="71" spans="1:20" ht="22.2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4"/>
      <c r="M71" s="94"/>
      <c r="N71" s="95"/>
      <c r="O71" s="384"/>
    </row>
    <row r="72" spans="1:20" ht="22.2" customHeight="1">
      <c r="A72" s="90"/>
      <c r="B72" s="90"/>
      <c r="C72" s="90"/>
      <c r="D72" s="90"/>
      <c r="E72" s="90"/>
      <c r="F72" s="90"/>
      <c r="G72" s="90"/>
      <c r="H72" s="90"/>
      <c r="I72" s="90"/>
      <c r="J72" s="388" t="s">
        <v>127</v>
      </c>
      <c r="K72" s="388"/>
      <c r="L72" s="388"/>
      <c r="M72" s="388"/>
      <c r="N72" s="388"/>
      <c r="O72" s="384"/>
    </row>
    <row r="73" spans="1:20" ht="22.2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4"/>
      <c r="M73" s="94"/>
      <c r="N73" s="95"/>
      <c r="O73" s="384"/>
    </row>
    <row r="74" spans="1:20" ht="22.2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4"/>
      <c r="M74" s="94"/>
      <c r="N74" s="95"/>
      <c r="O74" s="384"/>
    </row>
    <row r="75" spans="1:20" ht="22.2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4"/>
      <c r="M75" s="94"/>
      <c r="N75" s="95"/>
      <c r="O75" s="384"/>
    </row>
    <row r="76" spans="1:20" ht="22.2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4"/>
      <c r="M76" s="94"/>
      <c r="N76" s="95"/>
      <c r="O76" s="384"/>
    </row>
    <row r="77" spans="1:20" ht="22.2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4"/>
      <c r="M77" s="94"/>
      <c r="N77" s="95"/>
      <c r="O77" s="384"/>
    </row>
    <row r="78" spans="1:20" ht="22.2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4"/>
      <c r="M78" s="94"/>
      <c r="N78" s="95"/>
      <c r="O78" s="384"/>
    </row>
    <row r="79" spans="1:20" ht="22.2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4"/>
      <c r="M79" s="94"/>
      <c r="N79" s="95"/>
      <c r="O79" s="384"/>
    </row>
    <row r="80" spans="1:20" ht="17.399999999999999" customHeight="1">
      <c r="A80" s="11" t="s">
        <v>61</v>
      </c>
      <c r="B80" s="8"/>
      <c r="C80" s="8"/>
      <c r="D80" s="8"/>
      <c r="E80" s="8"/>
      <c r="F80" s="188" t="s">
        <v>32</v>
      </c>
      <c r="G80" s="188"/>
      <c r="H80" s="188"/>
      <c r="I80" s="188"/>
      <c r="J80" s="188"/>
      <c r="K80" s="188"/>
      <c r="L80" s="188"/>
      <c r="M80" s="188"/>
      <c r="N80" s="188"/>
      <c r="O80" s="372"/>
      <c r="P80" s="409"/>
      <c r="Q80" s="409"/>
      <c r="R80" s="141"/>
      <c r="S80" s="141"/>
      <c r="T80" s="2"/>
    </row>
    <row r="81" spans="1:20" ht="17.399999999999999" customHeight="1">
      <c r="A81" s="8" t="s">
        <v>205</v>
      </c>
      <c r="B81" s="8"/>
      <c r="C81" s="8"/>
      <c r="D81" s="8"/>
      <c r="E81" s="8"/>
      <c r="F81" s="182"/>
      <c r="G81" s="182"/>
      <c r="H81" s="182"/>
      <c r="I81" s="182"/>
      <c r="J81" s="182"/>
      <c r="K81" s="182"/>
      <c r="L81" s="182"/>
      <c r="M81" s="182"/>
      <c r="N81" s="182"/>
      <c r="O81" s="372"/>
      <c r="P81" s="372"/>
      <c r="T81" s="2"/>
    </row>
    <row r="82" spans="1:20" s="2" customFormat="1" ht="17.399999999999999" customHeight="1">
      <c r="A82" s="235" t="s">
        <v>97</v>
      </c>
      <c r="B82" s="235"/>
      <c r="C82" s="235"/>
      <c r="D82" s="235"/>
      <c r="E82" s="235" t="s">
        <v>89</v>
      </c>
      <c r="F82" s="235"/>
      <c r="G82" s="235"/>
      <c r="H82" s="235"/>
      <c r="I82" s="235"/>
      <c r="J82" s="235"/>
      <c r="K82" s="235"/>
      <c r="L82" s="235"/>
      <c r="M82" s="235"/>
      <c r="N82" s="235"/>
      <c r="O82" s="373"/>
    </row>
    <row r="83" spans="1:20" s="2" customFormat="1" ht="17.399999999999999" customHeight="1">
      <c r="A83" s="235"/>
      <c r="B83" s="235"/>
      <c r="C83" s="235"/>
      <c r="D83" s="235"/>
      <c r="E83" s="235" t="s">
        <v>100</v>
      </c>
      <c r="F83" s="235"/>
      <c r="G83" s="235"/>
      <c r="H83" s="235"/>
      <c r="I83" s="235"/>
      <c r="J83" s="235" t="s">
        <v>101</v>
      </c>
      <c r="K83" s="235"/>
      <c r="L83" s="235"/>
      <c r="M83" s="235"/>
      <c r="N83" s="235"/>
      <c r="O83" s="373"/>
    </row>
    <row r="84" spans="1:20" s="2" customFormat="1" ht="17.399999999999999" customHeight="1">
      <c r="A84" s="265" t="s">
        <v>90</v>
      </c>
      <c r="B84" s="265"/>
      <c r="C84" s="265"/>
      <c r="D84" s="265"/>
      <c r="E84" s="266" t="s">
        <v>144</v>
      </c>
      <c r="F84" s="266"/>
      <c r="G84" s="266"/>
      <c r="H84" s="266"/>
      <c r="I84" s="266"/>
      <c r="J84" s="265" t="s">
        <v>90</v>
      </c>
      <c r="K84" s="265"/>
      <c r="L84" s="265"/>
      <c r="M84" s="265"/>
      <c r="N84" s="265"/>
      <c r="O84" s="373"/>
    </row>
    <row r="85" spans="1:20" s="2" customFormat="1" ht="17.399999999999999" customHeight="1">
      <c r="A85" s="309" t="s">
        <v>153</v>
      </c>
      <c r="B85" s="310"/>
      <c r="C85" s="310"/>
      <c r="D85" s="311"/>
      <c r="E85" s="266"/>
      <c r="F85" s="266"/>
      <c r="G85" s="266"/>
      <c r="H85" s="266"/>
      <c r="I85" s="266"/>
      <c r="J85" s="187" t="s">
        <v>102</v>
      </c>
      <c r="K85" s="187"/>
      <c r="L85" s="187"/>
      <c r="M85" s="187"/>
      <c r="N85" s="187"/>
      <c r="O85" s="373"/>
    </row>
    <row r="86" spans="1:20" s="2" customFormat="1" ht="17.399999999999999" customHeight="1">
      <c r="A86" s="274" t="s">
        <v>171</v>
      </c>
      <c r="B86" s="274"/>
      <c r="C86" s="274"/>
      <c r="D86" s="274"/>
      <c r="E86" s="266"/>
      <c r="F86" s="266"/>
      <c r="G86" s="266"/>
      <c r="H86" s="266"/>
      <c r="I86" s="266"/>
      <c r="J86" s="274" t="s">
        <v>159</v>
      </c>
      <c r="K86" s="274"/>
      <c r="L86" s="274"/>
      <c r="M86" s="274"/>
      <c r="N86" s="274"/>
      <c r="O86" s="285"/>
      <c r="P86" s="285"/>
      <c r="Q86" s="285"/>
      <c r="R86" s="285"/>
    </row>
    <row r="87" spans="1:20" ht="17.399999999999999" customHeight="1">
      <c r="A87" s="275" t="s">
        <v>122</v>
      </c>
      <c r="B87" s="276"/>
      <c r="C87" s="277"/>
      <c r="D87" s="128">
        <v>56</v>
      </c>
      <c r="E87" s="8"/>
      <c r="F87" s="182"/>
      <c r="G87" s="182"/>
      <c r="H87" s="182"/>
      <c r="I87" s="182"/>
      <c r="J87" s="182"/>
      <c r="K87" s="182"/>
      <c r="L87" s="182"/>
      <c r="M87" s="182"/>
      <c r="N87" s="182"/>
      <c r="O87" s="372"/>
      <c r="P87" s="372"/>
      <c r="T87" s="2"/>
    </row>
    <row r="88" spans="1:20" ht="17.399999999999999" customHeight="1">
      <c r="A88" s="190" t="s">
        <v>0</v>
      </c>
      <c r="B88" s="200" t="s">
        <v>19</v>
      </c>
      <c r="C88" s="203" t="s">
        <v>8</v>
      </c>
      <c r="D88" s="203" t="s">
        <v>9</v>
      </c>
      <c r="E88" s="193" t="s">
        <v>11</v>
      </c>
      <c r="F88" s="194"/>
      <c r="G88" s="193" t="s">
        <v>13</v>
      </c>
      <c r="H88" s="194"/>
      <c r="I88" s="197" t="s">
        <v>16</v>
      </c>
      <c r="J88" s="197" t="s">
        <v>41</v>
      </c>
      <c r="K88" s="197" t="s">
        <v>42</v>
      </c>
      <c r="L88" s="197" t="s">
        <v>17</v>
      </c>
      <c r="M88" s="197" t="s">
        <v>55</v>
      </c>
      <c r="N88" s="190" t="s">
        <v>18</v>
      </c>
      <c r="O88" s="374"/>
    </row>
    <row r="89" spans="1:20" ht="17.399999999999999" customHeight="1">
      <c r="A89" s="191"/>
      <c r="B89" s="201"/>
      <c r="C89" s="204"/>
      <c r="D89" s="204"/>
      <c r="E89" s="195"/>
      <c r="F89" s="196"/>
      <c r="G89" s="195"/>
      <c r="H89" s="196"/>
      <c r="I89" s="198"/>
      <c r="J89" s="198"/>
      <c r="K89" s="198"/>
      <c r="L89" s="198"/>
      <c r="M89" s="198"/>
      <c r="N89" s="191"/>
      <c r="O89" s="178"/>
    </row>
    <row r="90" spans="1:20" ht="17.399999999999999" customHeight="1">
      <c r="A90" s="191"/>
      <c r="B90" s="201"/>
      <c r="C90" s="204"/>
      <c r="D90" s="204"/>
      <c r="E90" s="197" t="s">
        <v>10</v>
      </c>
      <c r="F90" s="197" t="s">
        <v>12</v>
      </c>
      <c r="G90" s="197" t="s">
        <v>14</v>
      </c>
      <c r="H90" s="197" t="s">
        <v>15</v>
      </c>
      <c r="I90" s="198"/>
      <c r="J90" s="198"/>
      <c r="K90" s="198"/>
      <c r="L90" s="198"/>
      <c r="M90" s="198"/>
      <c r="N90" s="191"/>
      <c r="O90" s="178"/>
    </row>
    <row r="91" spans="1:20" ht="17.399999999999999" customHeight="1">
      <c r="A91" s="192"/>
      <c r="B91" s="202"/>
      <c r="C91" s="205"/>
      <c r="D91" s="205"/>
      <c r="E91" s="199"/>
      <c r="F91" s="199"/>
      <c r="G91" s="199"/>
      <c r="H91" s="199"/>
      <c r="I91" s="199"/>
      <c r="J91" s="199"/>
      <c r="K91" s="199"/>
      <c r="L91" s="199"/>
      <c r="M91" s="199"/>
      <c r="N91" s="192"/>
      <c r="O91" s="178"/>
    </row>
    <row r="92" spans="1:20" ht="18.600000000000001" customHeight="1">
      <c r="A92" s="237" t="s">
        <v>39</v>
      </c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9"/>
      <c r="O92" s="178"/>
    </row>
    <row r="93" spans="1:20" s="2" customFormat="1" ht="18.600000000000001" customHeight="1">
      <c r="A93" s="9">
        <v>1</v>
      </c>
      <c r="B93" s="10" t="s">
        <v>2</v>
      </c>
      <c r="C93" s="23">
        <f>L93/100*100</f>
        <v>70</v>
      </c>
      <c r="D93" s="24">
        <f>C93/100*60</f>
        <v>42</v>
      </c>
      <c r="E93" s="25">
        <f>C93/100*15</f>
        <v>10.5</v>
      </c>
      <c r="F93" s="25"/>
      <c r="G93" s="25"/>
      <c r="H93" s="25"/>
      <c r="I93" s="25"/>
      <c r="J93" s="27">
        <f>C93/100*387</f>
        <v>270.89999999999998</v>
      </c>
      <c r="K93" s="27">
        <f>C93/100*0.09</f>
        <v>6.3E-2</v>
      </c>
      <c r="L93" s="137">
        <v>70</v>
      </c>
      <c r="M93" s="75">
        <v>20</v>
      </c>
      <c r="N93" s="28">
        <f>L93*M93</f>
        <v>1400</v>
      </c>
      <c r="O93" s="153"/>
    </row>
    <row r="94" spans="1:20" s="2" customFormat="1" ht="18.600000000000001" customHeight="1">
      <c r="A94" s="9">
        <v>2</v>
      </c>
      <c r="B94" s="148" t="s">
        <v>139</v>
      </c>
      <c r="C94" s="23">
        <f>L94/100*100</f>
        <v>280</v>
      </c>
      <c r="D94" s="24">
        <f>C94/100*899</f>
        <v>2517.1999999999998</v>
      </c>
      <c r="E94" s="25"/>
      <c r="F94" s="25"/>
      <c r="G94" s="25">
        <f>C94/100*100</f>
        <v>280</v>
      </c>
      <c r="H94" s="25"/>
      <c r="I94" s="25"/>
      <c r="J94" s="25"/>
      <c r="K94" s="25"/>
      <c r="L94" s="137">
        <v>280</v>
      </c>
      <c r="M94" s="24">
        <v>69</v>
      </c>
      <c r="N94" s="28">
        <f t="shared" ref="N94:N103" si="6">L94*M94</f>
        <v>19320</v>
      </c>
      <c r="O94" s="378"/>
    </row>
    <row r="95" spans="1:20" s="2" customFormat="1" ht="18.600000000000001" customHeight="1">
      <c r="A95" s="9">
        <v>3</v>
      </c>
      <c r="B95" s="148" t="s">
        <v>142</v>
      </c>
      <c r="C95" s="23">
        <f>L95/100*100</f>
        <v>130</v>
      </c>
      <c r="D95" s="120">
        <f>C95/100*900</f>
        <v>1170</v>
      </c>
      <c r="E95" s="25"/>
      <c r="F95" s="25"/>
      <c r="G95" s="119"/>
      <c r="H95" s="25">
        <f>C95/100*100</f>
        <v>130</v>
      </c>
      <c r="I95" s="25"/>
      <c r="J95" s="25"/>
      <c r="K95" s="25"/>
      <c r="L95" s="137">
        <v>130</v>
      </c>
      <c r="M95" s="75">
        <v>65</v>
      </c>
      <c r="N95" s="28">
        <f t="shared" si="6"/>
        <v>8450</v>
      </c>
      <c r="O95" s="378"/>
    </row>
    <row r="96" spans="1:20" s="2" customFormat="1" ht="18.600000000000001" customHeight="1">
      <c r="A96" s="9">
        <v>3</v>
      </c>
      <c r="B96" s="149" t="s">
        <v>1</v>
      </c>
      <c r="C96" s="23">
        <f>L96/100*100</f>
        <v>2408</v>
      </c>
      <c r="D96" s="120">
        <f>C96/100*352.7</f>
        <v>8493.0159999999996</v>
      </c>
      <c r="E96" s="25"/>
      <c r="F96" s="119">
        <f>C96/100*7.9</f>
        <v>190.232</v>
      </c>
      <c r="G96" s="25"/>
      <c r="H96" s="25">
        <f>C96/100*1</f>
        <v>24.08</v>
      </c>
      <c r="I96" s="119">
        <f>C96/100*75.9</f>
        <v>1827.672</v>
      </c>
      <c r="J96" s="27">
        <f>C96/100*30</f>
        <v>722.4</v>
      </c>
      <c r="K96" s="27">
        <f>C96/100*0.1</f>
        <v>2.4079999999999999</v>
      </c>
      <c r="L96" s="399">
        <v>2408</v>
      </c>
      <c r="M96" s="75">
        <v>18</v>
      </c>
      <c r="N96" s="28">
        <f t="shared" si="6"/>
        <v>43344</v>
      </c>
      <c r="O96" s="153"/>
    </row>
    <row r="97" spans="1:23" s="2" customFormat="1" ht="18.600000000000001" customHeight="1">
      <c r="A97" s="9">
        <v>4</v>
      </c>
      <c r="B97" s="148" t="s">
        <v>5</v>
      </c>
      <c r="C97" s="23">
        <f>L97/100*90</f>
        <v>11.700000000000001</v>
      </c>
      <c r="D97" s="24">
        <f>C97/100*281</f>
        <v>32.877000000000002</v>
      </c>
      <c r="E97" s="25"/>
      <c r="F97" s="25">
        <f>C97/100*9.5</f>
        <v>1.1115000000000002</v>
      </c>
      <c r="G97" s="25"/>
      <c r="H97" s="25">
        <f>C97/100*0.2</f>
        <v>2.3400000000000004E-2</v>
      </c>
      <c r="I97" s="25">
        <f>C97/100*58.5</f>
        <v>6.8445</v>
      </c>
      <c r="J97" s="27">
        <f>C97/100*321.3</f>
        <v>37.592100000000002</v>
      </c>
      <c r="K97" s="27">
        <f>C97/100*0.14</f>
        <v>1.6380000000000002E-2</v>
      </c>
      <c r="L97" s="137">
        <v>13</v>
      </c>
      <c r="M97" s="75">
        <v>120</v>
      </c>
      <c r="N97" s="28">
        <f t="shared" si="6"/>
        <v>1560</v>
      </c>
      <c r="O97" s="153"/>
    </row>
    <row r="98" spans="1:23" s="2" customFormat="1" ht="18.600000000000001" customHeight="1">
      <c r="A98" s="9">
        <v>5</v>
      </c>
      <c r="B98" s="148" t="s">
        <v>70</v>
      </c>
      <c r="C98" s="23">
        <f>L98/100*90</f>
        <v>13.5</v>
      </c>
      <c r="D98" s="24">
        <f>C98/100*253</f>
        <v>34.155000000000001</v>
      </c>
      <c r="E98" s="25"/>
      <c r="F98" s="25">
        <f>C98/100*32.4</f>
        <v>4.3739999999999997</v>
      </c>
      <c r="G98" s="25"/>
      <c r="H98" s="25">
        <f>C98/100*3.6</f>
        <v>0.48600000000000004</v>
      </c>
      <c r="I98" s="25">
        <f>C98/100*21.1</f>
        <v>2.8485000000000005</v>
      </c>
      <c r="J98" s="27">
        <f>C98/100*165.6</f>
        <v>22.356000000000002</v>
      </c>
      <c r="K98" s="27">
        <f>C98/100*0.14</f>
        <v>1.8900000000000004E-2</v>
      </c>
      <c r="L98" s="137">
        <v>15</v>
      </c>
      <c r="M98" s="75">
        <v>275</v>
      </c>
      <c r="N98" s="28">
        <f t="shared" si="6"/>
        <v>4125</v>
      </c>
      <c r="O98" s="153"/>
    </row>
    <row r="99" spans="1:23" s="2" customFormat="1" ht="18.600000000000001" customHeight="1">
      <c r="A99" s="9">
        <v>7</v>
      </c>
      <c r="B99" s="149" t="s">
        <v>63</v>
      </c>
      <c r="C99" s="23">
        <f>L99/100*86</f>
        <v>636.4</v>
      </c>
      <c r="D99" s="24">
        <f>C99/100*166</f>
        <v>1056.424</v>
      </c>
      <c r="E99" s="25">
        <f>C99/100*14.8</f>
        <v>94.187200000000004</v>
      </c>
      <c r="F99" s="25"/>
      <c r="G99" s="25">
        <f>C99/100*11.6</f>
        <v>73.822400000000002</v>
      </c>
      <c r="H99" s="25"/>
      <c r="I99" s="25">
        <f>C99/100*0.5</f>
        <v>3.1819999999999999</v>
      </c>
      <c r="J99" s="27">
        <f>C99/100*55</f>
        <v>350.02</v>
      </c>
      <c r="K99" s="27">
        <f>C99/100*0.16</f>
        <v>1.01824</v>
      </c>
      <c r="L99" s="137">
        <v>740</v>
      </c>
      <c r="M99" s="75">
        <v>57</v>
      </c>
      <c r="N99" s="28">
        <f t="shared" si="6"/>
        <v>42180</v>
      </c>
      <c r="O99" s="153"/>
      <c r="Q99" s="3"/>
      <c r="R99" s="3"/>
      <c r="S99" s="4"/>
    </row>
    <row r="100" spans="1:23" s="2" customFormat="1" ht="18.600000000000001" customHeight="1">
      <c r="A100" s="9">
        <v>8</v>
      </c>
      <c r="B100" s="148" t="s">
        <v>71</v>
      </c>
      <c r="C100" s="23">
        <f>L100/100*98</f>
        <v>1430.8</v>
      </c>
      <c r="D100" s="24">
        <f>C100/100*139</f>
        <v>1988.8119999999999</v>
      </c>
      <c r="E100" s="25">
        <f>C100/100*19</f>
        <v>271.85199999999998</v>
      </c>
      <c r="F100" s="25"/>
      <c r="G100" s="25">
        <f>C100/100*7</f>
        <v>100.15600000000001</v>
      </c>
      <c r="H100" s="25"/>
      <c r="I100" s="25"/>
      <c r="J100" s="27">
        <f>C100/100*7</f>
        <v>100.15600000000001</v>
      </c>
      <c r="K100" s="27">
        <f>C100/100*0.9</f>
        <v>12.8772</v>
      </c>
      <c r="L100" s="137">
        <v>1460</v>
      </c>
      <c r="M100" s="75">
        <v>133</v>
      </c>
      <c r="N100" s="28">
        <f t="shared" si="6"/>
        <v>194180</v>
      </c>
      <c r="O100" s="153"/>
    </row>
    <row r="101" spans="1:23" s="2" customFormat="1" ht="18.600000000000001" customHeight="1">
      <c r="A101" s="9">
        <v>9</v>
      </c>
      <c r="B101" s="149" t="s">
        <v>96</v>
      </c>
      <c r="C101" s="23">
        <f>L101/100*90</f>
        <v>450</v>
      </c>
      <c r="D101" s="24">
        <f>C101/100*90</f>
        <v>405</v>
      </c>
      <c r="E101" s="25">
        <f>C101/100*18.4</f>
        <v>82.8</v>
      </c>
      <c r="F101" s="25"/>
      <c r="G101" s="25">
        <f>C101/100*1.8</f>
        <v>8.1</v>
      </c>
      <c r="H101" s="25"/>
      <c r="I101" s="25"/>
      <c r="J101" s="81">
        <f>C101/100*1120</f>
        <v>5040</v>
      </c>
      <c r="K101" s="27">
        <f>C101/100*0.02</f>
        <v>0.09</v>
      </c>
      <c r="L101" s="137">
        <v>500</v>
      </c>
      <c r="M101" s="26">
        <v>260</v>
      </c>
      <c r="N101" s="124">
        <f t="shared" si="6"/>
        <v>130000</v>
      </c>
      <c r="O101" s="153"/>
      <c r="Q101" s="3"/>
      <c r="R101" s="3"/>
      <c r="S101" s="4"/>
    </row>
    <row r="102" spans="1:23" s="2" customFormat="1" ht="18" customHeight="1">
      <c r="A102" s="9">
        <v>10</v>
      </c>
      <c r="B102" s="5" t="s">
        <v>168</v>
      </c>
      <c r="C102" s="23">
        <f>L102/100*90</f>
        <v>1431</v>
      </c>
      <c r="D102" s="24">
        <f>C102/100*29</f>
        <v>414.99</v>
      </c>
      <c r="E102" s="25"/>
      <c r="F102" s="25">
        <f>C102/100*1.8</f>
        <v>25.758000000000003</v>
      </c>
      <c r="G102" s="25"/>
      <c r="H102" s="25">
        <f>C102/100*0.1</f>
        <v>1.431</v>
      </c>
      <c r="I102" s="25">
        <f>C102/100*5.3</f>
        <v>75.843000000000004</v>
      </c>
      <c r="J102" s="25">
        <f>C102/100*48</f>
        <v>686.88</v>
      </c>
      <c r="K102" s="25">
        <f>C102/100*0.05</f>
        <v>0.71550000000000002</v>
      </c>
      <c r="L102" s="137">
        <v>1590</v>
      </c>
      <c r="M102" s="75">
        <v>13</v>
      </c>
      <c r="N102" s="28">
        <f t="shared" si="6"/>
        <v>20670</v>
      </c>
      <c r="O102" s="153"/>
    </row>
    <row r="103" spans="1:23" s="2" customFormat="1" ht="18.600000000000001" customHeight="1">
      <c r="A103" s="9">
        <v>11</v>
      </c>
      <c r="B103" s="5" t="s">
        <v>134</v>
      </c>
      <c r="C103" s="23">
        <f>L103/100*100</f>
        <v>40</v>
      </c>
      <c r="D103" s="24">
        <f>C103/100*247</f>
        <v>98.800000000000011</v>
      </c>
      <c r="E103" s="29"/>
      <c r="F103" s="29">
        <f>C103/100*17.5</f>
        <v>7</v>
      </c>
      <c r="G103" s="29"/>
      <c r="H103" s="29">
        <f>C103/100*1.6</f>
        <v>0.64000000000000012</v>
      </c>
      <c r="I103" s="29">
        <f>C103/100*39.2</f>
        <v>15.680000000000001</v>
      </c>
      <c r="J103" s="71"/>
      <c r="K103" s="71"/>
      <c r="L103" s="375">
        <v>40</v>
      </c>
      <c r="M103" s="75">
        <v>50</v>
      </c>
      <c r="N103" s="28">
        <f t="shared" si="6"/>
        <v>2000</v>
      </c>
      <c r="O103" s="153"/>
      <c r="Q103" s="3"/>
      <c r="R103" s="3"/>
      <c r="S103" s="4"/>
      <c r="T103" s="3"/>
    </row>
    <row r="104" spans="1:23" s="2" customFormat="1" ht="18.600000000000001" customHeight="1">
      <c r="A104" s="9">
        <v>12</v>
      </c>
      <c r="B104" s="6" t="s">
        <v>123</v>
      </c>
      <c r="C104" s="23"/>
      <c r="D104" s="139"/>
      <c r="E104" s="25"/>
      <c r="F104" s="25"/>
      <c r="G104" s="25"/>
      <c r="H104" s="25"/>
      <c r="I104" s="25"/>
      <c r="J104" s="27"/>
      <c r="K104" s="27"/>
      <c r="L104" s="26"/>
      <c r="M104" s="26"/>
      <c r="N104" s="28">
        <v>4000</v>
      </c>
      <c r="O104" s="153"/>
    </row>
    <row r="105" spans="1:23" s="2" customFormat="1" ht="18.600000000000001" customHeight="1">
      <c r="A105" s="21" t="s">
        <v>118</v>
      </c>
      <c r="B105" s="22"/>
      <c r="C105" s="34"/>
      <c r="D105" s="121">
        <f>SUM(D93:D104)</f>
        <v>16253.274000000001</v>
      </c>
      <c r="E105" s="43"/>
      <c r="F105" s="43"/>
      <c r="G105" s="43"/>
      <c r="H105" s="43"/>
      <c r="I105" s="43"/>
      <c r="J105" s="43"/>
      <c r="K105" s="43"/>
      <c r="L105" s="44"/>
      <c r="M105" s="318"/>
      <c r="N105" s="278">
        <f>SUM(N93:N104)</f>
        <v>471229</v>
      </c>
      <c r="O105" s="153"/>
    </row>
    <row r="106" spans="1:23" ht="18.600000000000001" customHeight="1">
      <c r="A106" s="21" t="s">
        <v>37</v>
      </c>
      <c r="B106" s="22"/>
      <c r="C106" s="45"/>
      <c r="D106" s="46">
        <f>D105/D87</f>
        <v>290.23703571428575</v>
      </c>
      <c r="E106" s="46"/>
      <c r="F106" s="46"/>
      <c r="G106" s="46"/>
      <c r="H106" s="46"/>
      <c r="I106" s="46"/>
      <c r="J106" s="46"/>
      <c r="K106" s="46"/>
      <c r="L106" s="47"/>
      <c r="M106" s="319"/>
      <c r="N106" s="280"/>
      <c r="O106" s="402"/>
      <c r="P106" s="2"/>
      <c r="Q106" s="2"/>
      <c r="R106" s="2"/>
      <c r="S106" s="2"/>
      <c r="T106" s="2"/>
      <c r="U106" s="2"/>
      <c r="V106" s="2"/>
    </row>
    <row r="107" spans="1:23" ht="18.600000000000001" customHeight="1">
      <c r="A107" s="301" t="s">
        <v>53</v>
      </c>
      <c r="B107" s="211"/>
      <c r="C107" s="377" t="s">
        <v>147</v>
      </c>
      <c r="D107" s="20" t="s">
        <v>45</v>
      </c>
      <c r="E107" s="46"/>
      <c r="F107" s="46"/>
      <c r="G107" s="46"/>
      <c r="H107" s="46"/>
      <c r="I107" s="46"/>
      <c r="J107" s="48"/>
      <c r="K107" s="48"/>
      <c r="L107" s="47"/>
      <c r="M107" s="47"/>
      <c r="N107" s="179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8.600000000000001" customHeight="1">
      <c r="A108" s="212"/>
      <c r="B108" s="213"/>
      <c r="C108" s="76" t="s">
        <v>60</v>
      </c>
      <c r="D108" s="78">
        <f>D106*100/930</f>
        <v>31.20828341013825</v>
      </c>
      <c r="E108" s="46"/>
      <c r="F108" s="46"/>
      <c r="G108" s="46"/>
      <c r="H108" s="46"/>
      <c r="I108" s="46"/>
      <c r="J108" s="48"/>
      <c r="K108" s="48"/>
      <c r="L108" s="47"/>
      <c r="M108" s="47"/>
      <c r="N108" s="179"/>
      <c r="O108" s="4"/>
      <c r="P108" s="2"/>
      <c r="Q108" s="2"/>
      <c r="R108" s="2"/>
      <c r="S108" s="2"/>
      <c r="T108" s="2"/>
      <c r="U108" s="2"/>
      <c r="V108" s="2"/>
      <c r="W108" s="2"/>
    </row>
    <row r="109" spans="1:23" s="2" customFormat="1" ht="18.600000000000001" customHeight="1">
      <c r="A109" s="273" t="s">
        <v>38</v>
      </c>
      <c r="B109" s="273"/>
      <c r="C109" s="56"/>
      <c r="D109" s="57"/>
      <c r="E109" s="58"/>
      <c r="F109" s="58"/>
      <c r="G109" s="58"/>
      <c r="H109" s="58"/>
      <c r="I109" s="58"/>
      <c r="J109" s="58"/>
      <c r="K109" s="58"/>
      <c r="L109" s="59"/>
      <c r="M109" s="59"/>
      <c r="N109" s="60"/>
      <c r="O109" s="153"/>
    </row>
    <row r="110" spans="1:23" s="2" customFormat="1" ht="18.600000000000001" customHeight="1">
      <c r="A110" s="9">
        <v>1</v>
      </c>
      <c r="B110" s="10" t="s">
        <v>2</v>
      </c>
      <c r="C110" s="23">
        <f>L110/100*100</f>
        <v>70</v>
      </c>
      <c r="D110" s="24">
        <f>C110/100*60</f>
        <v>42</v>
      </c>
      <c r="E110" s="25">
        <f>C110/100*15</f>
        <v>10.5</v>
      </c>
      <c r="F110" s="25"/>
      <c r="G110" s="25"/>
      <c r="H110" s="25"/>
      <c r="I110" s="25"/>
      <c r="J110" s="27">
        <f>C110/100*387</f>
        <v>270.89999999999998</v>
      </c>
      <c r="K110" s="27">
        <f>C110/100*0.09</f>
        <v>6.3E-2</v>
      </c>
      <c r="L110" s="137">
        <v>70</v>
      </c>
      <c r="M110" s="75">
        <v>20</v>
      </c>
      <c r="N110" s="28">
        <f>L110*M110</f>
        <v>1400</v>
      </c>
      <c r="O110" s="153"/>
    </row>
    <row r="111" spans="1:23" s="2" customFormat="1" ht="18.600000000000001" customHeight="1">
      <c r="A111" s="9">
        <v>2</v>
      </c>
      <c r="B111" s="10" t="s">
        <v>139</v>
      </c>
      <c r="C111" s="23">
        <f>L111/100*100</f>
        <v>220.00000000000003</v>
      </c>
      <c r="D111" s="24">
        <f>C111/100*899</f>
        <v>1977.8000000000002</v>
      </c>
      <c r="E111" s="25"/>
      <c r="F111" s="25"/>
      <c r="G111" s="25">
        <f>C111/100*100</f>
        <v>220.00000000000003</v>
      </c>
      <c r="H111" s="25"/>
      <c r="I111" s="25"/>
      <c r="J111" s="27"/>
      <c r="K111" s="27"/>
      <c r="L111" s="137">
        <v>220</v>
      </c>
      <c r="M111" s="75">
        <v>69</v>
      </c>
      <c r="N111" s="28">
        <f t="shared" ref="N111" si="7">L111*M111</f>
        <v>15180</v>
      </c>
      <c r="O111" s="153"/>
    </row>
    <row r="112" spans="1:23" s="2" customFormat="1" ht="18.600000000000001" customHeight="1">
      <c r="A112" s="9">
        <v>3</v>
      </c>
      <c r="B112" s="5" t="s">
        <v>1</v>
      </c>
      <c r="C112" s="23">
        <f>L112/100*100</f>
        <v>2352</v>
      </c>
      <c r="D112" s="24">
        <f>C112/100*352.7</f>
        <v>8295.503999999999</v>
      </c>
      <c r="E112" s="25"/>
      <c r="F112" s="25">
        <f>C112/100*7.9</f>
        <v>185.80799999999999</v>
      </c>
      <c r="G112" s="25"/>
      <c r="H112" s="25">
        <f>C112/100*1</f>
        <v>23.52</v>
      </c>
      <c r="I112" s="25">
        <f>C112/100*75.9</f>
        <v>1785.1680000000001</v>
      </c>
      <c r="J112" s="27">
        <f>C112/100*30</f>
        <v>705.6</v>
      </c>
      <c r="K112" s="27">
        <f>C112/100*0.1</f>
        <v>2.3519999999999999</v>
      </c>
      <c r="L112" s="137">
        <v>2352</v>
      </c>
      <c r="M112" s="75">
        <v>18</v>
      </c>
      <c r="N112" s="28">
        <f t="shared" ref="N112:N117" si="8">L112*M112</f>
        <v>42336</v>
      </c>
      <c r="O112" s="153"/>
    </row>
    <row r="113" spans="1:23" s="2" customFormat="1" ht="18.600000000000001" customHeight="1">
      <c r="A113" s="9">
        <v>4</v>
      </c>
      <c r="B113" s="5" t="s">
        <v>134</v>
      </c>
      <c r="C113" s="23">
        <f>L113/100*100</f>
        <v>40</v>
      </c>
      <c r="D113" s="24">
        <f>C113/100*247</f>
        <v>98.800000000000011</v>
      </c>
      <c r="E113" s="29"/>
      <c r="F113" s="29">
        <f>C113/100*17.5</f>
        <v>7</v>
      </c>
      <c r="G113" s="29"/>
      <c r="H113" s="29">
        <f>C113/100*1.6</f>
        <v>0.64000000000000012</v>
      </c>
      <c r="I113" s="29">
        <f>C113/100*39.2</f>
        <v>15.680000000000001</v>
      </c>
      <c r="J113" s="71"/>
      <c r="K113" s="71"/>
      <c r="L113" s="375">
        <v>40</v>
      </c>
      <c r="M113" s="75">
        <v>50</v>
      </c>
      <c r="N113" s="28">
        <f t="shared" si="8"/>
        <v>2000</v>
      </c>
      <c r="O113" s="153"/>
      <c r="Q113" s="3"/>
      <c r="R113" s="3"/>
      <c r="S113" s="4"/>
      <c r="T113" s="3"/>
    </row>
    <row r="114" spans="1:23" s="2" customFormat="1" ht="18.600000000000001" customHeight="1">
      <c r="A114" s="9">
        <v>5</v>
      </c>
      <c r="B114" s="10" t="s">
        <v>70</v>
      </c>
      <c r="C114" s="23">
        <f>L114/100*90</f>
        <v>13.5</v>
      </c>
      <c r="D114" s="24">
        <f>C114/100*253</f>
        <v>34.155000000000001</v>
      </c>
      <c r="E114" s="25"/>
      <c r="F114" s="25">
        <f>C114/100*32.4</f>
        <v>4.3739999999999997</v>
      </c>
      <c r="G114" s="25"/>
      <c r="H114" s="25">
        <f>C114/100*3.6</f>
        <v>0.48600000000000004</v>
      </c>
      <c r="I114" s="25">
        <f>C114/100*21.1</f>
        <v>2.8485000000000005</v>
      </c>
      <c r="J114" s="27">
        <f>C114/100*165.6</f>
        <v>22.356000000000002</v>
      </c>
      <c r="K114" s="27">
        <f>C114/100*0.14</f>
        <v>1.8900000000000004E-2</v>
      </c>
      <c r="L114" s="137">
        <v>15</v>
      </c>
      <c r="M114" s="75">
        <v>275</v>
      </c>
      <c r="N114" s="28">
        <f t="shared" si="8"/>
        <v>4125</v>
      </c>
      <c r="O114" s="153"/>
    </row>
    <row r="115" spans="1:23" s="2" customFormat="1" ht="18.600000000000001" customHeight="1">
      <c r="A115" s="9">
        <v>6</v>
      </c>
      <c r="B115" s="5" t="s">
        <v>75</v>
      </c>
      <c r="C115" s="23">
        <f>L115/100*75</f>
        <v>1342.5</v>
      </c>
      <c r="D115" s="24">
        <f>C115/100*12</f>
        <v>161.10000000000002</v>
      </c>
      <c r="E115" s="25"/>
      <c r="F115" s="25">
        <f>C115/100*0.6</f>
        <v>8.0549999999999997</v>
      </c>
      <c r="G115" s="25"/>
      <c r="H115" s="25"/>
      <c r="I115" s="25">
        <f>C115/100*2.4</f>
        <v>32.22</v>
      </c>
      <c r="J115" s="25">
        <f>C115/100*26</f>
        <v>349.05</v>
      </c>
      <c r="K115" s="25">
        <f>C115/100*0.02</f>
        <v>0.26850000000000002</v>
      </c>
      <c r="L115" s="137">
        <v>1790</v>
      </c>
      <c r="M115" s="75">
        <v>22</v>
      </c>
      <c r="N115" s="28">
        <f t="shared" si="8"/>
        <v>39380</v>
      </c>
      <c r="O115" s="153"/>
    </row>
    <row r="116" spans="1:23" s="2" customFormat="1" ht="18.600000000000001" customHeight="1">
      <c r="A116" s="9">
        <v>7</v>
      </c>
      <c r="B116" s="10" t="s">
        <v>71</v>
      </c>
      <c r="C116" s="23">
        <f>L116/100*98</f>
        <v>548.79999999999995</v>
      </c>
      <c r="D116" s="24">
        <f>C116/100*139</f>
        <v>762.83199999999988</v>
      </c>
      <c r="E116" s="25">
        <f>C116/100*19</f>
        <v>104.27199999999999</v>
      </c>
      <c r="F116" s="25"/>
      <c r="G116" s="25">
        <f>C116/100*7</f>
        <v>38.415999999999997</v>
      </c>
      <c r="H116" s="25"/>
      <c r="I116" s="25"/>
      <c r="J116" s="27">
        <f>C116/100*7</f>
        <v>38.415999999999997</v>
      </c>
      <c r="K116" s="27">
        <f>C116/100*0.9</f>
        <v>4.9391999999999996</v>
      </c>
      <c r="L116" s="137">
        <v>560</v>
      </c>
      <c r="M116" s="75">
        <v>133</v>
      </c>
      <c r="N116" s="28">
        <f t="shared" si="8"/>
        <v>74480</v>
      </c>
      <c r="O116" s="153"/>
    </row>
    <row r="117" spans="1:23" s="2" customFormat="1" ht="18.600000000000001" customHeight="1">
      <c r="A117" s="9">
        <v>8</v>
      </c>
      <c r="B117" s="10" t="s">
        <v>92</v>
      </c>
      <c r="C117" s="23">
        <f>L117/100*48</f>
        <v>1891.1999999999998</v>
      </c>
      <c r="D117" s="24">
        <f>C117/100*199</f>
        <v>3763.4879999999998</v>
      </c>
      <c r="E117" s="25">
        <f>C117/100*20.3</f>
        <v>383.91359999999997</v>
      </c>
      <c r="F117" s="25"/>
      <c r="G117" s="25">
        <f>C117/100*13.1</f>
        <v>247.74719999999999</v>
      </c>
      <c r="H117" s="25"/>
      <c r="I117" s="25"/>
      <c r="J117" s="27">
        <f>C117/100*12</f>
        <v>226.94399999999999</v>
      </c>
      <c r="K117" s="27">
        <f>C117/100*0.15</f>
        <v>2.8367999999999998</v>
      </c>
      <c r="L117" s="137">
        <v>3940</v>
      </c>
      <c r="M117" s="75">
        <v>84</v>
      </c>
      <c r="N117" s="28">
        <f t="shared" si="8"/>
        <v>330960</v>
      </c>
      <c r="O117" s="153"/>
      <c r="Q117" s="153"/>
    </row>
    <row r="118" spans="1:23" s="2" customFormat="1" ht="18.600000000000001" customHeight="1">
      <c r="A118" s="9">
        <v>9</v>
      </c>
      <c r="B118" s="6" t="s">
        <v>123</v>
      </c>
      <c r="C118" s="23"/>
      <c r="D118" s="139"/>
      <c r="E118" s="25"/>
      <c r="F118" s="25"/>
      <c r="G118" s="25"/>
      <c r="H118" s="25"/>
      <c r="I118" s="25"/>
      <c r="J118" s="27"/>
      <c r="K118" s="27"/>
      <c r="L118" s="26"/>
      <c r="M118" s="26"/>
      <c r="N118" s="28">
        <v>4000</v>
      </c>
      <c r="O118" s="153"/>
    </row>
    <row r="119" spans="1:23" s="2" customFormat="1" ht="18.600000000000001" customHeight="1">
      <c r="A119" s="21" t="s">
        <v>119</v>
      </c>
      <c r="B119" s="22"/>
      <c r="C119" s="34"/>
      <c r="D119" s="121">
        <f>SUM(D110:D118)</f>
        <v>15135.679</v>
      </c>
      <c r="E119" s="43"/>
      <c r="F119" s="43"/>
      <c r="G119" s="43"/>
      <c r="H119" s="43"/>
      <c r="I119" s="43"/>
      <c r="J119" s="43"/>
      <c r="K119" s="43"/>
      <c r="L119" s="44"/>
      <c r="M119" s="318"/>
      <c r="N119" s="278">
        <f>SUM(N110:N118)</f>
        <v>513861</v>
      </c>
      <c r="O119" s="153"/>
    </row>
    <row r="120" spans="1:23" ht="18.600000000000001" customHeight="1">
      <c r="A120" s="21" t="s">
        <v>36</v>
      </c>
      <c r="B120" s="22"/>
      <c r="C120" s="61"/>
      <c r="D120" s="48">
        <f>D119/D87</f>
        <v>270.27998214285714</v>
      </c>
      <c r="E120" s="48"/>
      <c r="F120" s="48"/>
      <c r="G120" s="48"/>
      <c r="H120" s="48"/>
      <c r="I120" s="48"/>
      <c r="J120" s="48"/>
      <c r="K120" s="48"/>
      <c r="L120" s="62"/>
      <c r="M120" s="319"/>
      <c r="N120" s="279"/>
      <c r="O120" s="402"/>
      <c r="P120" s="2"/>
      <c r="Q120" s="2"/>
      <c r="R120" s="2"/>
      <c r="S120" s="2"/>
      <c r="T120" s="2"/>
      <c r="U120" s="2"/>
      <c r="V120" s="2"/>
    </row>
    <row r="121" spans="1:23" ht="18.600000000000001" customHeight="1">
      <c r="A121" s="301" t="s">
        <v>54</v>
      </c>
      <c r="B121" s="211"/>
      <c r="C121" s="377" t="s">
        <v>147</v>
      </c>
      <c r="D121" s="20" t="s">
        <v>46</v>
      </c>
      <c r="E121" s="46"/>
      <c r="F121" s="46"/>
      <c r="G121" s="46"/>
      <c r="H121" s="46"/>
      <c r="I121" s="46"/>
      <c r="J121" s="48"/>
      <c r="K121" s="48"/>
      <c r="L121" s="47"/>
      <c r="M121" s="47"/>
      <c r="N121" s="179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8.600000000000001" customHeight="1">
      <c r="A122" s="212"/>
      <c r="B122" s="213"/>
      <c r="C122" s="76" t="s">
        <v>60</v>
      </c>
      <c r="D122" s="78">
        <f>D120*100/930</f>
        <v>29.062363671274962</v>
      </c>
      <c r="E122" s="46"/>
      <c r="F122" s="46"/>
      <c r="G122" s="46"/>
      <c r="H122" s="46"/>
      <c r="I122" s="46"/>
      <c r="J122" s="48"/>
      <c r="K122" s="48"/>
      <c r="L122" s="47"/>
      <c r="M122" s="47"/>
      <c r="N122" s="179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8.600000000000001" customHeight="1">
      <c r="A123" s="273" t="s">
        <v>35</v>
      </c>
      <c r="B123" s="273"/>
      <c r="C123" s="63"/>
      <c r="D123" s="64"/>
      <c r="E123" s="64"/>
      <c r="F123" s="64"/>
      <c r="G123" s="64"/>
      <c r="H123" s="64"/>
      <c r="I123" s="64"/>
      <c r="J123" s="64"/>
      <c r="K123" s="64"/>
      <c r="L123" s="65"/>
      <c r="M123" s="65"/>
      <c r="N123" s="66"/>
      <c r="O123" s="402"/>
      <c r="P123" s="2"/>
      <c r="Q123" s="2"/>
      <c r="R123" s="2"/>
      <c r="S123" s="2"/>
      <c r="T123" s="2"/>
      <c r="U123" s="2"/>
      <c r="V123" s="2"/>
    </row>
    <row r="124" spans="1:23" s="2" customFormat="1" ht="18.600000000000001" customHeight="1">
      <c r="A124" s="103">
        <v>1</v>
      </c>
      <c r="B124" s="156" t="s">
        <v>145</v>
      </c>
      <c r="C124" s="104">
        <f>L124/100*100</f>
        <v>950</v>
      </c>
      <c r="D124" s="105">
        <f>C124/100*487</f>
        <v>4626.5</v>
      </c>
      <c r="E124" s="106"/>
      <c r="F124" s="106">
        <f>C124/100*19.5</f>
        <v>185.25</v>
      </c>
      <c r="G124" s="106"/>
      <c r="H124" s="106">
        <f>C124/100*23.2</f>
        <v>220.4</v>
      </c>
      <c r="I124" s="106">
        <f>C124/100*46</f>
        <v>437</v>
      </c>
      <c r="J124" s="147">
        <f>C124/100*680</f>
        <v>6460</v>
      </c>
      <c r="K124" s="106">
        <f>C124/100*0.55</f>
        <v>5.2250000000000005</v>
      </c>
      <c r="L124" s="107">
        <v>950</v>
      </c>
      <c r="M124" s="157">
        <v>260</v>
      </c>
      <c r="N124" s="108">
        <f t="shared" ref="N124" si="9">L124*M124</f>
        <v>247000</v>
      </c>
      <c r="O124" s="153"/>
      <c r="P124" s="3"/>
    </row>
    <row r="125" spans="1:23" ht="17.399999999999999" customHeight="1">
      <c r="A125" s="190" t="s">
        <v>0</v>
      </c>
      <c r="B125" s="200" t="s">
        <v>19</v>
      </c>
      <c r="C125" s="203" t="s">
        <v>8</v>
      </c>
      <c r="D125" s="203" t="s">
        <v>9</v>
      </c>
      <c r="E125" s="193" t="s">
        <v>11</v>
      </c>
      <c r="F125" s="194"/>
      <c r="G125" s="193" t="s">
        <v>13</v>
      </c>
      <c r="H125" s="194"/>
      <c r="I125" s="197" t="s">
        <v>16</v>
      </c>
      <c r="J125" s="197" t="s">
        <v>41</v>
      </c>
      <c r="K125" s="197" t="s">
        <v>42</v>
      </c>
      <c r="L125" s="197" t="s">
        <v>17</v>
      </c>
      <c r="M125" s="197" t="s">
        <v>55</v>
      </c>
      <c r="N125" s="190" t="s">
        <v>18</v>
      </c>
      <c r="O125" s="374"/>
    </row>
    <row r="126" spans="1:23" ht="17.399999999999999" customHeight="1">
      <c r="A126" s="191"/>
      <c r="B126" s="201"/>
      <c r="C126" s="204"/>
      <c r="D126" s="204"/>
      <c r="E126" s="195"/>
      <c r="F126" s="196"/>
      <c r="G126" s="195"/>
      <c r="H126" s="196"/>
      <c r="I126" s="198"/>
      <c r="J126" s="198"/>
      <c r="K126" s="198"/>
      <c r="L126" s="198"/>
      <c r="M126" s="198"/>
      <c r="N126" s="191"/>
      <c r="O126" s="178"/>
    </row>
    <row r="127" spans="1:23" ht="17.399999999999999" customHeight="1">
      <c r="A127" s="191"/>
      <c r="B127" s="201"/>
      <c r="C127" s="204"/>
      <c r="D127" s="204"/>
      <c r="E127" s="197" t="s">
        <v>10</v>
      </c>
      <c r="F127" s="197" t="s">
        <v>12</v>
      </c>
      <c r="G127" s="197" t="s">
        <v>14</v>
      </c>
      <c r="H127" s="197" t="s">
        <v>15</v>
      </c>
      <c r="I127" s="198"/>
      <c r="J127" s="198"/>
      <c r="K127" s="198"/>
      <c r="L127" s="198"/>
      <c r="M127" s="198"/>
      <c r="N127" s="191"/>
      <c r="O127" s="178"/>
    </row>
    <row r="128" spans="1:23" ht="17.399999999999999" customHeight="1">
      <c r="A128" s="192"/>
      <c r="B128" s="202"/>
      <c r="C128" s="205"/>
      <c r="D128" s="205"/>
      <c r="E128" s="199"/>
      <c r="F128" s="199"/>
      <c r="G128" s="199"/>
      <c r="H128" s="199"/>
      <c r="I128" s="199"/>
      <c r="J128" s="199"/>
      <c r="K128" s="199"/>
      <c r="L128" s="199"/>
      <c r="M128" s="199"/>
      <c r="N128" s="192"/>
      <c r="O128" s="178"/>
    </row>
    <row r="129" spans="1:23" s="2" customFormat="1" ht="18" customHeight="1">
      <c r="A129" s="21" t="s">
        <v>106</v>
      </c>
      <c r="B129" s="22"/>
      <c r="C129" s="34"/>
      <c r="D129" s="35">
        <f>SUM(D123:D124)</f>
        <v>4626.5</v>
      </c>
      <c r="E129" s="43"/>
      <c r="F129" s="43"/>
      <c r="G129" s="43"/>
      <c r="H129" s="43"/>
      <c r="I129" s="43"/>
      <c r="J129" s="43"/>
      <c r="K129" s="43"/>
      <c r="L129" s="44"/>
      <c r="M129" s="318"/>
      <c r="N129" s="278">
        <f>SUM(N123:N124)</f>
        <v>247000</v>
      </c>
      <c r="O129" s="153"/>
    </row>
    <row r="130" spans="1:23" ht="18" customHeight="1">
      <c r="A130" s="21" t="s">
        <v>7</v>
      </c>
      <c r="B130" s="22"/>
      <c r="C130" s="45"/>
      <c r="D130" s="46">
        <f>D129/D87</f>
        <v>82.616071428571431</v>
      </c>
      <c r="E130" s="46"/>
      <c r="F130" s="46"/>
      <c r="G130" s="46"/>
      <c r="H130" s="46"/>
      <c r="I130" s="46"/>
      <c r="J130" s="46"/>
      <c r="K130" s="46"/>
      <c r="L130" s="47"/>
      <c r="M130" s="319"/>
      <c r="N130" s="280"/>
      <c r="O130" s="402"/>
      <c r="P130" s="2"/>
      <c r="Q130" s="2"/>
      <c r="R130" s="2"/>
      <c r="S130" s="2"/>
      <c r="T130" s="2"/>
      <c r="U130" s="2"/>
      <c r="V130" s="2"/>
    </row>
    <row r="131" spans="1:23" ht="18" customHeight="1">
      <c r="A131" s="301" t="s">
        <v>52</v>
      </c>
      <c r="B131" s="211"/>
      <c r="C131" s="377" t="s">
        <v>147</v>
      </c>
      <c r="D131" s="20" t="s">
        <v>50</v>
      </c>
      <c r="E131" s="46"/>
      <c r="F131" s="46"/>
      <c r="G131" s="46"/>
      <c r="H131" s="46"/>
      <c r="I131" s="46"/>
      <c r="J131" s="48"/>
      <c r="K131" s="48"/>
      <c r="L131" s="47"/>
      <c r="M131" s="47"/>
      <c r="N131" s="179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18" customHeight="1">
      <c r="A132" s="212"/>
      <c r="B132" s="213"/>
      <c r="C132" s="76" t="s">
        <v>60</v>
      </c>
      <c r="D132" s="20">
        <f>D130*100/930</f>
        <v>8.8834485407066062</v>
      </c>
      <c r="E132" s="46"/>
      <c r="F132" s="46"/>
      <c r="G132" s="46"/>
      <c r="H132" s="46"/>
      <c r="I132" s="46"/>
      <c r="J132" s="48"/>
      <c r="K132" s="48"/>
      <c r="L132" s="47"/>
      <c r="M132" s="47"/>
      <c r="N132" s="179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18" customHeight="1">
      <c r="A133" s="227" t="s">
        <v>107</v>
      </c>
      <c r="B133" s="228"/>
      <c r="C133" s="231"/>
      <c r="D133" s="296">
        <f>D105+D119+D129</f>
        <v>36015.453000000001</v>
      </c>
      <c r="E133" s="7">
        <f>SUM(E93:E130)</f>
        <v>958.02480000000003</v>
      </c>
      <c r="F133" s="7">
        <f>SUM(F93:F130)</f>
        <v>618.96250000000009</v>
      </c>
      <c r="G133" s="7">
        <f>SUM(G93:G130)</f>
        <v>968.24160000000006</v>
      </c>
      <c r="H133" s="7">
        <f>SUM(H93:H130)</f>
        <v>401.70639999999997</v>
      </c>
      <c r="I133" s="214">
        <f>SUM(I93:I130)</f>
        <v>4204.9865</v>
      </c>
      <c r="J133" s="216">
        <f>SUM(J93:J124)</f>
        <v>15303.570099999997</v>
      </c>
      <c r="K133" s="214">
        <f>SUM(K93:K124)</f>
        <v>32.910619999999994</v>
      </c>
      <c r="L133" s="243"/>
      <c r="M133" s="243"/>
      <c r="N133" s="298">
        <f>N105+N119+N129</f>
        <v>1232090</v>
      </c>
      <c r="U133" s="12"/>
      <c r="V133" s="12"/>
    </row>
    <row r="134" spans="1:23" ht="18" customHeight="1">
      <c r="A134" s="229"/>
      <c r="B134" s="230"/>
      <c r="C134" s="232"/>
      <c r="D134" s="297"/>
      <c r="E134" s="225">
        <f>E133+F133</f>
        <v>1576.9873000000002</v>
      </c>
      <c r="F134" s="226"/>
      <c r="G134" s="225">
        <f>G133+H133</f>
        <v>1369.9480000000001</v>
      </c>
      <c r="H134" s="226"/>
      <c r="I134" s="410"/>
      <c r="J134" s="322"/>
      <c r="K134" s="410"/>
      <c r="L134" s="243"/>
      <c r="M134" s="243"/>
      <c r="N134" s="298"/>
      <c r="P134" s="392"/>
      <c r="Q134" s="393"/>
      <c r="R134" s="393"/>
      <c r="S134" s="393"/>
      <c r="T134" s="393"/>
      <c r="U134" s="394"/>
      <c r="V134" s="394"/>
    </row>
    <row r="135" spans="1:23" ht="18" customHeight="1">
      <c r="A135" s="247" t="s">
        <v>77</v>
      </c>
      <c r="B135" s="248"/>
      <c r="C135" s="249"/>
      <c r="D135" s="138">
        <f>D133/D87</f>
        <v>643.13308928571428</v>
      </c>
      <c r="E135" s="404">
        <f>E133/D87</f>
        <v>17.107585714285715</v>
      </c>
      <c r="F135" s="403">
        <f>F133/D87</f>
        <v>11.052901785714287</v>
      </c>
      <c r="G135" s="404">
        <f>G133/D87</f>
        <v>17.290028571428572</v>
      </c>
      <c r="H135" s="403">
        <f>H133/D87</f>
        <v>7.1733285714285708</v>
      </c>
      <c r="I135" s="299">
        <f>I133/D87</f>
        <v>75.089044642857147</v>
      </c>
      <c r="J135" s="299">
        <f>J133/D87</f>
        <v>273.27803749999993</v>
      </c>
      <c r="K135" s="299">
        <f>K133/D87</f>
        <v>0.58768964285714276</v>
      </c>
      <c r="L135" s="243"/>
      <c r="M135" s="243"/>
      <c r="N135" s="298"/>
      <c r="P135" s="395"/>
      <c r="Q135" s="393"/>
      <c r="R135" s="393"/>
      <c r="S135" s="398"/>
      <c r="T135" s="398"/>
      <c r="U135" s="393"/>
      <c r="V135" s="393"/>
    </row>
    <row r="136" spans="1:23" ht="18" customHeight="1">
      <c r="A136" s="250"/>
      <c r="B136" s="251"/>
      <c r="C136" s="252"/>
      <c r="D136" s="127"/>
      <c r="E136" s="381">
        <f>E135+F135</f>
        <v>28.160487500000002</v>
      </c>
      <c r="F136" s="382"/>
      <c r="G136" s="381">
        <f>G135+H135</f>
        <v>24.463357142857141</v>
      </c>
      <c r="H136" s="382"/>
      <c r="I136" s="410"/>
      <c r="J136" s="410"/>
      <c r="K136" s="410"/>
      <c r="L136" s="243"/>
      <c r="M136" s="243"/>
      <c r="N136" s="298"/>
      <c r="P136" s="392"/>
      <c r="Q136" s="392"/>
      <c r="R136" s="392"/>
      <c r="S136" s="392"/>
      <c r="T136" s="392"/>
      <c r="U136" s="392"/>
      <c r="V136" s="392"/>
    </row>
    <row r="137" spans="1:23" ht="18" customHeight="1">
      <c r="A137" s="315" t="s">
        <v>80</v>
      </c>
      <c r="B137" s="316"/>
      <c r="C137" s="317"/>
      <c r="D137" s="183" t="s">
        <v>29</v>
      </c>
      <c r="E137" s="362" t="s">
        <v>24</v>
      </c>
      <c r="F137" s="362"/>
      <c r="G137" s="362" t="s">
        <v>25</v>
      </c>
      <c r="H137" s="362"/>
      <c r="I137" s="183" t="s">
        <v>26</v>
      </c>
      <c r="J137" s="181">
        <v>500</v>
      </c>
      <c r="K137" s="181">
        <v>0.5</v>
      </c>
      <c r="L137" s="243"/>
      <c r="M137" s="243"/>
      <c r="N137" s="298"/>
      <c r="O137" s="384"/>
      <c r="P137" s="392"/>
      <c r="Q137" s="397"/>
      <c r="R137" s="397"/>
      <c r="S137" s="397"/>
      <c r="T137" s="392"/>
      <c r="U137" s="392"/>
      <c r="V137" s="392"/>
    </row>
    <row r="138" spans="1:23" ht="18" customHeight="1">
      <c r="A138" s="218" t="s">
        <v>78</v>
      </c>
      <c r="B138" s="219"/>
      <c r="C138" s="220"/>
      <c r="D138" s="49"/>
      <c r="E138" s="206">
        <f>E136*4.1</f>
        <v>115.45799875</v>
      </c>
      <c r="F138" s="207"/>
      <c r="G138" s="206">
        <f>G136*9</f>
        <v>220.17021428571428</v>
      </c>
      <c r="H138" s="207"/>
      <c r="I138" s="85">
        <f>I135*4.1</f>
        <v>307.86508303571429</v>
      </c>
      <c r="J138" s="253"/>
      <c r="K138" s="253"/>
      <c r="L138" s="243"/>
      <c r="M138" s="243"/>
      <c r="N138" s="298"/>
      <c r="O138" s="384"/>
      <c r="P138" s="396"/>
      <c r="Q138" s="392"/>
      <c r="R138" s="392"/>
      <c r="S138" s="392"/>
      <c r="T138" s="392"/>
      <c r="U138" s="392"/>
      <c r="V138" s="392"/>
    </row>
    <row r="139" spans="1:23" ht="18" customHeight="1">
      <c r="A139" s="221" t="s">
        <v>87</v>
      </c>
      <c r="B139" s="222"/>
      <c r="C139" s="218" t="s">
        <v>59</v>
      </c>
      <c r="D139" s="220"/>
      <c r="E139" s="305">
        <f>E138*100/D135</f>
        <v>17.952427059573569</v>
      </c>
      <c r="F139" s="306"/>
      <c r="G139" s="305">
        <f>G138*100/D135</f>
        <v>34.234005053330854</v>
      </c>
      <c r="H139" s="306"/>
      <c r="I139" s="116">
        <f>I138*100/D135</f>
        <v>47.869576012274514</v>
      </c>
      <c r="J139" s="254"/>
      <c r="K139" s="254"/>
      <c r="L139" s="243"/>
      <c r="M139" s="243"/>
      <c r="N139" s="298"/>
      <c r="O139" s="384"/>
    </row>
    <row r="140" spans="1:23" ht="18" customHeight="1">
      <c r="A140" s="223"/>
      <c r="B140" s="224"/>
      <c r="C140" s="218" t="s">
        <v>79</v>
      </c>
      <c r="D140" s="220"/>
      <c r="E140" s="218" t="s">
        <v>82</v>
      </c>
      <c r="F140" s="220"/>
      <c r="G140" s="218" t="s">
        <v>85</v>
      </c>
      <c r="H140" s="220"/>
      <c r="I140" s="183" t="s">
        <v>86</v>
      </c>
      <c r="J140" s="234"/>
      <c r="K140" s="234"/>
      <c r="L140" s="243"/>
      <c r="M140" s="243"/>
      <c r="N140" s="298"/>
      <c r="O140" s="384"/>
      <c r="P140" s="132"/>
    </row>
    <row r="141" spans="1:23" ht="22.2" customHeight="1">
      <c r="A141" s="90"/>
      <c r="B141" s="93"/>
      <c r="C141" s="90"/>
      <c r="D141" s="90"/>
      <c r="E141" s="90"/>
      <c r="F141" s="90"/>
      <c r="G141" s="90"/>
      <c r="H141" s="90"/>
      <c r="I141" s="90"/>
      <c r="J141" s="90"/>
      <c r="K141" s="90"/>
      <c r="L141" s="91"/>
      <c r="M141" s="91"/>
      <c r="N141" s="92"/>
      <c r="O141" s="384"/>
    </row>
    <row r="142" spans="1:23" ht="21" customHeight="1">
      <c r="A142" s="293" t="s">
        <v>114</v>
      </c>
      <c r="B142" s="293"/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384"/>
    </row>
    <row r="143" spans="1:23" ht="21" customHeight="1">
      <c r="A143" s="117" t="s">
        <v>115</v>
      </c>
      <c r="B143" s="294" t="s">
        <v>126</v>
      </c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384"/>
    </row>
    <row r="144" spans="1:23" ht="21" customHeight="1">
      <c r="A144" s="118"/>
      <c r="B144" s="258" t="s">
        <v>207</v>
      </c>
      <c r="C144" s="258"/>
      <c r="D144" s="258"/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384"/>
    </row>
    <row r="145" spans="1:15" ht="21" customHeight="1">
      <c r="A145" s="118"/>
      <c r="B145" s="258" t="s">
        <v>208</v>
      </c>
      <c r="C145" s="258"/>
      <c r="D145" s="258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384"/>
    </row>
    <row r="146" spans="1:15" ht="21" customHeight="1">
      <c r="A146" s="118"/>
      <c r="B146" s="258" t="s">
        <v>209</v>
      </c>
      <c r="C146" s="258"/>
      <c r="D146" s="258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384"/>
    </row>
    <row r="147" spans="1:15" ht="21" customHeight="1">
      <c r="A147" s="90"/>
      <c r="B147" s="259" t="s">
        <v>117</v>
      </c>
      <c r="C147" s="259"/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384"/>
    </row>
    <row r="148" spans="1:15" ht="21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4"/>
      <c r="M148" s="94"/>
      <c r="N148" s="95"/>
      <c r="O148" s="384"/>
    </row>
    <row r="149" spans="1:15" ht="21" customHeight="1">
      <c r="A149" s="260" t="s">
        <v>62</v>
      </c>
      <c r="B149" s="260"/>
      <c r="C149" s="260"/>
      <c r="D149" s="260"/>
      <c r="E149" s="385"/>
      <c r="F149" s="385"/>
      <c r="G149" s="385"/>
      <c r="H149" s="385"/>
      <c r="I149" s="385"/>
      <c r="J149" s="386" t="s">
        <v>33</v>
      </c>
      <c r="K149" s="386"/>
      <c r="L149" s="386"/>
      <c r="M149" s="386"/>
      <c r="N149" s="386"/>
      <c r="O149" s="384"/>
    </row>
    <row r="150" spans="1:15" ht="21" customHeight="1">
      <c r="A150" s="178"/>
      <c r="B150" s="178"/>
      <c r="C150" s="178"/>
      <c r="D150" s="385"/>
      <c r="E150" s="385"/>
      <c r="F150" s="385"/>
      <c r="G150" s="385"/>
      <c r="H150" s="387"/>
      <c r="I150" s="387"/>
      <c r="J150" s="387"/>
      <c r="K150" s="387"/>
      <c r="L150" s="387"/>
      <c r="M150" s="387"/>
      <c r="N150" s="387"/>
      <c r="O150" s="384"/>
    </row>
    <row r="151" spans="1:15" ht="21" customHeight="1">
      <c r="A151" s="178"/>
      <c r="B151" s="178"/>
      <c r="C151" s="178"/>
      <c r="D151" s="385"/>
      <c r="E151" s="385"/>
      <c r="F151" s="385"/>
      <c r="G151" s="385"/>
      <c r="H151" s="387"/>
      <c r="I151" s="387"/>
      <c r="J151" s="387"/>
      <c r="K151" s="387"/>
      <c r="L151" s="387"/>
      <c r="M151" s="387"/>
      <c r="N151" s="387"/>
      <c r="O151" s="384"/>
    </row>
    <row r="152" spans="1:15" ht="21" customHeight="1">
      <c r="A152" s="178"/>
      <c r="B152" s="178"/>
      <c r="C152" s="178"/>
      <c r="D152" s="385"/>
      <c r="E152" s="385"/>
      <c r="F152" s="385"/>
      <c r="G152" s="385"/>
      <c r="H152" s="387"/>
      <c r="I152" s="387"/>
      <c r="J152" s="388" t="s">
        <v>124</v>
      </c>
      <c r="K152" s="388"/>
      <c r="L152" s="388"/>
      <c r="M152" s="388"/>
      <c r="N152" s="388"/>
      <c r="O152" s="384"/>
    </row>
    <row r="153" spans="1:15" ht="22.2" customHeight="1">
      <c r="A153" s="261" t="s">
        <v>91</v>
      </c>
      <c r="B153" s="261"/>
      <c r="C153" s="261"/>
      <c r="D153" s="261"/>
      <c r="E153" s="385"/>
      <c r="F153" s="385"/>
      <c r="G153" s="385"/>
      <c r="H153" s="387"/>
      <c r="I153" s="387"/>
      <c r="O153" s="384"/>
    </row>
    <row r="155" spans="1:15" ht="22.2" customHeight="1">
      <c r="J155" s="388" t="s">
        <v>127</v>
      </c>
      <c r="K155" s="388"/>
      <c r="L155" s="388"/>
      <c r="M155" s="388"/>
      <c r="N155" s="388"/>
    </row>
    <row r="156" spans="1:15" ht="22.2" customHeight="1">
      <c r="J156" s="388"/>
      <c r="K156" s="388"/>
      <c r="L156" s="388"/>
      <c r="M156" s="388"/>
      <c r="N156" s="388"/>
    </row>
  </sheetData>
  <mergeCells count="208">
    <mergeCell ref="J152:N152"/>
    <mergeCell ref="J155:N155"/>
    <mergeCell ref="B145:N145"/>
    <mergeCell ref="B146:N146"/>
    <mergeCell ref="B147:N147"/>
    <mergeCell ref="A149:D149"/>
    <mergeCell ref="J149:N149"/>
    <mergeCell ref="C88:C91"/>
    <mergeCell ref="D88:D91"/>
    <mergeCell ref="G90:G91"/>
    <mergeCell ref="H90:H91"/>
    <mergeCell ref="A109:B109"/>
    <mergeCell ref="I88:I91"/>
    <mergeCell ref="A142:N142"/>
    <mergeCell ref="B143:N143"/>
    <mergeCell ref="B144:N144"/>
    <mergeCell ref="A137:C137"/>
    <mergeCell ref="I133:I134"/>
    <mergeCell ref="E137:F137"/>
    <mergeCell ref="G137:H137"/>
    <mergeCell ref="N119:N120"/>
    <mergeCell ref="A131:B132"/>
    <mergeCell ref="M105:M106"/>
    <mergeCell ref="E136:F136"/>
    <mergeCell ref="N133:N140"/>
    <mergeCell ref="C125:C128"/>
    <mergeCell ref="D125:D128"/>
    <mergeCell ref="H127:H128"/>
    <mergeCell ref="A135:C136"/>
    <mergeCell ref="N129:N130"/>
    <mergeCell ref="L133:L140"/>
    <mergeCell ref="D133:D134"/>
    <mergeCell ref="J135:J136"/>
    <mergeCell ref="K135:K136"/>
    <mergeCell ref="J133:J134"/>
    <mergeCell ref="E140:F140"/>
    <mergeCell ref="G140:H140"/>
    <mergeCell ref="U52:V52"/>
    <mergeCell ref="U53:V53"/>
    <mergeCell ref="Q135:R135"/>
    <mergeCell ref="S135:T135"/>
    <mergeCell ref="Q52:R52"/>
    <mergeCell ref="S52:T52"/>
    <mergeCell ref="Q53:R53"/>
    <mergeCell ref="S53:T53"/>
    <mergeCell ref="Q134:R134"/>
    <mergeCell ref="S134:T134"/>
    <mergeCell ref="U134:V134"/>
    <mergeCell ref="U135:V135"/>
    <mergeCell ref="O86:R86"/>
    <mergeCell ref="A123:B123"/>
    <mergeCell ref="C133:C134"/>
    <mergeCell ref="M129:M130"/>
    <mergeCell ref="J125:J128"/>
    <mergeCell ref="E127:E128"/>
    <mergeCell ref="F127:F128"/>
    <mergeCell ref="G127:G128"/>
    <mergeCell ref="G136:H136"/>
    <mergeCell ref="N88:N91"/>
    <mergeCell ref="E90:E91"/>
    <mergeCell ref="K133:K134"/>
    <mergeCell ref="A133:B134"/>
    <mergeCell ref="N125:N128"/>
    <mergeCell ref="A92:N92"/>
    <mergeCell ref="N105:N106"/>
    <mergeCell ref="E134:F134"/>
    <mergeCell ref="G134:H134"/>
    <mergeCell ref="I135:I136"/>
    <mergeCell ref="E125:F126"/>
    <mergeCell ref="G125:H126"/>
    <mergeCell ref="I125:I128"/>
    <mergeCell ref="M119:M120"/>
    <mergeCell ref="A125:A128"/>
    <mergeCell ref="B125:B128"/>
    <mergeCell ref="A5:D5"/>
    <mergeCell ref="E5:N5"/>
    <mergeCell ref="A6:D6"/>
    <mergeCell ref="E6:I9"/>
    <mergeCell ref="J6:N9"/>
    <mergeCell ref="M133:M140"/>
    <mergeCell ref="B42:B45"/>
    <mergeCell ref="C42:C45"/>
    <mergeCell ref="D42:D45"/>
    <mergeCell ref="E42:F43"/>
    <mergeCell ref="A107:B108"/>
    <mergeCell ref="A121:B122"/>
    <mergeCell ref="G57:H57"/>
    <mergeCell ref="N50:N57"/>
    <mergeCell ref="A138:C138"/>
    <mergeCell ref="E138:F138"/>
    <mergeCell ref="G138:H138"/>
    <mergeCell ref="J138:J140"/>
    <mergeCell ref="K138:K140"/>
    <mergeCell ref="A139:B140"/>
    <mergeCell ref="C139:D139"/>
    <mergeCell ref="E139:F139"/>
    <mergeCell ref="G139:H139"/>
    <mergeCell ref="C140:D140"/>
    <mergeCell ref="F1:N1"/>
    <mergeCell ref="F80:N80"/>
    <mergeCell ref="I50:I51"/>
    <mergeCell ref="M46:M47"/>
    <mergeCell ref="L88:L91"/>
    <mergeCell ref="A15:N15"/>
    <mergeCell ref="A30:B31"/>
    <mergeCell ref="M28:M29"/>
    <mergeCell ref="J50:J51"/>
    <mergeCell ref="K50:K51"/>
    <mergeCell ref="J52:J53"/>
    <mergeCell ref="K52:K53"/>
    <mergeCell ref="J88:J91"/>
    <mergeCell ref="K88:K91"/>
    <mergeCell ref="M88:M91"/>
    <mergeCell ref="A55:C55"/>
    <mergeCell ref="N42:N45"/>
    <mergeCell ref="E44:E45"/>
    <mergeCell ref="A32:B32"/>
    <mergeCell ref="G55:H55"/>
    <mergeCell ref="L50:L57"/>
    <mergeCell ref="N46:N47"/>
    <mergeCell ref="E11:F12"/>
    <mergeCell ref="A88:A91"/>
    <mergeCell ref="E54:F54"/>
    <mergeCell ref="G54:H54"/>
    <mergeCell ref="B62:N62"/>
    <mergeCell ref="B63:N63"/>
    <mergeCell ref="E88:F89"/>
    <mergeCell ref="G88:H89"/>
    <mergeCell ref="A84:D84"/>
    <mergeCell ref="E84:I86"/>
    <mergeCell ref="J84:N84"/>
    <mergeCell ref="J66:N66"/>
    <mergeCell ref="A70:D70"/>
    <mergeCell ref="J70:N70"/>
    <mergeCell ref="J69:N69"/>
    <mergeCell ref="J72:N72"/>
    <mergeCell ref="L42:L45"/>
    <mergeCell ref="M42:M45"/>
    <mergeCell ref="A52:C53"/>
    <mergeCell ref="A54:C54"/>
    <mergeCell ref="A87:C87"/>
    <mergeCell ref="A86:D86"/>
    <mergeCell ref="B88:B91"/>
    <mergeCell ref="I42:I45"/>
    <mergeCell ref="E57:F57"/>
    <mergeCell ref="A48:B49"/>
    <mergeCell ref="J85:N85"/>
    <mergeCell ref="C50:C51"/>
    <mergeCell ref="D50:D51"/>
    <mergeCell ref="J55:J57"/>
    <mergeCell ref="K55:K57"/>
    <mergeCell ref="A56:B57"/>
    <mergeCell ref="C56:D56"/>
    <mergeCell ref="E56:F56"/>
    <mergeCell ref="G56:H56"/>
    <mergeCell ref="E53:F53"/>
    <mergeCell ref="M50:M57"/>
    <mergeCell ref="A59:N59"/>
    <mergeCell ref="B60:N60"/>
    <mergeCell ref="G53:H53"/>
    <mergeCell ref="A153:D153"/>
    <mergeCell ref="J156:N156"/>
    <mergeCell ref="A8:D8"/>
    <mergeCell ref="A9:D9"/>
    <mergeCell ref="K125:K128"/>
    <mergeCell ref="L125:L128"/>
    <mergeCell ref="M125:M128"/>
    <mergeCell ref="A85:D85"/>
    <mergeCell ref="J11:J14"/>
    <mergeCell ref="K11:K14"/>
    <mergeCell ref="M11:M14"/>
    <mergeCell ref="A42:A45"/>
    <mergeCell ref="J86:N86"/>
    <mergeCell ref="E55:F55"/>
    <mergeCell ref="G51:H51"/>
    <mergeCell ref="I52:I53"/>
    <mergeCell ref="E51:F51"/>
    <mergeCell ref="A50:B51"/>
    <mergeCell ref="A10:C10"/>
    <mergeCell ref="A66:D66"/>
    <mergeCell ref="B61:N61"/>
    <mergeCell ref="B64:N64"/>
    <mergeCell ref="F44:F45"/>
    <mergeCell ref="F90:F91"/>
    <mergeCell ref="A7:D7"/>
    <mergeCell ref="A82:D83"/>
    <mergeCell ref="E82:N82"/>
    <mergeCell ref="E83:I83"/>
    <mergeCell ref="J83:N83"/>
    <mergeCell ref="A11:A14"/>
    <mergeCell ref="B11:B14"/>
    <mergeCell ref="C11:C14"/>
    <mergeCell ref="N28:N29"/>
    <mergeCell ref="D11:D14"/>
    <mergeCell ref="G11:H12"/>
    <mergeCell ref="I11:I14"/>
    <mergeCell ref="L11:L14"/>
    <mergeCell ref="N11:N14"/>
    <mergeCell ref="E13:E14"/>
    <mergeCell ref="F13:F14"/>
    <mergeCell ref="G13:G14"/>
    <mergeCell ref="H13:H14"/>
    <mergeCell ref="J42:J45"/>
    <mergeCell ref="K42:K45"/>
    <mergeCell ref="G44:G45"/>
    <mergeCell ref="H44:H45"/>
    <mergeCell ref="C57:D57"/>
    <mergeCell ref="G42:H43"/>
  </mergeCells>
  <pageMargins left="0.125" right="0.11666666666666667" top="0.44791666666666669" bottom="0.4062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58"/>
  <sheetViews>
    <sheetView zoomScale="106" zoomScaleNormal="106" workbookViewId="0">
      <selection activeCell="O1" sqref="O1"/>
    </sheetView>
  </sheetViews>
  <sheetFormatPr defaultColWidth="9.109375" defaultRowHeight="19.2" customHeight="1"/>
  <cols>
    <col min="1" max="1" width="2.88671875" style="1" customWidth="1"/>
    <col min="2" max="2" width="11.77734375" style="1" customWidth="1"/>
    <col min="3" max="3" width="6.21875" style="1" customWidth="1"/>
    <col min="4" max="4" width="7.33203125" style="1" customWidth="1"/>
    <col min="5" max="6" width="6.109375" style="1" customWidth="1"/>
    <col min="7" max="8" width="6.6640625" style="1" customWidth="1"/>
    <col min="9" max="9" width="7.6640625" style="1" customWidth="1"/>
    <col min="10" max="10" width="8.33203125" style="1" customWidth="1"/>
    <col min="11" max="11" width="6.33203125" style="1" customWidth="1"/>
    <col min="12" max="12" width="6.44140625" style="1" customWidth="1"/>
    <col min="13" max="13" width="5" style="1" customWidth="1"/>
    <col min="14" max="14" width="6.8867187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20" ht="19.8" customHeight="1">
      <c r="A1" s="11" t="s">
        <v>65</v>
      </c>
      <c r="B1" s="8"/>
      <c r="C1" s="8"/>
      <c r="D1" s="8"/>
      <c r="E1" s="8"/>
      <c r="F1" s="188" t="s">
        <v>31</v>
      </c>
      <c r="G1" s="188"/>
      <c r="H1" s="188"/>
      <c r="I1" s="188"/>
      <c r="J1" s="188"/>
      <c r="K1" s="188"/>
      <c r="L1" s="188"/>
      <c r="M1" s="188"/>
      <c r="N1" s="188"/>
      <c r="O1" s="372"/>
      <c r="P1" s="372"/>
      <c r="T1" s="2"/>
    </row>
    <row r="2" spans="1:20" ht="10.199999999999999" customHeight="1">
      <c r="A2" s="11"/>
      <c r="B2" s="8"/>
      <c r="C2" s="8"/>
      <c r="D2" s="8"/>
      <c r="E2" s="8"/>
      <c r="F2" s="182"/>
      <c r="G2" s="182"/>
      <c r="H2" s="182"/>
      <c r="I2" s="182"/>
      <c r="J2" s="182"/>
      <c r="K2" s="182"/>
      <c r="L2" s="182"/>
      <c r="M2" s="182"/>
      <c r="N2" s="182"/>
      <c r="O2" s="372"/>
      <c r="P2" s="372"/>
      <c r="T2" s="2"/>
    </row>
    <row r="3" spans="1:20" ht="19.8" customHeight="1">
      <c r="A3" s="8" t="s">
        <v>210</v>
      </c>
      <c r="B3" s="8"/>
      <c r="C3" s="8"/>
      <c r="D3" s="8"/>
      <c r="E3" s="8"/>
      <c r="F3" s="182"/>
      <c r="G3" s="182"/>
      <c r="H3" s="182"/>
      <c r="I3" s="182"/>
      <c r="J3" s="182"/>
      <c r="K3" s="182"/>
      <c r="L3" s="182"/>
      <c r="M3" s="182"/>
      <c r="N3" s="182"/>
      <c r="O3" s="372"/>
      <c r="P3" s="372"/>
      <c r="T3" s="2"/>
    </row>
    <row r="4" spans="1:20" ht="10.199999999999999" customHeight="1">
      <c r="A4" s="8"/>
      <c r="B4" s="8"/>
      <c r="C4" s="8"/>
      <c r="D4" s="8"/>
      <c r="E4" s="8"/>
      <c r="F4" s="182"/>
      <c r="G4" s="182"/>
      <c r="H4" s="182"/>
      <c r="I4" s="182"/>
      <c r="J4" s="182"/>
      <c r="K4" s="182"/>
      <c r="L4" s="182"/>
      <c r="M4" s="182"/>
      <c r="N4" s="182"/>
      <c r="O4" s="372"/>
      <c r="P4" s="372"/>
      <c r="T4" s="2"/>
    </row>
    <row r="5" spans="1:20" s="2" customFormat="1" ht="19.8" customHeight="1">
      <c r="A5" s="235" t="s">
        <v>97</v>
      </c>
      <c r="B5" s="235"/>
      <c r="C5" s="235"/>
      <c r="D5" s="235"/>
      <c r="E5" s="235" t="s">
        <v>98</v>
      </c>
      <c r="F5" s="235"/>
      <c r="G5" s="235"/>
      <c r="H5" s="235"/>
      <c r="I5" s="235"/>
      <c r="J5" s="235"/>
      <c r="K5" s="235"/>
      <c r="L5" s="235"/>
      <c r="M5" s="235"/>
      <c r="N5" s="235"/>
      <c r="O5" s="373"/>
    </row>
    <row r="6" spans="1:20" s="2" customFormat="1" ht="19.8" customHeight="1">
      <c r="A6" s="265" t="s">
        <v>90</v>
      </c>
      <c r="B6" s="265"/>
      <c r="C6" s="265"/>
      <c r="D6" s="265"/>
      <c r="E6" s="266" t="s">
        <v>76</v>
      </c>
      <c r="F6" s="266"/>
      <c r="G6" s="266"/>
      <c r="H6" s="266"/>
      <c r="I6" s="266"/>
      <c r="J6" s="342" t="s">
        <v>185</v>
      </c>
      <c r="K6" s="282"/>
      <c r="L6" s="282"/>
      <c r="M6" s="282"/>
      <c r="N6" s="283"/>
      <c r="O6" s="373"/>
    </row>
    <row r="7" spans="1:20" s="2" customFormat="1" ht="19.8" customHeight="1">
      <c r="A7" s="184" t="s">
        <v>155</v>
      </c>
      <c r="B7" s="185"/>
      <c r="C7" s="185"/>
      <c r="D7" s="186"/>
      <c r="E7" s="266"/>
      <c r="F7" s="266"/>
      <c r="G7" s="266"/>
      <c r="H7" s="266"/>
      <c r="I7" s="266"/>
      <c r="J7" s="284"/>
      <c r="K7" s="285"/>
      <c r="L7" s="285"/>
      <c r="M7" s="285"/>
      <c r="N7" s="286"/>
      <c r="O7" s="373"/>
    </row>
    <row r="8" spans="1:20" s="2" customFormat="1" ht="19.8" customHeight="1">
      <c r="A8" s="187" t="s">
        <v>154</v>
      </c>
      <c r="B8" s="187"/>
      <c r="C8" s="187"/>
      <c r="D8" s="187"/>
      <c r="E8" s="266"/>
      <c r="F8" s="266"/>
      <c r="G8" s="266"/>
      <c r="H8" s="266"/>
      <c r="I8" s="266"/>
      <c r="J8" s="284"/>
      <c r="K8" s="285"/>
      <c r="L8" s="285"/>
      <c r="M8" s="285"/>
      <c r="N8" s="286"/>
      <c r="O8" s="373"/>
    </row>
    <row r="9" spans="1:20" s="2" customFormat="1" ht="19.8" customHeight="1">
      <c r="A9" s="274" t="s">
        <v>182</v>
      </c>
      <c r="B9" s="274"/>
      <c r="C9" s="274"/>
      <c r="D9" s="274"/>
      <c r="E9" s="266"/>
      <c r="F9" s="266"/>
      <c r="G9" s="266"/>
      <c r="H9" s="266"/>
      <c r="I9" s="266"/>
      <c r="J9" s="287"/>
      <c r="K9" s="288"/>
      <c r="L9" s="288"/>
      <c r="M9" s="288"/>
      <c r="N9" s="289"/>
      <c r="O9" s="373"/>
    </row>
    <row r="10" spans="1:20" s="2" customFormat="1" ht="19.8" customHeight="1">
      <c r="A10" s="275" t="s">
        <v>122</v>
      </c>
      <c r="B10" s="276"/>
      <c r="C10" s="277"/>
      <c r="D10" s="128">
        <v>227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73"/>
    </row>
    <row r="11" spans="1:20" ht="19.8" customHeight="1">
      <c r="A11" s="190" t="s">
        <v>66</v>
      </c>
      <c r="B11" s="200" t="s">
        <v>19</v>
      </c>
      <c r="C11" s="328" t="s">
        <v>8</v>
      </c>
      <c r="D11" s="203" t="s">
        <v>9</v>
      </c>
      <c r="E11" s="193" t="s">
        <v>11</v>
      </c>
      <c r="F11" s="194"/>
      <c r="G11" s="193" t="s">
        <v>13</v>
      </c>
      <c r="H11" s="194"/>
      <c r="I11" s="197" t="s">
        <v>16</v>
      </c>
      <c r="J11" s="197" t="s">
        <v>41</v>
      </c>
      <c r="K11" s="197" t="s">
        <v>42</v>
      </c>
      <c r="L11" s="197" t="s">
        <v>17</v>
      </c>
      <c r="M11" s="197" t="s">
        <v>55</v>
      </c>
      <c r="N11" s="190" t="s">
        <v>18</v>
      </c>
      <c r="O11" s="374"/>
    </row>
    <row r="12" spans="1:20" ht="19.8" customHeight="1">
      <c r="A12" s="191"/>
      <c r="B12" s="201"/>
      <c r="C12" s="329"/>
      <c r="D12" s="204"/>
      <c r="E12" s="195"/>
      <c r="F12" s="196"/>
      <c r="G12" s="195"/>
      <c r="H12" s="196"/>
      <c r="I12" s="198"/>
      <c r="J12" s="198"/>
      <c r="K12" s="198"/>
      <c r="L12" s="198"/>
      <c r="M12" s="198"/>
      <c r="N12" s="191"/>
      <c r="O12" s="178"/>
    </row>
    <row r="13" spans="1:20" ht="19.8" customHeight="1">
      <c r="A13" s="191"/>
      <c r="B13" s="201"/>
      <c r="C13" s="329"/>
      <c r="D13" s="204"/>
      <c r="E13" s="197" t="s">
        <v>10</v>
      </c>
      <c r="F13" s="197" t="s">
        <v>12</v>
      </c>
      <c r="G13" s="197" t="s">
        <v>14</v>
      </c>
      <c r="H13" s="197" t="s">
        <v>15</v>
      </c>
      <c r="I13" s="198"/>
      <c r="J13" s="198"/>
      <c r="K13" s="198"/>
      <c r="L13" s="198"/>
      <c r="M13" s="198"/>
      <c r="N13" s="191"/>
      <c r="O13" s="178"/>
    </row>
    <row r="14" spans="1:20" ht="19.8" customHeight="1">
      <c r="A14" s="192"/>
      <c r="B14" s="202"/>
      <c r="C14" s="330"/>
      <c r="D14" s="205"/>
      <c r="E14" s="199"/>
      <c r="F14" s="199"/>
      <c r="G14" s="199"/>
      <c r="H14" s="199"/>
      <c r="I14" s="199"/>
      <c r="J14" s="199"/>
      <c r="K14" s="199"/>
      <c r="L14" s="199"/>
      <c r="M14" s="199"/>
      <c r="N14" s="192"/>
      <c r="O14" s="178"/>
    </row>
    <row r="15" spans="1:20" ht="19.8" customHeight="1">
      <c r="A15" s="237" t="s">
        <v>34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/>
      <c r="O15" s="178"/>
    </row>
    <row r="16" spans="1:20" s="2" customFormat="1" ht="19.8" customHeight="1">
      <c r="A16" s="9">
        <v>1</v>
      </c>
      <c r="B16" s="10" t="s">
        <v>2</v>
      </c>
      <c r="C16" s="23">
        <f>L16/100*100</f>
        <v>290</v>
      </c>
      <c r="D16" s="24">
        <f>C16/100*60</f>
        <v>174</v>
      </c>
      <c r="E16" s="25">
        <f>C16/100*15</f>
        <v>43.5</v>
      </c>
      <c r="F16" s="25"/>
      <c r="G16" s="25"/>
      <c r="H16" s="25"/>
      <c r="I16" s="25"/>
      <c r="J16" s="27">
        <f>C16/100*387</f>
        <v>1122.3</v>
      </c>
      <c r="K16" s="27">
        <f>C16/100*0.09</f>
        <v>0.26100000000000001</v>
      </c>
      <c r="L16" s="137">
        <v>290</v>
      </c>
      <c r="M16" s="75">
        <v>20</v>
      </c>
      <c r="N16" s="135">
        <f>L16*M16</f>
        <v>5800</v>
      </c>
      <c r="O16" s="153"/>
    </row>
    <row r="17" spans="1:20" s="2" customFormat="1" ht="19.8" customHeight="1">
      <c r="A17" s="9">
        <v>2</v>
      </c>
      <c r="B17" s="146" t="s">
        <v>139</v>
      </c>
      <c r="C17" s="23">
        <f>L17/100*100</f>
        <v>960</v>
      </c>
      <c r="D17" s="24">
        <f>C17/100*899</f>
        <v>8630.4</v>
      </c>
      <c r="E17" s="25"/>
      <c r="F17" s="25"/>
      <c r="G17" s="25">
        <f>C17/100*100</f>
        <v>960</v>
      </c>
      <c r="H17" s="25"/>
      <c r="I17" s="25"/>
      <c r="J17" s="27"/>
      <c r="K17" s="27"/>
      <c r="L17" s="137">
        <v>960</v>
      </c>
      <c r="M17" s="75">
        <v>69</v>
      </c>
      <c r="N17" s="135">
        <f t="shared" ref="N17:N26" si="0">L17*M17</f>
        <v>66240</v>
      </c>
      <c r="O17" s="153"/>
    </row>
    <row r="18" spans="1:20" s="2" customFormat="1" ht="19.8" customHeight="1">
      <c r="A18" s="9">
        <v>3</v>
      </c>
      <c r="B18" s="5" t="s">
        <v>1</v>
      </c>
      <c r="C18" s="23">
        <f>L18/100*100</f>
        <v>21565</v>
      </c>
      <c r="D18" s="120">
        <f>C18/100*330</f>
        <v>71164.5</v>
      </c>
      <c r="E18" s="25"/>
      <c r="F18" s="130">
        <f>C18/100*7.9</f>
        <v>1703.6350000000002</v>
      </c>
      <c r="G18" s="25"/>
      <c r="H18" s="25">
        <f>C18/100*1</f>
        <v>215.65</v>
      </c>
      <c r="I18" s="119">
        <f>C18/100*75.9</f>
        <v>16367.835000000001</v>
      </c>
      <c r="J18" s="27">
        <f>C18/100*30</f>
        <v>6469.5</v>
      </c>
      <c r="K18" s="27">
        <f>C18/100*0.1</f>
        <v>21.565000000000001</v>
      </c>
      <c r="L18" s="137">
        <v>21565</v>
      </c>
      <c r="M18" s="75">
        <v>18</v>
      </c>
      <c r="N18" s="172">
        <f t="shared" si="0"/>
        <v>388170</v>
      </c>
      <c r="O18" s="153"/>
    </row>
    <row r="19" spans="1:20" s="2" customFormat="1" ht="19.8" customHeight="1">
      <c r="A19" s="9">
        <v>4</v>
      </c>
      <c r="B19" s="10" t="s">
        <v>71</v>
      </c>
      <c r="C19" s="23">
        <f>L19/100*98</f>
        <v>5252.8</v>
      </c>
      <c r="D19" s="24">
        <f>C19/100*139</f>
        <v>7301.3919999999998</v>
      </c>
      <c r="E19" s="119">
        <f>C19/100*19</f>
        <v>998.03199999999993</v>
      </c>
      <c r="F19" s="25"/>
      <c r="G19" s="25">
        <f>C19/100*7</f>
        <v>367.69599999999997</v>
      </c>
      <c r="H19" s="25"/>
      <c r="I19" s="25"/>
      <c r="J19" s="27">
        <f>C19/100*7</f>
        <v>367.69599999999997</v>
      </c>
      <c r="K19" s="27">
        <f>C19/100*0.9</f>
        <v>47.275199999999998</v>
      </c>
      <c r="L19" s="137">
        <v>5360</v>
      </c>
      <c r="M19" s="143">
        <v>133</v>
      </c>
      <c r="N19" s="172">
        <f t="shared" si="0"/>
        <v>712880</v>
      </c>
      <c r="O19" s="153"/>
    </row>
    <row r="20" spans="1:20" s="2" customFormat="1" ht="19.8" customHeight="1">
      <c r="A20" s="9">
        <v>5</v>
      </c>
      <c r="B20" s="148" t="s">
        <v>186</v>
      </c>
      <c r="C20" s="23">
        <f>L20/100*31</f>
        <v>1038.5</v>
      </c>
      <c r="D20" s="24">
        <f>C20/100*87</f>
        <v>903.495</v>
      </c>
      <c r="E20" s="119">
        <f>C20/100*12.3</f>
        <v>127.7355</v>
      </c>
      <c r="F20" s="25"/>
      <c r="G20" s="25">
        <f>C20/100*3.3</f>
        <v>34.270499999999998</v>
      </c>
      <c r="H20" s="25"/>
      <c r="I20" s="25">
        <f>C20/100*2</f>
        <v>20.77</v>
      </c>
      <c r="J20" s="27">
        <f>C20/100*120</f>
        <v>1246.2</v>
      </c>
      <c r="K20" s="27">
        <f>C20/100*0.01</f>
        <v>0.10385</v>
      </c>
      <c r="L20" s="137">
        <v>3350</v>
      </c>
      <c r="M20" s="143">
        <v>160</v>
      </c>
      <c r="N20" s="172">
        <f>L20*M20</f>
        <v>536000</v>
      </c>
      <c r="O20" s="153"/>
    </row>
    <row r="21" spans="1:20" s="2" customFormat="1" ht="19.8" customHeight="1">
      <c r="A21" s="9">
        <v>6</v>
      </c>
      <c r="B21" s="149" t="s">
        <v>30</v>
      </c>
      <c r="C21" s="23">
        <f>L21/100*88</f>
        <v>5517.6</v>
      </c>
      <c r="D21" s="120">
        <f>C21/100*184</f>
        <v>10152.384</v>
      </c>
      <c r="E21" s="119">
        <f>C21/100*13</f>
        <v>717.28800000000001</v>
      </c>
      <c r="F21" s="25"/>
      <c r="G21" s="25">
        <f>C21/100*14.2</f>
        <v>783.49919999999997</v>
      </c>
      <c r="H21" s="25"/>
      <c r="I21" s="25">
        <f>C21/100*1</f>
        <v>55.176000000000002</v>
      </c>
      <c r="J21" s="27">
        <f>C21/100*71</f>
        <v>3917.4960000000001</v>
      </c>
      <c r="K21" s="27">
        <f>C21/100*0.15</f>
        <v>8.2764000000000006</v>
      </c>
      <c r="L21" s="137">
        <v>6270</v>
      </c>
      <c r="M21" s="75">
        <v>57</v>
      </c>
      <c r="N21" s="172">
        <f t="shared" si="0"/>
        <v>357390</v>
      </c>
      <c r="O21" s="153"/>
      <c r="Q21" s="3"/>
      <c r="R21" s="3"/>
      <c r="S21" s="4"/>
    </row>
    <row r="22" spans="1:20" s="2" customFormat="1" ht="19.8" customHeight="1">
      <c r="A22" s="9">
        <v>7</v>
      </c>
      <c r="B22" s="148" t="s">
        <v>3</v>
      </c>
      <c r="C22" s="23">
        <f>L22/100*98</f>
        <v>2195.1999999999998</v>
      </c>
      <c r="D22" s="24">
        <f>C22/100*118</f>
        <v>2590.3359999999998</v>
      </c>
      <c r="E22" s="119">
        <f>C22/100*21</f>
        <v>460.99199999999996</v>
      </c>
      <c r="F22" s="25"/>
      <c r="G22" s="25">
        <f>C22/100*3.8</f>
        <v>83.417599999999993</v>
      </c>
      <c r="H22" s="25"/>
      <c r="I22" s="25"/>
      <c r="J22" s="25">
        <f>C22/100*12</f>
        <v>263.42399999999998</v>
      </c>
      <c r="K22" s="25">
        <f>C22/100*0.1</f>
        <v>2.1951999999999998</v>
      </c>
      <c r="L22" s="137">
        <v>2240</v>
      </c>
      <c r="M22" s="143">
        <v>270</v>
      </c>
      <c r="N22" s="172">
        <f t="shared" si="0"/>
        <v>604800</v>
      </c>
      <c r="O22" s="153"/>
    </row>
    <row r="23" spans="1:20" s="2" customFormat="1" ht="19.8" customHeight="1">
      <c r="A23" s="9">
        <v>8</v>
      </c>
      <c r="B23" s="149" t="s">
        <v>180</v>
      </c>
      <c r="C23" s="23">
        <f>L23/100*80</f>
        <v>2696</v>
      </c>
      <c r="D23" s="24">
        <f>C23/100*25</f>
        <v>674</v>
      </c>
      <c r="E23" s="29"/>
      <c r="F23" s="29">
        <f>C23/100*2.8</f>
        <v>75.488</v>
      </c>
      <c r="G23" s="29"/>
      <c r="H23" s="29">
        <f>C23/100*0.3</f>
        <v>8.0879999999999992</v>
      </c>
      <c r="I23" s="29">
        <f>C23/100*3</f>
        <v>80.88</v>
      </c>
      <c r="J23" s="29">
        <f>C23/100*182</f>
        <v>4906.72</v>
      </c>
      <c r="K23" s="29">
        <f>C23/100*0.13</f>
        <v>3.5048000000000004</v>
      </c>
      <c r="L23" s="375">
        <v>3370</v>
      </c>
      <c r="M23" s="26">
        <v>30</v>
      </c>
      <c r="N23" s="172">
        <f t="shared" si="0"/>
        <v>101100</v>
      </c>
      <c r="O23" s="153"/>
      <c r="Q23" s="3"/>
      <c r="R23" s="3"/>
      <c r="S23" s="4"/>
    </row>
    <row r="24" spans="1:20" s="2" customFormat="1" ht="19.8" customHeight="1">
      <c r="A24" s="9">
        <v>9</v>
      </c>
      <c r="B24" s="149" t="s">
        <v>181</v>
      </c>
      <c r="C24" s="23">
        <f>L24/100*83</f>
        <v>3718.3999999999996</v>
      </c>
      <c r="D24" s="24">
        <f>C24/100*14</f>
        <v>520.57600000000002</v>
      </c>
      <c r="E24" s="29"/>
      <c r="F24" s="29">
        <f>C24/100*2</f>
        <v>74.367999999999995</v>
      </c>
      <c r="G24" s="29"/>
      <c r="H24" s="29"/>
      <c r="I24" s="29">
        <f>C24/100*1.4</f>
        <v>52.057599999999994</v>
      </c>
      <c r="J24" s="29">
        <f>C24/100*176</f>
        <v>6544.384</v>
      </c>
      <c r="K24" s="29">
        <f>C24/100*0.06</f>
        <v>2.2310399999999997</v>
      </c>
      <c r="L24" s="375">
        <v>4480</v>
      </c>
      <c r="M24" s="26">
        <v>28</v>
      </c>
      <c r="N24" s="172">
        <f t="shared" si="0"/>
        <v>125440</v>
      </c>
      <c r="O24" s="153"/>
      <c r="Q24" s="3"/>
      <c r="R24" s="3"/>
      <c r="S24" s="4"/>
    </row>
    <row r="25" spans="1:20" s="2" customFormat="1" ht="19.8" customHeight="1">
      <c r="A25" s="86">
        <v>10</v>
      </c>
      <c r="B25" s="5" t="s">
        <v>75</v>
      </c>
      <c r="C25" s="23">
        <f>L25/100*75</f>
        <v>3360</v>
      </c>
      <c r="D25" s="24">
        <f>C25/100*12</f>
        <v>403.20000000000005</v>
      </c>
      <c r="E25" s="25"/>
      <c r="F25" s="25">
        <f>C25/100*0.6</f>
        <v>20.16</v>
      </c>
      <c r="G25" s="25"/>
      <c r="H25" s="25"/>
      <c r="I25" s="25">
        <f>C25/100*2.4</f>
        <v>80.64</v>
      </c>
      <c r="J25" s="25">
        <f>C25/100*26</f>
        <v>873.6</v>
      </c>
      <c r="K25" s="25">
        <f>C25/100*0.02</f>
        <v>0.67200000000000004</v>
      </c>
      <c r="L25" s="137">
        <v>4480</v>
      </c>
      <c r="M25" s="75">
        <v>22</v>
      </c>
      <c r="N25" s="135">
        <f t="shared" si="0"/>
        <v>98560</v>
      </c>
      <c r="O25" s="153"/>
    </row>
    <row r="26" spans="1:20" s="2" customFormat="1" ht="19.8" customHeight="1">
      <c r="A26" s="86">
        <v>11</v>
      </c>
      <c r="B26" s="5" t="s">
        <v>134</v>
      </c>
      <c r="C26" s="23">
        <f>L26/100*100</f>
        <v>229.99999999999997</v>
      </c>
      <c r="D26" s="24">
        <f>C26/100*247</f>
        <v>568.09999999999991</v>
      </c>
      <c r="E26" s="29"/>
      <c r="F26" s="29">
        <f>C26/100*17.5</f>
        <v>40.25</v>
      </c>
      <c r="G26" s="29"/>
      <c r="H26" s="29">
        <f>C26/100*1.6</f>
        <v>3.6799999999999997</v>
      </c>
      <c r="I26" s="29">
        <f>C26/100*39.2</f>
        <v>90.16</v>
      </c>
      <c r="J26" s="71"/>
      <c r="K26" s="71"/>
      <c r="L26" s="375">
        <v>230</v>
      </c>
      <c r="M26" s="75">
        <v>50</v>
      </c>
      <c r="N26" s="28">
        <f t="shared" si="0"/>
        <v>11500</v>
      </c>
      <c r="O26" s="153"/>
      <c r="Q26" s="3"/>
      <c r="R26" s="3"/>
      <c r="S26" s="4"/>
      <c r="T26" s="3"/>
    </row>
    <row r="27" spans="1:20" s="2" customFormat="1" ht="19.8" customHeight="1">
      <c r="A27" s="86">
        <v>12</v>
      </c>
      <c r="B27" s="6" t="s">
        <v>123</v>
      </c>
      <c r="C27" s="23"/>
      <c r="D27" s="24"/>
      <c r="E27" s="25"/>
      <c r="F27" s="25"/>
      <c r="G27" s="25"/>
      <c r="H27" s="25"/>
      <c r="I27" s="25"/>
      <c r="J27" s="27"/>
      <c r="K27" s="27"/>
      <c r="L27" s="26"/>
      <c r="M27" s="26"/>
      <c r="N27" s="135">
        <v>17480</v>
      </c>
      <c r="O27" s="153"/>
    </row>
    <row r="28" spans="1:20" s="2" customFormat="1" ht="19.8" customHeight="1">
      <c r="A28" s="21" t="s">
        <v>120</v>
      </c>
      <c r="B28" s="22"/>
      <c r="C28" s="34"/>
      <c r="D28" s="170">
        <f>SUM(D16:D27)</f>
        <v>103082.38299999999</v>
      </c>
      <c r="E28" s="36"/>
      <c r="F28" s="36"/>
      <c r="G28" s="36"/>
      <c r="H28" s="36"/>
      <c r="I28" s="36"/>
      <c r="J28" s="36"/>
      <c r="K28" s="36"/>
      <c r="L28" s="37"/>
      <c r="M28" s="73"/>
      <c r="N28" s="263">
        <f>SUM(N16:N27)</f>
        <v>3025360</v>
      </c>
      <c r="O28" s="153"/>
    </row>
    <row r="29" spans="1:20" s="2" customFormat="1" ht="19.8" customHeight="1">
      <c r="A29" s="21" t="s">
        <v>6</v>
      </c>
      <c r="B29" s="22"/>
      <c r="C29" s="34"/>
      <c r="D29" s="35">
        <f>D28/D10</f>
        <v>454.10741409691622</v>
      </c>
      <c r="E29" s="36"/>
      <c r="F29" s="36"/>
      <c r="G29" s="36"/>
      <c r="H29" s="36"/>
      <c r="I29" s="36"/>
      <c r="J29" s="36"/>
      <c r="K29" s="36"/>
      <c r="L29" s="37"/>
      <c r="M29" s="74"/>
      <c r="N29" s="264"/>
      <c r="O29" s="153"/>
    </row>
    <row r="30" spans="1:20" s="2" customFormat="1" ht="19.8" customHeight="1">
      <c r="A30" s="301" t="s">
        <v>51</v>
      </c>
      <c r="B30" s="211"/>
      <c r="C30" s="377" t="s">
        <v>147</v>
      </c>
      <c r="D30" s="20" t="s">
        <v>45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19.8" customHeight="1">
      <c r="A31" s="212"/>
      <c r="B31" s="213"/>
      <c r="C31" s="76" t="s">
        <v>60</v>
      </c>
      <c r="D31" s="20">
        <f>D29*100/1320</f>
        <v>34.402076825523956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19.8" customHeight="1">
      <c r="A32" s="273" t="s">
        <v>35</v>
      </c>
      <c r="B32" s="273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3"/>
    </row>
    <row r="33" spans="1:22" s="2" customFormat="1" ht="19.8" customHeight="1">
      <c r="A33" s="9">
        <v>1</v>
      </c>
      <c r="B33" s="10" t="s">
        <v>2</v>
      </c>
      <c r="C33" s="23">
        <f>L33/100*100</f>
        <v>270</v>
      </c>
      <c r="D33" s="24">
        <f>C33/100*60</f>
        <v>162</v>
      </c>
      <c r="E33" s="25">
        <f>C33/100*15</f>
        <v>40.5</v>
      </c>
      <c r="F33" s="25"/>
      <c r="G33" s="25"/>
      <c r="H33" s="25"/>
      <c r="I33" s="25"/>
      <c r="J33" s="27">
        <f>C33/100*387</f>
        <v>1044.9000000000001</v>
      </c>
      <c r="K33" s="27">
        <f>C33/100*0.09</f>
        <v>0.24299999999999999</v>
      </c>
      <c r="L33" s="137">
        <v>270</v>
      </c>
      <c r="M33" s="75">
        <v>20</v>
      </c>
      <c r="N33" s="28">
        <f>L33*M33</f>
        <v>5400</v>
      </c>
      <c r="O33" s="153"/>
    </row>
    <row r="34" spans="1:22" s="2" customFormat="1" ht="19.8" customHeight="1">
      <c r="A34" s="9">
        <v>2</v>
      </c>
      <c r="B34" s="146" t="s">
        <v>139</v>
      </c>
      <c r="C34" s="23">
        <f>L34/100*100</f>
        <v>320</v>
      </c>
      <c r="D34" s="24">
        <f>C34/100*899</f>
        <v>2876.8</v>
      </c>
      <c r="E34" s="25"/>
      <c r="F34" s="25"/>
      <c r="G34" s="25">
        <f>C34/100*100</f>
        <v>320</v>
      </c>
      <c r="H34" s="25"/>
      <c r="I34" s="25"/>
      <c r="J34" s="25"/>
      <c r="K34" s="25"/>
      <c r="L34" s="137">
        <v>320</v>
      </c>
      <c r="M34" s="144">
        <v>69</v>
      </c>
      <c r="N34" s="28">
        <f t="shared" ref="N34:N41" si="1">L34*M34</f>
        <v>22080</v>
      </c>
      <c r="O34" s="378"/>
    </row>
    <row r="35" spans="1:22" s="2" customFormat="1" ht="19.8" customHeight="1">
      <c r="A35" s="9">
        <v>3</v>
      </c>
      <c r="B35" s="148" t="s">
        <v>142</v>
      </c>
      <c r="C35" s="23">
        <f>L35/100*100</f>
        <v>1200</v>
      </c>
      <c r="D35" s="120">
        <f>C35/100*900</f>
        <v>10800</v>
      </c>
      <c r="E35" s="25"/>
      <c r="F35" s="25"/>
      <c r="G35" s="119"/>
      <c r="H35" s="119">
        <f>C35/100*100</f>
        <v>1200</v>
      </c>
      <c r="I35" s="25"/>
      <c r="J35" s="25"/>
      <c r="K35" s="25"/>
      <c r="L35" s="137">
        <v>1200</v>
      </c>
      <c r="M35" s="75">
        <v>65</v>
      </c>
      <c r="N35" s="28">
        <f t="shared" si="1"/>
        <v>78000</v>
      </c>
      <c r="O35" s="378"/>
    </row>
    <row r="36" spans="1:22" s="2" customFormat="1" ht="19.8" customHeight="1">
      <c r="A36" s="9">
        <v>4</v>
      </c>
      <c r="B36" s="5" t="s">
        <v>134</v>
      </c>
      <c r="C36" s="23">
        <f>L36/100*100</f>
        <v>130</v>
      </c>
      <c r="D36" s="24">
        <f>C36/100*247</f>
        <v>321.10000000000002</v>
      </c>
      <c r="E36" s="29"/>
      <c r="F36" s="29">
        <f>C36/100*17.5</f>
        <v>22.75</v>
      </c>
      <c r="G36" s="29"/>
      <c r="H36" s="29">
        <f>C36/100*1.6</f>
        <v>2.08</v>
      </c>
      <c r="I36" s="29">
        <f>C36/100*39.2</f>
        <v>50.960000000000008</v>
      </c>
      <c r="J36" s="71"/>
      <c r="K36" s="71"/>
      <c r="L36" s="375">
        <v>130</v>
      </c>
      <c r="M36" s="75">
        <v>50</v>
      </c>
      <c r="N36" s="28">
        <f t="shared" si="1"/>
        <v>6500</v>
      </c>
      <c r="O36" s="153"/>
      <c r="Q36" s="3"/>
      <c r="R36" s="3"/>
      <c r="S36" s="4"/>
      <c r="T36" s="3"/>
    </row>
    <row r="37" spans="1:22" s="2" customFormat="1" ht="19.8" customHeight="1">
      <c r="A37" s="9">
        <v>5</v>
      </c>
      <c r="B37" s="149" t="s">
        <v>183</v>
      </c>
      <c r="C37" s="23">
        <f>L37/100*100</f>
        <v>19050</v>
      </c>
      <c r="D37" s="120">
        <f>C37/100*110</f>
        <v>20955</v>
      </c>
      <c r="E37" s="168"/>
      <c r="F37" s="168">
        <f>C37/100*1.7</f>
        <v>323.84999999999997</v>
      </c>
      <c r="G37" s="29"/>
      <c r="H37" s="29"/>
      <c r="I37" s="29">
        <f>C37/100*25.7</f>
        <v>4895.8499999999995</v>
      </c>
      <c r="J37" s="71">
        <f>C37/100*12</f>
        <v>2286</v>
      </c>
      <c r="K37" s="71">
        <f>C37/100*0.04</f>
        <v>7.62</v>
      </c>
      <c r="L37" s="375">
        <v>19050</v>
      </c>
      <c r="M37" s="75">
        <v>14</v>
      </c>
      <c r="N37" s="124">
        <f t="shared" ref="N37" si="2">L37*M37</f>
        <v>266700</v>
      </c>
      <c r="O37" s="153"/>
      <c r="Q37" s="3"/>
      <c r="R37" s="3"/>
      <c r="S37" s="4"/>
      <c r="T37" s="3"/>
    </row>
    <row r="38" spans="1:22" s="2" customFormat="1" ht="19.8" customHeight="1">
      <c r="A38" s="9">
        <v>6</v>
      </c>
      <c r="B38" s="149" t="s">
        <v>64</v>
      </c>
      <c r="C38" s="23">
        <f>L38/100*45</f>
        <v>3955.5000000000005</v>
      </c>
      <c r="D38" s="120">
        <f>C38/100*276</f>
        <v>10917.180000000002</v>
      </c>
      <c r="E38" s="168">
        <f>C38/100*17.8</f>
        <v>704.07900000000018</v>
      </c>
      <c r="F38" s="29"/>
      <c r="G38" s="29">
        <f>C38/100*21.8</f>
        <v>862.29900000000021</v>
      </c>
      <c r="H38" s="29"/>
      <c r="I38" s="29"/>
      <c r="J38" s="71">
        <f>C38/100*13</f>
        <v>514.21500000000015</v>
      </c>
      <c r="K38" s="71">
        <f>C38/100*0.07</f>
        <v>2.7688500000000009</v>
      </c>
      <c r="L38" s="375">
        <v>8790</v>
      </c>
      <c r="M38" s="75">
        <v>63</v>
      </c>
      <c r="N38" s="124">
        <f t="shared" si="1"/>
        <v>553770</v>
      </c>
      <c r="O38" s="153"/>
      <c r="Q38" s="3"/>
      <c r="R38" s="3"/>
      <c r="S38" s="4"/>
      <c r="T38" s="3"/>
    </row>
    <row r="39" spans="1:22" s="2" customFormat="1" ht="19.8" customHeight="1">
      <c r="A39" s="9">
        <v>7</v>
      </c>
      <c r="B39" s="148" t="s">
        <v>4</v>
      </c>
      <c r="C39" s="23">
        <f>L39/100*98.5</f>
        <v>1763.1499999999999</v>
      </c>
      <c r="D39" s="24">
        <f>C39/100*39</f>
        <v>687.62849999999992</v>
      </c>
      <c r="E39" s="29"/>
      <c r="F39" s="29">
        <f>C39/100*1.5</f>
        <v>26.447249999999997</v>
      </c>
      <c r="G39" s="29"/>
      <c r="H39" s="29">
        <f>C39/100*0.2</f>
        <v>3.5263</v>
      </c>
      <c r="I39" s="29">
        <f>C39/100*7.8</f>
        <v>137.5257</v>
      </c>
      <c r="J39" s="71">
        <f>C39/100*43</f>
        <v>758.15449999999998</v>
      </c>
      <c r="K39" s="71">
        <f>C39/100*0.06</f>
        <v>1.05789</v>
      </c>
      <c r="L39" s="375">
        <v>1790</v>
      </c>
      <c r="M39" s="75">
        <v>17</v>
      </c>
      <c r="N39" s="28">
        <f t="shared" si="1"/>
        <v>30430</v>
      </c>
      <c r="O39" s="153"/>
    </row>
    <row r="40" spans="1:22" s="2" customFormat="1" ht="19.8" customHeight="1">
      <c r="A40" s="9">
        <v>8</v>
      </c>
      <c r="B40" s="148" t="s">
        <v>20</v>
      </c>
      <c r="C40" s="23">
        <f>L40/100*95</f>
        <v>2555.5</v>
      </c>
      <c r="D40" s="24">
        <f>C40/100*20</f>
        <v>511.1</v>
      </c>
      <c r="E40" s="29"/>
      <c r="F40" s="29">
        <f>C40/100*0.6</f>
        <v>15.332999999999998</v>
      </c>
      <c r="G40" s="29"/>
      <c r="H40" s="29">
        <f>C40/100*0.2</f>
        <v>5.1110000000000007</v>
      </c>
      <c r="I40" s="29">
        <f>C40/100*4</f>
        <v>102.22</v>
      </c>
      <c r="J40" s="71">
        <f>C40/100*12</f>
        <v>306.65999999999997</v>
      </c>
      <c r="K40" s="71">
        <f>C40/100*0.04</f>
        <v>1.0222</v>
      </c>
      <c r="L40" s="375">
        <v>2690</v>
      </c>
      <c r="M40" s="75">
        <v>22</v>
      </c>
      <c r="N40" s="28">
        <f t="shared" si="1"/>
        <v>59180</v>
      </c>
      <c r="O40" s="153"/>
    </row>
    <row r="41" spans="1:22" s="2" customFormat="1" ht="19.8" customHeight="1">
      <c r="A41" s="9">
        <v>9</v>
      </c>
      <c r="B41" s="5" t="s">
        <v>76</v>
      </c>
      <c r="C41" s="23">
        <f>L41/100*80</f>
        <v>23296</v>
      </c>
      <c r="D41" s="24">
        <f>C41/100*40</f>
        <v>9318.4</v>
      </c>
      <c r="E41" s="25"/>
      <c r="F41" s="119">
        <f>C41/100*1.3</f>
        <v>302.84800000000001</v>
      </c>
      <c r="G41" s="25"/>
      <c r="H41" s="25"/>
      <c r="I41" s="25">
        <f>C41/100*2.8</f>
        <v>652.28800000000001</v>
      </c>
      <c r="J41" s="25">
        <f>C41/100*11</f>
        <v>2562.56</v>
      </c>
      <c r="K41" s="25"/>
      <c r="L41" s="399">
        <v>29120</v>
      </c>
      <c r="M41" s="75">
        <v>32</v>
      </c>
      <c r="N41" s="124">
        <f t="shared" si="1"/>
        <v>931840</v>
      </c>
      <c r="O41" s="400"/>
      <c r="P41" s="405"/>
    </row>
    <row r="42" spans="1:22" s="2" customFormat="1" ht="19.8" customHeight="1">
      <c r="A42" s="113">
        <v>10</v>
      </c>
      <c r="B42" s="112" t="s">
        <v>123</v>
      </c>
      <c r="C42" s="104"/>
      <c r="D42" s="105"/>
      <c r="E42" s="106"/>
      <c r="F42" s="106"/>
      <c r="G42" s="106"/>
      <c r="H42" s="106"/>
      <c r="I42" s="106"/>
      <c r="J42" s="106"/>
      <c r="K42" s="106"/>
      <c r="L42" s="107"/>
      <c r="M42" s="107"/>
      <c r="N42" s="167">
        <v>14680</v>
      </c>
      <c r="O42" s="153"/>
    </row>
    <row r="43" spans="1:22" ht="19.8" customHeight="1">
      <c r="A43" s="190" t="s">
        <v>66</v>
      </c>
      <c r="B43" s="200" t="s">
        <v>19</v>
      </c>
      <c r="C43" s="328" t="s">
        <v>8</v>
      </c>
      <c r="D43" s="203" t="s">
        <v>9</v>
      </c>
      <c r="E43" s="193" t="s">
        <v>11</v>
      </c>
      <c r="F43" s="194"/>
      <c r="G43" s="193" t="s">
        <v>13</v>
      </c>
      <c r="H43" s="194"/>
      <c r="I43" s="197" t="s">
        <v>16</v>
      </c>
      <c r="J43" s="197" t="s">
        <v>41</v>
      </c>
      <c r="K43" s="197" t="s">
        <v>42</v>
      </c>
      <c r="L43" s="197" t="s">
        <v>17</v>
      </c>
      <c r="M43" s="197" t="s">
        <v>55</v>
      </c>
      <c r="N43" s="190" t="s">
        <v>18</v>
      </c>
      <c r="O43" s="374"/>
    </row>
    <row r="44" spans="1:22" ht="19.8" customHeight="1">
      <c r="A44" s="191"/>
      <c r="B44" s="201"/>
      <c r="C44" s="329"/>
      <c r="D44" s="204"/>
      <c r="E44" s="195"/>
      <c r="F44" s="196"/>
      <c r="G44" s="195"/>
      <c r="H44" s="196"/>
      <c r="I44" s="198"/>
      <c r="J44" s="198"/>
      <c r="K44" s="198"/>
      <c r="L44" s="198"/>
      <c r="M44" s="198"/>
      <c r="N44" s="191"/>
      <c r="O44" s="178"/>
    </row>
    <row r="45" spans="1:22" ht="19.8" customHeight="1">
      <c r="A45" s="191"/>
      <c r="B45" s="201"/>
      <c r="C45" s="329"/>
      <c r="D45" s="204"/>
      <c r="E45" s="197" t="s">
        <v>10</v>
      </c>
      <c r="F45" s="197" t="s">
        <v>12</v>
      </c>
      <c r="G45" s="197" t="s">
        <v>14</v>
      </c>
      <c r="H45" s="197" t="s">
        <v>15</v>
      </c>
      <c r="I45" s="198"/>
      <c r="J45" s="198"/>
      <c r="K45" s="198"/>
      <c r="L45" s="198"/>
      <c r="M45" s="198"/>
      <c r="N45" s="191"/>
      <c r="O45" s="178"/>
    </row>
    <row r="46" spans="1:22" ht="19.8" customHeight="1">
      <c r="A46" s="192"/>
      <c r="B46" s="202"/>
      <c r="C46" s="330"/>
      <c r="D46" s="205"/>
      <c r="E46" s="199"/>
      <c r="F46" s="199"/>
      <c r="G46" s="199"/>
      <c r="H46" s="199"/>
      <c r="I46" s="199"/>
      <c r="J46" s="199"/>
      <c r="K46" s="199"/>
      <c r="L46" s="199"/>
      <c r="M46" s="199"/>
      <c r="N46" s="192"/>
      <c r="O46" s="178"/>
    </row>
    <row r="47" spans="1:22" s="2" customFormat="1" ht="19.2" customHeight="1">
      <c r="A47" s="21" t="s">
        <v>110</v>
      </c>
      <c r="B47" s="22"/>
      <c r="C47" s="34"/>
      <c r="D47" s="121">
        <f>SUM(D33:D42)</f>
        <v>56549.208500000001</v>
      </c>
      <c r="E47" s="43"/>
      <c r="F47" s="43"/>
      <c r="G47" s="43"/>
      <c r="H47" s="43"/>
      <c r="I47" s="43"/>
      <c r="J47" s="43"/>
      <c r="K47" s="43"/>
      <c r="L47" s="44"/>
      <c r="M47" s="318"/>
      <c r="N47" s="263">
        <f>SUM(N33:N42)</f>
        <v>1968580</v>
      </c>
      <c r="O47" s="153"/>
    </row>
    <row r="48" spans="1:22" ht="19.2" customHeight="1">
      <c r="A48" s="21" t="s">
        <v>7</v>
      </c>
      <c r="B48" s="22"/>
      <c r="C48" s="45"/>
      <c r="D48" s="46">
        <f>D47/D10</f>
        <v>249.11545594713655</v>
      </c>
      <c r="E48" s="46"/>
      <c r="F48" s="46"/>
      <c r="G48" s="46"/>
      <c r="H48" s="46"/>
      <c r="I48" s="46"/>
      <c r="J48" s="46"/>
      <c r="K48" s="46"/>
      <c r="L48" s="47"/>
      <c r="M48" s="319"/>
      <c r="N48" s="264"/>
      <c r="O48" s="4"/>
      <c r="P48" s="2"/>
      <c r="Q48" s="2"/>
      <c r="R48" s="2"/>
      <c r="S48" s="2"/>
      <c r="T48" s="2"/>
      <c r="U48" s="2"/>
      <c r="V48" s="2"/>
    </row>
    <row r="49" spans="1:23" ht="19.2" customHeight="1">
      <c r="A49" s="301" t="s">
        <v>52</v>
      </c>
      <c r="B49" s="211"/>
      <c r="C49" s="377" t="s">
        <v>147</v>
      </c>
      <c r="D49" s="20" t="s">
        <v>58</v>
      </c>
      <c r="E49" s="46"/>
      <c r="F49" s="46"/>
      <c r="G49" s="46"/>
      <c r="H49" s="46"/>
      <c r="I49" s="46"/>
      <c r="J49" s="48"/>
      <c r="K49" s="48"/>
      <c r="L49" s="47"/>
      <c r="M49" s="47"/>
      <c r="N49" s="179"/>
      <c r="O49" s="4"/>
      <c r="P49" s="2"/>
      <c r="Q49" s="2"/>
      <c r="R49" s="2"/>
      <c r="S49" s="2"/>
      <c r="T49" s="2"/>
      <c r="U49" s="2"/>
      <c r="V49" s="2"/>
      <c r="W49" s="2"/>
    </row>
    <row r="50" spans="1:23" ht="19.2" customHeight="1">
      <c r="A50" s="212"/>
      <c r="B50" s="213"/>
      <c r="C50" s="76" t="s">
        <v>60</v>
      </c>
      <c r="D50" s="20">
        <f>D48*100/1320</f>
        <v>18.872383026298223</v>
      </c>
      <c r="E50" s="46"/>
      <c r="F50" s="46"/>
      <c r="G50" s="46"/>
      <c r="H50" s="46"/>
      <c r="I50" s="46"/>
      <c r="J50" s="48"/>
      <c r="K50" s="48"/>
      <c r="L50" s="47"/>
      <c r="M50" s="47"/>
      <c r="N50" s="179"/>
      <c r="O50" s="4"/>
      <c r="P50" s="2"/>
      <c r="Q50" s="2"/>
      <c r="R50" s="2"/>
      <c r="S50" s="2"/>
      <c r="T50" s="2"/>
      <c r="U50" s="2"/>
      <c r="V50" s="2"/>
      <c r="W50" s="2"/>
    </row>
    <row r="51" spans="1:23" ht="19.2" customHeight="1">
      <c r="A51" s="337" t="s">
        <v>107</v>
      </c>
      <c r="B51" s="338"/>
      <c r="C51" s="231"/>
      <c r="D51" s="302">
        <f>D28+D47</f>
        <v>159631.59149999998</v>
      </c>
      <c r="E51" s="123">
        <f>SUM(E16:E42)</f>
        <v>3092.1264999999999</v>
      </c>
      <c r="F51" s="123">
        <f t="shared" ref="F51:H51" si="3">SUM(F16:F42)</f>
        <v>2605.1292500000004</v>
      </c>
      <c r="G51" s="123">
        <f t="shared" si="3"/>
        <v>3411.1822999999995</v>
      </c>
      <c r="H51" s="123">
        <f t="shared" si="3"/>
        <v>1438.1353000000001</v>
      </c>
      <c r="I51" s="216">
        <f>SUM(I16:I42)</f>
        <v>22586.362299999997</v>
      </c>
      <c r="J51" s="216">
        <f>SUM(J16:J42)</f>
        <v>33183.809500000003</v>
      </c>
      <c r="K51" s="214">
        <f>SUM(K16:K42)</f>
        <v>98.796429999999987</v>
      </c>
      <c r="L51" s="243"/>
      <c r="M51" s="243"/>
      <c r="N51" s="298">
        <f>N28+N47</f>
        <v>4993940</v>
      </c>
      <c r="P51" s="2"/>
      <c r="Q51" s="2"/>
      <c r="R51" s="2"/>
      <c r="S51" s="2"/>
      <c r="T51" s="2"/>
      <c r="U51" s="2"/>
      <c r="V51" s="2"/>
    </row>
    <row r="52" spans="1:23" ht="19.2" customHeight="1">
      <c r="A52" s="339"/>
      <c r="B52" s="340"/>
      <c r="C52" s="232"/>
      <c r="D52" s="303"/>
      <c r="E52" s="323">
        <f>E51+F51</f>
        <v>5697.2557500000003</v>
      </c>
      <c r="F52" s="324"/>
      <c r="G52" s="225">
        <f>G51+H51</f>
        <v>4849.3175999999994</v>
      </c>
      <c r="H52" s="226"/>
      <c r="I52" s="217"/>
      <c r="J52" s="257"/>
      <c r="K52" s="304"/>
      <c r="L52" s="243"/>
      <c r="M52" s="243"/>
      <c r="N52" s="298"/>
      <c r="U52" s="12"/>
      <c r="V52" s="12"/>
    </row>
    <row r="53" spans="1:23" ht="19.2" customHeight="1">
      <c r="A53" s="267" t="s">
        <v>77</v>
      </c>
      <c r="B53" s="268"/>
      <c r="C53" s="269"/>
      <c r="D53" s="138">
        <f>D51/D10</f>
        <v>703.2228700440528</v>
      </c>
      <c r="E53" s="379">
        <f>E51/D10</f>
        <v>13.621702643171805</v>
      </c>
      <c r="F53" s="380">
        <f>F51/D10</f>
        <v>11.476340308370046</v>
      </c>
      <c r="G53" s="379">
        <f>G51/D10</f>
        <v>15.027234801762113</v>
      </c>
      <c r="H53" s="403">
        <f>H51/D10</f>
        <v>6.335397797356829</v>
      </c>
      <c r="I53" s="208">
        <f>I51/D10</f>
        <v>99.499393392070473</v>
      </c>
      <c r="J53" s="341">
        <f>J51/D10</f>
        <v>146.18418281938327</v>
      </c>
      <c r="K53" s="341">
        <f>K51/D10</f>
        <v>0.43522656387665193</v>
      </c>
      <c r="L53" s="243"/>
      <c r="M53" s="243"/>
      <c r="N53" s="298"/>
      <c r="U53" s="12"/>
      <c r="V53" s="12"/>
    </row>
    <row r="54" spans="1:23" ht="19.2" customHeight="1">
      <c r="A54" s="270"/>
      <c r="B54" s="271"/>
      <c r="C54" s="272"/>
      <c r="D54" s="127"/>
      <c r="E54" s="381">
        <f>E53+F53</f>
        <v>25.098042951541849</v>
      </c>
      <c r="F54" s="382"/>
      <c r="G54" s="381">
        <f>G53+H53</f>
        <v>21.362632599118943</v>
      </c>
      <c r="H54" s="382"/>
      <c r="I54" s="209"/>
      <c r="J54" s="341"/>
      <c r="K54" s="341"/>
      <c r="L54" s="243"/>
      <c r="M54" s="243"/>
      <c r="N54" s="298"/>
      <c r="P54" s="392"/>
      <c r="Q54" s="393"/>
      <c r="R54" s="393"/>
      <c r="S54" s="393"/>
      <c r="T54" s="393"/>
      <c r="U54" s="394"/>
      <c r="V54" s="394"/>
    </row>
    <row r="55" spans="1:23" ht="19.2" customHeight="1">
      <c r="A55" s="315" t="s">
        <v>80</v>
      </c>
      <c r="B55" s="316"/>
      <c r="C55" s="317"/>
      <c r="D55" s="183" t="s">
        <v>28</v>
      </c>
      <c r="E55" s="235" t="s">
        <v>21</v>
      </c>
      <c r="F55" s="235"/>
      <c r="G55" s="235" t="s">
        <v>22</v>
      </c>
      <c r="H55" s="235"/>
      <c r="I55" s="180" t="s">
        <v>23</v>
      </c>
      <c r="J55" s="383">
        <v>600</v>
      </c>
      <c r="K55" s="383">
        <v>0.7</v>
      </c>
      <c r="L55" s="243"/>
      <c r="M55" s="243"/>
      <c r="N55" s="298"/>
      <c r="O55" s="384"/>
      <c r="P55" s="395"/>
      <c r="Q55" s="393"/>
      <c r="R55" s="393"/>
      <c r="S55" s="393"/>
      <c r="T55" s="393"/>
      <c r="U55" s="393"/>
      <c r="V55" s="393"/>
    </row>
    <row r="56" spans="1:23" ht="19.2" customHeight="1">
      <c r="A56" s="218" t="s">
        <v>78</v>
      </c>
      <c r="B56" s="219"/>
      <c r="C56" s="220"/>
      <c r="D56" s="49"/>
      <c r="E56" s="206">
        <f>E54*4.1</f>
        <v>102.90197610132158</v>
      </c>
      <c r="F56" s="207"/>
      <c r="G56" s="206">
        <f>G54*9</f>
        <v>192.26369339207048</v>
      </c>
      <c r="H56" s="207"/>
      <c r="I56" s="85">
        <f>I53*4.1</f>
        <v>407.94751290748889</v>
      </c>
      <c r="J56" s="253"/>
      <c r="K56" s="253"/>
      <c r="L56" s="243"/>
      <c r="M56" s="243"/>
      <c r="N56" s="298"/>
      <c r="O56" s="384"/>
      <c r="P56" s="396"/>
      <c r="Q56" s="397"/>
      <c r="R56" s="397"/>
      <c r="S56" s="397"/>
      <c r="T56" s="392"/>
      <c r="U56" s="392"/>
      <c r="V56" s="392"/>
    </row>
    <row r="57" spans="1:23" ht="19.2" customHeight="1">
      <c r="A57" s="221" t="s">
        <v>87</v>
      </c>
      <c r="B57" s="222"/>
      <c r="C57" s="218" t="s">
        <v>59</v>
      </c>
      <c r="D57" s="220"/>
      <c r="E57" s="305">
        <f>E56*100/D53</f>
        <v>14.632910914128173</v>
      </c>
      <c r="F57" s="306"/>
      <c r="G57" s="305">
        <f>G56*100/D53</f>
        <v>27.34036414089125</v>
      </c>
      <c r="H57" s="306"/>
      <c r="I57" s="116">
        <f>I56*100/D53</f>
        <v>58.01112709572903</v>
      </c>
      <c r="J57" s="254"/>
      <c r="K57" s="254"/>
      <c r="L57" s="243"/>
      <c r="M57" s="243"/>
      <c r="N57" s="298"/>
      <c r="O57" s="384"/>
      <c r="P57" s="392"/>
      <c r="Q57" s="392"/>
      <c r="R57" s="392"/>
      <c r="S57" s="392"/>
      <c r="T57" s="392"/>
      <c r="U57" s="392"/>
      <c r="V57" s="392"/>
    </row>
    <row r="58" spans="1:23" ht="19.2" customHeight="1">
      <c r="A58" s="223"/>
      <c r="B58" s="224"/>
      <c r="C58" s="218" t="s">
        <v>79</v>
      </c>
      <c r="D58" s="220"/>
      <c r="E58" s="218" t="s">
        <v>82</v>
      </c>
      <c r="F58" s="220"/>
      <c r="G58" s="218" t="s">
        <v>83</v>
      </c>
      <c r="H58" s="220"/>
      <c r="I58" s="183" t="s">
        <v>84</v>
      </c>
      <c r="J58" s="234"/>
      <c r="K58" s="234"/>
      <c r="L58" s="243"/>
      <c r="M58" s="243"/>
      <c r="N58" s="298"/>
      <c r="O58" s="384"/>
    </row>
    <row r="59" spans="1:23" ht="19.2" customHeight="1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4"/>
      <c r="M59" s="94"/>
      <c r="N59" s="95"/>
      <c r="O59" s="384"/>
      <c r="P59" s="132"/>
    </row>
    <row r="60" spans="1:23" ht="21" customHeight="1">
      <c r="A60" s="293" t="s">
        <v>114</v>
      </c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384"/>
    </row>
    <row r="61" spans="1:23" ht="21" customHeight="1">
      <c r="A61" s="117" t="s">
        <v>115</v>
      </c>
      <c r="B61" s="294" t="s">
        <v>116</v>
      </c>
      <c r="C61" s="294"/>
      <c r="D61" s="294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384"/>
    </row>
    <row r="62" spans="1:23" ht="21" customHeight="1">
      <c r="A62" s="118"/>
      <c r="B62" s="258" t="s">
        <v>211</v>
      </c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384"/>
    </row>
    <row r="63" spans="1:23" ht="21" customHeight="1">
      <c r="A63" s="118"/>
      <c r="B63" s="258" t="s">
        <v>212</v>
      </c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384"/>
    </row>
    <row r="64" spans="1:23" ht="21" customHeight="1">
      <c r="A64" s="118"/>
      <c r="B64" s="258" t="s">
        <v>213</v>
      </c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384"/>
    </row>
    <row r="65" spans="1:15" ht="21" customHeight="1">
      <c r="A65" s="90"/>
      <c r="B65" s="259" t="s">
        <v>117</v>
      </c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384"/>
    </row>
    <row r="66" spans="1:15" ht="21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4"/>
      <c r="M66" s="94"/>
      <c r="N66" s="95"/>
      <c r="O66" s="384"/>
    </row>
    <row r="67" spans="1:15" ht="21" customHeight="1">
      <c r="A67" s="260" t="s">
        <v>62</v>
      </c>
      <c r="B67" s="260"/>
      <c r="C67" s="260"/>
      <c r="D67" s="260"/>
      <c r="E67" s="385"/>
      <c r="F67" s="385"/>
      <c r="G67" s="385"/>
      <c r="H67" s="385"/>
      <c r="I67" s="385"/>
      <c r="J67" s="386" t="s">
        <v>33</v>
      </c>
      <c r="K67" s="386"/>
      <c r="L67" s="386"/>
      <c r="M67" s="386"/>
      <c r="N67" s="386"/>
      <c r="O67" s="384"/>
    </row>
    <row r="68" spans="1:15" ht="21" customHeight="1">
      <c r="A68" s="178"/>
      <c r="B68" s="178"/>
      <c r="C68" s="178"/>
      <c r="D68" s="385"/>
      <c r="E68" s="385"/>
      <c r="F68" s="385"/>
      <c r="G68" s="385"/>
      <c r="H68" s="387"/>
      <c r="I68" s="387"/>
      <c r="J68" s="387"/>
      <c r="K68" s="387"/>
      <c r="L68" s="387"/>
      <c r="M68" s="387"/>
      <c r="N68" s="387"/>
      <c r="O68" s="384"/>
    </row>
    <row r="69" spans="1:15" ht="21" customHeight="1">
      <c r="A69" s="178"/>
      <c r="B69" s="178"/>
      <c r="C69" s="178"/>
      <c r="D69" s="385"/>
      <c r="E69" s="385"/>
      <c r="F69" s="385"/>
      <c r="G69" s="385"/>
      <c r="H69" s="387"/>
      <c r="I69" s="387"/>
      <c r="J69" s="387"/>
      <c r="K69" s="387"/>
      <c r="L69" s="387"/>
      <c r="M69" s="387"/>
      <c r="N69" s="387"/>
      <c r="O69" s="384"/>
    </row>
    <row r="70" spans="1:15" ht="21" customHeight="1">
      <c r="A70" s="178"/>
      <c r="B70" s="178"/>
      <c r="C70" s="178"/>
      <c r="D70" s="385"/>
      <c r="E70" s="385"/>
      <c r="F70" s="385"/>
      <c r="G70" s="385"/>
      <c r="H70" s="387"/>
      <c r="I70" s="387"/>
      <c r="J70" s="388" t="s">
        <v>124</v>
      </c>
      <c r="K70" s="388"/>
      <c r="L70" s="388"/>
      <c r="M70" s="388"/>
      <c r="N70" s="388"/>
      <c r="O70" s="384"/>
    </row>
    <row r="71" spans="1:15" ht="21" customHeight="1">
      <c r="A71" s="261" t="s">
        <v>91</v>
      </c>
      <c r="B71" s="261"/>
      <c r="C71" s="261"/>
      <c r="D71" s="261"/>
      <c r="E71" s="385"/>
      <c r="F71" s="385"/>
      <c r="G71" s="385"/>
      <c r="H71" s="387"/>
      <c r="I71" s="387"/>
      <c r="O71" s="384"/>
    </row>
    <row r="72" spans="1:15" ht="19.2" customHeight="1">
      <c r="A72" s="178"/>
      <c r="B72" s="178"/>
      <c r="C72" s="178"/>
      <c r="D72" s="385"/>
      <c r="E72" s="385"/>
      <c r="F72" s="385"/>
      <c r="G72" s="385"/>
      <c r="H72" s="387"/>
      <c r="I72" s="387"/>
      <c r="J72" s="387"/>
      <c r="K72" s="387"/>
      <c r="L72" s="387"/>
      <c r="M72" s="387"/>
      <c r="N72" s="387"/>
      <c r="O72" s="384"/>
    </row>
    <row r="73" spans="1:15" ht="19.2" customHeight="1">
      <c r="A73" s="178"/>
      <c r="B73" s="178"/>
      <c r="C73" s="178"/>
      <c r="D73" s="385"/>
      <c r="E73" s="385"/>
      <c r="F73" s="385"/>
      <c r="G73" s="385"/>
      <c r="H73" s="387"/>
      <c r="I73" s="387"/>
      <c r="J73" s="387"/>
      <c r="K73" s="387"/>
      <c r="L73" s="387"/>
      <c r="M73" s="387"/>
      <c r="N73" s="387"/>
      <c r="O73" s="384"/>
    </row>
    <row r="74" spans="1:15" ht="19.2" customHeight="1">
      <c r="A74" s="178"/>
      <c r="B74" s="178"/>
      <c r="C74" s="178"/>
      <c r="D74" s="385"/>
      <c r="E74" s="385"/>
      <c r="F74" s="385"/>
      <c r="G74" s="385"/>
      <c r="H74" s="387"/>
      <c r="I74" s="387"/>
      <c r="J74" s="388" t="s">
        <v>127</v>
      </c>
      <c r="K74" s="388"/>
      <c r="L74" s="388"/>
      <c r="M74" s="388"/>
      <c r="N74" s="388"/>
      <c r="O74" s="384"/>
    </row>
    <row r="75" spans="1:15" ht="19.2" customHeight="1">
      <c r="A75" s="178"/>
      <c r="B75" s="178"/>
      <c r="C75" s="178"/>
      <c r="D75" s="385"/>
      <c r="E75" s="385"/>
      <c r="F75" s="385"/>
      <c r="G75" s="385"/>
      <c r="H75" s="387"/>
      <c r="I75" s="387"/>
      <c r="J75" s="387"/>
      <c r="K75" s="387"/>
      <c r="L75" s="387"/>
      <c r="M75" s="387"/>
      <c r="N75" s="387"/>
      <c r="O75" s="384"/>
    </row>
    <row r="76" spans="1:15" ht="19.2" customHeight="1">
      <c r="A76" s="178"/>
      <c r="B76" s="178"/>
      <c r="C76" s="178"/>
      <c r="D76" s="385"/>
      <c r="E76" s="385"/>
      <c r="F76" s="385"/>
      <c r="G76" s="385"/>
      <c r="H76" s="387"/>
      <c r="I76" s="387"/>
      <c r="J76" s="387"/>
      <c r="K76" s="387"/>
      <c r="L76" s="387"/>
      <c r="M76" s="387"/>
      <c r="N76" s="387"/>
      <c r="O76" s="384"/>
    </row>
    <row r="77" spans="1:15" ht="19.2" customHeight="1">
      <c r="A77" s="178"/>
      <c r="B77" s="178"/>
      <c r="C77" s="178"/>
      <c r="D77" s="385"/>
      <c r="E77" s="385"/>
      <c r="F77" s="385"/>
      <c r="G77" s="385"/>
      <c r="H77" s="387"/>
      <c r="I77" s="387"/>
      <c r="J77" s="387"/>
      <c r="K77" s="387"/>
      <c r="L77" s="387"/>
      <c r="M77" s="387"/>
      <c r="N77" s="387"/>
      <c r="O77" s="384"/>
    </row>
    <row r="78" spans="1:15" ht="19.2" customHeight="1">
      <c r="A78" s="178"/>
      <c r="B78" s="178"/>
      <c r="C78" s="178"/>
      <c r="D78" s="385"/>
      <c r="E78" s="385"/>
      <c r="F78" s="385"/>
      <c r="G78" s="385"/>
      <c r="H78" s="387"/>
      <c r="I78" s="387"/>
      <c r="J78" s="387"/>
      <c r="K78" s="387"/>
      <c r="L78" s="387"/>
      <c r="M78" s="387"/>
      <c r="N78" s="387"/>
      <c r="O78" s="384"/>
    </row>
    <row r="79" spans="1:15" ht="19.2" customHeight="1">
      <c r="A79" s="178"/>
      <c r="B79" s="178"/>
      <c r="C79" s="178"/>
      <c r="D79" s="385"/>
      <c r="E79" s="385"/>
      <c r="F79" s="385"/>
      <c r="G79" s="385"/>
      <c r="H79" s="387"/>
      <c r="I79" s="387"/>
      <c r="J79" s="387"/>
      <c r="K79" s="387"/>
      <c r="L79" s="387"/>
      <c r="M79" s="387"/>
      <c r="N79" s="387"/>
      <c r="O79" s="384"/>
    </row>
    <row r="80" spans="1:15" ht="19.2" customHeight="1">
      <c r="A80" s="178"/>
      <c r="B80" s="178"/>
      <c r="C80" s="178"/>
      <c r="D80" s="385"/>
      <c r="E80" s="385"/>
      <c r="F80" s="385"/>
      <c r="G80" s="385"/>
      <c r="H80" s="387"/>
      <c r="I80" s="387"/>
      <c r="J80" s="387"/>
      <c r="K80" s="387"/>
      <c r="L80" s="387"/>
      <c r="M80" s="387"/>
      <c r="N80" s="387"/>
      <c r="O80" s="384"/>
    </row>
    <row r="81" spans="1:20" ht="19.2" customHeight="1">
      <c r="A81" s="178"/>
      <c r="B81" s="178"/>
      <c r="C81" s="178"/>
      <c r="D81" s="385"/>
      <c r="E81" s="385"/>
      <c r="F81" s="385"/>
      <c r="G81" s="385"/>
      <c r="H81" s="387"/>
      <c r="I81" s="387"/>
      <c r="J81" s="387"/>
      <c r="K81" s="387"/>
      <c r="L81" s="387"/>
      <c r="M81" s="387"/>
      <c r="N81" s="387"/>
      <c r="O81" s="384"/>
    </row>
    <row r="82" spans="1:20" ht="19.2" customHeight="1">
      <c r="A82" s="178"/>
      <c r="B82" s="178"/>
      <c r="C82" s="178"/>
      <c r="D82" s="385"/>
      <c r="E82" s="385"/>
      <c r="F82" s="385"/>
      <c r="G82" s="385"/>
      <c r="H82" s="387"/>
      <c r="I82" s="387"/>
      <c r="J82" s="387"/>
      <c r="K82" s="387"/>
      <c r="L82" s="387"/>
      <c r="M82" s="387"/>
      <c r="N82" s="387"/>
      <c r="O82" s="384"/>
    </row>
    <row r="83" spans="1:20" ht="19.2" customHeight="1">
      <c r="A83" s="178"/>
      <c r="B83" s="178"/>
      <c r="C83" s="178"/>
      <c r="D83" s="385"/>
      <c r="E83" s="385"/>
      <c r="F83" s="385"/>
      <c r="G83" s="385"/>
      <c r="H83" s="387"/>
      <c r="I83" s="387"/>
      <c r="J83" s="387"/>
      <c r="K83" s="387"/>
      <c r="L83" s="387"/>
      <c r="M83" s="387"/>
      <c r="N83" s="387"/>
      <c r="O83" s="384"/>
    </row>
    <row r="84" spans="1:20" ht="19.2" customHeight="1">
      <c r="A84" s="178"/>
      <c r="B84" s="178"/>
      <c r="C84" s="178"/>
      <c r="D84" s="385"/>
      <c r="E84" s="385"/>
      <c r="F84" s="385"/>
      <c r="G84" s="385"/>
      <c r="H84" s="387"/>
      <c r="I84" s="387"/>
      <c r="J84" s="387"/>
      <c r="K84" s="387"/>
      <c r="L84" s="387"/>
      <c r="M84" s="387"/>
      <c r="N84" s="387"/>
      <c r="O84" s="384"/>
    </row>
    <row r="85" spans="1:20" ht="19.2" customHeight="1">
      <c r="A85" s="11" t="s">
        <v>61</v>
      </c>
      <c r="B85" s="8"/>
      <c r="C85" s="8"/>
      <c r="D85" s="8"/>
      <c r="E85" s="8"/>
      <c r="F85" s="188" t="s">
        <v>32</v>
      </c>
      <c r="G85" s="188"/>
      <c r="H85" s="188"/>
      <c r="I85" s="188"/>
      <c r="J85" s="188"/>
      <c r="K85" s="188"/>
      <c r="L85" s="188"/>
      <c r="M85" s="188"/>
      <c r="N85" s="188"/>
      <c r="O85" s="372"/>
      <c r="P85" s="372"/>
      <c r="T85" s="2"/>
    </row>
    <row r="86" spans="1:20" ht="19.2" customHeight="1">
      <c r="A86" s="8" t="s">
        <v>210</v>
      </c>
      <c r="B86" s="8"/>
      <c r="C86" s="8"/>
      <c r="D86" s="8"/>
      <c r="E86" s="8"/>
      <c r="F86" s="182"/>
      <c r="G86" s="182"/>
      <c r="H86" s="182"/>
      <c r="I86" s="182"/>
      <c r="J86" s="182"/>
      <c r="K86" s="182"/>
      <c r="L86" s="182"/>
      <c r="M86" s="182"/>
      <c r="N86" s="182"/>
      <c r="O86" s="372"/>
      <c r="P86" s="372"/>
      <c r="T86" s="2"/>
    </row>
    <row r="87" spans="1:20" s="2" customFormat="1" ht="19.2" customHeight="1">
      <c r="A87" s="235" t="s">
        <v>97</v>
      </c>
      <c r="B87" s="235"/>
      <c r="C87" s="235"/>
      <c r="D87" s="235"/>
      <c r="E87" s="235" t="s">
        <v>89</v>
      </c>
      <c r="F87" s="235"/>
      <c r="G87" s="235"/>
      <c r="H87" s="235"/>
      <c r="I87" s="235"/>
      <c r="J87" s="235"/>
      <c r="K87" s="235"/>
      <c r="L87" s="235"/>
      <c r="M87" s="235"/>
      <c r="N87" s="235"/>
      <c r="O87" s="373"/>
    </row>
    <row r="88" spans="1:20" s="2" customFormat="1" ht="19.2" customHeight="1">
      <c r="A88" s="235"/>
      <c r="B88" s="235"/>
      <c r="C88" s="235"/>
      <c r="D88" s="235"/>
      <c r="E88" s="235" t="s">
        <v>100</v>
      </c>
      <c r="F88" s="235"/>
      <c r="G88" s="235"/>
      <c r="H88" s="235"/>
      <c r="I88" s="235"/>
      <c r="J88" s="235" t="s">
        <v>101</v>
      </c>
      <c r="K88" s="235"/>
      <c r="L88" s="235"/>
      <c r="M88" s="235"/>
      <c r="N88" s="235"/>
      <c r="O88" s="373"/>
    </row>
    <row r="89" spans="1:20" s="2" customFormat="1" ht="19.2" customHeight="1">
      <c r="A89" s="265" t="s">
        <v>90</v>
      </c>
      <c r="B89" s="265"/>
      <c r="C89" s="265"/>
      <c r="D89" s="265"/>
      <c r="E89" s="266" t="s">
        <v>76</v>
      </c>
      <c r="F89" s="266"/>
      <c r="G89" s="266"/>
      <c r="H89" s="266"/>
      <c r="I89" s="266"/>
      <c r="J89" s="331" t="s">
        <v>90</v>
      </c>
      <c r="K89" s="332"/>
      <c r="L89" s="332"/>
      <c r="M89" s="332"/>
      <c r="N89" s="333"/>
      <c r="O89" s="373"/>
    </row>
    <row r="90" spans="1:20" s="2" customFormat="1" ht="19.2" customHeight="1">
      <c r="A90" s="184" t="s">
        <v>156</v>
      </c>
      <c r="B90" s="185"/>
      <c r="C90" s="185"/>
      <c r="D90" s="186"/>
      <c r="E90" s="266"/>
      <c r="F90" s="266"/>
      <c r="G90" s="266"/>
      <c r="H90" s="266"/>
      <c r="I90" s="266"/>
      <c r="J90" s="184" t="s">
        <v>157</v>
      </c>
      <c r="K90" s="185"/>
      <c r="L90" s="185"/>
      <c r="M90" s="185"/>
      <c r="N90" s="186"/>
      <c r="O90" s="373"/>
    </row>
    <row r="91" spans="1:20" s="2" customFormat="1" ht="19.2" customHeight="1">
      <c r="A91" s="274" t="s">
        <v>184</v>
      </c>
      <c r="B91" s="274"/>
      <c r="C91" s="274"/>
      <c r="D91" s="274"/>
      <c r="E91" s="266"/>
      <c r="F91" s="266"/>
      <c r="G91" s="266"/>
      <c r="H91" s="266"/>
      <c r="I91" s="266"/>
      <c r="J91" s="334" t="s">
        <v>158</v>
      </c>
      <c r="K91" s="335"/>
      <c r="L91" s="335"/>
      <c r="M91" s="335"/>
      <c r="N91" s="336"/>
      <c r="O91" s="373"/>
    </row>
    <row r="92" spans="1:20" ht="19.2" customHeight="1">
      <c r="A92" s="275" t="s">
        <v>122</v>
      </c>
      <c r="B92" s="276"/>
      <c r="C92" s="277"/>
      <c r="D92" s="128">
        <v>56</v>
      </c>
      <c r="E92" s="8"/>
      <c r="F92" s="182"/>
      <c r="G92" s="182"/>
      <c r="H92" s="182"/>
      <c r="I92" s="182"/>
      <c r="J92" s="182"/>
      <c r="K92" s="182"/>
      <c r="L92" s="182"/>
      <c r="M92" s="182"/>
      <c r="N92" s="182"/>
      <c r="O92" s="372"/>
      <c r="P92" s="372"/>
      <c r="T92" s="2"/>
    </row>
    <row r="93" spans="1:20" ht="19.2" customHeight="1">
      <c r="A93" s="190" t="s">
        <v>66</v>
      </c>
      <c r="B93" s="200" t="s">
        <v>19</v>
      </c>
      <c r="C93" s="328" t="s">
        <v>8</v>
      </c>
      <c r="D93" s="203" t="s">
        <v>9</v>
      </c>
      <c r="E93" s="193" t="s">
        <v>11</v>
      </c>
      <c r="F93" s="194"/>
      <c r="G93" s="193" t="s">
        <v>13</v>
      </c>
      <c r="H93" s="194"/>
      <c r="I93" s="197" t="s">
        <v>16</v>
      </c>
      <c r="J93" s="197" t="s">
        <v>41</v>
      </c>
      <c r="K93" s="197" t="s">
        <v>42</v>
      </c>
      <c r="L93" s="197" t="s">
        <v>17</v>
      </c>
      <c r="M93" s="197" t="s">
        <v>56</v>
      </c>
      <c r="N93" s="190" t="s">
        <v>18</v>
      </c>
      <c r="O93" s="374"/>
    </row>
    <row r="94" spans="1:20" ht="19.2" customHeight="1">
      <c r="A94" s="191"/>
      <c r="B94" s="201"/>
      <c r="C94" s="329"/>
      <c r="D94" s="204"/>
      <c r="E94" s="195"/>
      <c r="F94" s="196"/>
      <c r="G94" s="195"/>
      <c r="H94" s="196"/>
      <c r="I94" s="198"/>
      <c r="J94" s="198"/>
      <c r="K94" s="198"/>
      <c r="L94" s="198"/>
      <c r="M94" s="198"/>
      <c r="N94" s="191"/>
      <c r="O94" s="178"/>
    </row>
    <row r="95" spans="1:20" ht="19.2" customHeight="1">
      <c r="A95" s="191"/>
      <c r="B95" s="201"/>
      <c r="C95" s="329"/>
      <c r="D95" s="204"/>
      <c r="E95" s="197" t="s">
        <v>10</v>
      </c>
      <c r="F95" s="197" t="s">
        <v>12</v>
      </c>
      <c r="G95" s="197" t="s">
        <v>14</v>
      </c>
      <c r="H95" s="197" t="s">
        <v>15</v>
      </c>
      <c r="I95" s="198"/>
      <c r="J95" s="198"/>
      <c r="K95" s="198"/>
      <c r="L95" s="198"/>
      <c r="M95" s="198"/>
      <c r="N95" s="191"/>
      <c r="O95" s="178"/>
    </row>
    <row r="96" spans="1:20" ht="19.2" customHeight="1">
      <c r="A96" s="192"/>
      <c r="B96" s="202"/>
      <c r="C96" s="330"/>
      <c r="D96" s="205"/>
      <c r="E96" s="199"/>
      <c r="F96" s="199"/>
      <c r="G96" s="199"/>
      <c r="H96" s="199"/>
      <c r="I96" s="199"/>
      <c r="J96" s="199"/>
      <c r="K96" s="199"/>
      <c r="L96" s="199"/>
      <c r="M96" s="199"/>
      <c r="N96" s="192"/>
      <c r="O96" s="178"/>
    </row>
    <row r="97" spans="1:23" ht="19.2" customHeight="1">
      <c r="A97" s="237" t="s">
        <v>39</v>
      </c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9"/>
      <c r="O97" s="178"/>
    </row>
    <row r="98" spans="1:23" s="2" customFormat="1" ht="19.2" customHeight="1">
      <c r="A98" s="9">
        <v>1</v>
      </c>
      <c r="B98" s="10" t="s">
        <v>2</v>
      </c>
      <c r="C98" s="23">
        <f>L98/100*100</f>
        <v>60</v>
      </c>
      <c r="D98" s="24">
        <f>C98/100*60</f>
        <v>36</v>
      </c>
      <c r="E98" s="25">
        <f>C98/100*15</f>
        <v>9</v>
      </c>
      <c r="F98" s="25"/>
      <c r="G98" s="25"/>
      <c r="H98" s="25"/>
      <c r="I98" s="25"/>
      <c r="J98" s="27">
        <f>C98/100*387</f>
        <v>232.2</v>
      </c>
      <c r="K98" s="27">
        <f>C98/100*0.09</f>
        <v>5.3999999999999999E-2</v>
      </c>
      <c r="L98" s="137">
        <v>60</v>
      </c>
      <c r="M98" s="75">
        <v>20</v>
      </c>
      <c r="N98" s="28">
        <f>L98*M98</f>
        <v>1200</v>
      </c>
      <c r="O98" s="153"/>
    </row>
    <row r="99" spans="1:23" s="2" customFormat="1" ht="19.2" customHeight="1">
      <c r="A99" s="9">
        <v>2</v>
      </c>
      <c r="B99" s="146" t="s">
        <v>139</v>
      </c>
      <c r="C99" s="23">
        <f>L99/100*100</f>
        <v>360</v>
      </c>
      <c r="D99" s="24">
        <f>C99/100*899</f>
        <v>3236.4</v>
      </c>
      <c r="E99" s="25"/>
      <c r="F99" s="25"/>
      <c r="G99" s="25">
        <f>C99/100*100</f>
        <v>360</v>
      </c>
      <c r="H99" s="25"/>
      <c r="I99" s="25"/>
      <c r="J99" s="25"/>
      <c r="K99" s="25"/>
      <c r="L99" s="137">
        <v>360</v>
      </c>
      <c r="M99" s="144">
        <v>69</v>
      </c>
      <c r="N99" s="28">
        <f t="shared" ref="N99:N106" si="4">L99*M99</f>
        <v>24840</v>
      </c>
      <c r="O99" s="378"/>
    </row>
    <row r="100" spans="1:23" s="2" customFormat="1" ht="19.2" customHeight="1">
      <c r="A100" s="9">
        <v>3</v>
      </c>
      <c r="B100" s="5" t="s">
        <v>1</v>
      </c>
      <c r="C100" s="23">
        <f>L100/100*100</f>
        <v>2408</v>
      </c>
      <c r="D100" s="24">
        <f>C100/100*344</f>
        <v>8283.5199999999986</v>
      </c>
      <c r="E100" s="25"/>
      <c r="F100" s="119">
        <f>C100/100*7.9</f>
        <v>190.232</v>
      </c>
      <c r="G100" s="25"/>
      <c r="H100" s="25">
        <f>C100/100*1</f>
        <v>24.08</v>
      </c>
      <c r="I100" s="25">
        <f>C100/100*73</f>
        <v>1757.84</v>
      </c>
      <c r="J100" s="27">
        <f>C100/100*30</f>
        <v>722.4</v>
      </c>
      <c r="K100" s="27">
        <f>C100/100*0.1</f>
        <v>2.4079999999999999</v>
      </c>
      <c r="L100" s="137">
        <v>2408</v>
      </c>
      <c r="M100" s="75">
        <v>18</v>
      </c>
      <c r="N100" s="28">
        <f t="shared" si="4"/>
        <v>43344</v>
      </c>
      <c r="O100" s="153"/>
    </row>
    <row r="101" spans="1:23" s="2" customFormat="1" ht="19.2" customHeight="1">
      <c r="A101" s="9">
        <v>4</v>
      </c>
      <c r="B101" s="10" t="s">
        <v>71</v>
      </c>
      <c r="C101" s="23">
        <f>L101/100*98</f>
        <v>1205.4000000000001</v>
      </c>
      <c r="D101" s="24">
        <f>C101/100*139</f>
        <v>1675.5060000000001</v>
      </c>
      <c r="E101" s="119">
        <f>C101/100*19</f>
        <v>229.02600000000001</v>
      </c>
      <c r="F101" s="25"/>
      <c r="G101" s="25">
        <f>C101/100*7</f>
        <v>84.378</v>
      </c>
      <c r="H101" s="25"/>
      <c r="I101" s="25"/>
      <c r="J101" s="27">
        <f>C101/100*7</f>
        <v>84.378</v>
      </c>
      <c r="K101" s="27">
        <f>C101/100*0.9</f>
        <v>10.848600000000001</v>
      </c>
      <c r="L101" s="137">
        <v>1230</v>
      </c>
      <c r="M101" s="143">
        <v>133</v>
      </c>
      <c r="N101" s="124">
        <f t="shared" si="4"/>
        <v>163590</v>
      </c>
      <c r="O101" s="153"/>
    </row>
    <row r="102" spans="1:23" s="2" customFormat="1" ht="19.2" customHeight="1">
      <c r="A102" s="9">
        <v>5</v>
      </c>
      <c r="B102" s="5" t="s">
        <v>30</v>
      </c>
      <c r="C102" s="23">
        <f>L102/100*88</f>
        <v>1381.6</v>
      </c>
      <c r="D102" s="24">
        <f>C102/100*184</f>
        <v>2542.1439999999998</v>
      </c>
      <c r="E102" s="119">
        <f>C102/100*13</f>
        <v>179.60799999999998</v>
      </c>
      <c r="F102" s="25"/>
      <c r="G102" s="25">
        <f>C102/100*14.2</f>
        <v>196.18719999999996</v>
      </c>
      <c r="H102" s="25"/>
      <c r="I102" s="25">
        <f>C102/100*1</f>
        <v>13.815999999999999</v>
      </c>
      <c r="J102" s="27">
        <f>C102/100*71</f>
        <v>980.93599999999992</v>
      </c>
      <c r="K102" s="27">
        <f>C102/100*0.15</f>
        <v>2.0723999999999996</v>
      </c>
      <c r="L102" s="137">
        <v>1570</v>
      </c>
      <c r="M102" s="26">
        <v>57</v>
      </c>
      <c r="N102" s="28">
        <f t="shared" si="4"/>
        <v>89490</v>
      </c>
      <c r="O102" s="153"/>
      <c r="Q102" s="3"/>
      <c r="R102" s="3"/>
      <c r="S102" s="4"/>
    </row>
    <row r="103" spans="1:23" s="2" customFormat="1" ht="19.8" customHeight="1">
      <c r="A103" s="9">
        <v>6</v>
      </c>
      <c r="B103" s="148" t="s">
        <v>186</v>
      </c>
      <c r="C103" s="23">
        <f>L103/100*31</f>
        <v>244.9</v>
      </c>
      <c r="D103" s="24">
        <f>C103/100*87</f>
        <v>213.06299999999999</v>
      </c>
      <c r="E103" s="25">
        <f>C103/100*12.3</f>
        <v>30.122699999999998</v>
      </c>
      <c r="F103" s="25"/>
      <c r="G103" s="25">
        <f>C103/100*3.3</f>
        <v>8.0816999999999997</v>
      </c>
      <c r="H103" s="25"/>
      <c r="I103" s="25">
        <f>C103/100*2</f>
        <v>4.8979999999999997</v>
      </c>
      <c r="J103" s="27">
        <f>C103/100*120</f>
        <v>293.88</v>
      </c>
      <c r="K103" s="27">
        <f>C103/100*0.01</f>
        <v>2.4489999999999998E-2</v>
      </c>
      <c r="L103" s="137">
        <v>790</v>
      </c>
      <c r="M103" s="143">
        <v>160</v>
      </c>
      <c r="N103" s="172">
        <f>L103*M103</f>
        <v>126400</v>
      </c>
      <c r="O103" s="153"/>
    </row>
    <row r="104" spans="1:23" s="2" customFormat="1" ht="19.8" customHeight="1">
      <c r="A104" s="9">
        <v>7</v>
      </c>
      <c r="B104" s="149" t="s">
        <v>180</v>
      </c>
      <c r="C104" s="23">
        <f>L104/100*80</f>
        <v>448</v>
      </c>
      <c r="D104" s="24">
        <f>C104/100*25</f>
        <v>112.00000000000001</v>
      </c>
      <c r="E104" s="29"/>
      <c r="F104" s="29">
        <f>C104/100*2.8</f>
        <v>12.544</v>
      </c>
      <c r="G104" s="29"/>
      <c r="H104" s="29">
        <f>C104/100*0.3</f>
        <v>1.3440000000000001</v>
      </c>
      <c r="I104" s="29">
        <f>C104/100*3</f>
        <v>13.440000000000001</v>
      </c>
      <c r="J104" s="29">
        <f>C104/100*182</f>
        <v>815.36000000000013</v>
      </c>
      <c r="K104" s="29">
        <f>C104/100*0.13</f>
        <v>0.58240000000000003</v>
      </c>
      <c r="L104" s="375">
        <v>560</v>
      </c>
      <c r="M104" s="26">
        <v>30</v>
      </c>
      <c r="N104" s="135">
        <f t="shared" ref="N104:N105" si="5">L104*M104</f>
        <v>16800</v>
      </c>
      <c r="O104" s="153"/>
      <c r="Q104" s="3"/>
      <c r="R104" s="3"/>
      <c r="S104" s="4"/>
    </row>
    <row r="105" spans="1:23" s="2" customFormat="1" ht="19.8" customHeight="1">
      <c r="A105" s="9">
        <v>8</v>
      </c>
      <c r="B105" s="149" t="s">
        <v>181</v>
      </c>
      <c r="C105" s="23">
        <f>L105/100*83</f>
        <v>838.3</v>
      </c>
      <c r="D105" s="24">
        <f>C105/100*14</f>
        <v>117.36199999999999</v>
      </c>
      <c r="E105" s="29"/>
      <c r="F105" s="29">
        <f>C105/100*2</f>
        <v>16.765999999999998</v>
      </c>
      <c r="G105" s="29"/>
      <c r="H105" s="29"/>
      <c r="I105" s="29">
        <f>C105/100*1.4</f>
        <v>11.736199999999998</v>
      </c>
      <c r="J105" s="29">
        <f>C105/100*176</f>
        <v>1475.4079999999999</v>
      </c>
      <c r="K105" s="29">
        <f>C105/100*0.06</f>
        <v>0.50297999999999998</v>
      </c>
      <c r="L105" s="375">
        <v>1010</v>
      </c>
      <c r="M105" s="26">
        <v>28</v>
      </c>
      <c r="N105" s="135">
        <f t="shared" si="5"/>
        <v>28280</v>
      </c>
      <c r="O105" s="153"/>
      <c r="Q105" s="3"/>
      <c r="R105" s="3"/>
      <c r="S105" s="4"/>
    </row>
    <row r="106" spans="1:23" s="2" customFormat="1" ht="19.2" customHeight="1">
      <c r="A106" s="9">
        <v>9</v>
      </c>
      <c r="B106" s="5" t="s">
        <v>134</v>
      </c>
      <c r="C106" s="23">
        <f>L106/100*100</f>
        <v>330</v>
      </c>
      <c r="D106" s="24">
        <f>C106/100*247</f>
        <v>815.09999999999991</v>
      </c>
      <c r="E106" s="29"/>
      <c r="F106" s="29">
        <f>C106/100*17.5</f>
        <v>57.75</v>
      </c>
      <c r="G106" s="29"/>
      <c r="H106" s="29">
        <f>C106/100*1.6</f>
        <v>5.28</v>
      </c>
      <c r="I106" s="29">
        <f>C106/100*39.2</f>
        <v>129.36000000000001</v>
      </c>
      <c r="J106" s="71"/>
      <c r="K106" s="71"/>
      <c r="L106" s="375">
        <v>330</v>
      </c>
      <c r="M106" s="75">
        <v>50</v>
      </c>
      <c r="N106" s="28">
        <f t="shared" si="4"/>
        <v>16500</v>
      </c>
      <c r="O106" s="153"/>
      <c r="Q106" s="3"/>
      <c r="R106" s="3"/>
      <c r="S106" s="4"/>
      <c r="T106" s="3"/>
    </row>
    <row r="107" spans="1:23" s="2" customFormat="1" ht="19.2" customHeight="1">
      <c r="A107" s="80">
        <v>10</v>
      </c>
      <c r="B107" s="6" t="s">
        <v>123</v>
      </c>
      <c r="C107" s="23"/>
      <c r="D107" s="24"/>
      <c r="E107" s="25"/>
      <c r="F107" s="25"/>
      <c r="G107" s="25"/>
      <c r="H107" s="25"/>
      <c r="I107" s="25"/>
      <c r="J107" s="27"/>
      <c r="K107" s="27"/>
      <c r="L107" s="26"/>
      <c r="M107" s="26"/>
      <c r="N107" s="135">
        <v>4560</v>
      </c>
      <c r="O107" s="153"/>
    </row>
    <row r="108" spans="1:23" s="2" customFormat="1" ht="19.2" customHeight="1">
      <c r="A108" s="21" t="s">
        <v>118</v>
      </c>
      <c r="B108" s="22"/>
      <c r="C108" s="34"/>
      <c r="D108" s="121">
        <f>SUM(D98:D107)</f>
        <v>17031.094999999998</v>
      </c>
      <c r="E108" s="43"/>
      <c r="F108" s="43"/>
      <c r="G108" s="43"/>
      <c r="H108" s="43"/>
      <c r="I108" s="43"/>
      <c r="J108" s="43"/>
      <c r="K108" s="43"/>
      <c r="L108" s="44"/>
      <c r="M108" s="318"/>
      <c r="N108" s="325">
        <f>SUM(N98:N107)</f>
        <v>515004</v>
      </c>
      <c r="O108" s="153"/>
    </row>
    <row r="109" spans="1:23" ht="19.2" customHeight="1">
      <c r="A109" s="21" t="s">
        <v>37</v>
      </c>
      <c r="B109" s="22"/>
      <c r="C109" s="45"/>
      <c r="D109" s="46">
        <f>D108/D92</f>
        <v>304.12669642857139</v>
      </c>
      <c r="E109" s="46"/>
      <c r="F109" s="46"/>
      <c r="G109" s="46"/>
      <c r="H109" s="46"/>
      <c r="I109" s="46"/>
      <c r="J109" s="46"/>
      <c r="K109" s="46"/>
      <c r="L109" s="47"/>
      <c r="M109" s="319"/>
      <c r="N109" s="326"/>
      <c r="O109" s="4"/>
      <c r="P109" s="2"/>
      <c r="Q109" s="2"/>
      <c r="R109" s="2"/>
      <c r="S109" s="2"/>
      <c r="T109" s="2"/>
      <c r="U109" s="2"/>
      <c r="V109" s="2"/>
    </row>
    <row r="110" spans="1:23" ht="19.2" customHeight="1">
      <c r="A110" s="301" t="s">
        <v>53</v>
      </c>
      <c r="B110" s="211"/>
      <c r="C110" s="377" t="s">
        <v>147</v>
      </c>
      <c r="D110" s="20" t="s">
        <v>45</v>
      </c>
      <c r="E110" s="46"/>
      <c r="F110" s="46"/>
      <c r="G110" s="46"/>
      <c r="H110" s="46"/>
      <c r="I110" s="46"/>
      <c r="J110" s="48"/>
      <c r="K110" s="48"/>
      <c r="L110" s="47"/>
      <c r="M110" s="47"/>
      <c r="N110" s="179"/>
      <c r="O110" s="4"/>
      <c r="P110" s="2"/>
      <c r="Q110" s="2"/>
      <c r="R110" s="2"/>
      <c r="S110" s="2"/>
      <c r="T110" s="2"/>
      <c r="U110" s="2"/>
      <c r="V110" s="2"/>
      <c r="W110" s="2"/>
    </row>
    <row r="111" spans="1:23" ht="19.2" customHeight="1">
      <c r="A111" s="212"/>
      <c r="B111" s="213"/>
      <c r="C111" s="76" t="s">
        <v>60</v>
      </c>
      <c r="D111" s="78">
        <f>D109*100/930</f>
        <v>32.701795314900146</v>
      </c>
      <c r="E111" s="46"/>
      <c r="F111" s="46"/>
      <c r="G111" s="46"/>
      <c r="H111" s="46"/>
      <c r="I111" s="46"/>
      <c r="J111" s="48"/>
      <c r="K111" s="48"/>
      <c r="L111" s="47"/>
      <c r="M111" s="47"/>
      <c r="N111" s="179"/>
      <c r="O111" s="4"/>
      <c r="P111" s="2"/>
      <c r="Q111" s="2"/>
      <c r="R111" s="2"/>
      <c r="S111" s="2"/>
      <c r="T111" s="2"/>
      <c r="U111" s="2"/>
      <c r="V111" s="2"/>
      <c r="W111" s="2"/>
    </row>
    <row r="112" spans="1:23" s="2" customFormat="1" ht="19.2" customHeight="1">
      <c r="A112" s="273" t="s">
        <v>38</v>
      </c>
      <c r="B112" s="273"/>
      <c r="C112" s="56"/>
      <c r="D112" s="57"/>
      <c r="E112" s="58"/>
      <c r="F112" s="58"/>
      <c r="G112" s="58"/>
      <c r="H112" s="58"/>
      <c r="I112" s="58"/>
      <c r="J112" s="58"/>
      <c r="K112" s="58"/>
      <c r="L112" s="59"/>
      <c r="M112" s="59"/>
      <c r="N112" s="60"/>
      <c r="O112" s="153"/>
    </row>
    <row r="113" spans="1:23" s="2" customFormat="1" ht="19.2" customHeight="1">
      <c r="A113" s="9">
        <v>1</v>
      </c>
      <c r="B113" s="10" t="s">
        <v>2</v>
      </c>
      <c r="C113" s="23">
        <f>L113/100*100</f>
        <v>70</v>
      </c>
      <c r="D113" s="24">
        <f>C113/100*60</f>
        <v>42</v>
      </c>
      <c r="E113" s="25">
        <f>C113/100*15</f>
        <v>10.5</v>
      </c>
      <c r="F113" s="25"/>
      <c r="G113" s="25"/>
      <c r="H113" s="25"/>
      <c r="I113" s="25"/>
      <c r="J113" s="27">
        <f>C113/100*387</f>
        <v>270.89999999999998</v>
      </c>
      <c r="K113" s="27">
        <f>C113/100*0.09</f>
        <v>6.3E-2</v>
      </c>
      <c r="L113" s="137">
        <v>70</v>
      </c>
      <c r="M113" s="75">
        <v>20</v>
      </c>
      <c r="N113" s="28">
        <f>L113*M113</f>
        <v>1400</v>
      </c>
      <c r="O113" s="153"/>
    </row>
    <row r="114" spans="1:23" s="2" customFormat="1" ht="19.2" customHeight="1">
      <c r="A114" s="9">
        <v>2</v>
      </c>
      <c r="B114" s="150" t="s">
        <v>139</v>
      </c>
      <c r="C114" s="23">
        <f>L114/100*100</f>
        <v>90</v>
      </c>
      <c r="D114" s="24">
        <f>C114/100*899</f>
        <v>809.1</v>
      </c>
      <c r="E114" s="25"/>
      <c r="F114" s="25"/>
      <c r="G114" s="25">
        <f>C114/100*100</f>
        <v>90</v>
      </c>
      <c r="H114" s="25"/>
      <c r="I114" s="25"/>
      <c r="J114" s="27"/>
      <c r="K114" s="27"/>
      <c r="L114" s="137">
        <v>90</v>
      </c>
      <c r="M114" s="75">
        <v>69</v>
      </c>
      <c r="N114" s="28">
        <f t="shared" ref="N114:N120" si="6">L114*M114</f>
        <v>6210</v>
      </c>
      <c r="O114" s="153"/>
    </row>
    <row r="115" spans="1:23" s="2" customFormat="1" ht="19.2" customHeight="1">
      <c r="A115" s="9">
        <v>3</v>
      </c>
      <c r="B115" s="148" t="s">
        <v>142</v>
      </c>
      <c r="C115" s="23">
        <f>L115/100*100</f>
        <v>240</v>
      </c>
      <c r="D115" s="120">
        <f>C115/100*900</f>
        <v>2160</v>
      </c>
      <c r="E115" s="25"/>
      <c r="F115" s="25"/>
      <c r="G115" s="119"/>
      <c r="H115" s="25">
        <f>C115/100*100</f>
        <v>240</v>
      </c>
      <c r="I115" s="25"/>
      <c r="J115" s="25"/>
      <c r="K115" s="25"/>
      <c r="L115" s="137">
        <v>240</v>
      </c>
      <c r="M115" s="75">
        <v>65</v>
      </c>
      <c r="N115" s="28">
        <f t="shared" si="6"/>
        <v>15600</v>
      </c>
      <c r="O115" s="378"/>
    </row>
    <row r="116" spans="1:23" s="2" customFormat="1" ht="19.2" customHeight="1">
      <c r="A116" s="9">
        <v>4</v>
      </c>
      <c r="B116" s="149" t="s">
        <v>68</v>
      </c>
      <c r="C116" s="23">
        <f>L116/100*98</f>
        <v>225.39999999999998</v>
      </c>
      <c r="D116" s="24">
        <f>C116/100*573</f>
        <v>1291.5419999999997</v>
      </c>
      <c r="E116" s="29"/>
      <c r="F116" s="29">
        <f>C116/100*27.5</f>
        <v>61.984999999999985</v>
      </c>
      <c r="G116" s="29"/>
      <c r="H116" s="29">
        <f>C116/100*44.5</f>
        <v>100.30299999999998</v>
      </c>
      <c r="I116" s="29">
        <f>C116/100*15.5</f>
        <v>34.936999999999991</v>
      </c>
      <c r="J116" s="71">
        <f>C116/100*68</f>
        <v>153.27199999999996</v>
      </c>
      <c r="K116" s="71">
        <f>C116/100*0.44</f>
        <v>0.99175999999999986</v>
      </c>
      <c r="L116" s="375">
        <v>230</v>
      </c>
      <c r="M116" s="26">
        <v>70</v>
      </c>
      <c r="N116" s="28">
        <f t="shared" si="6"/>
        <v>16100</v>
      </c>
      <c r="O116" s="153"/>
      <c r="Q116" s="3"/>
      <c r="R116" s="3"/>
      <c r="S116" s="4"/>
    </row>
    <row r="117" spans="1:23" s="2" customFormat="1" ht="19.2" customHeight="1">
      <c r="A117" s="9">
        <v>5</v>
      </c>
      <c r="B117" s="149" t="s">
        <v>1</v>
      </c>
      <c r="C117" s="23">
        <f>L117/100*100</f>
        <v>2352</v>
      </c>
      <c r="D117" s="24">
        <f>C117/100*344</f>
        <v>8090.88</v>
      </c>
      <c r="E117" s="25"/>
      <c r="F117" s="119">
        <f>C117/100*7.9</f>
        <v>185.80799999999999</v>
      </c>
      <c r="G117" s="25"/>
      <c r="H117" s="25">
        <f>C117/100*1</f>
        <v>23.52</v>
      </c>
      <c r="I117" s="25">
        <f>C117/100*73</f>
        <v>1716.96</v>
      </c>
      <c r="J117" s="27">
        <f>C117/100*30</f>
        <v>705.6</v>
      </c>
      <c r="K117" s="27">
        <f>C117/100*0.1</f>
        <v>2.3519999999999999</v>
      </c>
      <c r="L117" s="137">
        <v>2352</v>
      </c>
      <c r="M117" s="75">
        <v>18</v>
      </c>
      <c r="N117" s="28">
        <f t="shared" si="6"/>
        <v>42336</v>
      </c>
      <c r="O117" s="153"/>
    </row>
    <row r="118" spans="1:23" s="2" customFormat="1" ht="19.2" customHeight="1">
      <c r="A118" s="9">
        <v>6</v>
      </c>
      <c r="B118" s="149" t="s">
        <v>103</v>
      </c>
      <c r="C118" s="23">
        <f>L118/100*87</f>
        <v>1365.8999999999999</v>
      </c>
      <c r="D118" s="24">
        <f>C118/100*14</f>
        <v>191.226</v>
      </c>
      <c r="E118" s="25"/>
      <c r="F118" s="25">
        <f>C118/100*1.9</f>
        <v>25.952099999999998</v>
      </c>
      <c r="G118" s="25"/>
      <c r="H118" s="25"/>
      <c r="I118" s="25">
        <f>C118/100*1.6</f>
        <v>21.854399999999998</v>
      </c>
      <c r="J118" s="119">
        <f>C118/100*48.7</f>
        <v>665.19330000000002</v>
      </c>
      <c r="K118" s="25">
        <f>C118/100*0.03</f>
        <v>0.40976999999999997</v>
      </c>
      <c r="L118" s="26">
        <v>1570</v>
      </c>
      <c r="M118" s="75">
        <v>25</v>
      </c>
      <c r="N118" s="28">
        <f t="shared" si="6"/>
        <v>39250</v>
      </c>
      <c r="O118" s="153"/>
    </row>
    <row r="119" spans="1:23" s="2" customFormat="1" ht="19.2" customHeight="1">
      <c r="A119" s="9">
        <v>7</v>
      </c>
      <c r="B119" s="5" t="s">
        <v>134</v>
      </c>
      <c r="C119" s="23">
        <f>L119/100*100</f>
        <v>40</v>
      </c>
      <c r="D119" s="24">
        <f>C119/100*247</f>
        <v>98.800000000000011</v>
      </c>
      <c r="E119" s="29"/>
      <c r="F119" s="29">
        <f>C119/100*17.5</f>
        <v>7</v>
      </c>
      <c r="G119" s="29"/>
      <c r="H119" s="29">
        <f>C119/100*1.6</f>
        <v>0.64000000000000012</v>
      </c>
      <c r="I119" s="29">
        <f>C119/100*39.2</f>
        <v>15.680000000000001</v>
      </c>
      <c r="J119" s="71"/>
      <c r="K119" s="71"/>
      <c r="L119" s="375">
        <v>40</v>
      </c>
      <c r="M119" s="75">
        <v>50</v>
      </c>
      <c r="N119" s="28">
        <f t="shared" si="6"/>
        <v>2000</v>
      </c>
      <c r="O119" s="153"/>
      <c r="Q119" s="3"/>
      <c r="R119" s="3"/>
      <c r="S119" s="4"/>
      <c r="T119" s="3"/>
    </row>
    <row r="120" spans="1:23" s="2" customFormat="1" ht="19.2" customHeight="1">
      <c r="A120" s="9">
        <v>8</v>
      </c>
      <c r="B120" s="10" t="s">
        <v>71</v>
      </c>
      <c r="C120" s="23">
        <f>L120/100*98</f>
        <v>2371.6</v>
      </c>
      <c r="D120" s="24">
        <f>C120/100*139</f>
        <v>3296.5239999999994</v>
      </c>
      <c r="E120" s="119">
        <f>C120/100*19</f>
        <v>450.60399999999993</v>
      </c>
      <c r="F120" s="25"/>
      <c r="G120" s="25">
        <f>C120/100*7</f>
        <v>166.01199999999997</v>
      </c>
      <c r="H120" s="25"/>
      <c r="I120" s="25"/>
      <c r="J120" s="27">
        <f>C120/100*7</f>
        <v>166.01199999999997</v>
      </c>
      <c r="K120" s="27">
        <f>C120/100*0.9</f>
        <v>21.344399999999997</v>
      </c>
      <c r="L120" s="137">
        <v>2420</v>
      </c>
      <c r="M120" s="143">
        <v>133</v>
      </c>
      <c r="N120" s="124">
        <f t="shared" si="6"/>
        <v>321860</v>
      </c>
      <c r="O120" s="153"/>
    </row>
    <row r="121" spans="1:23" s="2" customFormat="1" ht="19.2" customHeight="1">
      <c r="A121" s="80">
        <v>9</v>
      </c>
      <c r="B121" s="6" t="s">
        <v>123</v>
      </c>
      <c r="C121" s="23"/>
      <c r="D121" s="24"/>
      <c r="E121" s="25"/>
      <c r="F121" s="25"/>
      <c r="G121" s="25"/>
      <c r="H121" s="25"/>
      <c r="I121" s="25"/>
      <c r="J121" s="25"/>
      <c r="K121" s="25"/>
      <c r="L121" s="26"/>
      <c r="M121" s="26"/>
      <c r="N121" s="135">
        <v>3440</v>
      </c>
      <c r="O121" s="153"/>
    </row>
    <row r="122" spans="1:23" s="2" customFormat="1" ht="19.2" customHeight="1">
      <c r="A122" s="21" t="s">
        <v>119</v>
      </c>
      <c r="B122" s="22"/>
      <c r="C122" s="34"/>
      <c r="D122" s="121">
        <f>SUM(D113:D121)</f>
        <v>15980.072</v>
      </c>
      <c r="E122" s="43"/>
      <c r="F122" s="43"/>
      <c r="G122" s="43"/>
      <c r="H122" s="43"/>
      <c r="I122" s="43"/>
      <c r="J122" s="43"/>
      <c r="K122" s="43"/>
      <c r="L122" s="44"/>
      <c r="M122" s="318"/>
      <c r="N122" s="325">
        <f>SUM(N113:N121)</f>
        <v>448196</v>
      </c>
      <c r="O122" s="153"/>
    </row>
    <row r="123" spans="1:23" ht="19.2" customHeight="1">
      <c r="A123" s="21" t="s">
        <v>36</v>
      </c>
      <c r="B123" s="22"/>
      <c r="C123" s="61"/>
      <c r="D123" s="48">
        <f>D122/D92</f>
        <v>285.35842857142859</v>
      </c>
      <c r="E123" s="48"/>
      <c r="F123" s="48"/>
      <c r="G123" s="48"/>
      <c r="H123" s="48"/>
      <c r="I123" s="48"/>
      <c r="J123" s="48"/>
      <c r="K123" s="48"/>
      <c r="L123" s="62"/>
      <c r="M123" s="319"/>
      <c r="N123" s="327"/>
      <c r="O123" s="4"/>
      <c r="P123" s="2"/>
      <c r="Q123" s="2"/>
      <c r="R123" s="2"/>
      <c r="S123" s="2"/>
      <c r="T123" s="2"/>
      <c r="U123" s="2"/>
      <c r="V123" s="2"/>
    </row>
    <row r="124" spans="1:23" ht="19.2" customHeight="1">
      <c r="A124" s="301" t="s">
        <v>54</v>
      </c>
      <c r="B124" s="211"/>
      <c r="C124" s="377" t="s">
        <v>147</v>
      </c>
      <c r="D124" s="20" t="s">
        <v>46</v>
      </c>
      <c r="E124" s="46"/>
      <c r="F124" s="46"/>
      <c r="G124" s="46"/>
      <c r="H124" s="46"/>
      <c r="I124" s="46"/>
      <c r="J124" s="48"/>
      <c r="K124" s="48"/>
      <c r="L124" s="47"/>
      <c r="M124" s="47"/>
      <c r="N124" s="179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9.2" customHeight="1">
      <c r="A125" s="212"/>
      <c r="B125" s="213"/>
      <c r="C125" s="76" t="s">
        <v>60</v>
      </c>
      <c r="D125" s="78">
        <f>D123*100/930</f>
        <v>30.683701996927805</v>
      </c>
      <c r="E125" s="46"/>
      <c r="F125" s="46"/>
      <c r="G125" s="46"/>
      <c r="H125" s="46"/>
      <c r="I125" s="46"/>
      <c r="J125" s="48"/>
      <c r="K125" s="48"/>
      <c r="L125" s="47"/>
      <c r="M125" s="47"/>
      <c r="N125" s="179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9.2" customHeight="1">
      <c r="A126" s="273" t="s">
        <v>35</v>
      </c>
      <c r="B126" s="273"/>
      <c r="C126" s="63"/>
      <c r="D126" s="64"/>
      <c r="E126" s="64"/>
      <c r="F126" s="64"/>
      <c r="G126" s="64"/>
      <c r="H126" s="64"/>
      <c r="I126" s="64"/>
      <c r="J126" s="64"/>
      <c r="K126" s="64"/>
      <c r="L126" s="65"/>
      <c r="M126" s="65"/>
      <c r="N126" s="66"/>
      <c r="O126" s="4"/>
      <c r="P126" s="2"/>
      <c r="Q126" s="2"/>
      <c r="R126" s="2"/>
      <c r="S126" s="2"/>
      <c r="T126" s="2"/>
      <c r="U126" s="2"/>
      <c r="V126" s="2"/>
    </row>
    <row r="127" spans="1:23" s="2" customFormat="1" ht="19.2" customHeight="1">
      <c r="A127" s="103">
        <v>1</v>
      </c>
      <c r="B127" s="112" t="s">
        <v>76</v>
      </c>
      <c r="C127" s="104">
        <f>L127/100*80</f>
        <v>6720</v>
      </c>
      <c r="D127" s="105">
        <f>C127/100*40</f>
        <v>2688</v>
      </c>
      <c r="E127" s="106"/>
      <c r="F127" s="106">
        <f>C127/100*1.3</f>
        <v>87.360000000000014</v>
      </c>
      <c r="G127" s="106"/>
      <c r="H127" s="106"/>
      <c r="I127" s="106">
        <f>C127/100*8.7</f>
        <v>584.64</v>
      </c>
      <c r="J127" s="106">
        <f>C127/100*11</f>
        <v>739.2</v>
      </c>
      <c r="K127" s="106"/>
      <c r="L127" s="406">
        <v>8400</v>
      </c>
      <c r="M127" s="145">
        <v>32</v>
      </c>
      <c r="N127" s="171">
        <f t="shared" ref="N127" si="7">L127*M127</f>
        <v>268800</v>
      </c>
      <c r="O127" s="153"/>
      <c r="P127" s="3"/>
    </row>
    <row r="128" spans="1:23" ht="19.2" customHeight="1">
      <c r="A128" s="190" t="s">
        <v>66</v>
      </c>
      <c r="B128" s="200" t="s">
        <v>19</v>
      </c>
      <c r="C128" s="328" t="s">
        <v>8</v>
      </c>
      <c r="D128" s="203" t="s">
        <v>9</v>
      </c>
      <c r="E128" s="193" t="s">
        <v>11</v>
      </c>
      <c r="F128" s="194"/>
      <c r="G128" s="193" t="s">
        <v>13</v>
      </c>
      <c r="H128" s="194"/>
      <c r="I128" s="197" t="s">
        <v>16</v>
      </c>
      <c r="J128" s="197" t="s">
        <v>41</v>
      </c>
      <c r="K128" s="197" t="s">
        <v>42</v>
      </c>
      <c r="L128" s="197" t="s">
        <v>17</v>
      </c>
      <c r="M128" s="197" t="s">
        <v>56</v>
      </c>
      <c r="N128" s="190" t="s">
        <v>18</v>
      </c>
      <c r="O128" s="374"/>
    </row>
    <row r="129" spans="1:23" ht="19.2" customHeight="1">
      <c r="A129" s="191"/>
      <c r="B129" s="201"/>
      <c r="C129" s="329"/>
      <c r="D129" s="204"/>
      <c r="E129" s="195"/>
      <c r="F129" s="196"/>
      <c r="G129" s="195"/>
      <c r="H129" s="196"/>
      <c r="I129" s="198"/>
      <c r="J129" s="198"/>
      <c r="K129" s="198"/>
      <c r="L129" s="198"/>
      <c r="M129" s="198"/>
      <c r="N129" s="191"/>
      <c r="O129" s="178"/>
    </row>
    <row r="130" spans="1:23" ht="19.2" customHeight="1">
      <c r="A130" s="191"/>
      <c r="B130" s="201"/>
      <c r="C130" s="329"/>
      <c r="D130" s="204"/>
      <c r="E130" s="197" t="s">
        <v>10</v>
      </c>
      <c r="F130" s="197" t="s">
        <v>12</v>
      </c>
      <c r="G130" s="197" t="s">
        <v>14</v>
      </c>
      <c r="H130" s="197" t="s">
        <v>15</v>
      </c>
      <c r="I130" s="198"/>
      <c r="J130" s="198"/>
      <c r="K130" s="198"/>
      <c r="L130" s="198"/>
      <c r="M130" s="198"/>
      <c r="N130" s="191"/>
      <c r="O130" s="178"/>
    </row>
    <row r="131" spans="1:23" ht="19.2" customHeight="1">
      <c r="A131" s="192"/>
      <c r="B131" s="202"/>
      <c r="C131" s="330"/>
      <c r="D131" s="205"/>
      <c r="E131" s="199"/>
      <c r="F131" s="199"/>
      <c r="G131" s="199"/>
      <c r="H131" s="199"/>
      <c r="I131" s="199"/>
      <c r="J131" s="199"/>
      <c r="K131" s="199"/>
      <c r="L131" s="199"/>
      <c r="M131" s="199"/>
      <c r="N131" s="192"/>
      <c r="O131" s="178"/>
    </row>
    <row r="132" spans="1:23" s="2" customFormat="1" ht="19.2" customHeight="1">
      <c r="A132" s="21" t="s">
        <v>106</v>
      </c>
      <c r="B132" s="22"/>
      <c r="C132" s="34"/>
      <c r="D132" s="35">
        <f>SUM(D126:D127)</f>
        <v>2688</v>
      </c>
      <c r="E132" s="43"/>
      <c r="F132" s="43"/>
      <c r="G132" s="43"/>
      <c r="H132" s="43"/>
      <c r="I132" s="43"/>
      <c r="J132" s="43"/>
      <c r="K132" s="43"/>
      <c r="L132" s="44"/>
      <c r="M132" s="318"/>
      <c r="N132" s="263">
        <f>SUM(N126:N127)</f>
        <v>268800</v>
      </c>
      <c r="O132" s="153"/>
    </row>
    <row r="133" spans="1:23" ht="19.2" customHeight="1">
      <c r="A133" s="21" t="s">
        <v>7</v>
      </c>
      <c r="B133" s="22"/>
      <c r="C133" s="45"/>
      <c r="D133" s="46">
        <f>D132/D92</f>
        <v>48</v>
      </c>
      <c r="E133" s="46"/>
      <c r="F133" s="46"/>
      <c r="G133" s="46"/>
      <c r="H133" s="46"/>
      <c r="I133" s="46"/>
      <c r="J133" s="46"/>
      <c r="K133" s="46"/>
      <c r="L133" s="47"/>
      <c r="M133" s="319"/>
      <c r="N133" s="264"/>
      <c r="O133" s="4"/>
      <c r="P133" s="2"/>
      <c r="Q133" s="2"/>
      <c r="R133" s="2"/>
      <c r="S133" s="2"/>
      <c r="T133" s="2"/>
      <c r="U133" s="2"/>
      <c r="V133" s="2"/>
    </row>
    <row r="134" spans="1:23" ht="19.2" customHeight="1">
      <c r="A134" s="301" t="s">
        <v>52</v>
      </c>
      <c r="B134" s="211"/>
      <c r="C134" s="377" t="s">
        <v>147</v>
      </c>
      <c r="D134" s="20" t="s">
        <v>50</v>
      </c>
      <c r="E134" s="46"/>
      <c r="F134" s="46"/>
      <c r="G134" s="46"/>
      <c r="H134" s="46"/>
      <c r="I134" s="46"/>
      <c r="J134" s="48"/>
      <c r="K134" s="48"/>
      <c r="L134" s="47"/>
      <c r="M134" s="47"/>
      <c r="N134" s="179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19.2" customHeight="1">
      <c r="A135" s="212"/>
      <c r="B135" s="213"/>
      <c r="C135" s="76" t="s">
        <v>60</v>
      </c>
      <c r="D135" s="78">
        <f>D133*100/930</f>
        <v>5.161290322580645</v>
      </c>
      <c r="E135" s="46"/>
      <c r="F135" s="46"/>
      <c r="G135" s="46"/>
      <c r="H135" s="46"/>
      <c r="I135" s="46"/>
      <c r="J135" s="48"/>
      <c r="K135" s="48"/>
      <c r="L135" s="47"/>
      <c r="M135" s="47"/>
      <c r="N135" s="179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19.2" customHeight="1">
      <c r="A136" s="227" t="s">
        <v>113</v>
      </c>
      <c r="B136" s="228"/>
      <c r="C136" s="231"/>
      <c r="D136" s="296">
        <f>D108+D122+D132</f>
        <v>35699.167000000001</v>
      </c>
      <c r="E136" s="50">
        <f>SUM(E98:E133)</f>
        <v>908.86069999999995</v>
      </c>
      <c r="F136" s="50">
        <f>SUM(F98:F133)</f>
        <v>645.39710000000002</v>
      </c>
      <c r="G136" s="7">
        <f>SUM(G98:G133)</f>
        <v>904.6588999999999</v>
      </c>
      <c r="H136" s="7">
        <f>SUM(H98:H133)</f>
        <v>395.16699999999997</v>
      </c>
      <c r="I136" s="214">
        <f>SUM(I98:I133)</f>
        <v>4305.1616000000004</v>
      </c>
      <c r="J136" s="214">
        <f>SUM(J98:J127)</f>
        <v>7304.7392999999993</v>
      </c>
      <c r="K136" s="214">
        <f>SUM(K98:K127)</f>
        <v>41.65379999999999</v>
      </c>
      <c r="L136" s="243"/>
      <c r="M136" s="243"/>
      <c r="N136" s="298">
        <f>N108+N122+N132</f>
        <v>1232000</v>
      </c>
      <c r="U136" s="12"/>
      <c r="V136" s="12"/>
    </row>
    <row r="137" spans="1:23" ht="19.2" customHeight="1">
      <c r="A137" s="229"/>
      <c r="B137" s="230"/>
      <c r="C137" s="232"/>
      <c r="D137" s="297"/>
      <c r="E137" s="323">
        <f>E136+F136</f>
        <v>1554.2577999999999</v>
      </c>
      <c r="F137" s="324"/>
      <c r="G137" s="225">
        <f>G136+H136</f>
        <v>1299.8258999999998</v>
      </c>
      <c r="H137" s="226"/>
      <c r="I137" s="215"/>
      <c r="J137" s="215"/>
      <c r="K137" s="215"/>
      <c r="L137" s="243"/>
      <c r="M137" s="243"/>
      <c r="N137" s="298"/>
      <c r="P137" s="392"/>
      <c r="Q137" s="393"/>
      <c r="R137" s="393"/>
      <c r="S137" s="393"/>
      <c r="T137" s="393"/>
      <c r="U137" s="394"/>
      <c r="V137" s="394"/>
    </row>
    <row r="138" spans="1:23" ht="19.2" customHeight="1">
      <c r="A138" s="247" t="s">
        <v>77</v>
      </c>
      <c r="B138" s="248"/>
      <c r="C138" s="249"/>
      <c r="D138" s="138">
        <f>D136/D92</f>
        <v>637.48512500000004</v>
      </c>
      <c r="E138" s="379">
        <f>E136/D92</f>
        <v>16.229655357142857</v>
      </c>
      <c r="F138" s="380">
        <f>F136/D92</f>
        <v>11.524948214285715</v>
      </c>
      <c r="G138" s="404">
        <f>G136/D92</f>
        <v>16.154623214285714</v>
      </c>
      <c r="H138" s="403">
        <f>H136/D92</f>
        <v>7.0565535714285712</v>
      </c>
      <c r="I138" s="299">
        <f>I136/D92</f>
        <v>76.877885714285725</v>
      </c>
      <c r="J138" s="299">
        <f>J136/D92</f>
        <v>130.44177321428569</v>
      </c>
      <c r="K138" s="299">
        <f>K136/D92</f>
        <v>0.74381785714285698</v>
      </c>
      <c r="L138" s="243"/>
      <c r="M138" s="243"/>
      <c r="N138" s="298"/>
      <c r="P138" s="395"/>
      <c r="Q138" s="393"/>
      <c r="R138" s="393"/>
      <c r="S138" s="398"/>
      <c r="T138" s="398"/>
      <c r="U138" s="393"/>
      <c r="V138" s="393"/>
    </row>
    <row r="139" spans="1:23" ht="19.2" customHeight="1">
      <c r="A139" s="250"/>
      <c r="B139" s="251"/>
      <c r="C139" s="252"/>
      <c r="D139" s="127"/>
      <c r="E139" s="381">
        <f>E138+F138</f>
        <v>27.754603571428571</v>
      </c>
      <c r="F139" s="382"/>
      <c r="G139" s="381">
        <f>G138+H138</f>
        <v>23.211176785714287</v>
      </c>
      <c r="H139" s="382"/>
      <c r="I139" s="300"/>
      <c r="J139" s="300"/>
      <c r="K139" s="300"/>
      <c r="L139" s="243"/>
      <c r="M139" s="243"/>
      <c r="N139" s="298"/>
      <c r="P139" s="392"/>
      <c r="Q139" s="392"/>
      <c r="R139" s="392"/>
      <c r="S139" s="392"/>
      <c r="T139" s="392"/>
      <c r="U139" s="392"/>
      <c r="V139" s="392"/>
    </row>
    <row r="140" spans="1:23" ht="19.2" customHeight="1">
      <c r="A140" s="315" t="s">
        <v>80</v>
      </c>
      <c r="B140" s="316"/>
      <c r="C140" s="317"/>
      <c r="D140" s="183" t="s">
        <v>29</v>
      </c>
      <c r="E140" s="362" t="s">
        <v>24</v>
      </c>
      <c r="F140" s="362"/>
      <c r="G140" s="362" t="s">
        <v>25</v>
      </c>
      <c r="H140" s="362"/>
      <c r="I140" s="183" t="s">
        <v>26</v>
      </c>
      <c r="J140" s="181">
        <v>500</v>
      </c>
      <c r="K140" s="181">
        <v>0.5</v>
      </c>
      <c r="L140" s="243"/>
      <c r="M140" s="243"/>
      <c r="N140" s="298"/>
      <c r="O140" s="384"/>
      <c r="P140" s="392"/>
      <c r="Q140" s="392"/>
      <c r="R140" s="392"/>
      <c r="S140" s="392"/>
      <c r="T140" s="392"/>
      <c r="U140" s="392"/>
      <c r="V140" s="392"/>
    </row>
    <row r="141" spans="1:23" ht="19.2" customHeight="1">
      <c r="A141" s="218" t="s">
        <v>78</v>
      </c>
      <c r="B141" s="219"/>
      <c r="C141" s="220"/>
      <c r="D141" s="49"/>
      <c r="E141" s="206">
        <f>E139*4.1</f>
        <v>113.79387464285713</v>
      </c>
      <c r="F141" s="207"/>
      <c r="G141" s="206">
        <f>G139*9</f>
        <v>208.90059107142858</v>
      </c>
      <c r="H141" s="207"/>
      <c r="I141" s="85">
        <f>I138*4.1</f>
        <v>315.19933142857144</v>
      </c>
      <c r="J141" s="253"/>
      <c r="K141" s="253"/>
      <c r="L141" s="243"/>
      <c r="M141" s="243"/>
      <c r="N141" s="298"/>
      <c r="O141" s="384"/>
      <c r="P141" s="396"/>
      <c r="Q141" s="397"/>
      <c r="R141" s="397"/>
      <c r="S141" s="397"/>
      <c r="T141" s="392"/>
      <c r="U141" s="392"/>
      <c r="V141" s="392"/>
    </row>
    <row r="142" spans="1:23" ht="19.2" customHeight="1">
      <c r="A142" s="221" t="s">
        <v>87</v>
      </c>
      <c r="B142" s="222"/>
      <c r="C142" s="218" t="s">
        <v>59</v>
      </c>
      <c r="D142" s="220"/>
      <c r="E142" s="305">
        <f>E141*100/D138</f>
        <v>17.850436061995506</v>
      </c>
      <c r="F142" s="306"/>
      <c r="G142" s="305">
        <f>G141*100/D138</f>
        <v>32.769484789378978</v>
      </c>
      <c r="H142" s="306"/>
      <c r="I142" s="116">
        <f>I141*100/D138</f>
        <v>49.444186078627553</v>
      </c>
      <c r="J142" s="254"/>
      <c r="K142" s="254"/>
      <c r="L142" s="243"/>
      <c r="M142" s="243"/>
      <c r="N142" s="298"/>
      <c r="O142" s="384"/>
      <c r="P142" s="392"/>
      <c r="Q142" s="392"/>
      <c r="R142" s="392"/>
      <c r="S142" s="392"/>
      <c r="T142" s="392"/>
      <c r="U142" s="392"/>
      <c r="V142" s="392"/>
    </row>
    <row r="143" spans="1:23" ht="19.2" customHeight="1">
      <c r="A143" s="223"/>
      <c r="B143" s="224"/>
      <c r="C143" s="218" t="s">
        <v>79</v>
      </c>
      <c r="D143" s="220"/>
      <c r="E143" s="218" t="s">
        <v>82</v>
      </c>
      <c r="F143" s="220"/>
      <c r="G143" s="218" t="s">
        <v>85</v>
      </c>
      <c r="H143" s="220"/>
      <c r="I143" s="183" t="s">
        <v>86</v>
      </c>
      <c r="J143" s="234"/>
      <c r="K143" s="234"/>
      <c r="L143" s="243"/>
      <c r="M143" s="243"/>
      <c r="N143" s="298"/>
      <c r="O143" s="384"/>
      <c r="P143" s="132"/>
    </row>
    <row r="144" spans="1:23" ht="19.2" customHeight="1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4"/>
      <c r="M144" s="94"/>
      <c r="N144" s="95"/>
      <c r="O144" s="384"/>
    </row>
    <row r="145" spans="1:15" ht="21" customHeight="1">
      <c r="A145" s="293" t="s">
        <v>114</v>
      </c>
      <c r="B145" s="293"/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384"/>
    </row>
    <row r="146" spans="1:15" ht="21" customHeight="1">
      <c r="A146" s="117" t="s">
        <v>115</v>
      </c>
      <c r="B146" s="294" t="s">
        <v>116</v>
      </c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384"/>
    </row>
    <row r="147" spans="1:15" ht="21" customHeight="1">
      <c r="A147" s="118"/>
      <c r="B147" s="258" t="s">
        <v>214</v>
      </c>
      <c r="C147" s="258"/>
      <c r="D147" s="258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384"/>
    </row>
    <row r="148" spans="1:15" ht="21" customHeight="1">
      <c r="A148" s="118"/>
      <c r="B148" s="258" t="s">
        <v>215</v>
      </c>
      <c r="C148" s="258"/>
      <c r="D148" s="258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384"/>
    </row>
    <row r="149" spans="1:15" ht="21" customHeight="1">
      <c r="A149" s="118"/>
      <c r="B149" s="258" t="s">
        <v>216</v>
      </c>
      <c r="C149" s="258"/>
      <c r="D149" s="258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384"/>
    </row>
    <row r="150" spans="1:15" ht="21" customHeight="1">
      <c r="A150" s="90"/>
      <c r="B150" s="259" t="s">
        <v>128</v>
      </c>
      <c r="C150" s="259"/>
      <c r="D150" s="259"/>
      <c r="E150" s="259"/>
      <c r="F150" s="259"/>
      <c r="G150" s="259"/>
      <c r="H150" s="259"/>
      <c r="I150" s="259"/>
      <c r="J150" s="259"/>
      <c r="K150" s="259"/>
      <c r="L150" s="259"/>
      <c r="M150" s="259"/>
      <c r="N150" s="259"/>
      <c r="O150" s="384"/>
    </row>
    <row r="151" spans="1:15" ht="21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4"/>
      <c r="M151" s="94"/>
      <c r="N151" s="95"/>
      <c r="O151" s="384"/>
    </row>
    <row r="152" spans="1:15" ht="21" customHeight="1">
      <c r="A152" s="260" t="s">
        <v>62</v>
      </c>
      <c r="B152" s="260"/>
      <c r="C152" s="260"/>
      <c r="D152" s="260"/>
      <c r="E152" s="385"/>
      <c r="F152" s="385"/>
      <c r="G152" s="385"/>
      <c r="H152" s="385"/>
      <c r="I152" s="385"/>
      <c r="J152" s="386" t="s">
        <v>33</v>
      </c>
      <c r="K152" s="386"/>
      <c r="L152" s="386"/>
      <c r="M152" s="386"/>
      <c r="N152" s="386"/>
      <c r="O152" s="384"/>
    </row>
    <row r="153" spans="1:15" ht="21" customHeight="1">
      <c r="A153" s="178"/>
      <c r="B153" s="178"/>
      <c r="C153" s="178"/>
      <c r="D153" s="385"/>
      <c r="E153" s="385"/>
      <c r="F153" s="385"/>
      <c r="G153" s="385"/>
      <c r="H153" s="387"/>
      <c r="I153" s="387"/>
      <c r="J153" s="387"/>
      <c r="K153" s="387"/>
      <c r="L153" s="387"/>
      <c r="M153" s="387"/>
      <c r="N153" s="387"/>
      <c r="O153" s="384"/>
    </row>
    <row r="154" spans="1:15" ht="21" customHeight="1">
      <c r="A154" s="178"/>
      <c r="B154" s="178"/>
      <c r="C154" s="178"/>
      <c r="D154" s="385"/>
      <c r="E154" s="385"/>
      <c r="F154" s="385"/>
      <c r="G154" s="385"/>
      <c r="H154" s="387"/>
      <c r="I154" s="387"/>
      <c r="J154" s="387"/>
      <c r="K154" s="387"/>
      <c r="L154" s="387"/>
      <c r="M154" s="387"/>
      <c r="N154" s="387"/>
      <c r="O154" s="384"/>
    </row>
    <row r="155" spans="1:15" ht="21" customHeight="1">
      <c r="A155" s="178"/>
      <c r="B155" s="178"/>
      <c r="C155" s="178"/>
      <c r="D155" s="385"/>
      <c r="E155" s="385"/>
      <c r="F155" s="385"/>
      <c r="G155" s="385"/>
      <c r="H155" s="387"/>
      <c r="I155" s="387"/>
      <c r="J155" s="388" t="s">
        <v>124</v>
      </c>
      <c r="K155" s="388"/>
      <c r="L155" s="388"/>
      <c r="M155" s="388"/>
      <c r="N155" s="388"/>
      <c r="O155" s="384"/>
    </row>
    <row r="156" spans="1:15" ht="21" customHeight="1">
      <c r="A156" s="261" t="s">
        <v>91</v>
      </c>
      <c r="B156" s="261"/>
      <c r="C156" s="261"/>
      <c r="D156" s="261"/>
      <c r="E156" s="385"/>
      <c r="F156" s="385"/>
      <c r="G156" s="385"/>
      <c r="H156" s="387"/>
      <c r="I156" s="387"/>
      <c r="J156" s="388"/>
      <c r="K156" s="388"/>
      <c r="L156" s="388"/>
      <c r="M156" s="388"/>
      <c r="N156" s="388"/>
      <c r="O156" s="384"/>
    </row>
    <row r="158" spans="1:15" ht="19.2" customHeight="1">
      <c r="J158" s="388" t="s">
        <v>127</v>
      </c>
      <c r="K158" s="388"/>
      <c r="L158" s="388"/>
      <c r="M158" s="388"/>
      <c r="N158" s="388"/>
    </row>
  </sheetData>
  <mergeCells count="205">
    <mergeCell ref="F1:N1"/>
    <mergeCell ref="A5:D5"/>
    <mergeCell ref="E5:N5"/>
    <mergeCell ref="A6:D6"/>
    <mergeCell ref="E6:I9"/>
    <mergeCell ref="J6:N9"/>
    <mergeCell ref="A7:D7"/>
    <mergeCell ref="A8:D8"/>
    <mergeCell ref="A9:D9"/>
    <mergeCell ref="A10:C10"/>
    <mergeCell ref="A11:A14"/>
    <mergeCell ref="B11:B14"/>
    <mergeCell ref="C11:C14"/>
    <mergeCell ref="D11:D14"/>
    <mergeCell ref="E11:F12"/>
    <mergeCell ref="G11:H12"/>
    <mergeCell ref="I11:I14"/>
    <mergeCell ref="J11:J14"/>
    <mergeCell ref="K11:K14"/>
    <mergeCell ref="L11:L14"/>
    <mergeCell ref="M11:M14"/>
    <mergeCell ref="N11:N14"/>
    <mergeCell ref="E13:E14"/>
    <mergeCell ref="F13:F14"/>
    <mergeCell ref="G13:G14"/>
    <mergeCell ref="H13:H14"/>
    <mergeCell ref="A15:N15"/>
    <mergeCell ref="N28:N29"/>
    <mergeCell ref="A30:B31"/>
    <mergeCell ref="A32:B32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L43:L46"/>
    <mergeCell ref="M43:M46"/>
    <mergeCell ref="N43:N46"/>
    <mergeCell ref="E45:E46"/>
    <mergeCell ref="F45:F46"/>
    <mergeCell ref="G45:G46"/>
    <mergeCell ref="H45:H46"/>
    <mergeCell ref="M47:M48"/>
    <mergeCell ref="N47:N48"/>
    <mergeCell ref="A49:B50"/>
    <mergeCell ref="A51:B52"/>
    <mergeCell ref="C51:C52"/>
    <mergeCell ref="D51:D52"/>
    <mergeCell ref="I51:I52"/>
    <mergeCell ref="J51:J52"/>
    <mergeCell ref="K51:K52"/>
    <mergeCell ref="L51:L58"/>
    <mergeCell ref="M51:M58"/>
    <mergeCell ref="N51:N58"/>
    <mergeCell ref="E52:F52"/>
    <mergeCell ref="G52:H52"/>
    <mergeCell ref="A53:C54"/>
    <mergeCell ref="I53:I54"/>
    <mergeCell ref="J53:J54"/>
    <mergeCell ref="K53:K54"/>
    <mergeCell ref="E54:F54"/>
    <mergeCell ref="G54:H54"/>
    <mergeCell ref="A56:C56"/>
    <mergeCell ref="E56:F56"/>
    <mergeCell ref="G56:H56"/>
    <mergeCell ref="J56:J58"/>
    <mergeCell ref="Q54:R54"/>
    <mergeCell ref="S54:T54"/>
    <mergeCell ref="U54:V54"/>
    <mergeCell ref="A55:C55"/>
    <mergeCell ref="E55:F55"/>
    <mergeCell ref="G55:H55"/>
    <mergeCell ref="Q55:R55"/>
    <mergeCell ref="S55:T55"/>
    <mergeCell ref="U55:V55"/>
    <mergeCell ref="K56:K58"/>
    <mergeCell ref="A57:B58"/>
    <mergeCell ref="C57:D57"/>
    <mergeCell ref="E57:F57"/>
    <mergeCell ref="G57:H57"/>
    <mergeCell ref="C58:D58"/>
    <mergeCell ref="E58:F58"/>
    <mergeCell ref="G58:H58"/>
    <mergeCell ref="A60:N60"/>
    <mergeCell ref="B61:N61"/>
    <mergeCell ref="B62:N62"/>
    <mergeCell ref="B63:N63"/>
    <mergeCell ref="B64:N64"/>
    <mergeCell ref="B65:N65"/>
    <mergeCell ref="A67:D67"/>
    <mergeCell ref="J67:N67"/>
    <mergeCell ref="J70:N70"/>
    <mergeCell ref="A71:D71"/>
    <mergeCell ref="J74:N74"/>
    <mergeCell ref="F85:N85"/>
    <mergeCell ref="A87:D88"/>
    <mergeCell ref="E87:N87"/>
    <mergeCell ref="E88:I88"/>
    <mergeCell ref="J88:N88"/>
    <mergeCell ref="A89:D89"/>
    <mergeCell ref="E89:I91"/>
    <mergeCell ref="J89:N89"/>
    <mergeCell ref="A90:D90"/>
    <mergeCell ref="J90:N90"/>
    <mergeCell ref="A91:D91"/>
    <mergeCell ref="J91:N91"/>
    <mergeCell ref="A92:C92"/>
    <mergeCell ref="A93:A96"/>
    <mergeCell ref="B93:B96"/>
    <mergeCell ref="C93:C96"/>
    <mergeCell ref="D93:D96"/>
    <mergeCell ref="E93:F94"/>
    <mergeCell ref="G93:H94"/>
    <mergeCell ref="I93:I96"/>
    <mergeCell ref="J93:J96"/>
    <mergeCell ref="K93:K96"/>
    <mergeCell ref="L93:L96"/>
    <mergeCell ref="M93:M96"/>
    <mergeCell ref="N93:N96"/>
    <mergeCell ref="E95:E96"/>
    <mergeCell ref="F95:F96"/>
    <mergeCell ref="G95:G96"/>
    <mergeCell ref="H95:H96"/>
    <mergeCell ref="A97:N97"/>
    <mergeCell ref="M108:M109"/>
    <mergeCell ref="N108:N109"/>
    <mergeCell ref="A110:B111"/>
    <mergeCell ref="A112:B112"/>
    <mergeCell ref="M122:M123"/>
    <mergeCell ref="N122:N123"/>
    <mergeCell ref="A124:B125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J128:J131"/>
    <mergeCell ref="K128:K131"/>
    <mergeCell ref="L128:L131"/>
    <mergeCell ref="M128:M131"/>
    <mergeCell ref="N128:N131"/>
    <mergeCell ref="E130:E131"/>
    <mergeCell ref="F130:F131"/>
    <mergeCell ref="G130:G131"/>
    <mergeCell ref="H130:H131"/>
    <mergeCell ref="M132:M133"/>
    <mergeCell ref="N132:N133"/>
    <mergeCell ref="A134:B135"/>
    <mergeCell ref="A136:B137"/>
    <mergeCell ref="C136:C137"/>
    <mergeCell ref="D136:D137"/>
    <mergeCell ref="I136:I137"/>
    <mergeCell ref="J136:J137"/>
    <mergeCell ref="K136:K137"/>
    <mergeCell ref="L136:L143"/>
    <mergeCell ref="M136:M143"/>
    <mergeCell ref="N136:N143"/>
    <mergeCell ref="E137:F137"/>
    <mergeCell ref="G137:H137"/>
    <mergeCell ref="A140:C140"/>
    <mergeCell ref="E140:F140"/>
    <mergeCell ref="G140:H140"/>
    <mergeCell ref="A141:C141"/>
    <mergeCell ref="E141:F141"/>
    <mergeCell ref="G141:H141"/>
    <mergeCell ref="J141:J143"/>
    <mergeCell ref="K141:K143"/>
    <mergeCell ref="A142:B143"/>
    <mergeCell ref="C142:D142"/>
    <mergeCell ref="Q137:R137"/>
    <mergeCell ref="S137:T137"/>
    <mergeCell ref="U137:V137"/>
    <mergeCell ref="A138:C139"/>
    <mergeCell ref="I138:I139"/>
    <mergeCell ref="J138:J139"/>
    <mergeCell ref="K138:K139"/>
    <mergeCell ref="Q138:R138"/>
    <mergeCell ref="S138:T138"/>
    <mergeCell ref="U138:V138"/>
    <mergeCell ref="E139:F139"/>
    <mergeCell ref="G139:H139"/>
    <mergeCell ref="B149:N149"/>
    <mergeCell ref="B150:N150"/>
    <mergeCell ref="A152:D152"/>
    <mergeCell ref="J152:N152"/>
    <mergeCell ref="J155:N155"/>
    <mergeCell ref="A156:D156"/>
    <mergeCell ref="J156:N156"/>
    <mergeCell ref="J158:N158"/>
    <mergeCell ref="E142:F142"/>
    <mergeCell ref="G142:H142"/>
    <mergeCell ref="C143:D143"/>
    <mergeCell ref="E143:F143"/>
    <mergeCell ref="G143:H143"/>
    <mergeCell ref="A145:N145"/>
    <mergeCell ref="B146:N146"/>
    <mergeCell ref="B147:N147"/>
    <mergeCell ref="B148:N148"/>
  </mergeCells>
  <pageMargins left="0.5" right="7.4999999999999997E-2" top="0.44166666666666665" bottom="0.47499999999999998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65"/>
  <sheetViews>
    <sheetView workbookViewId="0">
      <selection activeCell="P145" sqref="P145:V149"/>
    </sheetView>
  </sheetViews>
  <sheetFormatPr defaultColWidth="9.109375" defaultRowHeight="20.399999999999999" customHeight="1"/>
  <cols>
    <col min="1" max="1" width="3.21875" style="1" customWidth="1"/>
    <col min="2" max="2" width="12.44140625" style="1" customWidth="1"/>
    <col min="3" max="3" width="7.109375" style="1" customWidth="1"/>
    <col min="4" max="4" width="7.6640625" style="1" customWidth="1"/>
    <col min="5" max="8" width="6.5546875" style="1" customWidth="1"/>
    <col min="9" max="9" width="6.6640625" style="1" customWidth="1"/>
    <col min="10" max="10" width="7.5546875" style="1" customWidth="1"/>
    <col min="11" max="11" width="6.77734375" style="1" customWidth="1"/>
    <col min="12" max="12" width="5" style="1" customWidth="1"/>
    <col min="13" max="13" width="5.21875" style="1" customWidth="1"/>
    <col min="14" max="14" width="6.44140625" style="1" customWidth="1"/>
    <col min="15" max="15" width="11.88671875" style="1" customWidth="1"/>
    <col min="16" max="16" width="9.109375" style="1"/>
    <col min="17" max="22" width="9" style="1" customWidth="1"/>
    <col min="23" max="16384" width="9.109375" style="1"/>
  </cols>
  <sheetData>
    <row r="1" spans="1:20" ht="23.4" customHeight="1">
      <c r="A1" s="11" t="s">
        <v>61</v>
      </c>
      <c r="B1" s="8"/>
      <c r="C1" s="8"/>
      <c r="D1" s="8"/>
      <c r="E1" s="8"/>
      <c r="F1" s="188" t="s">
        <v>31</v>
      </c>
      <c r="G1" s="188"/>
      <c r="H1" s="188"/>
      <c r="I1" s="188"/>
      <c r="J1" s="188"/>
      <c r="K1" s="188"/>
      <c r="L1" s="188"/>
      <c r="M1" s="188"/>
      <c r="N1" s="188"/>
      <c r="O1" s="372"/>
      <c r="P1" s="372"/>
      <c r="T1" s="2"/>
    </row>
    <row r="2" spans="1:20" ht="12.6" customHeight="1">
      <c r="A2" s="11"/>
      <c r="B2" s="8"/>
      <c r="C2" s="8"/>
      <c r="D2" s="8"/>
      <c r="E2" s="8"/>
      <c r="F2" s="182"/>
      <c r="G2" s="182"/>
      <c r="H2" s="182"/>
      <c r="I2" s="182"/>
      <c r="J2" s="182"/>
      <c r="K2" s="182"/>
      <c r="L2" s="182"/>
      <c r="M2" s="182"/>
      <c r="N2" s="182"/>
      <c r="O2" s="372"/>
      <c r="P2" s="372"/>
      <c r="T2" s="2"/>
    </row>
    <row r="3" spans="1:20" ht="23.4" customHeight="1">
      <c r="A3" s="8" t="s">
        <v>217</v>
      </c>
      <c r="B3" s="8"/>
      <c r="C3" s="8"/>
      <c r="D3" s="8"/>
      <c r="E3" s="8"/>
      <c r="F3" s="182"/>
      <c r="G3" s="182"/>
      <c r="H3" s="182"/>
      <c r="I3" s="182"/>
      <c r="J3" s="182"/>
      <c r="K3" s="182"/>
      <c r="L3" s="182"/>
      <c r="M3" s="182"/>
      <c r="N3" s="182"/>
      <c r="O3" s="372"/>
      <c r="P3" s="372"/>
      <c r="T3" s="2"/>
    </row>
    <row r="4" spans="1:20" ht="12.6" customHeight="1">
      <c r="A4" s="8"/>
      <c r="B4" s="8"/>
      <c r="C4" s="8"/>
      <c r="D4" s="8"/>
      <c r="E4" s="8"/>
      <c r="F4" s="182"/>
      <c r="G4" s="182"/>
      <c r="H4" s="182"/>
      <c r="I4" s="182"/>
      <c r="J4" s="182"/>
      <c r="K4" s="182"/>
      <c r="L4" s="182"/>
      <c r="M4" s="182"/>
      <c r="N4" s="182"/>
      <c r="O4" s="372"/>
      <c r="P4" s="372"/>
      <c r="T4" s="2"/>
    </row>
    <row r="5" spans="1:20" s="2" customFormat="1" ht="19.2" customHeight="1">
      <c r="A5" s="235" t="s">
        <v>97</v>
      </c>
      <c r="B5" s="235"/>
      <c r="C5" s="235"/>
      <c r="D5" s="235"/>
      <c r="E5" s="235" t="s">
        <v>98</v>
      </c>
      <c r="F5" s="235"/>
      <c r="G5" s="235"/>
      <c r="H5" s="235"/>
      <c r="I5" s="235"/>
      <c r="J5" s="235"/>
      <c r="K5" s="235"/>
      <c r="L5" s="235"/>
      <c r="M5" s="235"/>
      <c r="N5" s="235"/>
      <c r="O5" s="373"/>
    </row>
    <row r="6" spans="1:20" s="2" customFormat="1" ht="19.2" customHeight="1">
      <c r="A6" s="265" t="s">
        <v>90</v>
      </c>
      <c r="B6" s="265"/>
      <c r="C6" s="265"/>
      <c r="D6" s="265"/>
      <c r="E6" s="281" t="s">
        <v>162</v>
      </c>
      <c r="F6" s="282"/>
      <c r="G6" s="282"/>
      <c r="H6" s="282"/>
      <c r="I6" s="283"/>
      <c r="J6" s="281" t="s">
        <v>135</v>
      </c>
      <c r="K6" s="282"/>
      <c r="L6" s="282"/>
      <c r="M6" s="282"/>
      <c r="N6" s="283"/>
      <c r="O6" s="373"/>
    </row>
    <row r="7" spans="1:20" s="2" customFormat="1" ht="19.2" customHeight="1">
      <c r="A7" s="343" t="s">
        <v>161</v>
      </c>
      <c r="B7" s="344"/>
      <c r="C7" s="344"/>
      <c r="D7" s="345"/>
      <c r="E7" s="284"/>
      <c r="F7" s="285"/>
      <c r="G7" s="285"/>
      <c r="H7" s="285"/>
      <c r="I7" s="286"/>
      <c r="J7" s="284"/>
      <c r="K7" s="285"/>
      <c r="L7" s="285"/>
      <c r="M7" s="285"/>
      <c r="N7" s="286"/>
      <c r="O7" s="373"/>
    </row>
    <row r="8" spans="1:20" s="2" customFormat="1" ht="19.2" customHeight="1">
      <c r="A8" s="343" t="s">
        <v>187</v>
      </c>
      <c r="B8" s="344"/>
      <c r="C8" s="344"/>
      <c r="D8" s="345"/>
      <c r="E8" s="284"/>
      <c r="F8" s="285"/>
      <c r="G8" s="285"/>
      <c r="H8" s="285"/>
      <c r="I8" s="286"/>
      <c r="J8" s="284"/>
      <c r="K8" s="285"/>
      <c r="L8" s="285"/>
      <c r="M8" s="285"/>
      <c r="N8" s="286"/>
      <c r="O8" s="373"/>
    </row>
    <row r="9" spans="1:20" s="2" customFormat="1" ht="19.2" customHeight="1">
      <c r="A9" s="346" t="s">
        <v>188</v>
      </c>
      <c r="B9" s="346"/>
      <c r="C9" s="346"/>
      <c r="D9" s="346"/>
      <c r="E9" s="287"/>
      <c r="F9" s="288"/>
      <c r="G9" s="288"/>
      <c r="H9" s="288"/>
      <c r="I9" s="289"/>
      <c r="J9" s="287"/>
      <c r="K9" s="288"/>
      <c r="L9" s="288"/>
      <c r="M9" s="288"/>
      <c r="N9" s="289"/>
      <c r="O9" s="373"/>
    </row>
    <row r="10" spans="1:20" s="2" customFormat="1" ht="19.2" customHeight="1">
      <c r="A10" s="275" t="s">
        <v>122</v>
      </c>
      <c r="B10" s="276"/>
      <c r="C10" s="277"/>
      <c r="D10" s="128">
        <v>223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73"/>
    </row>
    <row r="11" spans="1:20" ht="21" customHeight="1">
      <c r="A11" s="190" t="s">
        <v>0</v>
      </c>
      <c r="B11" s="200" t="s">
        <v>19</v>
      </c>
      <c r="C11" s="203" t="s">
        <v>8</v>
      </c>
      <c r="D11" s="203" t="s">
        <v>9</v>
      </c>
      <c r="E11" s="193" t="s">
        <v>11</v>
      </c>
      <c r="F11" s="194"/>
      <c r="G11" s="193" t="s">
        <v>13</v>
      </c>
      <c r="H11" s="194"/>
      <c r="I11" s="197" t="s">
        <v>16</v>
      </c>
      <c r="J11" s="197" t="s">
        <v>41</v>
      </c>
      <c r="K11" s="197" t="s">
        <v>42</v>
      </c>
      <c r="L11" s="350" t="s">
        <v>17</v>
      </c>
      <c r="M11" s="197" t="s">
        <v>57</v>
      </c>
      <c r="N11" s="190" t="s">
        <v>18</v>
      </c>
      <c r="O11" s="374"/>
    </row>
    <row r="12" spans="1:20" ht="21" customHeight="1">
      <c r="A12" s="191"/>
      <c r="B12" s="201"/>
      <c r="C12" s="204"/>
      <c r="D12" s="204"/>
      <c r="E12" s="195"/>
      <c r="F12" s="196"/>
      <c r="G12" s="195"/>
      <c r="H12" s="196"/>
      <c r="I12" s="198"/>
      <c r="J12" s="198"/>
      <c r="K12" s="198"/>
      <c r="L12" s="351"/>
      <c r="M12" s="198"/>
      <c r="N12" s="191"/>
      <c r="O12" s="178"/>
    </row>
    <row r="13" spans="1:20" ht="21" customHeight="1">
      <c r="A13" s="191"/>
      <c r="B13" s="201"/>
      <c r="C13" s="204"/>
      <c r="D13" s="204"/>
      <c r="E13" s="197" t="s">
        <v>10</v>
      </c>
      <c r="F13" s="197" t="s">
        <v>12</v>
      </c>
      <c r="G13" s="197" t="s">
        <v>14</v>
      </c>
      <c r="H13" s="197" t="s">
        <v>15</v>
      </c>
      <c r="I13" s="198"/>
      <c r="J13" s="198"/>
      <c r="K13" s="198"/>
      <c r="L13" s="351"/>
      <c r="M13" s="198"/>
      <c r="N13" s="191"/>
      <c r="O13" s="178"/>
    </row>
    <row r="14" spans="1:20" ht="21" customHeight="1">
      <c r="A14" s="192"/>
      <c r="B14" s="202"/>
      <c r="C14" s="205"/>
      <c r="D14" s="205"/>
      <c r="E14" s="199"/>
      <c r="F14" s="199"/>
      <c r="G14" s="199"/>
      <c r="H14" s="199"/>
      <c r="I14" s="199"/>
      <c r="J14" s="199"/>
      <c r="K14" s="199"/>
      <c r="L14" s="352"/>
      <c r="M14" s="199"/>
      <c r="N14" s="192"/>
      <c r="O14" s="178"/>
    </row>
    <row r="15" spans="1:20" ht="18.600000000000001" customHeight="1">
      <c r="A15" s="237" t="s">
        <v>34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/>
      <c r="O15" s="178"/>
    </row>
    <row r="16" spans="1:20" s="2" customFormat="1" ht="18.600000000000001" customHeight="1">
      <c r="A16" s="9">
        <v>1</v>
      </c>
      <c r="B16" s="10" t="s">
        <v>2</v>
      </c>
      <c r="C16" s="23">
        <f>L16/100*100</f>
        <v>300</v>
      </c>
      <c r="D16" s="24">
        <f>C16/100*60</f>
        <v>180</v>
      </c>
      <c r="E16" s="25">
        <f>C16/100*15</f>
        <v>45</v>
      </c>
      <c r="F16" s="25"/>
      <c r="G16" s="25"/>
      <c r="H16" s="25"/>
      <c r="I16" s="25"/>
      <c r="J16" s="81">
        <f>C16/100*387</f>
        <v>1161</v>
      </c>
      <c r="K16" s="27">
        <f>C16/100*0.09</f>
        <v>0.27</v>
      </c>
      <c r="L16" s="137">
        <v>300</v>
      </c>
      <c r="M16" s="75">
        <v>20</v>
      </c>
      <c r="N16" s="28">
        <f>L16*M16</f>
        <v>6000</v>
      </c>
      <c r="O16" s="153"/>
    </row>
    <row r="17" spans="1:20" s="2" customFormat="1" ht="18.600000000000001" customHeight="1">
      <c r="A17" s="9">
        <v>3</v>
      </c>
      <c r="B17" s="148" t="s">
        <v>142</v>
      </c>
      <c r="C17" s="23">
        <f>L17/100*100</f>
        <v>960</v>
      </c>
      <c r="D17" s="120">
        <f>C17/100*900</f>
        <v>8640</v>
      </c>
      <c r="E17" s="25"/>
      <c r="F17" s="25"/>
      <c r="G17" s="119"/>
      <c r="H17" s="25">
        <f>C17/100*100</f>
        <v>960</v>
      </c>
      <c r="I17" s="25"/>
      <c r="J17" s="25"/>
      <c r="K17" s="25"/>
      <c r="L17" s="137">
        <v>960</v>
      </c>
      <c r="M17" s="75">
        <v>65</v>
      </c>
      <c r="N17" s="28">
        <f t="shared" ref="N17:N25" si="0">L17*M17</f>
        <v>62400</v>
      </c>
      <c r="O17" s="378"/>
    </row>
    <row r="18" spans="1:20" s="2" customFormat="1" ht="18.600000000000001" customHeight="1">
      <c r="A18" s="9">
        <v>4</v>
      </c>
      <c r="B18" s="5" t="s">
        <v>1</v>
      </c>
      <c r="C18" s="23">
        <f>L18/100*100</f>
        <v>21185</v>
      </c>
      <c r="D18" s="120">
        <f>C18/100*344</f>
        <v>72876.399999999994</v>
      </c>
      <c r="E18" s="25"/>
      <c r="F18" s="119">
        <f>C18/100*7.9</f>
        <v>1673.615</v>
      </c>
      <c r="G18" s="25"/>
      <c r="H18" s="25">
        <f>C18/100*1</f>
        <v>211.85</v>
      </c>
      <c r="I18" s="130">
        <f>C18/100*73.2</f>
        <v>15507.42</v>
      </c>
      <c r="J18" s="81">
        <f>C18/100*30</f>
        <v>6355.5</v>
      </c>
      <c r="K18" s="27">
        <f>C18/100*0.1</f>
        <v>21.185000000000002</v>
      </c>
      <c r="L18" s="399">
        <v>21185</v>
      </c>
      <c r="M18" s="75">
        <v>18</v>
      </c>
      <c r="N18" s="124">
        <f t="shared" si="0"/>
        <v>381330</v>
      </c>
      <c r="O18" s="153"/>
    </row>
    <row r="19" spans="1:20" s="2" customFormat="1" ht="18.600000000000001" customHeight="1">
      <c r="A19" s="9">
        <v>5</v>
      </c>
      <c r="B19" s="5" t="s">
        <v>96</v>
      </c>
      <c r="C19" s="23">
        <f>L19/100*90</f>
        <v>4437</v>
      </c>
      <c r="D19" s="24">
        <f>C19/100*90</f>
        <v>3993.2999999999997</v>
      </c>
      <c r="E19" s="25">
        <f>C19/100*18.4</f>
        <v>816.4079999999999</v>
      </c>
      <c r="F19" s="25"/>
      <c r="G19" s="25">
        <f>C19/100*1.8</f>
        <v>79.866</v>
      </c>
      <c r="H19" s="25"/>
      <c r="I19" s="25"/>
      <c r="J19" s="81">
        <f>C19/100*1120</f>
        <v>49694.399999999994</v>
      </c>
      <c r="K19" s="27">
        <f>C19/100*0.02</f>
        <v>0.88739999999999997</v>
      </c>
      <c r="L19" s="137">
        <v>4930</v>
      </c>
      <c r="M19" s="75">
        <v>260</v>
      </c>
      <c r="N19" s="173">
        <f t="shared" si="0"/>
        <v>1281800</v>
      </c>
      <c r="O19" s="153"/>
      <c r="Q19" s="3"/>
      <c r="R19" s="3"/>
      <c r="S19" s="4"/>
    </row>
    <row r="20" spans="1:20" s="2" customFormat="1" ht="18.600000000000001" customHeight="1">
      <c r="A20" s="9">
        <v>6</v>
      </c>
      <c r="B20" s="10" t="s">
        <v>71</v>
      </c>
      <c r="C20" s="23">
        <f>L20/100*98</f>
        <v>8535.7999999999993</v>
      </c>
      <c r="D20" s="120">
        <f>C20/100*139</f>
        <v>11864.761999999999</v>
      </c>
      <c r="E20" s="119">
        <f>C20/100*19</f>
        <v>1621.8019999999999</v>
      </c>
      <c r="F20" s="25"/>
      <c r="G20" s="25">
        <f>C20/100*7</f>
        <v>597.50599999999997</v>
      </c>
      <c r="H20" s="25"/>
      <c r="I20" s="25"/>
      <c r="J20" s="27">
        <f>C20/100*7</f>
        <v>597.50599999999997</v>
      </c>
      <c r="K20" s="27">
        <f>C20/100*0.9</f>
        <v>76.822199999999995</v>
      </c>
      <c r="L20" s="137">
        <v>8710</v>
      </c>
      <c r="M20" s="143">
        <v>133</v>
      </c>
      <c r="N20" s="173">
        <f t="shared" si="0"/>
        <v>1158430</v>
      </c>
      <c r="O20" s="153"/>
    </row>
    <row r="21" spans="1:20" s="141" customFormat="1" ht="18.600000000000001" customHeight="1">
      <c r="A21" s="164">
        <v>7</v>
      </c>
      <c r="B21" s="149" t="s">
        <v>190</v>
      </c>
      <c r="C21" s="165">
        <f>L21/100*65</f>
        <v>2899</v>
      </c>
      <c r="D21" s="139">
        <f>C21/100*14</f>
        <v>405.85999999999996</v>
      </c>
      <c r="E21" s="136"/>
      <c r="F21" s="136">
        <f>C21/100*0.6</f>
        <v>17.393999999999998</v>
      </c>
      <c r="G21" s="136"/>
      <c r="H21" s="136">
        <f>C21/100*0.02</f>
        <v>0.57979999999999998</v>
      </c>
      <c r="I21" s="136">
        <f>C21/100*2.9</f>
        <v>84.070999999999998</v>
      </c>
      <c r="J21" s="136">
        <f>C21/100*21</f>
        <v>608.79</v>
      </c>
      <c r="K21" s="136">
        <f>C21/100*0.03</f>
        <v>0.86969999999999992</v>
      </c>
      <c r="L21" s="137">
        <v>4460</v>
      </c>
      <c r="M21" s="166">
        <v>25</v>
      </c>
      <c r="N21" s="172">
        <f t="shared" si="0"/>
        <v>111500</v>
      </c>
      <c r="O21" s="400"/>
    </row>
    <row r="22" spans="1:20" s="2" customFormat="1" ht="18.600000000000001" customHeight="1">
      <c r="A22" s="9">
        <v>8</v>
      </c>
      <c r="B22" s="149" t="s">
        <v>20</v>
      </c>
      <c r="C22" s="23">
        <f>L22/100*95</f>
        <v>1700.4999999999998</v>
      </c>
      <c r="D22" s="24">
        <f>C22/100*20</f>
        <v>340.09999999999997</v>
      </c>
      <c r="E22" s="25"/>
      <c r="F22" s="25">
        <f>C22/100*0.6</f>
        <v>10.202999999999999</v>
      </c>
      <c r="G22" s="25"/>
      <c r="H22" s="25">
        <f>C22/100*0.2</f>
        <v>3.4009999999999998</v>
      </c>
      <c r="I22" s="25">
        <f>C22/100*4</f>
        <v>68.02</v>
      </c>
      <c r="J22" s="27">
        <f>C22/100*12</f>
        <v>204.06</v>
      </c>
      <c r="K22" s="24">
        <f>C22/100*0.04</f>
        <v>0.68020000000000003</v>
      </c>
      <c r="L22" s="137">
        <v>1790</v>
      </c>
      <c r="M22" s="77">
        <v>22</v>
      </c>
      <c r="N22" s="28">
        <f t="shared" si="0"/>
        <v>39380</v>
      </c>
      <c r="O22" s="376"/>
      <c r="Q22" s="3"/>
      <c r="R22" s="3"/>
      <c r="S22" s="4"/>
    </row>
    <row r="23" spans="1:20" s="2" customFormat="1" ht="18.600000000000001" customHeight="1">
      <c r="A23" s="9">
        <v>9</v>
      </c>
      <c r="B23" s="149" t="s">
        <v>150</v>
      </c>
      <c r="C23" s="23">
        <f>L23/100*81</f>
        <v>1984.5</v>
      </c>
      <c r="D23" s="24">
        <f>C23/100*17</f>
        <v>337.36500000000001</v>
      </c>
      <c r="E23" s="29"/>
      <c r="F23" s="29">
        <f>C23/100*0.9</f>
        <v>17.860499999999998</v>
      </c>
      <c r="G23" s="29"/>
      <c r="H23" s="29">
        <f>C23/100*0.2</f>
        <v>3.9689999999999999</v>
      </c>
      <c r="I23" s="29">
        <f>C23/100*2.8</f>
        <v>55.565999999999995</v>
      </c>
      <c r="J23" s="25">
        <f>C23/100*28</f>
        <v>555.66</v>
      </c>
      <c r="K23" s="27">
        <f>C23/100*0.04</f>
        <v>0.79379999999999995</v>
      </c>
      <c r="L23" s="375">
        <v>2450</v>
      </c>
      <c r="M23" s="75">
        <v>20</v>
      </c>
      <c r="N23" s="28">
        <f t="shared" si="0"/>
        <v>49000</v>
      </c>
      <c r="O23" s="153"/>
      <c r="P23" s="3"/>
    </row>
    <row r="24" spans="1:20" s="141" customFormat="1" ht="16.2" customHeight="1">
      <c r="A24" s="164">
        <v>10</v>
      </c>
      <c r="B24" s="149" t="s">
        <v>189</v>
      </c>
      <c r="C24" s="165">
        <f>L24/100*63</f>
        <v>4920.2999999999993</v>
      </c>
      <c r="D24" s="139">
        <f>C24/100*25</f>
        <v>1230.0749999999998</v>
      </c>
      <c r="E24" s="136"/>
      <c r="F24" s="136">
        <f>C24/100*3.2</f>
        <v>157.4496</v>
      </c>
      <c r="G24" s="136"/>
      <c r="H24" s="136">
        <f>C24/100*0.4</f>
        <v>19.6812</v>
      </c>
      <c r="I24" s="136">
        <f>C24/100*2.1</f>
        <v>103.32629999999999</v>
      </c>
      <c r="J24" s="140">
        <f>C24/100*100</f>
        <v>4920.2999999999993</v>
      </c>
      <c r="K24" s="136">
        <f>C24/100*0.1</f>
        <v>4.9203000000000001</v>
      </c>
      <c r="L24" s="137">
        <v>7810</v>
      </c>
      <c r="M24" s="166">
        <v>15</v>
      </c>
      <c r="N24" s="174">
        <f t="shared" si="0"/>
        <v>117150</v>
      </c>
      <c r="O24" s="400"/>
    </row>
    <row r="25" spans="1:20" s="2" customFormat="1" ht="18.600000000000001" customHeight="1">
      <c r="A25" s="9">
        <v>11</v>
      </c>
      <c r="B25" s="5" t="s">
        <v>134</v>
      </c>
      <c r="C25" s="23">
        <f>L25/100*100</f>
        <v>220.00000000000003</v>
      </c>
      <c r="D25" s="24">
        <f>C25/100*247</f>
        <v>543.40000000000009</v>
      </c>
      <c r="E25" s="29"/>
      <c r="F25" s="29">
        <f>C25/100*17.5</f>
        <v>38.5</v>
      </c>
      <c r="G25" s="29"/>
      <c r="H25" s="29">
        <f>C25/100*1.6</f>
        <v>3.5200000000000005</v>
      </c>
      <c r="I25" s="29">
        <f>C25/100*39.2</f>
        <v>86.240000000000009</v>
      </c>
      <c r="J25" s="71"/>
      <c r="K25" s="71"/>
      <c r="L25" s="375">
        <v>220</v>
      </c>
      <c r="M25" s="75">
        <v>50</v>
      </c>
      <c r="N25" s="28">
        <f t="shared" si="0"/>
        <v>11000</v>
      </c>
      <c r="O25" s="153"/>
      <c r="Q25" s="3"/>
      <c r="R25" s="3"/>
      <c r="S25" s="4"/>
      <c r="T25" s="3"/>
    </row>
    <row r="26" spans="1:20" s="2" customFormat="1" ht="18.600000000000001" customHeight="1">
      <c r="A26" s="9">
        <v>12</v>
      </c>
      <c r="B26" s="6" t="s">
        <v>123</v>
      </c>
      <c r="C26" s="23"/>
      <c r="D26" s="24"/>
      <c r="E26" s="29"/>
      <c r="F26" s="29"/>
      <c r="G26" s="29"/>
      <c r="H26" s="29"/>
      <c r="I26" s="29"/>
      <c r="J26" s="71"/>
      <c r="K26" s="71"/>
      <c r="L26" s="30"/>
      <c r="M26" s="26"/>
      <c r="N26" s="28">
        <v>16720</v>
      </c>
      <c r="O26" s="153"/>
    </row>
    <row r="27" spans="1:20" s="2" customFormat="1" ht="18.600000000000001" customHeight="1">
      <c r="A27" s="21" t="s">
        <v>121</v>
      </c>
      <c r="B27" s="22"/>
      <c r="C27" s="34"/>
      <c r="D27" s="170">
        <f>SUM(D16:D26)</f>
        <v>100411.262</v>
      </c>
      <c r="E27" s="36"/>
      <c r="F27" s="36"/>
      <c r="G27" s="36"/>
      <c r="H27" s="36"/>
      <c r="I27" s="36"/>
      <c r="J27" s="36"/>
      <c r="K27" s="36"/>
      <c r="L27" s="37"/>
      <c r="M27" s="320"/>
      <c r="N27" s="357">
        <f>SUM(N16:N26)</f>
        <v>3234710</v>
      </c>
      <c r="O27" s="153"/>
    </row>
    <row r="28" spans="1:20" s="2" customFormat="1" ht="18.600000000000001" customHeight="1">
      <c r="A28" s="21" t="s">
        <v>6</v>
      </c>
      <c r="B28" s="22"/>
      <c r="C28" s="34"/>
      <c r="D28" s="35">
        <f>D27/D10</f>
        <v>450.27471748878924</v>
      </c>
      <c r="E28" s="36"/>
      <c r="F28" s="36"/>
      <c r="G28" s="36"/>
      <c r="H28" s="36"/>
      <c r="I28" s="36"/>
      <c r="J28" s="36"/>
      <c r="K28" s="36"/>
      <c r="L28" s="37"/>
      <c r="M28" s="321"/>
      <c r="N28" s="358"/>
      <c r="O28" s="153"/>
    </row>
    <row r="29" spans="1:20" s="2" customFormat="1" ht="18.600000000000001" customHeight="1">
      <c r="A29" s="301" t="s">
        <v>51</v>
      </c>
      <c r="B29" s="359"/>
      <c r="C29" s="377" t="s">
        <v>147</v>
      </c>
      <c r="D29" s="20" t="s">
        <v>45</v>
      </c>
      <c r="E29" s="36"/>
      <c r="F29" s="36"/>
      <c r="G29" s="36"/>
      <c r="H29" s="36"/>
      <c r="I29" s="36"/>
      <c r="J29" s="36"/>
      <c r="K29" s="36"/>
      <c r="L29" s="37"/>
      <c r="M29" s="37"/>
      <c r="N29" s="38"/>
      <c r="O29" s="153"/>
    </row>
    <row r="30" spans="1:20" s="2" customFormat="1" ht="18.600000000000001" customHeight="1">
      <c r="A30" s="360"/>
      <c r="B30" s="361"/>
      <c r="C30" s="76" t="s">
        <v>60</v>
      </c>
      <c r="D30" s="20">
        <f>D28*100/1320</f>
        <v>34.111721021877976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18.600000000000001" customHeight="1">
      <c r="A31" s="273" t="s">
        <v>35</v>
      </c>
      <c r="B31" s="273"/>
      <c r="C31" s="56"/>
      <c r="D31" s="57"/>
      <c r="E31" s="58"/>
      <c r="F31" s="58"/>
      <c r="G31" s="58"/>
      <c r="H31" s="58"/>
      <c r="I31" s="58"/>
      <c r="J31" s="58"/>
      <c r="K31" s="58"/>
      <c r="L31" s="59"/>
      <c r="M31" s="59"/>
      <c r="N31" s="69"/>
      <c r="O31" s="153"/>
    </row>
    <row r="32" spans="1:20" s="2" customFormat="1" ht="18.600000000000001" customHeight="1">
      <c r="A32" s="14">
        <v>1</v>
      </c>
      <c r="B32" s="159" t="s">
        <v>123</v>
      </c>
      <c r="C32" s="160"/>
      <c r="D32" s="161"/>
      <c r="E32" s="162"/>
      <c r="F32" s="162"/>
      <c r="G32" s="162"/>
      <c r="H32" s="162"/>
      <c r="I32" s="162"/>
      <c r="J32" s="162"/>
      <c r="K32" s="162"/>
      <c r="L32" s="163"/>
      <c r="M32" s="163"/>
      <c r="N32" s="175">
        <v>14480</v>
      </c>
      <c r="O32" s="153"/>
    </row>
    <row r="33" spans="1:20" s="2" customFormat="1" ht="18.600000000000001" customHeight="1">
      <c r="A33" s="9">
        <v>2</v>
      </c>
      <c r="B33" s="10" t="s">
        <v>2</v>
      </c>
      <c r="C33" s="23">
        <f>L33/100*100</f>
        <v>270</v>
      </c>
      <c r="D33" s="24">
        <f>C33/100*60</f>
        <v>162</v>
      </c>
      <c r="E33" s="25">
        <f>C33/100*15</f>
        <v>40.5</v>
      </c>
      <c r="F33" s="25"/>
      <c r="G33" s="25"/>
      <c r="H33" s="25"/>
      <c r="I33" s="25"/>
      <c r="J33" s="81">
        <f>C33/100*387</f>
        <v>1044.9000000000001</v>
      </c>
      <c r="K33" s="27">
        <f>C33/100*0.09</f>
        <v>0.24299999999999999</v>
      </c>
      <c r="L33" s="137">
        <v>270</v>
      </c>
      <c r="M33" s="75">
        <v>20</v>
      </c>
      <c r="N33" s="176">
        <f>L33*M33</f>
        <v>5400</v>
      </c>
      <c r="O33" s="153"/>
    </row>
    <row r="34" spans="1:20" s="2" customFormat="1" ht="18.600000000000001" customHeight="1">
      <c r="A34" s="9">
        <v>3</v>
      </c>
      <c r="B34" s="5" t="s">
        <v>1</v>
      </c>
      <c r="C34" s="23">
        <f>L34/100*100</f>
        <v>3345.0000000000005</v>
      </c>
      <c r="D34" s="120">
        <f>C34/100*344</f>
        <v>11506.800000000001</v>
      </c>
      <c r="E34" s="25"/>
      <c r="F34" s="25">
        <f>C34/100*7.9</f>
        <v>264.25500000000005</v>
      </c>
      <c r="G34" s="25"/>
      <c r="H34" s="25">
        <f>C34/100*1</f>
        <v>33.450000000000003</v>
      </c>
      <c r="I34" s="119">
        <f>C34/100*73.2</f>
        <v>2448.5400000000004</v>
      </c>
      <c r="J34" s="81">
        <f>C34/100*30</f>
        <v>1003.5000000000001</v>
      </c>
      <c r="K34" s="27">
        <f>C34/100*0.1</f>
        <v>3.3450000000000006</v>
      </c>
      <c r="L34" s="137">
        <v>3345</v>
      </c>
      <c r="M34" s="75">
        <v>18</v>
      </c>
      <c r="N34" s="176">
        <f t="shared" ref="N34:N35" si="1">L34*M34</f>
        <v>60210</v>
      </c>
      <c r="O34" s="153"/>
    </row>
    <row r="35" spans="1:20" s="2" customFormat="1" ht="18.600000000000001" customHeight="1">
      <c r="A35" s="9">
        <v>4</v>
      </c>
      <c r="B35" s="5" t="s">
        <v>73</v>
      </c>
      <c r="C35" s="23">
        <f>L35/100*100</f>
        <v>2230</v>
      </c>
      <c r="D35" s="24">
        <f>C35/100*344</f>
        <v>7671.2</v>
      </c>
      <c r="E35" s="25"/>
      <c r="F35" s="25">
        <f>C35/100*8.6</f>
        <v>191.78</v>
      </c>
      <c r="G35" s="25"/>
      <c r="H35" s="25">
        <f>C35/100*1.5</f>
        <v>33.450000000000003</v>
      </c>
      <c r="I35" s="119">
        <f>C35/100*74.5</f>
        <v>1661.3500000000001</v>
      </c>
      <c r="J35" s="25">
        <f>C35/100*32</f>
        <v>713.6</v>
      </c>
      <c r="K35" s="25">
        <f>C35/100*0.14</f>
        <v>3.1220000000000003</v>
      </c>
      <c r="L35" s="137">
        <v>2230</v>
      </c>
      <c r="M35" s="75">
        <v>30</v>
      </c>
      <c r="N35" s="28">
        <f t="shared" si="1"/>
        <v>66900</v>
      </c>
      <c r="O35" s="153"/>
      <c r="P35" s="18"/>
    </row>
    <row r="36" spans="1:20" s="2" customFormat="1" ht="18.600000000000001" customHeight="1">
      <c r="A36" s="9">
        <v>5</v>
      </c>
      <c r="B36" s="146" t="s">
        <v>139</v>
      </c>
      <c r="C36" s="23">
        <f>L36/100*100</f>
        <v>1380</v>
      </c>
      <c r="D36" s="120">
        <f>C36/100*899</f>
        <v>12406.2</v>
      </c>
      <c r="E36" s="119"/>
      <c r="F36" s="119"/>
      <c r="G36" s="119">
        <f>C36/100*100</f>
        <v>1380</v>
      </c>
      <c r="H36" s="25"/>
      <c r="I36" s="25"/>
      <c r="J36" s="27"/>
      <c r="K36" s="27"/>
      <c r="L36" s="137">
        <v>1380</v>
      </c>
      <c r="M36" s="75">
        <v>69</v>
      </c>
      <c r="N36" s="28">
        <f t="shared" ref="N36:N44" si="2">L36*M36</f>
        <v>95220</v>
      </c>
      <c r="O36" s="153"/>
    </row>
    <row r="37" spans="1:20" s="2" customFormat="1" ht="18.600000000000001" customHeight="1">
      <c r="A37" s="9">
        <v>6</v>
      </c>
      <c r="B37" s="5" t="s">
        <v>134</v>
      </c>
      <c r="C37" s="23">
        <f>L37/100*100</f>
        <v>140</v>
      </c>
      <c r="D37" s="24">
        <f>C37/100*247</f>
        <v>345.79999999999995</v>
      </c>
      <c r="E37" s="29"/>
      <c r="F37" s="29">
        <f>C37/100*17.5</f>
        <v>24.5</v>
      </c>
      <c r="G37" s="29"/>
      <c r="H37" s="29">
        <f>C37/100*1.6</f>
        <v>2.2399999999999998</v>
      </c>
      <c r="I37" s="29">
        <f>C37/100*39.2</f>
        <v>54.88</v>
      </c>
      <c r="J37" s="71"/>
      <c r="K37" s="71"/>
      <c r="L37" s="375">
        <v>140</v>
      </c>
      <c r="M37" s="75">
        <v>50</v>
      </c>
      <c r="N37" s="28">
        <f t="shared" si="2"/>
        <v>7000</v>
      </c>
      <c r="O37" s="153"/>
      <c r="Q37" s="3"/>
      <c r="R37" s="3"/>
      <c r="S37" s="4"/>
      <c r="T37" s="3"/>
    </row>
    <row r="38" spans="1:20" s="2" customFormat="1" ht="18.600000000000001" customHeight="1">
      <c r="A38" s="9">
        <v>7</v>
      </c>
      <c r="B38" s="10" t="s">
        <v>70</v>
      </c>
      <c r="C38" s="23">
        <f>L38/100*90</f>
        <v>50.400000000000006</v>
      </c>
      <c r="D38" s="24">
        <f>C38/100*253</f>
        <v>127.512</v>
      </c>
      <c r="E38" s="25"/>
      <c r="F38" s="25">
        <f>C38/100*32.4</f>
        <v>16.329599999999999</v>
      </c>
      <c r="G38" s="25"/>
      <c r="H38" s="25">
        <f>C38/100*3.6</f>
        <v>1.8144</v>
      </c>
      <c r="I38" s="25">
        <f>C38/100*21.1</f>
        <v>10.634400000000001</v>
      </c>
      <c r="J38" s="27">
        <f>C38/100*165.6</f>
        <v>83.462400000000002</v>
      </c>
      <c r="K38" s="27">
        <f>C38/100*0.14</f>
        <v>7.0560000000000012E-2</v>
      </c>
      <c r="L38" s="137">
        <v>56</v>
      </c>
      <c r="M38" s="75">
        <v>275</v>
      </c>
      <c r="N38" s="28">
        <f t="shared" ref="N38:N39" si="3">L38*M38</f>
        <v>15400</v>
      </c>
      <c r="O38" s="153"/>
    </row>
    <row r="39" spans="1:20" s="2" customFormat="1" ht="18.600000000000001" customHeight="1">
      <c r="A39" s="9">
        <v>8</v>
      </c>
      <c r="B39" s="5" t="s">
        <v>136</v>
      </c>
      <c r="C39" s="23">
        <f>L39/100*100</f>
        <v>890</v>
      </c>
      <c r="D39" s="24">
        <f>C39/100*340</f>
        <v>3026</v>
      </c>
      <c r="E39" s="29"/>
      <c r="F39" s="29">
        <f>C39/100*0.7</f>
        <v>6.2299999999999995</v>
      </c>
      <c r="G39" s="29"/>
      <c r="H39" s="29"/>
      <c r="I39" s="29">
        <f>C39/100*84.3</f>
        <v>750.27</v>
      </c>
      <c r="J39" s="71"/>
      <c r="K39" s="71"/>
      <c r="L39" s="375">
        <v>890</v>
      </c>
      <c r="M39" s="75">
        <v>180</v>
      </c>
      <c r="N39" s="124">
        <f t="shared" si="3"/>
        <v>160200</v>
      </c>
      <c r="O39" s="153"/>
      <c r="Q39" s="3"/>
      <c r="R39" s="3"/>
      <c r="S39" s="4"/>
      <c r="T39" s="3"/>
    </row>
    <row r="40" spans="1:20" s="2" customFormat="1" ht="18.600000000000001" customHeight="1">
      <c r="A40" s="9">
        <v>9</v>
      </c>
      <c r="B40" s="5" t="s">
        <v>93</v>
      </c>
      <c r="C40" s="23">
        <f>L40/100*81.7</f>
        <v>3643.82</v>
      </c>
      <c r="D40" s="24">
        <f>C40/100*27</f>
        <v>983.83140000000003</v>
      </c>
      <c r="E40" s="29"/>
      <c r="F40" s="29">
        <f>C40/100*0.3</f>
        <v>10.93146</v>
      </c>
      <c r="G40" s="29"/>
      <c r="H40" s="29">
        <f>C40/100*0.1</f>
        <v>3.6438200000000003</v>
      </c>
      <c r="I40" s="29">
        <f>C40/100*6.1</f>
        <v>222.27302</v>
      </c>
      <c r="J40" s="71">
        <f>C40/100*24</f>
        <v>874.5168000000001</v>
      </c>
      <c r="K40" s="71">
        <f>C40/100*0.06</f>
        <v>2.1862919999999999</v>
      </c>
      <c r="L40" s="375">
        <v>4460</v>
      </c>
      <c r="M40" s="26">
        <v>22</v>
      </c>
      <c r="N40" s="28">
        <f t="shared" si="2"/>
        <v>98120</v>
      </c>
      <c r="O40" s="153"/>
      <c r="Q40" s="3"/>
      <c r="R40" s="3"/>
      <c r="S40" s="4"/>
    </row>
    <row r="41" spans="1:20" s="2" customFormat="1" ht="18.600000000000001" customHeight="1">
      <c r="A41" s="9">
        <v>10</v>
      </c>
      <c r="B41" s="10" t="s">
        <v>163</v>
      </c>
      <c r="C41" s="23">
        <f>L41/100*55</f>
        <v>1842.5</v>
      </c>
      <c r="D41" s="120">
        <f>C41/100*196</f>
        <v>3611.3</v>
      </c>
      <c r="E41" s="25"/>
      <c r="F41" s="136">
        <f>C41/100*4.1</f>
        <v>75.54249999999999</v>
      </c>
      <c r="G41" s="25"/>
      <c r="H41" s="25">
        <f>C41/100*2.3</f>
        <v>42.377499999999998</v>
      </c>
      <c r="I41" s="25">
        <f>C41/100*39.6</f>
        <v>729.63000000000011</v>
      </c>
      <c r="J41" s="27">
        <f>C41/100*4</f>
        <v>73.7</v>
      </c>
      <c r="K41" s="27">
        <f>C41/100*0.15</f>
        <v>2.7637499999999999</v>
      </c>
      <c r="L41" s="399">
        <v>3350</v>
      </c>
      <c r="M41" s="75">
        <v>22</v>
      </c>
      <c r="N41" s="28">
        <f t="shared" si="2"/>
        <v>73700</v>
      </c>
      <c r="O41" s="400"/>
      <c r="P41" s="141"/>
      <c r="Q41" s="141"/>
    </row>
    <row r="42" spans="1:20" s="2" customFormat="1" ht="18.600000000000001" customHeight="1">
      <c r="A42" s="9">
        <v>11</v>
      </c>
      <c r="B42" s="5" t="s">
        <v>69</v>
      </c>
      <c r="C42" s="23">
        <f>L42/100*48</f>
        <v>4070.3999999999996</v>
      </c>
      <c r="D42" s="24">
        <f>C42/100*199</f>
        <v>8100.0959999999986</v>
      </c>
      <c r="E42" s="25">
        <f>C42/100*20.3</f>
        <v>826.29119999999989</v>
      </c>
      <c r="F42" s="25"/>
      <c r="G42" s="25">
        <f>C42/100*13.1</f>
        <v>533.22239999999988</v>
      </c>
      <c r="H42" s="25"/>
      <c r="I42" s="25"/>
      <c r="J42" s="27">
        <f>C42/100*12</f>
        <v>488.44799999999992</v>
      </c>
      <c r="K42" s="27">
        <f>C42/100*0.15</f>
        <v>6.105599999999999</v>
      </c>
      <c r="L42" s="26">
        <v>8480</v>
      </c>
      <c r="M42" s="137">
        <v>84</v>
      </c>
      <c r="N42" s="124">
        <f t="shared" si="2"/>
        <v>712320</v>
      </c>
      <c r="O42" s="153"/>
      <c r="Q42" s="3"/>
      <c r="R42" s="3"/>
      <c r="S42" s="4"/>
    </row>
    <row r="43" spans="1:20" s="2" customFormat="1" ht="18.600000000000001" customHeight="1">
      <c r="A43" s="9">
        <v>12</v>
      </c>
      <c r="B43" s="10" t="s">
        <v>64</v>
      </c>
      <c r="C43" s="23">
        <f>L43/100*40</f>
        <v>2268</v>
      </c>
      <c r="D43" s="24">
        <f>C43/100*276</f>
        <v>6259.68</v>
      </c>
      <c r="E43" s="25">
        <f>C43/100*17.8</f>
        <v>403.70400000000001</v>
      </c>
      <c r="F43" s="25"/>
      <c r="G43" s="25">
        <f>C43/100*21.8</f>
        <v>494.42400000000004</v>
      </c>
      <c r="H43" s="25"/>
      <c r="I43" s="25"/>
      <c r="J43" s="27">
        <f>C43/100*13</f>
        <v>294.83999999999997</v>
      </c>
      <c r="K43" s="27">
        <f>C43/100*0.07</f>
        <v>1.5876000000000001</v>
      </c>
      <c r="L43" s="137">
        <v>5670</v>
      </c>
      <c r="M43" s="75">
        <v>63</v>
      </c>
      <c r="N43" s="124">
        <f t="shared" si="2"/>
        <v>357210</v>
      </c>
      <c r="O43" s="153"/>
    </row>
    <row r="44" spans="1:20" s="2" customFormat="1" ht="18.600000000000001" customHeight="1">
      <c r="A44" s="103">
        <v>13</v>
      </c>
      <c r="B44" s="112" t="s">
        <v>164</v>
      </c>
      <c r="C44" s="104">
        <f>L44/100*85</f>
        <v>187.00000000000003</v>
      </c>
      <c r="D44" s="105">
        <f>C44/100*11</f>
        <v>20.570000000000004</v>
      </c>
      <c r="E44" s="106"/>
      <c r="F44" s="106">
        <f>C44/100*2.2</f>
        <v>4.1140000000000008</v>
      </c>
      <c r="G44" s="106"/>
      <c r="H44" s="106"/>
      <c r="I44" s="106">
        <f>C44/100*0.6</f>
        <v>1.1220000000000001</v>
      </c>
      <c r="J44" s="114"/>
      <c r="K44" s="114"/>
      <c r="L44" s="401">
        <v>220</v>
      </c>
      <c r="M44" s="145">
        <v>30</v>
      </c>
      <c r="N44" s="108">
        <f t="shared" si="2"/>
        <v>6600</v>
      </c>
      <c r="O44" s="153"/>
      <c r="Q44" s="3"/>
      <c r="R44" s="3"/>
    </row>
    <row r="45" spans="1:20" ht="22.8" customHeight="1">
      <c r="A45" s="190" t="s">
        <v>0</v>
      </c>
      <c r="B45" s="200" t="s">
        <v>19</v>
      </c>
      <c r="C45" s="203" t="s">
        <v>8</v>
      </c>
      <c r="D45" s="203" t="s">
        <v>9</v>
      </c>
      <c r="E45" s="193" t="s">
        <v>11</v>
      </c>
      <c r="F45" s="194"/>
      <c r="G45" s="193" t="s">
        <v>13</v>
      </c>
      <c r="H45" s="194"/>
      <c r="I45" s="197" t="s">
        <v>16</v>
      </c>
      <c r="J45" s="197" t="s">
        <v>41</v>
      </c>
      <c r="K45" s="197" t="s">
        <v>42</v>
      </c>
      <c r="L45" s="350" t="s">
        <v>17</v>
      </c>
      <c r="M45" s="197" t="s">
        <v>57</v>
      </c>
      <c r="N45" s="190" t="s">
        <v>18</v>
      </c>
      <c r="O45" s="374"/>
    </row>
    <row r="46" spans="1:20" ht="22.8" customHeight="1">
      <c r="A46" s="191"/>
      <c r="B46" s="201"/>
      <c r="C46" s="204"/>
      <c r="D46" s="204"/>
      <c r="E46" s="195"/>
      <c r="F46" s="196"/>
      <c r="G46" s="195"/>
      <c r="H46" s="196"/>
      <c r="I46" s="198"/>
      <c r="J46" s="198"/>
      <c r="K46" s="198"/>
      <c r="L46" s="351"/>
      <c r="M46" s="198"/>
      <c r="N46" s="191"/>
      <c r="O46" s="178"/>
    </row>
    <row r="47" spans="1:20" ht="22.8" customHeight="1">
      <c r="A47" s="191"/>
      <c r="B47" s="201"/>
      <c r="C47" s="204"/>
      <c r="D47" s="204"/>
      <c r="E47" s="197" t="s">
        <v>10</v>
      </c>
      <c r="F47" s="197" t="s">
        <v>12</v>
      </c>
      <c r="G47" s="197" t="s">
        <v>14</v>
      </c>
      <c r="H47" s="197" t="s">
        <v>15</v>
      </c>
      <c r="I47" s="198"/>
      <c r="J47" s="198"/>
      <c r="K47" s="198"/>
      <c r="L47" s="351"/>
      <c r="M47" s="198"/>
      <c r="N47" s="191"/>
      <c r="O47" s="178"/>
    </row>
    <row r="48" spans="1:20" ht="22.8" customHeight="1">
      <c r="A48" s="192"/>
      <c r="B48" s="202"/>
      <c r="C48" s="205"/>
      <c r="D48" s="205"/>
      <c r="E48" s="199"/>
      <c r="F48" s="199"/>
      <c r="G48" s="199"/>
      <c r="H48" s="199"/>
      <c r="I48" s="199"/>
      <c r="J48" s="199"/>
      <c r="K48" s="199"/>
      <c r="L48" s="352"/>
      <c r="M48" s="199"/>
      <c r="N48" s="192"/>
      <c r="O48" s="178"/>
    </row>
    <row r="49" spans="1:23" s="2" customFormat="1" ht="19.2" customHeight="1">
      <c r="A49" s="21" t="s">
        <v>106</v>
      </c>
      <c r="B49" s="22"/>
      <c r="C49" s="34"/>
      <c r="D49" s="121">
        <f>SUM(D33:D44)</f>
        <v>54220.989400000006</v>
      </c>
      <c r="E49" s="43"/>
      <c r="F49" s="43"/>
      <c r="G49" s="43"/>
      <c r="H49" s="43"/>
      <c r="I49" s="43"/>
      <c r="J49" s="43"/>
      <c r="K49" s="43"/>
      <c r="L49" s="44"/>
      <c r="M49" s="318"/>
      <c r="N49" s="355">
        <f>SUM(N30:N44)</f>
        <v>1672760</v>
      </c>
      <c r="O49" s="153"/>
    </row>
    <row r="50" spans="1:23" ht="19.2" customHeight="1">
      <c r="A50" s="21" t="s">
        <v>7</v>
      </c>
      <c r="B50" s="22"/>
      <c r="C50" s="45"/>
      <c r="D50" s="46">
        <f>D49/D10</f>
        <v>243.14345022421529</v>
      </c>
      <c r="E50" s="46"/>
      <c r="F50" s="46"/>
      <c r="G50" s="46"/>
      <c r="H50" s="46"/>
      <c r="I50" s="46"/>
      <c r="J50" s="46"/>
      <c r="K50" s="46"/>
      <c r="L50" s="47"/>
      <c r="M50" s="319"/>
      <c r="N50" s="356"/>
      <c r="O50" s="402"/>
      <c r="P50" s="2"/>
      <c r="Q50" s="2"/>
      <c r="R50" s="2"/>
      <c r="S50" s="2"/>
      <c r="T50" s="2"/>
      <c r="U50" s="2"/>
      <c r="V50" s="2"/>
    </row>
    <row r="51" spans="1:23" ht="19.2" customHeight="1">
      <c r="A51" s="301" t="s">
        <v>52</v>
      </c>
      <c r="B51" s="211"/>
      <c r="C51" s="377" t="s">
        <v>147</v>
      </c>
      <c r="D51" s="20" t="s">
        <v>58</v>
      </c>
      <c r="E51" s="46"/>
      <c r="F51" s="46"/>
      <c r="G51" s="46"/>
      <c r="H51" s="46"/>
      <c r="I51" s="46"/>
      <c r="J51" s="48"/>
      <c r="K51" s="48"/>
      <c r="L51" s="47"/>
      <c r="M51" s="47"/>
      <c r="N51" s="179"/>
      <c r="O51" s="4"/>
      <c r="P51" s="2"/>
      <c r="Q51" s="2"/>
      <c r="R51" s="2"/>
      <c r="S51" s="2"/>
      <c r="T51" s="2"/>
      <c r="U51" s="2"/>
      <c r="V51" s="2"/>
      <c r="W51" s="2"/>
    </row>
    <row r="52" spans="1:23" ht="19.2" customHeight="1">
      <c r="A52" s="212"/>
      <c r="B52" s="213"/>
      <c r="C52" s="76" t="s">
        <v>60</v>
      </c>
      <c r="D52" s="20">
        <f>D50*100/1320</f>
        <v>18.419958350319341</v>
      </c>
      <c r="E52" s="46"/>
      <c r="F52" s="46"/>
      <c r="G52" s="46"/>
      <c r="H52" s="46"/>
      <c r="I52" s="46"/>
      <c r="J52" s="48"/>
      <c r="K52" s="48"/>
      <c r="L52" s="47"/>
      <c r="M52" s="47"/>
      <c r="N52" s="179"/>
      <c r="O52" s="4"/>
      <c r="P52" s="2"/>
      <c r="Q52" s="2"/>
      <c r="R52" s="2"/>
      <c r="S52" s="2"/>
      <c r="T52" s="2"/>
      <c r="U52" s="2"/>
      <c r="V52" s="2"/>
      <c r="W52" s="2"/>
    </row>
    <row r="53" spans="1:23" ht="19.2" customHeight="1">
      <c r="A53" s="227" t="s">
        <v>107</v>
      </c>
      <c r="B53" s="228"/>
      <c r="C53" s="231"/>
      <c r="D53" s="302">
        <f>D27+D49</f>
        <v>154632.25140000001</v>
      </c>
      <c r="E53" s="123">
        <f t="shared" ref="E53:K53" si="4">SUM(E16:E44)</f>
        <v>3753.7051999999999</v>
      </c>
      <c r="F53" s="123">
        <f t="shared" si="4"/>
        <v>2508.7046599999999</v>
      </c>
      <c r="G53" s="123">
        <f t="shared" si="4"/>
        <v>3085.0183999999999</v>
      </c>
      <c r="H53" s="123">
        <f t="shared" si="4"/>
        <v>1319.9767200000001</v>
      </c>
      <c r="I53" s="347">
        <f t="shared" si="4"/>
        <v>21783.342720000001</v>
      </c>
      <c r="J53" s="347">
        <f t="shared" si="4"/>
        <v>68674.183200000014</v>
      </c>
      <c r="K53" s="214">
        <f t="shared" si="4"/>
        <v>125.85240199999997</v>
      </c>
      <c r="L53" s="243"/>
      <c r="M53" s="243"/>
      <c r="N53" s="349">
        <f>N27+N49</f>
        <v>4907470</v>
      </c>
      <c r="U53" s="12"/>
      <c r="V53" s="12"/>
    </row>
    <row r="54" spans="1:23" ht="19.2" customHeight="1">
      <c r="A54" s="229"/>
      <c r="B54" s="230"/>
      <c r="C54" s="232"/>
      <c r="D54" s="303"/>
      <c r="E54" s="225">
        <f>E53+F53</f>
        <v>6262.4098599999998</v>
      </c>
      <c r="F54" s="226"/>
      <c r="G54" s="225">
        <f>G53+H53</f>
        <v>4404.9951199999996</v>
      </c>
      <c r="H54" s="226"/>
      <c r="I54" s="348"/>
      <c r="J54" s="348"/>
      <c r="K54" s="215"/>
      <c r="L54" s="243"/>
      <c r="M54" s="243"/>
      <c r="N54" s="349"/>
      <c r="P54" s="392"/>
      <c r="Q54" s="393"/>
      <c r="R54" s="393"/>
      <c r="S54" s="393"/>
      <c r="T54" s="393"/>
      <c r="U54" s="394"/>
      <c r="V54" s="394"/>
    </row>
    <row r="55" spans="1:23" ht="20.399999999999999" customHeight="1">
      <c r="A55" s="247" t="s">
        <v>77</v>
      </c>
      <c r="B55" s="248"/>
      <c r="C55" s="249"/>
      <c r="D55" s="142">
        <f>D53/D10</f>
        <v>693.41816771300455</v>
      </c>
      <c r="E55" s="379">
        <f>E53/D10</f>
        <v>16.832758744394617</v>
      </c>
      <c r="F55" s="380">
        <f>F53/D10</f>
        <v>11.249796681614349</v>
      </c>
      <c r="G55" s="379">
        <f>G53/D10</f>
        <v>13.834163228699552</v>
      </c>
      <c r="H55" s="403">
        <f>H53/D10</f>
        <v>5.9191781165919286</v>
      </c>
      <c r="I55" s="353">
        <f>I53/D10</f>
        <v>97.683151210762333</v>
      </c>
      <c r="J55" s="353">
        <f>J53/D10</f>
        <v>307.95597847533639</v>
      </c>
      <c r="K55" s="299">
        <f>K53/D10</f>
        <v>0.56436054708520167</v>
      </c>
      <c r="L55" s="243"/>
      <c r="M55" s="243"/>
      <c r="N55" s="349"/>
      <c r="P55" s="395"/>
      <c r="Q55" s="393"/>
      <c r="R55" s="393"/>
      <c r="S55" s="393"/>
      <c r="T55" s="393"/>
      <c r="U55" s="393"/>
      <c r="V55" s="393"/>
    </row>
    <row r="56" spans="1:23" ht="20.399999999999999" customHeight="1">
      <c r="A56" s="250"/>
      <c r="B56" s="251"/>
      <c r="C56" s="252"/>
      <c r="D56" s="127"/>
      <c r="E56" s="381">
        <f>E55+F55</f>
        <v>28.082555426008966</v>
      </c>
      <c r="F56" s="382"/>
      <c r="G56" s="381">
        <f>G55+H55</f>
        <v>19.753341345291481</v>
      </c>
      <c r="H56" s="382"/>
      <c r="I56" s="354"/>
      <c r="J56" s="354"/>
      <c r="K56" s="300"/>
      <c r="L56" s="243"/>
      <c r="M56" s="243"/>
      <c r="N56" s="349"/>
      <c r="P56" s="392"/>
      <c r="Q56" s="392"/>
      <c r="R56" s="392"/>
      <c r="S56" s="392"/>
      <c r="T56" s="392"/>
      <c r="U56" s="392"/>
      <c r="V56" s="392"/>
    </row>
    <row r="57" spans="1:23" ht="20.399999999999999" customHeight="1">
      <c r="A57" s="315" t="s">
        <v>80</v>
      </c>
      <c r="B57" s="316"/>
      <c r="C57" s="317"/>
      <c r="D57" s="183" t="s">
        <v>28</v>
      </c>
      <c r="E57" s="235" t="s">
        <v>21</v>
      </c>
      <c r="F57" s="235"/>
      <c r="G57" s="235" t="s">
        <v>22</v>
      </c>
      <c r="H57" s="235"/>
      <c r="I57" s="180" t="s">
        <v>23</v>
      </c>
      <c r="J57" s="383">
        <v>600</v>
      </c>
      <c r="K57" s="383">
        <v>0.7</v>
      </c>
      <c r="L57" s="243"/>
      <c r="M57" s="243"/>
      <c r="N57" s="349"/>
      <c r="O57" s="384"/>
      <c r="P57" s="392"/>
      <c r="Q57" s="392"/>
      <c r="R57" s="392"/>
      <c r="S57" s="392"/>
      <c r="T57" s="392"/>
      <c r="U57" s="392"/>
      <c r="V57" s="392"/>
    </row>
    <row r="58" spans="1:23" ht="20.399999999999999" customHeight="1">
      <c r="A58" s="218" t="s">
        <v>78</v>
      </c>
      <c r="B58" s="219"/>
      <c r="C58" s="220"/>
      <c r="D58" s="49"/>
      <c r="E58" s="206">
        <f>E56*4.1</f>
        <v>115.13847724663675</v>
      </c>
      <c r="F58" s="207"/>
      <c r="G58" s="206">
        <f>G56*9</f>
        <v>177.78007210762334</v>
      </c>
      <c r="H58" s="207"/>
      <c r="I58" s="122">
        <f>I55*4.1</f>
        <v>400.5009199641255</v>
      </c>
      <c r="J58" s="253"/>
      <c r="K58" s="253"/>
      <c r="L58" s="243"/>
      <c r="M58" s="243"/>
      <c r="N58" s="349"/>
      <c r="O58" s="384"/>
      <c r="P58" s="396"/>
      <c r="Q58" s="397"/>
      <c r="R58" s="397"/>
      <c r="S58" s="397"/>
      <c r="T58" s="392"/>
      <c r="U58" s="392"/>
      <c r="V58" s="392"/>
    </row>
    <row r="59" spans="1:23" ht="20.399999999999999" customHeight="1">
      <c r="A59" s="221" t="s">
        <v>81</v>
      </c>
      <c r="B59" s="222"/>
      <c r="C59" s="218" t="s">
        <v>59</v>
      </c>
      <c r="D59" s="220"/>
      <c r="E59" s="255">
        <f>E58*100/D55</f>
        <v>16.604479462426035</v>
      </c>
      <c r="F59" s="256"/>
      <c r="G59" s="255">
        <f>G58*100/D55</f>
        <v>25.638219531219995</v>
      </c>
      <c r="H59" s="256"/>
      <c r="I59" s="115">
        <f>I58*100/D55</f>
        <v>57.757488714931803</v>
      </c>
      <c r="J59" s="254"/>
      <c r="K59" s="254"/>
      <c r="L59" s="243"/>
      <c r="M59" s="243"/>
      <c r="N59" s="349"/>
      <c r="O59" s="384"/>
      <c r="P59" s="392"/>
      <c r="Q59" s="392"/>
      <c r="R59" s="392"/>
      <c r="S59" s="392"/>
      <c r="T59" s="392"/>
      <c r="U59" s="392"/>
      <c r="V59" s="392"/>
    </row>
    <row r="60" spans="1:23" ht="20.399999999999999" customHeight="1">
      <c r="A60" s="223"/>
      <c r="B60" s="224"/>
      <c r="C60" s="218" t="s">
        <v>79</v>
      </c>
      <c r="D60" s="220"/>
      <c r="E60" s="218" t="s">
        <v>82</v>
      </c>
      <c r="F60" s="220"/>
      <c r="G60" s="218" t="s">
        <v>83</v>
      </c>
      <c r="H60" s="220"/>
      <c r="I60" s="183" t="s">
        <v>84</v>
      </c>
      <c r="J60" s="234"/>
      <c r="K60" s="234"/>
      <c r="L60" s="243"/>
      <c r="M60" s="243"/>
      <c r="N60" s="349"/>
      <c r="O60" s="384"/>
      <c r="P60" s="132"/>
    </row>
    <row r="61" spans="1:23" ht="20.399999999999999" customHeight="1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4"/>
      <c r="M61" s="94"/>
      <c r="N61" s="95"/>
      <c r="O61" s="384"/>
    </row>
    <row r="62" spans="1:23" ht="21" customHeight="1">
      <c r="A62" s="293" t="s">
        <v>114</v>
      </c>
      <c r="B62" s="293"/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384"/>
    </row>
    <row r="63" spans="1:23" ht="21" customHeight="1">
      <c r="A63" s="117" t="s">
        <v>115</v>
      </c>
      <c r="B63" s="294" t="s">
        <v>116</v>
      </c>
      <c r="C63" s="294"/>
      <c r="D63" s="294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384"/>
    </row>
    <row r="64" spans="1:23" ht="21" customHeight="1">
      <c r="A64" s="118"/>
      <c r="B64" s="258" t="s">
        <v>218</v>
      </c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384"/>
    </row>
    <row r="65" spans="1:15" ht="21" customHeight="1">
      <c r="A65" s="118"/>
      <c r="B65" s="258" t="s">
        <v>191</v>
      </c>
      <c r="C65" s="258"/>
      <c r="D65" s="258"/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384"/>
    </row>
    <row r="66" spans="1:15" ht="21" customHeight="1">
      <c r="A66" s="118"/>
      <c r="B66" s="258" t="s">
        <v>174</v>
      </c>
      <c r="C66" s="258"/>
      <c r="D66" s="258"/>
      <c r="E66" s="258"/>
      <c r="F66" s="258"/>
      <c r="G66" s="258"/>
      <c r="H66" s="258"/>
      <c r="I66" s="258"/>
      <c r="J66" s="258"/>
      <c r="K66" s="258"/>
      <c r="L66" s="258"/>
      <c r="M66" s="258"/>
      <c r="N66" s="258"/>
      <c r="O66" s="384"/>
    </row>
    <row r="67" spans="1:15" ht="21" customHeight="1">
      <c r="A67" s="90"/>
      <c r="B67" s="259" t="s">
        <v>117</v>
      </c>
      <c r="C67" s="259"/>
      <c r="D67" s="259"/>
      <c r="E67" s="259"/>
      <c r="F67" s="259"/>
      <c r="G67" s="259"/>
      <c r="H67" s="259"/>
      <c r="I67" s="259"/>
      <c r="J67" s="259"/>
      <c r="K67" s="259"/>
      <c r="L67" s="259"/>
      <c r="M67" s="259"/>
      <c r="N67" s="259"/>
      <c r="O67" s="384"/>
    </row>
    <row r="68" spans="1:15" ht="21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4"/>
      <c r="M68" s="94"/>
      <c r="N68" s="95"/>
      <c r="O68" s="384"/>
    </row>
    <row r="69" spans="1:15" ht="21" customHeight="1">
      <c r="A69" s="260" t="s">
        <v>62</v>
      </c>
      <c r="B69" s="260"/>
      <c r="C69" s="260"/>
      <c r="D69" s="260"/>
      <c r="E69" s="385"/>
      <c r="F69" s="385"/>
      <c r="G69" s="385"/>
      <c r="H69" s="385"/>
      <c r="I69" s="385"/>
      <c r="J69" s="386" t="s">
        <v>33</v>
      </c>
      <c r="K69" s="386"/>
      <c r="L69" s="386"/>
      <c r="M69" s="386"/>
      <c r="N69" s="386"/>
      <c r="O69" s="384"/>
    </row>
    <row r="70" spans="1:15" ht="21" customHeight="1">
      <c r="A70" s="178"/>
      <c r="B70" s="178"/>
      <c r="C70" s="178"/>
      <c r="D70" s="385"/>
      <c r="E70" s="385"/>
      <c r="F70" s="385"/>
      <c r="G70" s="385"/>
      <c r="H70" s="387"/>
      <c r="I70" s="387"/>
      <c r="J70" s="387"/>
      <c r="K70" s="387"/>
      <c r="L70" s="387"/>
      <c r="M70" s="387"/>
      <c r="N70" s="387"/>
      <c r="O70" s="384"/>
    </row>
    <row r="71" spans="1:15" ht="21" customHeight="1">
      <c r="A71" s="178"/>
      <c r="B71" s="178"/>
      <c r="C71" s="178"/>
      <c r="D71" s="385"/>
      <c r="E71" s="385"/>
      <c r="F71" s="385"/>
      <c r="G71" s="385"/>
      <c r="H71" s="387"/>
      <c r="I71" s="387"/>
      <c r="J71" s="387"/>
      <c r="K71" s="387"/>
      <c r="L71" s="387"/>
      <c r="M71" s="387"/>
      <c r="N71" s="387"/>
      <c r="O71" s="384"/>
    </row>
    <row r="72" spans="1:15" ht="21" customHeight="1">
      <c r="A72" s="178"/>
      <c r="B72" s="178"/>
      <c r="C72" s="178"/>
      <c r="D72" s="385"/>
      <c r="E72" s="385"/>
      <c r="F72" s="385"/>
      <c r="G72" s="385"/>
      <c r="H72" s="387"/>
      <c r="I72" s="387"/>
      <c r="J72" s="388" t="s">
        <v>124</v>
      </c>
      <c r="K72" s="388"/>
      <c r="L72" s="388"/>
      <c r="M72" s="388"/>
      <c r="N72" s="388"/>
      <c r="O72" s="384"/>
    </row>
    <row r="73" spans="1:15" ht="21" customHeight="1">
      <c r="A73" s="261" t="s">
        <v>91</v>
      </c>
      <c r="B73" s="261"/>
      <c r="C73" s="261"/>
      <c r="D73" s="261"/>
      <c r="E73" s="385"/>
      <c r="F73" s="385"/>
      <c r="G73" s="385"/>
      <c r="H73" s="387"/>
      <c r="I73" s="387"/>
      <c r="J73" s="388"/>
      <c r="K73" s="388"/>
      <c r="L73" s="388"/>
      <c r="M73" s="388"/>
      <c r="N73" s="388"/>
      <c r="O73" s="384"/>
    </row>
    <row r="74" spans="1:15" ht="20.399999999999999" customHeight="1">
      <c r="A74" s="178"/>
      <c r="B74" s="178"/>
      <c r="C74" s="178"/>
      <c r="D74" s="385"/>
      <c r="E74" s="385"/>
      <c r="F74" s="385"/>
      <c r="G74" s="385"/>
      <c r="H74" s="387"/>
      <c r="I74" s="387"/>
      <c r="J74" s="387"/>
      <c r="K74" s="387"/>
      <c r="L74" s="387"/>
      <c r="M74" s="387"/>
      <c r="N74" s="387"/>
      <c r="O74" s="384"/>
    </row>
    <row r="75" spans="1:15" ht="20.399999999999999" customHeight="1">
      <c r="A75" s="178"/>
      <c r="B75" s="178"/>
      <c r="C75" s="178"/>
      <c r="D75" s="385"/>
      <c r="E75" s="385"/>
      <c r="F75" s="385"/>
      <c r="G75" s="385"/>
      <c r="H75" s="387"/>
      <c r="I75" s="387"/>
      <c r="J75" s="388" t="s">
        <v>127</v>
      </c>
      <c r="K75" s="388"/>
      <c r="L75" s="388"/>
      <c r="M75" s="388"/>
      <c r="N75" s="388"/>
      <c r="O75" s="384"/>
    </row>
    <row r="76" spans="1:15" ht="20.399999999999999" customHeight="1">
      <c r="A76" s="178"/>
      <c r="B76" s="178"/>
      <c r="C76" s="178"/>
      <c r="D76" s="385"/>
      <c r="E76" s="385"/>
      <c r="F76" s="385"/>
      <c r="G76" s="385"/>
      <c r="H76" s="387"/>
      <c r="I76" s="387"/>
      <c r="J76" s="387"/>
      <c r="K76" s="387"/>
      <c r="L76" s="387"/>
      <c r="M76" s="387"/>
      <c r="N76" s="387"/>
      <c r="O76" s="384"/>
    </row>
    <row r="77" spans="1:15" ht="20.399999999999999" customHeight="1">
      <c r="A77" s="178"/>
      <c r="B77" s="178"/>
      <c r="C77" s="178"/>
      <c r="D77" s="385"/>
      <c r="E77" s="385"/>
      <c r="F77" s="385"/>
      <c r="G77" s="385"/>
      <c r="H77" s="387"/>
      <c r="I77" s="387"/>
      <c r="J77" s="387"/>
      <c r="K77" s="387"/>
      <c r="L77" s="387"/>
      <c r="M77" s="387"/>
      <c r="N77" s="387"/>
      <c r="O77" s="384"/>
    </row>
    <row r="78" spans="1:15" ht="20.399999999999999" customHeight="1">
      <c r="A78" s="178"/>
      <c r="B78" s="178"/>
      <c r="C78" s="178"/>
      <c r="D78" s="385"/>
      <c r="E78" s="385"/>
      <c r="F78" s="385"/>
      <c r="G78" s="385"/>
      <c r="H78" s="387"/>
      <c r="I78" s="387"/>
      <c r="J78" s="387"/>
      <c r="K78" s="387"/>
      <c r="L78" s="387"/>
      <c r="M78" s="387"/>
      <c r="N78" s="387"/>
      <c r="O78" s="384"/>
    </row>
    <row r="79" spans="1:15" ht="20.399999999999999" customHeight="1">
      <c r="A79" s="178"/>
      <c r="B79" s="178"/>
      <c r="C79" s="178"/>
      <c r="D79" s="385"/>
      <c r="E79" s="385"/>
      <c r="F79" s="385"/>
      <c r="G79" s="385"/>
      <c r="H79" s="387"/>
      <c r="I79" s="387"/>
      <c r="J79" s="387"/>
      <c r="K79" s="387"/>
      <c r="L79" s="387"/>
      <c r="M79" s="387"/>
      <c r="N79" s="387"/>
      <c r="O79" s="384"/>
    </row>
    <row r="80" spans="1:15" ht="20.399999999999999" customHeight="1">
      <c r="A80" s="178"/>
      <c r="B80" s="178"/>
      <c r="C80" s="178"/>
      <c r="D80" s="385"/>
      <c r="E80" s="385"/>
      <c r="F80" s="385"/>
      <c r="G80" s="385"/>
      <c r="H80" s="387"/>
      <c r="I80" s="387"/>
      <c r="J80" s="387"/>
      <c r="K80" s="387"/>
      <c r="L80" s="387"/>
      <c r="M80" s="387"/>
      <c r="N80" s="387"/>
      <c r="O80" s="384"/>
    </row>
    <row r="81" spans="1:20" ht="20.399999999999999" customHeight="1">
      <c r="A81" s="178"/>
      <c r="B81" s="178"/>
      <c r="C81" s="178"/>
      <c r="D81" s="385"/>
      <c r="E81" s="385"/>
      <c r="F81" s="385"/>
      <c r="G81" s="385"/>
      <c r="H81" s="387"/>
      <c r="I81" s="387"/>
      <c r="J81" s="387"/>
      <c r="K81" s="387"/>
      <c r="L81" s="387"/>
      <c r="M81" s="387"/>
      <c r="N81" s="387"/>
      <c r="O81" s="384"/>
    </row>
    <row r="82" spans="1:20" ht="20.399999999999999" customHeight="1">
      <c r="A82" s="178"/>
      <c r="B82" s="178"/>
      <c r="C82" s="178"/>
      <c r="D82" s="385"/>
      <c r="E82" s="385"/>
      <c r="F82" s="385"/>
      <c r="G82" s="385"/>
      <c r="H82" s="387"/>
      <c r="I82" s="387"/>
      <c r="J82" s="387"/>
      <c r="K82" s="387"/>
      <c r="L82" s="387"/>
      <c r="M82" s="387"/>
      <c r="N82" s="387"/>
      <c r="O82" s="384"/>
    </row>
    <row r="83" spans="1:20" ht="20.399999999999999" customHeight="1">
      <c r="A83" s="178"/>
      <c r="B83" s="178"/>
      <c r="C83" s="178"/>
      <c r="D83" s="385"/>
      <c r="E83" s="385"/>
      <c r="F83" s="385"/>
      <c r="G83" s="385"/>
      <c r="H83" s="387"/>
      <c r="I83" s="387"/>
      <c r="J83" s="387"/>
      <c r="K83" s="387"/>
      <c r="L83" s="387"/>
      <c r="M83" s="387"/>
      <c r="N83" s="387"/>
      <c r="O83" s="384"/>
    </row>
    <row r="84" spans="1:20" ht="20.399999999999999" customHeight="1">
      <c r="A84" s="178"/>
      <c r="B84" s="178"/>
      <c r="C84" s="178"/>
      <c r="D84" s="385"/>
      <c r="E84" s="385"/>
      <c r="F84" s="385"/>
      <c r="G84" s="385"/>
      <c r="H84" s="387"/>
      <c r="I84" s="387"/>
      <c r="J84" s="387"/>
      <c r="K84" s="387"/>
      <c r="L84" s="387"/>
      <c r="M84" s="387"/>
      <c r="N84" s="387"/>
      <c r="O84" s="384"/>
    </row>
    <row r="85" spans="1:20" ht="19.8" customHeight="1">
      <c r="A85" s="11" t="s">
        <v>61</v>
      </c>
      <c r="B85" s="8"/>
      <c r="C85" s="8"/>
      <c r="D85" s="8"/>
      <c r="E85" s="8"/>
      <c r="F85" s="188" t="s">
        <v>32</v>
      </c>
      <c r="G85" s="188"/>
      <c r="H85" s="188"/>
      <c r="I85" s="188"/>
      <c r="J85" s="188"/>
      <c r="K85" s="188"/>
      <c r="L85" s="188"/>
      <c r="M85" s="188"/>
      <c r="N85" s="188"/>
      <c r="O85" s="372"/>
      <c r="P85" s="372"/>
      <c r="T85" s="2"/>
    </row>
    <row r="86" spans="1:20" ht="12" customHeight="1">
      <c r="A86" s="11"/>
      <c r="B86" s="8"/>
      <c r="C86" s="8"/>
      <c r="D86" s="8"/>
      <c r="E86" s="8"/>
      <c r="F86" s="182"/>
      <c r="G86" s="182"/>
      <c r="H86" s="182"/>
      <c r="I86" s="182"/>
      <c r="J86" s="182"/>
      <c r="K86" s="182"/>
      <c r="L86" s="182"/>
      <c r="M86" s="182"/>
      <c r="N86" s="182"/>
      <c r="O86" s="372"/>
      <c r="P86" s="372"/>
      <c r="T86" s="2"/>
    </row>
    <row r="87" spans="1:20" ht="19.8" customHeight="1">
      <c r="A87" s="8" t="s">
        <v>217</v>
      </c>
      <c r="B87" s="8"/>
      <c r="C87" s="8"/>
      <c r="D87" s="8"/>
      <c r="E87" s="8"/>
      <c r="F87" s="182"/>
      <c r="G87" s="182"/>
      <c r="H87" s="182"/>
      <c r="I87" s="182"/>
      <c r="J87" s="182"/>
      <c r="K87" s="182"/>
      <c r="L87" s="182"/>
      <c r="M87" s="182"/>
      <c r="N87" s="182"/>
      <c r="O87" s="372"/>
      <c r="P87" s="372"/>
      <c r="T87" s="2"/>
    </row>
    <row r="88" spans="1:20" ht="12.6" customHeight="1">
      <c r="A88" s="8"/>
      <c r="B88" s="8"/>
      <c r="C88" s="8"/>
      <c r="D88" s="8"/>
      <c r="E88" s="8"/>
      <c r="F88" s="182"/>
      <c r="G88" s="182"/>
      <c r="H88" s="182"/>
      <c r="I88" s="182"/>
      <c r="J88" s="182"/>
      <c r="K88" s="182"/>
      <c r="L88" s="182"/>
      <c r="M88" s="182"/>
      <c r="N88" s="182"/>
      <c r="O88" s="372"/>
      <c r="P88" s="372"/>
      <c r="T88" s="2"/>
    </row>
    <row r="89" spans="1:20" s="2" customFormat="1" ht="16.2" customHeight="1">
      <c r="A89" s="235" t="s">
        <v>97</v>
      </c>
      <c r="B89" s="235"/>
      <c r="C89" s="235"/>
      <c r="D89" s="235"/>
      <c r="E89" s="235" t="s">
        <v>89</v>
      </c>
      <c r="F89" s="235"/>
      <c r="G89" s="235"/>
      <c r="H89" s="235"/>
      <c r="I89" s="235"/>
      <c r="J89" s="235"/>
      <c r="K89" s="235"/>
      <c r="L89" s="235"/>
      <c r="M89" s="235"/>
      <c r="N89" s="235"/>
      <c r="O89" s="373"/>
    </row>
    <row r="90" spans="1:20" s="2" customFormat="1" ht="16.2" customHeight="1">
      <c r="A90" s="235"/>
      <c r="B90" s="235"/>
      <c r="C90" s="235"/>
      <c r="D90" s="235"/>
      <c r="E90" s="235" t="s">
        <v>100</v>
      </c>
      <c r="F90" s="235"/>
      <c r="G90" s="235"/>
      <c r="H90" s="235"/>
      <c r="I90" s="235"/>
      <c r="J90" s="235" t="s">
        <v>101</v>
      </c>
      <c r="K90" s="235"/>
      <c r="L90" s="235"/>
      <c r="M90" s="235"/>
      <c r="N90" s="235"/>
      <c r="O90" s="373"/>
    </row>
    <row r="91" spans="1:20" s="2" customFormat="1" ht="16.2" customHeight="1">
      <c r="A91" s="265" t="s">
        <v>90</v>
      </c>
      <c r="B91" s="265"/>
      <c r="C91" s="265"/>
      <c r="D91" s="265"/>
      <c r="E91" s="266" t="s">
        <v>162</v>
      </c>
      <c r="F91" s="266"/>
      <c r="G91" s="266"/>
      <c r="H91" s="266"/>
      <c r="I91" s="266"/>
      <c r="J91" s="331" t="s">
        <v>90</v>
      </c>
      <c r="K91" s="332"/>
      <c r="L91" s="332"/>
      <c r="M91" s="332"/>
      <c r="N91" s="333"/>
      <c r="O91" s="373"/>
    </row>
    <row r="92" spans="1:20" s="2" customFormat="1" ht="16.2" customHeight="1">
      <c r="A92" s="343" t="s">
        <v>161</v>
      </c>
      <c r="B92" s="344"/>
      <c r="C92" s="344"/>
      <c r="D92" s="345"/>
      <c r="E92" s="266"/>
      <c r="F92" s="266"/>
      <c r="G92" s="266"/>
      <c r="H92" s="266"/>
      <c r="I92" s="266"/>
      <c r="J92" s="184" t="s">
        <v>130</v>
      </c>
      <c r="K92" s="185"/>
      <c r="L92" s="185"/>
      <c r="M92" s="185"/>
      <c r="N92" s="186"/>
      <c r="O92" s="373"/>
    </row>
    <row r="93" spans="1:20" s="2" customFormat="1" ht="16.2" customHeight="1">
      <c r="A93" s="346" t="s">
        <v>188</v>
      </c>
      <c r="B93" s="346"/>
      <c r="C93" s="346"/>
      <c r="D93" s="346"/>
      <c r="E93" s="266"/>
      <c r="F93" s="266"/>
      <c r="G93" s="266"/>
      <c r="H93" s="266"/>
      <c r="I93" s="266"/>
      <c r="J93" s="334" t="s">
        <v>131</v>
      </c>
      <c r="K93" s="335"/>
      <c r="L93" s="335"/>
      <c r="M93" s="335"/>
      <c r="N93" s="336"/>
      <c r="O93" s="373"/>
    </row>
    <row r="94" spans="1:20" s="2" customFormat="1" ht="16.2" customHeight="1">
      <c r="A94" s="275" t="s">
        <v>122</v>
      </c>
      <c r="B94" s="276"/>
      <c r="C94" s="277"/>
      <c r="D94" s="128">
        <v>55</v>
      </c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373"/>
    </row>
    <row r="95" spans="1:20" ht="19.8" customHeight="1">
      <c r="A95" s="190" t="s">
        <v>0</v>
      </c>
      <c r="B95" s="200" t="s">
        <v>19</v>
      </c>
      <c r="C95" s="203" t="s">
        <v>8</v>
      </c>
      <c r="D95" s="203" t="s">
        <v>9</v>
      </c>
      <c r="E95" s="193" t="s">
        <v>11</v>
      </c>
      <c r="F95" s="194"/>
      <c r="G95" s="193" t="s">
        <v>13</v>
      </c>
      <c r="H95" s="194"/>
      <c r="I95" s="197" t="s">
        <v>16</v>
      </c>
      <c r="J95" s="197" t="s">
        <v>41</v>
      </c>
      <c r="K95" s="197" t="s">
        <v>42</v>
      </c>
      <c r="L95" s="350" t="s">
        <v>17</v>
      </c>
      <c r="M95" s="197" t="s">
        <v>57</v>
      </c>
      <c r="N95" s="190" t="s">
        <v>18</v>
      </c>
      <c r="O95" s="374"/>
    </row>
    <row r="96" spans="1:20" ht="19.8" customHeight="1">
      <c r="A96" s="191"/>
      <c r="B96" s="201"/>
      <c r="C96" s="204"/>
      <c r="D96" s="204"/>
      <c r="E96" s="195"/>
      <c r="F96" s="196"/>
      <c r="G96" s="195"/>
      <c r="H96" s="196"/>
      <c r="I96" s="198"/>
      <c r="J96" s="198"/>
      <c r="K96" s="198"/>
      <c r="L96" s="351"/>
      <c r="M96" s="198"/>
      <c r="N96" s="191"/>
      <c r="O96" s="178"/>
    </row>
    <row r="97" spans="1:22" ht="19.8" customHeight="1">
      <c r="A97" s="191"/>
      <c r="B97" s="201"/>
      <c r="C97" s="204"/>
      <c r="D97" s="204"/>
      <c r="E97" s="197" t="s">
        <v>10</v>
      </c>
      <c r="F97" s="197" t="s">
        <v>12</v>
      </c>
      <c r="G97" s="197" t="s">
        <v>14</v>
      </c>
      <c r="H97" s="197" t="s">
        <v>15</v>
      </c>
      <c r="I97" s="198"/>
      <c r="J97" s="198"/>
      <c r="K97" s="198"/>
      <c r="L97" s="351"/>
      <c r="M97" s="198"/>
      <c r="N97" s="191"/>
      <c r="O97" s="178"/>
    </row>
    <row r="98" spans="1:22" ht="19.8" customHeight="1">
      <c r="A98" s="192"/>
      <c r="B98" s="202"/>
      <c r="C98" s="205"/>
      <c r="D98" s="205"/>
      <c r="E98" s="199"/>
      <c r="F98" s="199"/>
      <c r="G98" s="199"/>
      <c r="H98" s="199"/>
      <c r="I98" s="199"/>
      <c r="J98" s="199"/>
      <c r="K98" s="199"/>
      <c r="L98" s="352"/>
      <c r="M98" s="199"/>
      <c r="N98" s="192"/>
      <c r="O98" s="178"/>
    </row>
    <row r="99" spans="1:22" ht="16.2" customHeight="1">
      <c r="A99" s="237" t="s">
        <v>39</v>
      </c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9"/>
      <c r="O99" s="178"/>
    </row>
    <row r="100" spans="1:22" s="2" customFormat="1" ht="16.2" customHeight="1">
      <c r="A100" s="9">
        <v>1</v>
      </c>
      <c r="B100" s="10" t="s">
        <v>2</v>
      </c>
      <c r="C100" s="23">
        <f>L100/100*100</f>
        <v>70</v>
      </c>
      <c r="D100" s="24">
        <f>C100/100*60</f>
        <v>42</v>
      </c>
      <c r="E100" s="25">
        <f>C100/100*15</f>
        <v>10.5</v>
      </c>
      <c r="F100" s="25"/>
      <c r="G100" s="25"/>
      <c r="H100" s="25"/>
      <c r="I100" s="25"/>
      <c r="J100" s="27">
        <f>C100/100*387</f>
        <v>270.89999999999998</v>
      </c>
      <c r="K100" s="27">
        <f>C100/100*0.09</f>
        <v>6.3E-2</v>
      </c>
      <c r="L100" s="137">
        <v>70</v>
      </c>
      <c r="M100" s="75">
        <v>20</v>
      </c>
      <c r="N100" s="28">
        <f>L100*M100</f>
        <v>1400</v>
      </c>
      <c r="O100" s="153"/>
    </row>
    <row r="101" spans="1:22" s="2" customFormat="1" ht="16.2" customHeight="1">
      <c r="A101" s="9">
        <v>2</v>
      </c>
      <c r="B101" s="146" t="s">
        <v>139</v>
      </c>
      <c r="C101" s="23">
        <f>L101/100*100</f>
        <v>110.00000000000001</v>
      </c>
      <c r="D101" s="24">
        <f>C101/100*899</f>
        <v>988.90000000000009</v>
      </c>
      <c r="E101" s="25"/>
      <c r="F101" s="25"/>
      <c r="G101" s="25">
        <f>C101/100*100</f>
        <v>110.00000000000001</v>
      </c>
      <c r="H101" s="25"/>
      <c r="I101" s="25"/>
      <c r="J101" s="25"/>
      <c r="K101" s="25"/>
      <c r="L101" s="137">
        <v>110</v>
      </c>
      <c r="M101" s="120">
        <v>69</v>
      </c>
      <c r="N101" s="28">
        <f t="shared" ref="N101:N109" si="5">L101*M101</f>
        <v>7590</v>
      </c>
      <c r="O101" s="378"/>
    </row>
    <row r="102" spans="1:22" s="2" customFormat="1" ht="16.2" customHeight="1">
      <c r="A102" s="9">
        <v>3</v>
      </c>
      <c r="B102" s="148" t="s">
        <v>142</v>
      </c>
      <c r="C102" s="23">
        <f>L102/100*100</f>
        <v>350</v>
      </c>
      <c r="D102" s="120">
        <f>C102/100*900</f>
        <v>3150</v>
      </c>
      <c r="E102" s="25"/>
      <c r="F102" s="25"/>
      <c r="G102" s="119"/>
      <c r="H102" s="25">
        <f>C102/100*100</f>
        <v>350</v>
      </c>
      <c r="I102" s="25"/>
      <c r="J102" s="25"/>
      <c r="K102" s="25"/>
      <c r="L102" s="137">
        <v>350</v>
      </c>
      <c r="M102" s="75">
        <v>65</v>
      </c>
      <c r="N102" s="28">
        <f t="shared" si="5"/>
        <v>22750</v>
      </c>
      <c r="O102" s="378"/>
    </row>
    <row r="103" spans="1:22" s="2" customFormat="1" ht="16.2" customHeight="1">
      <c r="A103" s="9">
        <v>4</v>
      </c>
      <c r="B103" s="5" t="s">
        <v>1</v>
      </c>
      <c r="C103" s="23">
        <f>L103/100*100</f>
        <v>2365</v>
      </c>
      <c r="D103" s="24">
        <f>C103/100*344</f>
        <v>8135.5999999999995</v>
      </c>
      <c r="E103" s="25"/>
      <c r="F103" s="25">
        <f>C103/100*7.9</f>
        <v>186.83500000000001</v>
      </c>
      <c r="G103" s="25"/>
      <c r="H103" s="25">
        <f>C103/100*1</f>
        <v>23.65</v>
      </c>
      <c r="I103" s="119">
        <f>C103/100*73.3</f>
        <v>1733.5449999999998</v>
      </c>
      <c r="J103" s="27">
        <f>C103/100*30</f>
        <v>709.5</v>
      </c>
      <c r="K103" s="27">
        <f>C103/100*0.1</f>
        <v>2.3649999999999998</v>
      </c>
      <c r="L103" s="137">
        <v>2365</v>
      </c>
      <c r="M103" s="75">
        <v>18</v>
      </c>
      <c r="N103" s="28">
        <f t="shared" si="5"/>
        <v>42570</v>
      </c>
      <c r="O103" s="153"/>
    </row>
    <row r="104" spans="1:22" s="2" customFormat="1" ht="16.2" customHeight="1">
      <c r="A104" s="9">
        <v>5</v>
      </c>
      <c r="B104" s="5" t="s">
        <v>96</v>
      </c>
      <c r="C104" s="23">
        <f>L104/100*90</f>
        <v>1170</v>
      </c>
      <c r="D104" s="24">
        <f>C104/100*90</f>
        <v>1053</v>
      </c>
      <c r="E104" s="25">
        <f>C104/100*18.4</f>
        <v>215.27999999999997</v>
      </c>
      <c r="F104" s="25"/>
      <c r="G104" s="25">
        <f>C104/100*1.8</f>
        <v>21.06</v>
      </c>
      <c r="H104" s="25"/>
      <c r="I104" s="25"/>
      <c r="J104" s="81">
        <f>C104/100*1120</f>
        <v>13104</v>
      </c>
      <c r="K104" s="27">
        <f>C104/100*0.02</f>
        <v>0.23399999999999999</v>
      </c>
      <c r="L104" s="137">
        <v>1300</v>
      </c>
      <c r="M104" s="26">
        <v>260</v>
      </c>
      <c r="N104" s="124">
        <f t="shared" si="5"/>
        <v>338000</v>
      </c>
      <c r="O104" s="153"/>
      <c r="Q104" s="3"/>
      <c r="R104" s="3"/>
      <c r="S104" s="4"/>
    </row>
    <row r="105" spans="1:22" s="2" customFormat="1" ht="16.2" customHeight="1">
      <c r="A105" s="9">
        <v>6</v>
      </c>
      <c r="B105" s="10" t="s">
        <v>71</v>
      </c>
      <c r="C105" s="23">
        <f>L105/100*98</f>
        <v>1626.8000000000002</v>
      </c>
      <c r="D105" s="24">
        <f>C105/100*139</f>
        <v>2261.252</v>
      </c>
      <c r="E105" s="25">
        <f>C105/100*19</f>
        <v>309.09199999999998</v>
      </c>
      <c r="F105" s="25"/>
      <c r="G105" s="25">
        <f>C105/100*7</f>
        <v>113.876</v>
      </c>
      <c r="H105" s="25"/>
      <c r="I105" s="25"/>
      <c r="J105" s="27">
        <f>C105/100*7</f>
        <v>113.876</v>
      </c>
      <c r="K105" s="27">
        <f>C105/100*0.9</f>
        <v>14.641200000000001</v>
      </c>
      <c r="L105" s="137">
        <v>1660</v>
      </c>
      <c r="M105" s="143">
        <v>133</v>
      </c>
      <c r="N105" s="124">
        <f t="shared" si="5"/>
        <v>220780</v>
      </c>
      <c r="O105" s="153"/>
    </row>
    <row r="106" spans="1:22" s="2" customFormat="1" ht="16.2" customHeight="1">
      <c r="A106" s="9">
        <v>7</v>
      </c>
      <c r="B106" s="5" t="s">
        <v>20</v>
      </c>
      <c r="C106" s="23">
        <f>L106/100*95</f>
        <v>370.5</v>
      </c>
      <c r="D106" s="24">
        <f>C106/100*20</f>
        <v>74.099999999999994</v>
      </c>
      <c r="E106" s="25"/>
      <c r="F106" s="25">
        <f>C106/100*0.6</f>
        <v>2.2229999999999999</v>
      </c>
      <c r="G106" s="25"/>
      <c r="H106" s="25">
        <f>C106/100*0.2</f>
        <v>0.7410000000000001</v>
      </c>
      <c r="I106" s="25">
        <f>C106/100*4</f>
        <v>14.82</v>
      </c>
      <c r="J106" s="27">
        <f>C106/100*12</f>
        <v>44.46</v>
      </c>
      <c r="K106" s="24">
        <f>C106/100*0.04</f>
        <v>0.1482</v>
      </c>
      <c r="L106" s="137">
        <v>390</v>
      </c>
      <c r="M106" s="77">
        <v>22</v>
      </c>
      <c r="N106" s="28">
        <f t="shared" si="5"/>
        <v>8580</v>
      </c>
      <c r="O106" s="376"/>
      <c r="Q106" s="3"/>
      <c r="R106" s="3"/>
      <c r="S106" s="4"/>
    </row>
    <row r="107" spans="1:22" s="2" customFormat="1" ht="16.2" customHeight="1">
      <c r="A107" s="9">
        <v>8</v>
      </c>
      <c r="B107" s="5" t="s">
        <v>150</v>
      </c>
      <c r="C107" s="23">
        <f>L107/100*81</f>
        <v>445.5</v>
      </c>
      <c r="D107" s="24">
        <f>C107/100*17</f>
        <v>75.734999999999999</v>
      </c>
      <c r="E107" s="29"/>
      <c r="F107" s="29">
        <f>C107/100*0.9</f>
        <v>4.0095000000000001</v>
      </c>
      <c r="G107" s="29"/>
      <c r="H107" s="29">
        <f>C107/100*0.2</f>
        <v>0.89100000000000001</v>
      </c>
      <c r="I107" s="29">
        <f>C107/100*2.8</f>
        <v>12.474</v>
      </c>
      <c r="J107" s="25">
        <f>C107/100*28</f>
        <v>124.74000000000001</v>
      </c>
      <c r="K107" s="27">
        <f>C107/100*0.04</f>
        <v>0.1782</v>
      </c>
      <c r="L107" s="375">
        <v>550</v>
      </c>
      <c r="M107" s="75">
        <v>20</v>
      </c>
      <c r="N107" s="28">
        <f t="shared" si="5"/>
        <v>11000</v>
      </c>
      <c r="O107" s="153"/>
      <c r="P107" s="3"/>
    </row>
    <row r="108" spans="1:22" s="141" customFormat="1" ht="16.2" customHeight="1">
      <c r="A108" s="164">
        <v>9</v>
      </c>
      <c r="B108" s="149" t="s">
        <v>189</v>
      </c>
      <c r="C108" s="165">
        <f>L108/100*63</f>
        <v>340.20000000000005</v>
      </c>
      <c r="D108" s="139">
        <f>C108/100*25</f>
        <v>85.050000000000011</v>
      </c>
      <c r="E108" s="136"/>
      <c r="F108" s="136">
        <f>C108/100*3.2</f>
        <v>10.886400000000002</v>
      </c>
      <c r="G108" s="136"/>
      <c r="H108" s="136">
        <f>C108/100*0.4</f>
        <v>1.3608000000000002</v>
      </c>
      <c r="I108" s="136">
        <f>C108/100*2.1</f>
        <v>7.1442000000000014</v>
      </c>
      <c r="J108" s="136">
        <f>C108/100*100</f>
        <v>340.20000000000005</v>
      </c>
      <c r="K108" s="136">
        <f>C108/100*0.1</f>
        <v>0.34020000000000006</v>
      </c>
      <c r="L108" s="137">
        <v>540</v>
      </c>
      <c r="M108" s="166">
        <v>15</v>
      </c>
      <c r="N108" s="135">
        <f t="shared" si="5"/>
        <v>8100</v>
      </c>
      <c r="O108" s="400"/>
    </row>
    <row r="109" spans="1:22" s="2" customFormat="1" ht="16.2" customHeight="1">
      <c r="A109" s="9">
        <v>10</v>
      </c>
      <c r="B109" s="5" t="s">
        <v>134</v>
      </c>
      <c r="C109" s="23">
        <f>L109/100*100</f>
        <v>40</v>
      </c>
      <c r="D109" s="24">
        <f>C109/100*247</f>
        <v>98.800000000000011</v>
      </c>
      <c r="E109" s="29"/>
      <c r="F109" s="29">
        <f>C109/100*17.5</f>
        <v>7</v>
      </c>
      <c r="G109" s="29"/>
      <c r="H109" s="29">
        <f>C109/100*1.6</f>
        <v>0.64000000000000012</v>
      </c>
      <c r="I109" s="29">
        <f>C109/100*39.2</f>
        <v>15.680000000000001</v>
      </c>
      <c r="J109" s="71"/>
      <c r="K109" s="71"/>
      <c r="L109" s="375">
        <v>40</v>
      </c>
      <c r="M109" s="75">
        <v>50</v>
      </c>
      <c r="N109" s="28">
        <f t="shared" si="5"/>
        <v>2000</v>
      </c>
      <c r="O109" s="153"/>
      <c r="Q109" s="3"/>
      <c r="R109" s="3"/>
      <c r="S109" s="4"/>
      <c r="T109" s="3"/>
    </row>
    <row r="110" spans="1:22" s="2" customFormat="1" ht="16.2" customHeight="1">
      <c r="A110" s="9">
        <v>11</v>
      </c>
      <c r="B110" s="6" t="s">
        <v>123</v>
      </c>
      <c r="C110" s="23"/>
      <c r="D110" s="24"/>
      <c r="E110" s="25"/>
      <c r="F110" s="25"/>
      <c r="G110" s="25"/>
      <c r="H110" s="25"/>
      <c r="I110" s="25"/>
      <c r="J110" s="27"/>
      <c r="K110" s="27"/>
      <c r="L110" s="26"/>
      <c r="M110" s="26"/>
      <c r="N110" s="28">
        <v>3800</v>
      </c>
      <c r="O110" s="153"/>
      <c r="Q110" s="3"/>
      <c r="R110" s="3"/>
      <c r="S110" s="4"/>
      <c r="T110" s="3"/>
    </row>
    <row r="111" spans="1:22" s="2" customFormat="1" ht="16.2" customHeight="1">
      <c r="A111" s="21" t="s">
        <v>118</v>
      </c>
      <c r="B111" s="22"/>
      <c r="C111" s="34"/>
      <c r="D111" s="121">
        <f>SUM(D100:D110)</f>
        <v>15964.437</v>
      </c>
      <c r="E111" s="43"/>
      <c r="F111" s="43"/>
      <c r="G111" s="43"/>
      <c r="H111" s="43"/>
      <c r="I111" s="43"/>
      <c r="J111" s="43"/>
      <c r="K111" s="43"/>
      <c r="L111" s="44"/>
      <c r="M111" s="318"/>
      <c r="N111" s="325">
        <f>SUM(N100:N110)</f>
        <v>666570</v>
      </c>
      <c r="O111" s="153"/>
    </row>
    <row r="112" spans="1:22" ht="16.2" customHeight="1">
      <c r="A112" s="21" t="s">
        <v>37</v>
      </c>
      <c r="B112" s="22"/>
      <c r="C112" s="45"/>
      <c r="D112" s="46">
        <f>D111/D94</f>
        <v>290.2624909090909</v>
      </c>
      <c r="E112" s="46"/>
      <c r="F112" s="46"/>
      <c r="G112" s="46"/>
      <c r="H112" s="46"/>
      <c r="I112" s="46"/>
      <c r="J112" s="46"/>
      <c r="K112" s="46"/>
      <c r="L112" s="47"/>
      <c r="M112" s="319"/>
      <c r="N112" s="326"/>
      <c r="O112" s="4"/>
      <c r="P112" s="2"/>
      <c r="Q112" s="2"/>
      <c r="R112" s="2"/>
      <c r="S112" s="2"/>
      <c r="T112" s="2"/>
      <c r="U112" s="2"/>
      <c r="V112" s="2"/>
    </row>
    <row r="113" spans="1:23" ht="16.2" customHeight="1">
      <c r="A113" s="301" t="s">
        <v>53</v>
      </c>
      <c r="B113" s="211"/>
      <c r="C113" s="377" t="s">
        <v>147</v>
      </c>
      <c r="D113" s="20" t="s">
        <v>45</v>
      </c>
      <c r="E113" s="46"/>
      <c r="F113" s="46"/>
      <c r="G113" s="46"/>
      <c r="H113" s="46"/>
      <c r="I113" s="46"/>
      <c r="J113" s="48"/>
      <c r="K113" s="48"/>
      <c r="L113" s="47"/>
      <c r="M113" s="47"/>
      <c r="N113" s="179"/>
      <c r="O113" s="4"/>
      <c r="P113" s="2"/>
      <c r="Q113" s="2"/>
      <c r="R113" s="2"/>
      <c r="S113" s="2"/>
      <c r="T113" s="2"/>
      <c r="U113" s="2"/>
      <c r="V113" s="2"/>
      <c r="W113" s="2"/>
    </row>
    <row r="114" spans="1:23" ht="16.2" customHeight="1">
      <c r="A114" s="212"/>
      <c r="B114" s="213"/>
      <c r="C114" s="76" t="s">
        <v>60</v>
      </c>
      <c r="D114" s="78">
        <f>D112*100/930</f>
        <v>31.211020527859233</v>
      </c>
      <c r="E114" s="46"/>
      <c r="F114" s="46"/>
      <c r="G114" s="46"/>
      <c r="H114" s="46"/>
      <c r="I114" s="46"/>
      <c r="J114" s="48"/>
      <c r="K114" s="48"/>
      <c r="L114" s="47"/>
      <c r="M114" s="47"/>
      <c r="N114" s="179"/>
      <c r="O114" s="4"/>
      <c r="P114" s="2"/>
      <c r="Q114" s="2"/>
      <c r="R114" s="2"/>
      <c r="S114" s="2"/>
      <c r="T114" s="2"/>
      <c r="U114" s="2"/>
      <c r="V114" s="2"/>
      <c r="W114" s="2"/>
    </row>
    <row r="115" spans="1:23" s="2" customFormat="1" ht="16.2" customHeight="1">
      <c r="A115" s="273" t="s">
        <v>38</v>
      </c>
      <c r="B115" s="273"/>
      <c r="C115" s="56"/>
      <c r="D115" s="57"/>
      <c r="E115" s="58"/>
      <c r="F115" s="58"/>
      <c r="G115" s="58"/>
      <c r="H115" s="58"/>
      <c r="I115" s="58"/>
      <c r="J115" s="58"/>
      <c r="K115" s="58"/>
      <c r="L115" s="59"/>
      <c r="M115" s="59"/>
      <c r="N115" s="60"/>
      <c r="O115" s="153"/>
    </row>
    <row r="116" spans="1:23" s="2" customFormat="1" ht="16.2" customHeight="1">
      <c r="A116" s="9">
        <v>1</v>
      </c>
      <c r="B116" s="10" t="s">
        <v>2</v>
      </c>
      <c r="C116" s="23">
        <f>L116/100*100</f>
        <v>70</v>
      </c>
      <c r="D116" s="24">
        <f>C116/100*60</f>
        <v>42</v>
      </c>
      <c r="E116" s="25">
        <f>C116/100*15</f>
        <v>10.5</v>
      </c>
      <c r="F116" s="25"/>
      <c r="G116" s="25"/>
      <c r="H116" s="25"/>
      <c r="I116" s="25"/>
      <c r="J116" s="27">
        <f>C116/100*387</f>
        <v>270.89999999999998</v>
      </c>
      <c r="K116" s="27">
        <f>C116/100*0.09</f>
        <v>6.3E-2</v>
      </c>
      <c r="L116" s="137">
        <v>70</v>
      </c>
      <c r="M116" s="75">
        <v>20</v>
      </c>
      <c r="N116" s="135">
        <f>L116*M116</f>
        <v>1400</v>
      </c>
      <c r="O116" s="153"/>
    </row>
    <row r="117" spans="1:23" s="2" customFormat="1" ht="16.2" customHeight="1">
      <c r="A117" s="9">
        <v>2</v>
      </c>
      <c r="B117" s="146" t="s">
        <v>139</v>
      </c>
      <c r="C117" s="23">
        <f>L117/100*100</f>
        <v>260</v>
      </c>
      <c r="D117" s="24">
        <f>C117/100*899</f>
        <v>2337.4</v>
      </c>
      <c r="E117" s="25"/>
      <c r="F117" s="25"/>
      <c r="G117" s="25">
        <f>C117/100*100</f>
        <v>260</v>
      </c>
      <c r="H117" s="25"/>
      <c r="I117" s="25"/>
      <c r="J117" s="27"/>
      <c r="K117" s="27"/>
      <c r="L117" s="137">
        <v>260</v>
      </c>
      <c r="M117" s="75">
        <v>69</v>
      </c>
      <c r="N117" s="135">
        <f t="shared" ref="N117:N123" si="6">L117*M117</f>
        <v>17940</v>
      </c>
      <c r="O117" s="153"/>
    </row>
    <row r="118" spans="1:23" s="2" customFormat="1" ht="16.2" customHeight="1">
      <c r="A118" s="9">
        <v>3</v>
      </c>
      <c r="B118" s="5" t="s">
        <v>1</v>
      </c>
      <c r="C118" s="23">
        <f>L118/100*100</f>
        <v>2310</v>
      </c>
      <c r="D118" s="24">
        <f>C118/100*344</f>
        <v>7946.4000000000005</v>
      </c>
      <c r="E118" s="25"/>
      <c r="F118" s="25">
        <f>C118/100*7.9</f>
        <v>182.49</v>
      </c>
      <c r="G118" s="25"/>
      <c r="H118" s="25">
        <f>C118/100*1</f>
        <v>23.1</v>
      </c>
      <c r="I118" s="119">
        <f>C118/100*73.3</f>
        <v>1693.23</v>
      </c>
      <c r="J118" s="27">
        <f>C118/100*30</f>
        <v>693</v>
      </c>
      <c r="K118" s="27">
        <f>C118/100*0.1</f>
        <v>2.31</v>
      </c>
      <c r="L118" s="137">
        <v>2310</v>
      </c>
      <c r="M118" s="75">
        <v>18</v>
      </c>
      <c r="N118" s="135">
        <f t="shared" si="6"/>
        <v>41580</v>
      </c>
      <c r="O118" s="153"/>
    </row>
    <row r="119" spans="1:23" s="2" customFormat="1" ht="16.2" customHeight="1">
      <c r="A119" s="9">
        <v>4</v>
      </c>
      <c r="B119" s="10" t="s">
        <v>64</v>
      </c>
      <c r="C119" s="23">
        <f>L119/100*40</f>
        <v>504</v>
      </c>
      <c r="D119" s="24">
        <f>C119/100*276</f>
        <v>1391.04</v>
      </c>
      <c r="E119" s="25">
        <f>C119/100*17.8</f>
        <v>89.712000000000003</v>
      </c>
      <c r="F119" s="25"/>
      <c r="G119" s="25">
        <f>C119/100*21.8</f>
        <v>109.872</v>
      </c>
      <c r="H119" s="25"/>
      <c r="I119" s="136"/>
      <c r="J119" s="27">
        <f>C119/100*13</f>
        <v>65.52</v>
      </c>
      <c r="K119" s="27">
        <f>C119/100*0.07</f>
        <v>0.35280000000000006</v>
      </c>
      <c r="L119" s="137">
        <v>1260</v>
      </c>
      <c r="M119" s="75">
        <v>63</v>
      </c>
      <c r="N119" s="28">
        <f t="shared" si="6"/>
        <v>79380</v>
      </c>
      <c r="O119" s="153"/>
    </row>
    <row r="120" spans="1:23" s="2" customFormat="1" ht="16.2" customHeight="1">
      <c r="A120" s="9">
        <v>5</v>
      </c>
      <c r="B120" s="5" t="s">
        <v>30</v>
      </c>
      <c r="C120" s="23">
        <f>L120/100*88</f>
        <v>1592.8000000000002</v>
      </c>
      <c r="D120" s="24">
        <f>C120/100*184</f>
        <v>2930.7520000000004</v>
      </c>
      <c r="E120" s="25">
        <f>C120/100*13</f>
        <v>207.06400000000002</v>
      </c>
      <c r="F120" s="25"/>
      <c r="G120" s="25">
        <f>C120/100*14.2</f>
        <v>226.17760000000001</v>
      </c>
      <c r="H120" s="25"/>
      <c r="I120" s="25">
        <f>C120/100*1</f>
        <v>15.928000000000003</v>
      </c>
      <c r="J120" s="81">
        <f>C120/100*71</f>
        <v>1130.8880000000001</v>
      </c>
      <c r="K120" s="27">
        <f>C120/100*0.15</f>
        <v>2.3892000000000002</v>
      </c>
      <c r="L120" s="137">
        <v>1810</v>
      </c>
      <c r="M120" s="75">
        <v>57</v>
      </c>
      <c r="N120" s="124">
        <f t="shared" si="6"/>
        <v>103170</v>
      </c>
      <c r="O120" s="153"/>
      <c r="Q120" s="3"/>
      <c r="R120" s="3"/>
      <c r="S120" s="4"/>
    </row>
    <row r="121" spans="1:23" s="2" customFormat="1" ht="16.2" customHeight="1">
      <c r="A121" s="9">
        <v>6</v>
      </c>
      <c r="B121" s="5" t="s">
        <v>20</v>
      </c>
      <c r="C121" s="23">
        <f>L121/100*95</f>
        <v>788.50000000000011</v>
      </c>
      <c r="D121" s="24">
        <f>C121/100*20</f>
        <v>157.70000000000005</v>
      </c>
      <c r="E121" s="136"/>
      <c r="F121" s="25">
        <f>C121/100*0.6</f>
        <v>4.7310000000000008</v>
      </c>
      <c r="G121" s="25"/>
      <c r="H121" s="25">
        <f>C121/100*0.2</f>
        <v>1.5770000000000004</v>
      </c>
      <c r="I121" s="25">
        <f>C121/100*4</f>
        <v>31.540000000000006</v>
      </c>
      <c r="J121" s="71">
        <f>C121/100*12</f>
        <v>94.620000000000019</v>
      </c>
      <c r="K121" s="71">
        <f>C121/100*0.04</f>
        <v>0.31540000000000007</v>
      </c>
      <c r="L121" s="375">
        <v>830</v>
      </c>
      <c r="M121" s="75">
        <v>22</v>
      </c>
      <c r="N121" s="28">
        <f t="shared" si="6"/>
        <v>18260</v>
      </c>
      <c r="O121" s="153"/>
      <c r="Q121" s="3"/>
      <c r="R121" s="3"/>
    </row>
    <row r="122" spans="1:23" s="2" customFormat="1" ht="16.2" customHeight="1">
      <c r="A122" s="9">
        <v>7</v>
      </c>
      <c r="B122" s="5" t="s">
        <v>93</v>
      </c>
      <c r="C122" s="23">
        <f>L122/100*81.7</f>
        <v>1348.05</v>
      </c>
      <c r="D122" s="24">
        <f>C122/100*27</f>
        <v>363.9735</v>
      </c>
      <c r="E122" s="29"/>
      <c r="F122" s="29">
        <f>C122/100*0.3</f>
        <v>4.0441499999999992</v>
      </c>
      <c r="G122" s="29"/>
      <c r="H122" s="29">
        <f>C122/100*0.1</f>
        <v>1.34805</v>
      </c>
      <c r="I122" s="29">
        <f>C122/100*6.1</f>
        <v>82.231049999999996</v>
      </c>
      <c r="J122" s="71">
        <f>C122/100*24</f>
        <v>323.53199999999998</v>
      </c>
      <c r="K122" s="71">
        <f>C122/100*0.06</f>
        <v>0.80882999999999994</v>
      </c>
      <c r="L122" s="375">
        <v>1650</v>
      </c>
      <c r="M122" s="26">
        <v>22</v>
      </c>
      <c r="N122" s="28">
        <f t="shared" si="6"/>
        <v>36300</v>
      </c>
      <c r="O122" s="153"/>
      <c r="Q122" s="3"/>
      <c r="R122" s="3"/>
      <c r="S122" s="4"/>
    </row>
    <row r="123" spans="1:23" s="2" customFormat="1" ht="16.2" customHeight="1">
      <c r="A123" s="9">
        <v>8</v>
      </c>
      <c r="B123" s="5" t="s">
        <v>134</v>
      </c>
      <c r="C123" s="23">
        <f>L123/100*100</f>
        <v>40</v>
      </c>
      <c r="D123" s="24">
        <f>C123/100*247</f>
        <v>98.800000000000011</v>
      </c>
      <c r="E123" s="29"/>
      <c r="F123" s="29">
        <f>C123/100*17.5</f>
        <v>7</v>
      </c>
      <c r="G123" s="29"/>
      <c r="H123" s="29">
        <f>C123/100*1.6</f>
        <v>0.64000000000000012</v>
      </c>
      <c r="I123" s="29">
        <f>C123/100*39.2</f>
        <v>15.680000000000001</v>
      </c>
      <c r="J123" s="71"/>
      <c r="K123" s="71"/>
      <c r="L123" s="375">
        <v>40</v>
      </c>
      <c r="M123" s="75">
        <v>50</v>
      </c>
      <c r="N123" s="28">
        <f t="shared" si="6"/>
        <v>2000</v>
      </c>
      <c r="O123" s="153"/>
      <c r="Q123" s="3"/>
      <c r="R123" s="3"/>
      <c r="S123" s="4"/>
      <c r="T123" s="3"/>
    </row>
    <row r="124" spans="1:23" s="2" customFormat="1" ht="16.2" customHeight="1">
      <c r="A124" s="9">
        <v>9</v>
      </c>
      <c r="B124" s="6" t="s">
        <v>123</v>
      </c>
      <c r="C124" s="23"/>
      <c r="D124" s="24"/>
      <c r="E124" s="25"/>
      <c r="F124" s="25"/>
      <c r="G124" s="25"/>
      <c r="H124" s="25"/>
      <c r="I124" s="25"/>
      <c r="J124" s="27"/>
      <c r="K124" s="27"/>
      <c r="L124" s="26"/>
      <c r="M124" s="26"/>
      <c r="N124" s="28">
        <v>3800</v>
      </c>
      <c r="O124" s="153"/>
      <c r="Q124" s="3"/>
      <c r="R124" s="3"/>
      <c r="S124" s="4"/>
      <c r="T124" s="3"/>
    </row>
    <row r="125" spans="1:23" s="2" customFormat="1" ht="16.2" customHeight="1">
      <c r="A125" s="21" t="s">
        <v>119</v>
      </c>
      <c r="B125" s="22"/>
      <c r="C125" s="34"/>
      <c r="D125" s="121">
        <f>SUM(D116:D124)</f>
        <v>15268.065500000001</v>
      </c>
      <c r="E125" s="43"/>
      <c r="F125" s="43"/>
      <c r="G125" s="43"/>
      <c r="H125" s="43"/>
      <c r="I125" s="43"/>
      <c r="J125" s="43"/>
      <c r="K125" s="43"/>
      <c r="L125" s="44"/>
      <c r="M125" s="318"/>
      <c r="N125" s="325">
        <f>SUM(N116:N124)</f>
        <v>303830</v>
      </c>
      <c r="O125" s="153"/>
    </row>
    <row r="126" spans="1:23" ht="16.2" customHeight="1">
      <c r="A126" s="21" t="s">
        <v>36</v>
      </c>
      <c r="B126" s="22"/>
      <c r="C126" s="61"/>
      <c r="D126" s="48">
        <f>D125/D94</f>
        <v>277.60119090909092</v>
      </c>
      <c r="E126" s="48"/>
      <c r="F126" s="48"/>
      <c r="G126" s="48"/>
      <c r="H126" s="48"/>
      <c r="I126" s="48"/>
      <c r="J126" s="48"/>
      <c r="K126" s="48"/>
      <c r="L126" s="62"/>
      <c r="M126" s="319"/>
      <c r="N126" s="327"/>
      <c r="O126" s="4"/>
      <c r="P126" s="2"/>
      <c r="Q126" s="2"/>
      <c r="R126" s="2"/>
      <c r="S126" s="2"/>
      <c r="T126" s="2"/>
      <c r="U126" s="2"/>
      <c r="V126" s="2"/>
    </row>
    <row r="127" spans="1:23" ht="16.2" customHeight="1">
      <c r="A127" s="301" t="s">
        <v>54</v>
      </c>
      <c r="B127" s="211"/>
      <c r="C127" s="377" t="s">
        <v>147</v>
      </c>
      <c r="D127" s="20" t="s">
        <v>46</v>
      </c>
      <c r="E127" s="46"/>
      <c r="F127" s="46"/>
      <c r="G127" s="46"/>
      <c r="H127" s="46"/>
      <c r="I127" s="46"/>
      <c r="J127" s="48"/>
      <c r="K127" s="48"/>
      <c r="L127" s="47"/>
      <c r="M127" s="47"/>
      <c r="N127" s="179"/>
      <c r="O127" s="4"/>
      <c r="P127" s="2"/>
      <c r="Q127" s="2"/>
      <c r="R127" s="2"/>
      <c r="S127" s="2"/>
      <c r="T127" s="2"/>
      <c r="U127" s="2"/>
      <c r="V127" s="2"/>
      <c r="W127" s="2"/>
    </row>
    <row r="128" spans="1:23" ht="16.2" customHeight="1">
      <c r="A128" s="212"/>
      <c r="B128" s="213"/>
      <c r="C128" s="76" t="s">
        <v>60</v>
      </c>
      <c r="D128" s="78">
        <f>D126*100/930</f>
        <v>29.849590420332355</v>
      </c>
      <c r="E128" s="46"/>
      <c r="F128" s="46"/>
      <c r="G128" s="45"/>
      <c r="H128" s="45"/>
      <c r="I128" s="45"/>
      <c r="J128" s="48"/>
      <c r="K128" s="48"/>
      <c r="L128" s="47"/>
      <c r="M128" s="47"/>
      <c r="N128" s="179"/>
      <c r="O128" s="4"/>
      <c r="P128" s="2"/>
      <c r="Q128" s="2"/>
      <c r="R128" s="2"/>
      <c r="S128" s="2"/>
      <c r="T128" s="2"/>
      <c r="U128" s="2"/>
      <c r="V128" s="2"/>
      <c r="W128" s="2"/>
    </row>
    <row r="129" spans="1:23" ht="16.2" customHeight="1">
      <c r="A129" s="273" t="s">
        <v>35</v>
      </c>
      <c r="B129" s="273"/>
      <c r="C129" s="63"/>
      <c r="D129" s="64"/>
      <c r="E129" s="64"/>
      <c r="F129" s="64"/>
      <c r="G129" s="64"/>
      <c r="H129" s="64"/>
      <c r="I129" s="64"/>
      <c r="J129" s="64"/>
      <c r="K129" s="64"/>
      <c r="L129" s="65"/>
      <c r="M129" s="65"/>
      <c r="N129" s="66"/>
      <c r="O129" s="4"/>
      <c r="P129" s="2"/>
      <c r="Q129" s="2"/>
      <c r="R129" s="2"/>
      <c r="S129" s="2"/>
      <c r="T129" s="2"/>
      <c r="U129" s="2"/>
      <c r="V129" s="2"/>
    </row>
    <row r="130" spans="1:23" s="2" customFormat="1" ht="16.2" customHeight="1">
      <c r="A130" s="9">
        <v>1</v>
      </c>
      <c r="B130" s="10" t="s">
        <v>70</v>
      </c>
      <c r="C130" s="23">
        <f>L130/100*90</f>
        <v>12.600000000000001</v>
      </c>
      <c r="D130" s="24">
        <f>C130/100*253</f>
        <v>31.878</v>
      </c>
      <c r="E130" s="25"/>
      <c r="F130" s="25">
        <f>C130/100*32.4</f>
        <v>4.0823999999999998</v>
      </c>
      <c r="G130" s="25"/>
      <c r="H130" s="25">
        <f>C130/100*3.6</f>
        <v>0.4536</v>
      </c>
      <c r="I130" s="25">
        <f>C130/100*21.1</f>
        <v>2.6586000000000003</v>
      </c>
      <c r="J130" s="27">
        <f>C130/100*165.6</f>
        <v>20.865600000000001</v>
      </c>
      <c r="K130" s="27">
        <f>C130/100*0.14</f>
        <v>1.7640000000000003E-2</v>
      </c>
      <c r="L130" s="137">
        <v>14</v>
      </c>
      <c r="M130" s="75">
        <v>275</v>
      </c>
      <c r="N130" s="28">
        <f t="shared" ref="N130:N134" si="7">L130*M130</f>
        <v>3850</v>
      </c>
      <c r="O130" s="153"/>
    </row>
    <row r="131" spans="1:23" s="2" customFormat="1" ht="16.2" customHeight="1">
      <c r="A131" s="9">
        <v>2</v>
      </c>
      <c r="B131" s="5" t="s">
        <v>136</v>
      </c>
      <c r="C131" s="23">
        <f>L131/100*100</f>
        <v>220.00000000000003</v>
      </c>
      <c r="D131" s="24">
        <f>C131/100*340</f>
        <v>748.00000000000011</v>
      </c>
      <c r="E131" s="29"/>
      <c r="F131" s="29">
        <f>C131/100*0.7</f>
        <v>1.54</v>
      </c>
      <c r="G131" s="29"/>
      <c r="H131" s="29"/>
      <c r="I131" s="29">
        <f>C131/100*84.3</f>
        <v>185.46</v>
      </c>
      <c r="J131" s="71"/>
      <c r="K131" s="71"/>
      <c r="L131" s="375">
        <v>220</v>
      </c>
      <c r="M131" s="75">
        <v>180</v>
      </c>
      <c r="N131" s="28">
        <f t="shared" si="7"/>
        <v>39600</v>
      </c>
      <c r="O131" s="153"/>
      <c r="Q131" s="3"/>
      <c r="R131" s="3"/>
      <c r="S131" s="4"/>
      <c r="T131" s="3"/>
    </row>
    <row r="132" spans="1:23" s="2" customFormat="1" ht="16.2" customHeight="1">
      <c r="A132" s="9">
        <v>3</v>
      </c>
      <c r="B132" s="10" t="s">
        <v>163</v>
      </c>
      <c r="C132" s="23">
        <f>L132/100*55</f>
        <v>456.50000000000006</v>
      </c>
      <c r="D132" s="120">
        <f>C132/100*196</f>
        <v>894.74000000000012</v>
      </c>
      <c r="E132" s="25"/>
      <c r="F132" s="136">
        <f>C132/100*4.1</f>
        <v>18.7165</v>
      </c>
      <c r="G132" s="25"/>
      <c r="H132" s="25">
        <f>C132/100*2.3</f>
        <v>10.499499999999999</v>
      </c>
      <c r="I132" s="25">
        <f>C132/100*39.6</f>
        <v>180.77400000000003</v>
      </c>
      <c r="J132" s="27">
        <f>C132/100*4</f>
        <v>18.260000000000002</v>
      </c>
      <c r="K132" s="27">
        <f>C132/100*0.15</f>
        <v>0.68475000000000008</v>
      </c>
      <c r="L132" s="399">
        <v>830</v>
      </c>
      <c r="M132" s="75">
        <v>22</v>
      </c>
      <c r="N132" s="28">
        <f t="shared" si="7"/>
        <v>18260</v>
      </c>
      <c r="O132" s="400"/>
      <c r="P132" s="141"/>
      <c r="Q132" s="141"/>
    </row>
    <row r="133" spans="1:23" s="2" customFormat="1" ht="16.2" customHeight="1">
      <c r="A133" s="9">
        <v>4</v>
      </c>
      <c r="B133" s="5" t="s">
        <v>69</v>
      </c>
      <c r="C133" s="23">
        <f>L133/100*48</f>
        <v>988.80000000000007</v>
      </c>
      <c r="D133" s="24">
        <f>C133/100*199</f>
        <v>1967.712</v>
      </c>
      <c r="E133" s="25">
        <f>C133/100*20.3</f>
        <v>200.72640000000001</v>
      </c>
      <c r="F133" s="25"/>
      <c r="G133" s="25">
        <f>C133/100*13.1</f>
        <v>129.53280000000001</v>
      </c>
      <c r="H133" s="25"/>
      <c r="I133" s="25"/>
      <c r="J133" s="27">
        <f>C133/100*12</f>
        <v>118.65600000000001</v>
      </c>
      <c r="K133" s="27">
        <f>C133/100*0.15</f>
        <v>1.4831999999999999</v>
      </c>
      <c r="L133" s="26">
        <v>2060</v>
      </c>
      <c r="M133" s="137">
        <v>84</v>
      </c>
      <c r="N133" s="124">
        <f t="shared" si="7"/>
        <v>173040</v>
      </c>
      <c r="O133" s="153"/>
      <c r="Q133" s="3"/>
      <c r="R133" s="3"/>
      <c r="S133" s="4"/>
    </row>
    <row r="134" spans="1:23" s="2" customFormat="1" ht="16.2" customHeight="1">
      <c r="A134" s="103">
        <v>5</v>
      </c>
      <c r="B134" s="112" t="s">
        <v>164</v>
      </c>
      <c r="C134" s="104">
        <f>L134/100*85</f>
        <v>118.99999999999999</v>
      </c>
      <c r="D134" s="105">
        <f>C134/100*11</f>
        <v>13.09</v>
      </c>
      <c r="E134" s="106"/>
      <c r="F134" s="106">
        <f>C134/100*2.2</f>
        <v>2.6179999999999999</v>
      </c>
      <c r="G134" s="106"/>
      <c r="H134" s="106"/>
      <c r="I134" s="106">
        <f>C134/100*0.6</f>
        <v>0.71399999999999997</v>
      </c>
      <c r="J134" s="114"/>
      <c r="K134" s="114"/>
      <c r="L134" s="401">
        <v>140</v>
      </c>
      <c r="M134" s="145">
        <v>30</v>
      </c>
      <c r="N134" s="108">
        <f t="shared" si="7"/>
        <v>4200</v>
      </c>
      <c r="O134" s="153"/>
      <c r="Q134" s="3"/>
      <c r="R134" s="3"/>
    </row>
    <row r="135" spans="1:23" ht="20.399999999999999" customHeight="1">
      <c r="A135" s="190" t="s">
        <v>0</v>
      </c>
      <c r="B135" s="200" t="s">
        <v>19</v>
      </c>
      <c r="C135" s="203" t="s">
        <v>8</v>
      </c>
      <c r="D135" s="203" t="s">
        <v>9</v>
      </c>
      <c r="E135" s="193" t="s">
        <v>11</v>
      </c>
      <c r="F135" s="194"/>
      <c r="G135" s="193" t="s">
        <v>13</v>
      </c>
      <c r="H135" s="194"/>
      <c r="I135" s="197" t="s">
        <v>16</v>
      </c>
      <c r="J135" s="197" t="s">
        <v>41</v>
      </c>
      <c r="K135" s="197" t="s">
        <v>42</v>
      </c>
      <c r="L135" s="350" t="s">
        <v>17</v>
      </c>
      <c r="M135" s="197" t="s">
        <v>57</v>
      </c>
      <c r="N135" s="190" t="s">
        <v>18</v>
      </c>
      <c r="O135" s="374"/>
    </row>
    <row r="136" spans="1:23" ht="20.399999999999999" customHeight="1">
      <c r="A136" s="191"/>
      <c r="B136" s="201"/>
      <c r="C136" s="204"/>
      <c r="D136" s="204"/>
      <c r="E136" s="195"/>
      <c r="F136" s="196"/>
      <c r="G136" s="195"/>
      <c r="H136" s="196"/>
      <c r="I136" s="198"/>
      <c r="J136" s="198"/>
      <c r="K136" s="198"/>
      <c r="L136" s="351"/>
      <c r="M136" s="198"/>
      <c r="N136" s="191"/>
      <c r="O136" s="178"/>
    </row>
    <row r="137" spans="1:23" ht="20.399999999999999" customHeight="1">
      <c r="A137" s="191"/>
      <c r="B137" s="201"/>
      <c r="C137" s="204"/>
      <c r="D137" s="204"/>
      <c r="E137" s="197" t="s">
        <v>10</v>
      </c>
      <c r="F137" s="197" t="s">
        <v>12</v>
      </c>
      <c r="G137" s="197" t="s">
        <v>14</v>
      </c>
      <c r="H137" s="197" t="s">
        <v>15</v>
      </c>
      <c r="I137" s="198"/>
      <c r="J137" s="198"/>
      <c r="K137" s="198"/>
      <c r="L137" s="351"/>
      <c r="M137" s="198"/>
      <c r="N137" s="191"/>
      <c r="O137" s="178"/>
    </row>
    <row r="138" spans="1:23" ht="20.399999999999999" customHeight="1">
      <c r="A138" s="192"/>
      <c r="B138" s="202"/>
      <c r="C138" s="205"/>
      <c r="D138" s="205"/>
      <c r="E138" s="199"/>
      <c r="F138" s="199"/>
      <c r="G138" s="199"/>
      <c r="H138" s="199"/>
      <c r="I138" s="199"/>
      <c r="J138" s="199"/>
      <c r="K138" s="199"/>
      <c r="L138" s="352"/>
      <c r="M138" s="199"/>
      <c r="N138" s="192"/>
      <c r="O138" s="178"/>
    </row>
    <row r="139" spans="1:23" s="2" customFormat="1" ht="20.399999999999999" customHeight="1">
      <c r="A139" s="21" t="s">
        <v>106</v>
      </c>
      <c r="B139" s="22"/>
      <c r="C139" s="34"/>
      <c r="D139" s="35">
        <f>SUM(D130:D134)</f>
        <v>3655.4200000000005</v>
      </c>
      <c r="E139" s="43"/>
      <c r="F139" s="43"/>
      <c r="G139" s="43"/>
      <c r="H139" s="43"/>
      <c r="I139" s="43"/>
      <c r="J139" s="82"/>
      <c r="K139" s="43"/>
      <c r="L139" s="44"/>
      <c r="M139" s="318"/>
      <c r="N139" s="325">
        <f>SUM(N130:N134)</f>
        <v>238950</v>
      </c>
      <c r="O139" s="153"/>
    </row>
    <row r="140" spans="1:23" ht="20.399999999999999" customHeight="1">
      <c r="A140" s="21" t="s">
        <v>7</v>
      </c>
      <c r="B140" s="22"/>
      <c r="C140" s="45"/>
      <c r="D140" s="72">
        <f>D139/D94</f>
        <v>66.462181818181833</v>
      </c>
      <c r="E140" s="46"/>
      <c r="F140" s="46"/>
      <c r="G140" s="46"/>
      <c r="H140" s="46"/>
      <c r="I140" s="46"/>
      <c r="J140" s="83"/>
      <c r="K140" s="46"/>
      <c r="L140" s="47"/>
      <c r="M140" s="319"/>
      <c r="N140" s="326"/>
      <c r="O140" s="4"/>
      <c r="P140" s="2"/>
      <c r="Q140" s="2"/>
      <c r="R140" s="2"/>
      <c r="S140" s="2"/>
      <c r="T140" s="2"/>
      <c r="U140" s="2"/>
      <c r="V140" s="2"/>
    </row>
    <row r="141" spans="1:23" ht="20.399999999999999" customHeight="1">
      <c r="A141" s="301" t="s">
        <v>52</v>
      </c>
      <c r="B141" s="211"/>
      <c r="C141" s="377" t="s">
        <v>147</v>
      </c>
      <c r="D141" s="20" t="s">
        <v>50</v>
      </c>
      <c r="E141" s="46"/>
      <c r="F141" s="46"/>
      <c r="G141" s="46"/>
      <c r="H141" s="46"/>
      <c r="I141" s="46"/>
      <c r="J141" s="84"/>
      <c r="K141" s="48"/>
      <c r="L141" s="47"/>
      <c r="M141" s="47"/>
      <c r="N141" s="179"/>
      <c r="O141" s="4"/>
      <c r="P141" s="2"/>
      <c r="Q141" s="2"/>
      <c r="R141" s="2"/>
      <c r="S141" s="2"/>
      <c r="T141" s="2"/>
      <c r="U141" s="2"/>
      <c r="V141" s="2"/>
      <c r="W141" s="2"/>
    </row>
    <row r="142" spans="1:23" ht="20.399999999999999" customHeight="1">
      <c r="A142" s="212"/>
      <c r="B142" s="213"/>
      <c r="C142" s="76" t="s">
        <v>60</v>
      </c>
      <c r="D142" s="78">
        <f>D140*100/930</f>
        <v>7.1464711632453586</v>
      </c>
      <c r="E142" s="46"/>
      <c r="F142" s="46"/>
      <c r="G142" s="46"/>
      <c r="H142" s="46"/>
      <c r="I142" s="46"/>
      <c r="J142" s="84"/>
      <c r="K142" s="48"/>
      <c r="L142" s="47"/>
      <c r="M142" s="47"/>
      <c r="N142" s="179"/>
      <c r="O142" s="4"/>
      <c r="P142" s="2"/>
      <c r="Q142" s="2"/>
      <c r="R142" s="2"/>
      <c r="S142" s="2"/>
      <c r="T142" s="2"/>
      <c r="U142" s="2"/>
      <c r="V142" s="2"/>
      <c r="W142" s="2"/>
    </row>
    <row r="143" spans="1:23" ht="20.399999999999999" customHeight="1">
      <c r="A143" s="227" t="s">
        <v>107</v>
      </c>
      <c r="B143" s="228"/>
      <c r="C143" s="231"/>
      <c r="D143" s="296">
        <f>SUM(D111+D125+D139)</f>
        <v>34887.922500000001</v>
      </c>
      <c r="E143" s="123">
        <f t="shared" ref="E143:K143" si="8">SUM(E100:E134)</f>
        <v>1042.8743999999999</v>
      </c>
      <c r="F143" s="7">
        <f t="shared" si="8"/>
        <v>436.17595000000006</v>
      </c>
      <c r="G143" s="7">
        <f t="shared" si="8"/>
        <v>970.51839999999993</v>
      </c>
      <c r="H143" s="7">
        <f t="shared" si="8"/>
        <v>414.90094999999997</v>
      </c>
      <c r="I143" s="347">
        <f t="shared" si="8"/>
        <v>3991.8788499999991</v>
      </c>
      <c r="J143" s="347">
        <f t="shared" si="8"/>
        <v>17443.917599999997</v>
      </c>
      <c r="K143" s="214">
        <f t="shared" si="8"/>
        <v>26.394619999999996</v>
      </c>
      <c r="L143" s="243"/>
      <c r="M143" s="243"/>
      <c r="N143" s="349">
        <f>N111+N125+N139</f>
        <v>1209350</v>
      </c>
      <c r="U143" s="12"/>
      <c r="V143" s="12"/>
    </row>
    <row r="144" spans="1:23" ht="20.399999999999999" customHeight="1">
      <c r="A144" s="229"/>
      <c r="B144" s="230"/>
      <c r="C144" s="232"/>
      <c r="D144" s="297"/>
      <c r="E144" s="225">
        <f>E143+F143</f>
        <v>1479.05035</v>
      </c>
      <c r="F144" s="226"/>
      <c r="G144" s="225">
        <f>G143+H143</f>
        <v>1385.4193499999999</v>
      </c>
      <c r="H144" s="226"/>
      <c r="I144" s="348"/>
      <c r="J144" s="348"/>
      <c r="K144" s="215"/>
      <c r="L144" s="243"/>
      <c r="M144" s="243"/>
      <c r="N144" s="349"/>
      <c r="U144" s="12"/>
      <c r="V144" s="12"/>
    </row>
    <row r="145" spans="1:22" ht="20.399999999999999" customHeight="1">
      <c r="A145" s="247" t="s">
        <v>77</v>
      </c>
      <c r="B145" s="248"/>
      <c r="C145" s="249"/>
      <c r="D145" s="133">
        <f>D143/D94</f>
        <v>634.32586363636369</v>
      </c>
      <c r="E145" s="404">
        <f>E143/D94</f>
        <v>18.961352727272725</v>
      </c>
      <c r="F145" s="403">
        <f>F143/D94</f>
        <v>7.930471818181819</v>
      </c>
      <c r="G145" s="404">
        <f>G143/D94</f>
        <v>17.645789090909091</v>
      </c>
      <c r="H145" s="403">
        <f>H143/D94</f>
        <v>7.5436536363636355</v>
      </c>
      <c r="I145" s="208">
        <f>I143/D94</f>
        <v>72.579615454545433</v>
      </c>
      <c r="J145" s="208">
        <f>J143/D94</f>
        <v>317.16213818181814</v>
      </c>
      <c r="K145" s="299">
        <f>K143/D94</f>
        <v>0.47990218181818173</v>
      </c>
      <c r="L145" s="243"/>
      <c r="M145" s="243"/>
      <c r="N145" s="349"/>
      <c r="P145" s="392"/>
      <c r="Q145" s="393"/>
      <c r="R145" s="393"/>
      <c r="S145" s="393"/>
      <c r="T145" s="393"/>
      <c r="U145" s="394"/>
      <c r="V145" s="394"/>
    </row>
    <row r="146" spans="1:22" ht="20.399999999999999" customHeight="1">
      <c r="A146" s="250"/>
      <c r="B146" s="251"/>
      <c r="C146" s="252"/>
      <c r="D146" s="127"/>
      <c r="E146" s="381">
        <f>E145+F145</f>
        <v>26.891824545454543</v>
      </c>
      <c r="F146" s="382"/>
      <c r="G146" s="381">
        <f>G145+H145</f>
        <v>25.189442727272727</v>
      </c>
      <c r="H146" s="382"/>
      <c r="I146" s="209"/>
      <c r="J146" s="209"/>
      <c r="K146" s="300"/>
      <c r="L146" s="243"/>
      <c r="M146" s="243"/>
      <c r="N146" s="349"/>
      <c r="P146" s="395"/>
      <c r="Q146" s="393"/>
      <c r="R146" s="393"/>
      <c r="S146" s="398"/>
      <c r="T146" s="398"/>
      <c r="U146" s="393"/>
      <c r="V146" s="393"/>
    </row>
    <row r="147" spans="1:22" ht="20.399999999999999" customHeight="1">
      <c r="A147" s="315" t="s">
        <v>80</v>
      </c>
      <c r="B147" s="316"/>
      <c r="C147" s="317"/>
      <c r="D147" s="183" t="s">
        <v>29</v>
      </c>
      <c r="E147" s="362" t="s">
        <v>24</v>
      </c>
      <c r="F147" s="362"/>
      <c r="G147" s="362" t="s">
        <v>25</v>
      </c>
      <c r="H147" s="362"/>
      <c r="I147" s="391" t="s">
        <v>26</v>
      </c>
      <c r="J147" s="181">
        <v>500</v>
      </c>
      <c r="K147" s="181">
        <v>0.5</v>
      </c>
      <c r="L147" s="243"/>
      <c r="M147" s="243"/>
      <c r="N147" s="349"/>
      <c r="O147" s="384"/>
      <c r="P147" s="392"/>
      <c r="Q147" s="392"/>
      <c r="R147" s="392"/>
      <c r="S147" s="392"/>
      <c r="T147" s="392"/>
      <c r="U147" s="392"/>
      <c r="V147" s="392"/>
    </row>
    <row r="148" spans="1:22" ht="20.399999999999999" customHeight="1">
      <c r="A148" s="218" t="s">
        <v>78</v>
      </c>
      <c r="B148" s="219"/>
      <c r="C148" s="220"/>
      <c r="D148" s="49"/>
      <c r="E148" s="206">
        <f>E146*4.1</f>
        <v>110.25648063636362</v>
      </c>
      <c r="F148" s="207"/>
      <c r="G148" s="206">
        <f>G146*9</f>
        <v>226.70498454545455</v>
      </c>
      <c r="H148" s="207"/>
      <c r="I148" s="85">
        <f>I145*4.1</f>
        <v>297.57642336363625</v>
      </c>
      <c r="J148" s="253"/>
      <c r="K148" s="253"/>
      <c r="L148" s="243"/>
      <c r="M148" s="243"/>
      <c r="N148" s="349"/>
      <c r="O148" s="384"/>
      <c r="P148" s="396"/>
      <c r="Q148" s="397"/>
      <c r="R148" s="397"/>
      <c r="S148" s="397"/>
      <c r="T148" s="392"/>
      <c r="U148" s="392"/>
      <c r="V148" s="392"/>
    </row>
    <row r="149" spans="1:22" ht="20.399999999999999" customHeight="1">
      <c r="A149" s="221" t="s">
        <v>87</v>
      </c>
      <c r="B149" s="222"/>
      <c r="C149" s="218" t="s">
        <v>59</v>
      </c>
      <c r="D149" s="220"/>
      <c r="E149" s="305">
        <f>E148*100/D145</f>
        <v>17.381678244097216</v>
      </c>
      <c r="F149" s="306"/>
      <c r="G149" s="305">
        <f>G148*100/D145</f>
        <v>35.739514584165903</v>
      </c>
      <c r="H149" s="306"/>
      <c r="I149" s="116">
        <f>I148*100/D145</f>
        <v>46.912232406501111</v>
      </c>
      <c r="J149" s="254"/>
      <c r="K149" s="254"/>
      <c r="L149" s="243"/>
      <c r="M149" s="243"/>
      <c r="N149" s="349"/>
      <c r="O149" s="384"/>
      <c r="P149" s="392"/>
      <c r="Q149" s="392"/>
      <c r="R149" s="392"/>
      <c r="S149" s="392"/>
      <c r="T149" s="392"/>
      <c r="U149" s="392"/>
      <c r="V149" s="392"/>
    </row>
    <row r="150" spans="1:22" ht="20.399999999999999" customHeight="1">
      <c r="A150" s="223"/>
      <c r="B150" s="224"/>
      <c r="C150" s="218" t="s">
        <v>79</v>
      </c>
      <c r="D150" s="220"/>
      <c r="E150" s="218" t="s">
        <v>82</v>
      </c>
      <c r="F150" s="220"/>
      <c r="G150" s="218" t="s">
        <v>85</v>
      </c>
      <c r="H150" s="220"/>
      <c r="I150" s="183" t="s">
        <v>86</v>
      </c>
      <c r="J150" s="234"/>
      <c r="K150" s="234"/>
      <c r="L150" s="243"/>
      <c r="M150" s="243"/>
      <c r="N150" s="349"/>
      <c r="O150" s="384"/>
      <c r="P150" s="132"/>
    </row>
    <row r="151" spans="1:22" ht="20.399999999999999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4"/>
      <c r="M151" s="94"/>
      <c r="N151" s="95"/>
      <c r="O151" s="384"/>
    </row>
    <row r="152" spans="1:22" ht="21" customHeight="1">
      <c r="A152" s="293" t="s">
        <v>114</v>
      </c>
      <c r="B152" s="293"/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384"/>
    </row>
    <row r="153" spans="1:22" ht="21" customHeight="1">
      <c r="A153" s="117" t="s">
        <v>115</v>
      </c>
      <c r="B153" s="294" t="s">
        <v>116</v>
      </c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384"/>
    </row>
    <row r="154" spans="1:22" ht="21" customHeight="1">
      <c r="A154" s="118"/>
      <c r="B154" s="258" t="s">
        <v>219</v>
      </c>
      <c r="C154" s="258"/>
      <c r="D154" s="258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384"/>
    </row>
    <row r="155" spans="1:22" ht="21" customHeight="1">
      <c r="A155" s="118"/>
      <c r="B155" s="258" t="s">
        <v>220</v>
      </c>
      <c r="C155" s="258"/>
      <c r="D155" s="258"/>
      <c r="E155" s="258"/>
      <c r="F155" s="258"/>
      <c r="G155" s="258"/>
      <c r="H155" s="258"/>
      <c r="I155" s="258"/>
      <c r="J155" s="258"/>
      <c r="K155" s="258"/>
      <c r="L155" s="258"/>
      <c r="M155" s="258"/>
      <c r="N155" s="258"/>
      <c r="O155" s="384"/>
    </row>
    <row r="156" spans="1:22" ht="21" customHeight="1">
      <c r="A156" s="118"/>
      <c r="B156" s="258" t="s">
        <v>174</v>
      </c>
      <c r="C156" s="258"/>
      <c r="D156" s="258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384"/>
    </row>
    <row r="157" spans="1:22" ht="21" customHeight="1">
      <c r="A157" s="90"/>
      <c r="B157" s="259" t="s">
        <v>117</v>
      </c>
      <c r="C157" s="259"/>
      <c r="D157" s="259"/>
      <c r="E157" s="259"/>
      <c r="F157" s="259"/>
      <c r="G157" s="259"/>
      <c r="H157" s="259"/>
      <c r="I157" s="259"/>
      <c r="J157" s="259"/>
      <c r="K157" s="259"/>
      <c r="L157" s="259"/>
      <c r="M157" s="259"/>
      <c r="N157" s="259"/>
      <c r="O157" s="384"/>
    </row>
    <row r="158" spans="1:22" ht="21" customHeight="1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4"/>
      <c r="M158" s="94"/>
      <c r="N158" s="95"/>
      <c r="O158" s="384"/>
    </row>
    <row r="159" spans="1:22" ht="21" customHeight="1">
      <c r="A159" s="260" t="s">
        <v>62</v>
      </c>
      <c r="B159" s="260"/>
      <c r="C159" s="260"/>
      <c r="D159" s="260"/>
      <c r="E159" s="385"/>
      <c r="F159" s="385"/>
      <c r="G159" s="385"/>
      <c r="H159" s="385"/>
      <c r="I159" s="385"/>
      <c r="J159" s="386" t="s">
        <v>33</v>
      </c>
      <c r="K159" s="386"/>
      <c r="L159" s="386"/>
      <c r="M159" s="386"/>
      <c r="N159" s="386"/>
      <c r="O159" s="384"/>
    </row>
    <row r="160" spans="1:22" ht="21" customHeight="1">
      <c r="A160" s="178"/>
      <c r="B160" s="178"/>
      <c r="C160" s="178"/>
      <c r="D160" s="385"/>
      <c r="E160" s="385"/>
      <c r="F160" s="385"/>
      <c r="G160" s="385"/>
      <c r="H160" s="387"/>
      <c r="I160" s="387"/>
      <c r="J160" s="387"/>
      <c r="K160" s="387"/>
      <c r="L160" s="387"/>
      <c r="M160" s="387"/>
      <c r="N160" s="387"/>
      <c r="O160" s="384"/>
    </row>
    <row r="161" spans="1:15" ht="21" customHeight="1">
      <c r="A161" s="178"/>
      <c r="B161" s="178"/>
      <c r="C161" s="178"/>
      <c r="D161" s="385"/>
      <c r="E161" s="385"/>
      <c r="F161" s="385"/>
      <c r="G161" s="385"/>
      <c r="H161" s="387"/>
      <c r="I161" s="387"/>
      <c r="J161" s="387"/>
      <c r="K161" s="387"/>
      <c r="L161" s="387"/>
      <c r="M161" s="387"/>
      <c r="N161" s="387"/>
      <c r="O161" s="384"/>
    </row>
    <row r="162" spans="1:15" ht="21" customHeight="1">
      <c r="A162" s="178"/>
      <c r="B162" s="178"/>
      <c r="C162" s="178"/>
      <c r="D162" s="385"/>
      <c r="E162" s="385"/>
      <c r="F162" s="385"/>
      <c r="G162" s="385"/>
      <c r="H162" s="387"/>
      <c r="I162" s="387"/>
      <c r="J162" s="388" t="s">
        <v>124</v>
      </c>
      <c r="K162" s="388"/>
      <c r="L162" s="388"/>
      <c r="M162" s="388"/>
      <c r="N162" s="388"/>
      <c r="O162" s="384"/>
    </row>
    <row r="163" spans="1:15" ht="21" customHeight="1">
      <c r="A163" s="261" t="s">
        <v>91</v>
      </c>
      <c r="B163" s="261"/>
      <c r="C163" s="261"/>
      <c r="D163" s="261"/>
      <c r="E163" s="385"/>
      <c r="F163" s="385"/>
      <c r="G163" s="385"/>
      <c r="H163" s="387"/>
      <c r="I163" s="387"/>
      <c r="J163" s="388"/>
      <c r="K163" s="388"/>
      <c r="L163" s="388"/>
      <c r="M163" s="388"/>
      <c r="N163" s="388"/>
      <c r="O163" s="384"/>
    </row>
    <row r="164" spans="1:15" ht="20.399999999999999" customHeight="1">
      <c r="J164" s="387"/>
      <c r="K164" s="387"/>
      <c r="L164" s="387"/>
      <c r="M164" s="387"/>
      <c r="N164" s="387"/>
    </row>
    <row r="165" spans="1:15" ht="20.399999999999999" customHeight="1">
      <c r="J165" s="388" t="s">
        <v>127</v>
      </c>
      <c r="K165" s="388"/>
      <c r="L165" s="388"/>
      <c r="M165" s="388"/>
      <c r="N165" s="388"/>
    </row>
  </sheetData>
  <mergeCells count="207">
    <mergeCell ref="S55:T55"/>
    <mergeCell ref="Q145:R145"/>
    <mergeCell ref="S145:T145"/>
    <mergeCell ref="E147:F147"/>
    <mergeCell ref="G147:H147"/>
    <mergeCell ref="E95:F96"/>
    <mergeCell ref="G95:H96"/>
    <mergeCell ref="I95:I98"/>
    <mergeCell ref="L95:L98"/>
    <mergeCell ref="N95:N98"/>
    <mergeCell ref="E97:E98"/>
    <mergeCell ref="M111:M112"/>
    <mergeCell ref="N111:N112"/>
    <mergeCell ref="E56:F56"/>
    <mergeCell ref="G56:H56"/>
    <mergeCell ref="F85:N85"/>
    <mergeCell ref="G57:H57"/>
    <mergeCell ref="G146:H146"/>
    <mergeCell ref="H97:H98"/>
    <mergeCell ref="A99:N99"/>
    <mergeCell ref="C95:C98"/>
    <mergeCell ref="G144:H144"/>
    <mergeCell ref="Q55:R55"/>
    <mergeCell ref="B67:N67"/>
    <mergeCell ref="E45:F46"/>
    <mergeCell ref="G45:H46"/>
    <mergeCell ref="I45:I48"/>
    <mergeCell ref="J45:J48"/>
    <mergeCell ref="J90:N90"/>
    <mergeCell ref="C45:C48"/>
    <mergeCell ref="G59:H59"/>
    <mergeCell ref="C60:D60"/>
    <mergeCell ref="A59:B60"/>
    <mergeCell ref="C59:D59"/>
    <mergeCell ref="E59:F59"/>
    <mergeCell ref="E60:F60"/>
    <mergeCell ref="G60:H60"/>
    <mergeCell ref="M45:M48"/>
    <mergeCell ref="N45:N48"/>
    <mergeCell ref="E47:E48"/>
    <mergeCell ref="F47:F48"/>
    <mergeCell ref="G47:G48"/>
    <mergeCell ref="H47:H48"/>
    <mergeCell ref="K45:K48"/>
    <mergeCell ref="L45:L48"/>
    <mergeCell ref="A45:A48"/>
    <mergeCell ref="A57:C57"/>
    <mergeCell ref="J55:J56"/>
    <mergeCell ref="F1:N1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N11:N14"/>
    <mergeCell ref="E13:E14"/>
    <mergeCell ref="F13:F14"/>
    <mergeCell ref="G13:G14"/>
    <mergeCell ref="H13:H14"/>
    <mergeCell ref="A6:D6"/>
    <mergeCell ref="A10:C10"/>
    <mergeCell ref="A7:D7"/>
    <mergeCell ref="A5:D5"/>
    <mergeCell ref="E5:N5"/>
    <mergeCell ref="J11:J14"/>
    <mergeCell ref="A8:D8"/>
    <mergeCell ref="M27:M28"/>
    <mergeCell ref="A51:B52"/>
    <mergeCell ref="M49:M50"/>
    <mergeCell ref="N49:N50"/>
    <mergeCell ref="E54:F54"/>
    <mergeCell ref="G54:H54"/>
    <mergeCell ref="J6:N9"/>
    <mergeCell ref="M11:M14"/>
    <mergeCell ref="A58:C58"/>
    <mergeCell ref="E58:F58"/>
    <mergeCell ref="G58:H58"/>
    <mergeCell ref="N27:N28"/>
    <mergeCell ref="A29:B30"/>
    <mergeCell ref="A31:B31"/>
    <mergeCell ref="A55:C56"/>
    <mergeCell ref="E57:F57"/>
    <mergeCell ref="D53:D54"/>
    <mergeCell ref="J53:J54"/>
    <mergeCell ref="K53:K54"/>
    <mergeCell ref="B45:B48"/>
    <mergeCell ref="K55:K56"/>
    <mergeCell ref="K11:K14"/>
    <mergeCell ref="A9:D9"/>
    <mergeCell ref="E6:I9"/>
    <mergeCell ref="U54:V54"/>
    <mergeCell ref="U55:V55"/>
    <mergeCell ref="U145:V145"/>
    <mergeCell ref="Q54:R54"/>
    <mergeCell ref="S54:T54"/>
    <mergeCell ref="A95:A98"/>
    <mergeCell ref="B95:B98"/>
    <mergeCell ref="I55:I56"/>
    <mergeCell ref="A53:B54"/>
    <mergeCell ref="C53:C54"/>
    <mergeCell ref="M95:M98"/>
    <mergeCell ref="J58:J60"/>
    <mergeCell ref="K58:K60"/>
    <mergeCell ref="A94:C94"/>
    <mergeCell ref="A62:N62"/>
    <mergeCell ref="B63:N63"/>
    <mergeCell ref="B64:N64"/>
    <mergeCell ref="L53:L60"/>
    <mergeCell ref="M53:M60"/>
    <mergeCell ref="N53:N60"/>
    <mergeCell ref="I53:I54"/>
    <mergeCell ref="A143:B144"/>
    <mergeCell ref="C143:C144"/>
    <mergeCell ref="A115:B115"/>
    <mergeCell ref="A127:B128"/>
    <mergeCell ref="A129:B129"/>
    <mergeCell ref="M139:M140"/>
    <mergeCell ref="N139:N140"/>
    <mergeCell ref="A141:B142"/>
    <mergeCell ref="J143:J144"/>
    <mergeCell ref="K143:K144"/>
    <mergeCell ref="M125:M126"/>
    <mergeCell ref="N125:N126"/>
    <mergeCell ref="A135:A138"/>
    <mergeCell ref="B135:B138"/>
    <mergeCell ref="C135:C138"/>
    <mergeCell ref="D135:D138"/>
    <mergeCell ref="E135:F136"/>
    <mergeCell ref="G135:H136"/>
    <mergeCell ref="I135:I138"/>
    <mergeCell ref="J135:J138"/>
    <mergeCell ref="K135:K138"/>
    <mergeCell ref="L135:L138"/>
    <mergeCell ref="M135:M138"/>
    <mergeCell ref="N135:N138"/>
    <mergeCell ref="G150:H150"/>
    <mergeCell ref="L143:L150"/>
    <mergeCell ref="M143:M150"/>
    <mergeCell ref="N143:N150"/>
    <mergeCell ref="A145:C146"/>
    <mergeCell ref="A147:C147"/>
    <mergeCell ref="J148:J150"/>
    <mergeCell ref="A152:N152"/>
    <mergeCell ref="U146:V146"/>
    <mergeCell ref="Q146:R146"/>
    <mergeCell ref="S146:T146"/>
    <mergeCell ref="D95:D98"/>
    <mergeCell ref="F97:F98"/>
    <mergeCell ref="G97:G98"/>
    <mergeCell ref="K95:K98"/>
    <mergeCell ref="A91:D91"/>
    <mergeCell ref="J91:N91"/>
    <mergeCell ref="J92:N92"/>
    <mergeCell ref="J93:N93"/>
    <mergeCell ref="A163:D163"/>
    <mergeCell ref="J163:N163"/>
    <mergeCell ref="K148:K150"/>
    <mergeCell ref="A149:B150"/>
    <mergeCell ref="C149:D149"/>
    <mergeCell ref="E149:F149"/>
    <mergeCell ref="K145:K146"/>
    <mergeCell ref="D143:D144"/>
    <mergeCell ref="I143:I144"/>
    <mergeCell ref="E144:F144"/>
    <mergeCell ref="I145:I146"/>
    <mergeCell ref="E146:F146"/>
    <mergeCell ref="J145:J146"/>
    <mergeCell ref="G149:H149"/>
    <mergeCell ref="C150:D150"/>
    <mergeCell ref="E150:F150"/>
    <mergeCell ref="B65:N65"/>
    <mergeCell ref="B66:N66"/>
    <mergeCell ref="A69:D69"/>
    <mergeCell ref="J69:N69"/>
    <mergeCell ref="A73:D73"/>
    <mergeCell ref="J73:N73"/>
    <mergeCell ref="A89:D90"/>
    <mergeCell ref="E89:N89"/>
    <mergeCell ref="E90:I90"/>
    <mergeCell ref="J162:N162"/>
    <mergeCell ref="J165:N165"/>
    <mergeCell ref="D45:D48"/>
    <mergeCell ref="J72:N72"/>
    <mergeCell ref="J75:N75"/>
    <mergeCell ref="B153:N153"/>
    <mergeCell ref="B154:N154"/>
    <mergeCell ref="B155:N155"/>
    <mergeCell ref="B156:N156"/>
    <mergeCell ref="B157:N157"/>
    <mergeCell ref="A159:D159"/>
    <mergeCell ref="J159:N159"/>
    <mergeCell ref="A148:C148"/>
    <mergeCell ref="E148:F148"/>
    <mergeCell ref="G148:H148"/>
    <mergeCell ref="A113:B114"/>
    <mergeCell ref="E91:I93"/>
    <mergeCell ref="E137:E138"/>
    <mergeCell ref="F137:F138"/>
    <mergeCell ref="G137:G138"/>
    <mergeCell ref="H137:H138"/>
    <mergeCell ref="A92:D92"/>
    <mergeCell ref="A93:D93"/>
    <mergeCell ref="J95:J98"/>
  </mergeCells>
  <pageMargins left="0.54166666666666663" right="0.13333333333333333" top="0.42708333333333331" bottom="0.41666666666666669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56"/>
  <sheetViews>
    <sheetView workbookViewId="0">
      <selection activeCell="E4" sqref="E4:I7"/>
    </sheetView>
  </sheetViews>
  <sheetFormatPr defaultColWidth="9.109375" defaultRowHeight="21" customHeight="1"/>
  <cols>
    <col min="1" max="1" width="4" style="1" customWidth="1"/>
    <col min="2" max="2" width="12" style="1" customWidth="1"/>
    <col min="3" max="3" width="5.33203125" style="1" customWidth="1"/>
    <col min="4" max="4" width="8" style="1" customWidth="1"/>
    <col min="5" max="8" width="6.109375" style="1" customWidth="1"/>
    <col min="9" max="9" width="7" style="1" customWidth="1"/>
    <col min="10" max="10" width="7.6640625" style="1" customWidth="1"/>
    <col min="11" max="11" width="7.44140625" style="1" customWidth="1"/>
    <col min="12" max="12" width="5.6640625" style="1" customWidth="1"/>
    <col min="13" max="13" width="5.33203125" style="1" customWidth="1"/>
    <col min="14" max="14" width="7.44140625" style="1" customWidth="1"/>
    <col min="15" max="15" width="11.88671875" style="1" customWidth="1"/>
    <col min="16" max="16" width="9.109375" style="1"/>
    <col min="17" max="22" width="7.88671875" style="1" customWidth="1"/>
    <col min="23" max="16384" width="9.109375" style="1"/>
  </cols>
  <sheetData>
    <row r="1" spans="1:20" ht="21.6" customHeight="1">
      <c r="A1" s="11" t="s">
        <v>61</v>
      </c>
      <c r="B1" s="8"/>
      <c r="C1" s="8"/>
      <c r="D1" s="8"/>
      <c r="E1" s="8"/>
      <c r="F1" s="188" t="s">
        <v>31</v>
      </c>
      <c r="G1" s="188"/>
      <c r="H1" s="188"/>
      <c r="I1" s="188"/>
      <c r="J1" s="188"/>
      <c r="K1" s="188"/>
      <c r="L1" s="188"/>
      <c r="M1" s="188"/>
      <c r="N1" s="188"/>
      <c r="O1" s="372"/>
      <c r="P1" s="372"/>
      <c r="T1" s="2"/>
    </row>
    <row r="2" spans="1:20" ht="21.6" customHeight="1">
      <c r="A2" s="8" t="s">
        <v>221</v>
      </c>
      <c r="B2" s="8"/>
      <c r="C2" s="8"/>
      <c r="D2" s="8"/>
      <c r="E2" s="8"/>
      <c r="F2" s="182"/>
      <c r="G2" s="182"/>
      <c r="H2" s="182"/>
      <c r="I2" s="182"/>
      <c r="J2" s="182"/>
      <c r="K2" s="182"/>
      <c r="L2" s="182"/>
      <c r="M2" s="182"/>
      <c r="N2" s="182"/>
      <c r="O2" s="372"/>
      <c r="P2" s="372"/>
      <c r="T2" s="2"/>
    </row>
    <row r="3" spans="1:20" s="2" customFormat="1" ht="21.6" customHeight="1">
      <c r="A3" s="235" t="s">
        <v>97</v>
      </c>
      <c r="B3" s="235"/>
      <c r="C3" s="235"/>
      <c r="D3" s="235"/>
      <c r="E3" s="235" t="s">
        <v>98</v>
      </c>
      <c r="F3" s="235"/>
      <c r="G3" s="235"/>
      <c r="H3" s="235"/>
      <c r="I3" s="235"/>
      <c r="J3" s="235"/>
      <c r="K3" s="235"/>
      <c r="L3" s="235"/>
      <c r="M3" s="235"/>
      <c r="N3" s="235"/>
      <c r="O3" s="373"/>
    </row>
    <row r="4" spans="1:20" s="2" customFormat="1" ht="21.6" customHeight="1">
      <c r="A4" s="265" t="s">
        <v>90</v>
      </c>
      <c r="B4" s="265"/>
      <c r="C4" s="265"/>
      <c r="D4" s="265"/>
      <c r="E4" s="266" t="s">
        <v>144</v>
      </c>
      <c r="F4" s="266"/>
      <c r="G4" s="266"/>
      <c r="H4" s="266"/>
      <c r="I4" s="266"/>
      <c r="J4" s="281" t="s">
        <v>166</v>
      </c>
      <c r="K4" s="282"/>
      <c r="L4" s="282"/>
      <c r="M4" s="282"/>
      <c r="N4" s="283"/>
      <c r="O4" s="373"/>
    </row>
    <row r="5" spans="1:20" s="2" customFormat="1" ht="21.6" customHeight="1">
      <c r="A5" s="343" t="s">
        <v>165</v>
      </c>
      <c r="B5" s="344"/>
      <c r="C5" s="344"/>
      <c r="D5" s="345"/>
      <c r="E5" s="266"/>
      <c r="F5" s="266"/>
      <c r="G5" s="266"/>
      <c r="H5" s="266"/>
      <c r="I5" s="266"/>
      <c r="J5" s="284"/>
      <c r="K5" s="285"/>
      <c r="L5" s="285"/>
      <c r="M5" s="285"/>
      <c r="N5" s="286"/>
      <c r="O5" s="373"/>
    </row>
    <row r="6" spans="1:20" s="2" customFormat="1" ht="21.6" customHeight="1">
      <c r="A6" s="187" t="s">
        <v>192</v>
      </c>
      <c r="B6" s="187"/>
      <c r="C6" s="187"/>
      <c r="D6" s="187"/>
      <c r="E6" s="266"/>
      <c r="F6" s="266"/>
      <c r="G6" s="266"/>
      <c r="H6" s="266"/>
      <c r="I6" s="266"/>
      <c r="J6" s="284"/>
      <c r="K6" s="285"/>
      <c r="L6" s="285"/>
      <c r="M6" s="285"/>
      <c r="N6" s="286"/>
      <c r="O6" s="373"/>
    </row>
    <row r="7" spans="1:20" s="2" customFormat="1" ht="21.6" customHeight="1">
      <c r="A7" s="346" t="s">
        <v>193</v>
      </c>
      <c r="B7" s="346"/>
      <c r="C7" s="346"/>
      <c r="D7" s="346"/>
      <c r="E7" s="266"/>
      <c r="F7" s="266"/>
      <c r="G7" s="266"/>
      <c r="H7" s="266"/>
      <c r="I7" s="266"/>
      <c r="J7" s="287"/>
      <c r="K7" s="288"/>
      <c r="L7" s="288"/>
      <c r="M7" s="288"/>
      <c r="N7" s="289"/>
      <c r="O7" s="373"/>
    </row>
    <row r="8" spans="1:20" s="2" customFormat="1" ht="21.6" customHeight="1">
      <c r="A8" s="275" t="s">
        <v>122</v>
      </c>
      <c r="B8" s="276"/>
      <c r="C8" s="277"/>
      <c r="D8" s="128">
        <v>103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373"/>
    </row>
    <row r="9" spans="1:20" ht="21.6" customHeight="1">
      <c r="A9" s="190" t="s">
        <v>0</v>
      </c>
      <c r="B9" s="200" t="s">
        <v>19</v>
      </c>
      <c r="C9" s="328" t="s">
        <v>8</v>
      </c>
      <c r="D9" s="203" t="s">
        <v>9</v>
      </c>
      <c r="E9" s="193" t="s">
        <v>11</v>
      </c>
      <c r="F9" s="194"/>
      <c r="G9" s="193" t="s">
        <v>13</v>
      </c>
      <c r="H9" s="194"/>
      <c r="I9" s="197" t="s">
        <v>16</v>
      </c>
      <c r="J9" s="197" t="s">
        <v>41</v>
      </c>
      <c r="K9" s="197" t="s">
        <v>42</v>
      </c>
      <c r="L9" s="197" t="s">
        <v>17</v>
      </c>
      <c r="M9" s="197" t="s">
        <v>57</v>
      </c>
      <c r="N9" s="190" t="s">
        <v>18</v>
      </c>
      <c r="O9" s="374"/>
    </row>
    <row r="10" spans="1:20" ht="21.6" customHeight="1">
      <c r="A10" s="191"/>
      <c r="B10" s="201"/>
      <c r="C10" s="329"/>
      <c r="D10" s="204"/>
      <c r="E10" s="195"/>
      <c r="F10" s="196"/>
      <c r="G10" s="195"/>
      <c r="H10" s="196"/>
      <c r="I10" s="198"/>
      <c r="J10" s="198"/>
      <c r="K10" s="198"/>
      <c r="L10" s="198"/>
      <c r="M10" s="198"/>
      <c r="N10" s="191"/>
      <c r="O10" s="178"/>
    </row>
    <row r="11" spans="1:20" ht="21.6" customHeight="1">
      <c r="A11" s="191"/>
      <c r="B11" s="201"/>
      <c r="C11" s="329"/>
      <c r="D11" s="204"/>
      <c r="E11" s="197" t="s">
        <v>10</v>
      </c>
      <c r="F11" s="197" t="s">
        <v>12</v>
      </c>
      <c r="G11" s="197" t="s">
        <v>14</v>
      </c>
      <c r="H11" s="197" t="s">
        <v>15</v>
      </c>
      <c r="I11" s="198"/>
      <c r="J11" s="198"/>
      <c r="K11" s="198"/>
      <c r="L11" s="198"/>
      <c r="M11" s="198"/>
      <c r="N11" s="191"/>
      <c r="O11" s="178"/>
    </row>
    <row r="12" spans="1:20" ht="21.6" customHeight="1">
      <c r="A12" s="192"/>
      <c r="B12" s="202"/>
      <c r="C12" s="330"/>
      <c r="D12" s="205"/>
      <c r="E12" s="199"/>
      <c r="F12" s="199"/>
      <c r="G12" s="199"/>
      <c r="H12" s="199"/>
      <c r="I12" s="199"/>
      <c r="J12" s="199"/>
      <c r="K12" s="199"/>
      <c r="L12" s="199"/>
      <c r="M12" s="199"/>
      <c r="N12" s="192"/>
      <c r="O12" s="178"/>
    </row>
    <row r="13" spans="1:20" ht="19.8" customHeight="1">
      <c r="A13" s="237" t="s">
        <v>34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9"/>
      <c r="O13" s="178"/>
    </row>
    <row r="14" spans="1:20" s="2" customFormat="1" ht="19.8" customHeight="1">
      <c r="A14" s="9">
        <v>1</v>
      </c>
      <c r="B14" s="10" t="s">
        <v>2</v>
      </c>
      <c r="C14" s="23">
        <f>L14/100*100</f>
        <v>140</v>
      </c>
      <c r="D14" s="24">
        <f>C14/100*60</f>
        <v>84</v>
      </c>
      <c r="E14" s="25">
        <f>C14/100*15</f>
        <v>21</v>
      </c>
      <c r="F14" s="25"/>
      <c r="G14" s="25"/>
      <c r="H14" s="25"/>
      <c r="I14" s="25"/>
      <c r="J14" s="27">
        <f>C14/100*387</f>
        <v>541.79999999999995</v>
      </c>
      <c r="K14" s="27">
        <f>C14/100*0.09</f>
        <v>0.126</v>
      </c>
      <c r="L14" s="137">
        <v>140</v>
      </c>
      <c r="M14" s="75">
        <v>20</v>
      </c>
      <c r="N14" s="28">
        <f>L14*M14</f>
        <v>2800</v>
      </c>
      <c r="O14" s="153"/>
    </row>
    <row r="15" spans="1:20" s="2" customFormat="1" ht="19.8" customHeight="1">
      <c r="A15" s="9">
        <v>2</v>
      </c>
      <c r="B15" s="146" t="s">
        <v>139</v>
      </c>
      <c r="C15" s="23">
        <f>L15/100*100</f>
        <v>310</v>
      </c>
      <c r="D15" s="24">
        <f>C15/100*899</f>
        <v>2786.9</v>
      </c>
      <c r="E15" s="25"/>
      <c r="F15" s="25"/>
      <c r="G15" s="119">
        <f>C15/100*100</f>
        <v>310</v>
      </c>
      <c r="H15" s="25"/>
      <c r="I15" s="25"/>
      <c r="J15" s="27"/>
      <c r="K15" s="27"/>
      <c r="L15" s="137">
        <v>310</v>
      </c>
      <c r="M15" s="75">
        <v>69</v>
      </c>
      <c r="N15" s="28">
        <f t="shared" ref="N15:N23" si="0">L15*M15</f>
        <v>21390</v>
      </c>
      <c r="O15" s="153"/>
    </row>
    <row r="16" spans="1:20" s="2" customFormat="1" ht="19.8" customHeight="1">
      <c r="A16" s="9">
        <v>3</v>
      </c>
      <c r="B16" s="5" t="s">
        <v>1</v>
      </c>
      <c r="C16" s="23">
        <f>L16/100*100</f>
        <v>9785</v>
      </c>
      <c r="D16" s="120">
        <f>C16/100*325</f>
        <v>31801.249999999996</v>
      </c>
      <c r="E16" s="25"/>
      <c r="F16" s="119">
        <f>C16/100*7.9</f>
        <v>773.01499999999999</v>
      </c>
      <c r="G16" s="25"/>
      <c r="H16" s="25">
        <f>C16/100*1</f>
        <v>97.85</v>
      </c>
      <c r="I16" s="119">
        <f>C16/100*68.5</f>
        <v>6702.7249999999995</v>
      </c>
      <c r="J16" s="81">
        <f>C16/100*30</f>
        <v>2935.5</v>
      </c>
      <c r="K16" s="27">
        <f>C16/100*0.1</f>
        <v>9.7850000000000001</v>
      </c>
      <c r="L16" s="137">
        <v>9785</v>
      </c>
      <c r="M16" s="75">
        <v>18</v>
      </c>
      <c r="N16" s="28">
        <f t="shared" si="0"/>
        <v>176130</v>
      </c>
      <c r="O16" s="153"/>
    </row>
    <row r="17" spans="1:20" s="2" customFormat="1" ht="19.8" customHeight="1">
      <c r="A17" s="9">
        <v>4</v>
      </c>
      <c r="B17" s="5" t="s">
        <v>69</v>
      </c>
      <c r="C17" s="23">
        <f>L17/100*48</f>
        <v>2332.8000000000002</v>
      </c>
      <c r="D17" s="24">
        <f>C17/100*199</f>
        <v>4642.2720000000008</v>
      </c>
      <c r="E17" s="119">
        <f>C17/100*21.3</f>
        <v>496.88640000000009</v>
      </c>
      <c r="F17" s="119"/>
      <c r="G17" s="119">
        <f>C17/100*13.1</f>
        <v>305.59680000000003</v>
      </c>
      <c r="H17" s="25"/>
      <c r="I17" s="25"/>
      <c r="J17" s="27">
        <f>C17/100*12</f>
        <v>279.93600000000004</v>
      </c>
      <c r="K17" s="27">
        <f>C17/100*0.15</f>
        <v>3.4992000000000005</v>
      </c>
      <c r="L17" s="137">
        <v>4860</v>
      </c>
      <c r="M17" s="26">
        <v>84</v>
      </c>
      <c r="N17" s="28">
        <f t="shared" si="0"/>
        <v>408240</v>
      </c>
      <c r="O17" s="153"/>
      <c r="Q17" s="3"/>
      <c r="R17" s="3"/>
      <c r="S17" s="4"/>
    </row>
    <row r="18" spans="1:20" s="2" customFormat="1" ht="19.8" customHeight="1">
      <c r="A18" s="9">
        <v>5</v>
      </c>
      <c r="B18" s="10" t="s">
        <v>71</v>
      </c>
      <c r="C18" s="23">
        <f>L18/100*98</f>
        <v>1009.4000000000001</v>
      </c>
      <c r="D18" s="24">
        <f>C18/100*139</f>
        <v>1403.0660000000003</v>
      </c>
      <c r="E18" s="119">
        <f>C18/100*19.5</f>
        <v>196.83300000000003</v>
      </c>
      <c r="F18" s="25"/>
      <c r="G18" s="25">
        <f>C18/100*7</f>
        <v>70.658000000000015</v>
      </c>
      <c r="H18" s="25"/>
      <c r="I18" s="25"/>
      <c r="J18" s="25">
        <f>C18/100*7</f>
        <v>70.658000000000015</v>
      </c>
      <c r="K18" s="25">
        <f>C18/100*0.9</f>
        <v>9.0846000000000018</v>
      </c>
      <c r="L18" s="137">
        <v>1030</v>
      </c>
      <c r="M18" s="75">
        <v>133</v>
      </c>
      <c r="N18" s="28">
        <f t="shared" si="0"/>
        <v>136990</v>
      </c>
      <c r="O18" s="153"/>
    </row>
    <row r="19" spans="1:20" s="2" customFormat="1" ht="19.8" customHeight="1">
      <c r="A19" s="9">
        <v>6</v>
      </c>
      <c r="B19" s="79" t="s">
        <v>143</v>
      </c>
      <c r="C19" s="23">
        <f>L19/100*89</f>
        <v>2198.2999999999997</v>
      </c>
      <c r="D19" s="24">
        <f>C19/100*154</f>
        <v>3385.3819999999996</v>
      </c>
      <c r="E19" s="119">
        <f>C19/100*13.1</f>
        <v>287.97729999999996</v>
      </c>
      <c r="F19" s="25"/>
      <c r="G19" s="119">
        <f>C19/100*11.1</f>
        <v>244.01129999999995</v>
      </c>
      <c r="H19" s="25"/>
      <c r="I19" s="25">
        <f>C19/100*0.4</f>
        <v>8.7931999999999988</v>
      </c>
      <c r="J19" s="81">
        <f>C19/100*64</f>
        <v>1406.9119999999998</v>
      </c>
      <c r="K19" s="27">
        <f>C19/100*0.13</f>
        <v>2.8577899999999996</v>
      </c>
      <c r="L19" s="26">
        <v>2470</v>
      </c>
      <c r="M19" s="54">
        <v>77</v>
      </c>
      <c r="N19" s="151">
        <f t="shared" si="0"/>
        <v>190190</v>
      </c>
      <c r="O19" s="153"/>
    </row>
    <row r="20" spans="1:20" s="2" customFormat="1" ht="19.8" customHeight="1">
      <c r="A20" s="9">
        <v>7</v>
      </c>
      <c r="B20" s="5" t="s">
        <v>134</v>
      </c>
      <c r="C20" s="23">
        <f>L20/100*100</f>
        <v>100</v>
      </c>
      <c r="D20" s="24">
        <f>C20/100*247</f>
        <v>247</v>
      </c>
      <c r="E20" s="29"/>
      <c r="F20" s="29">
        <f>C20/100*17.5</f>
        <v>17.5</v>
      </c>
      <c r="G20" s="29"/>
      <c r="H20" s="29">
        <f>C20/100*1.6</f>
        <v>1.6</v>
      </c>
      <c r="I20" s="29">
        <f>C20/100*39.2</f>
        <v>39.200000000000003</v>
      </c>
      <c r="J20" s="71"/>
      <c r="K20" s="71"/>
      <c r="L20" s="375">
        <v>100</v>
      </c>
      <c r="M20" s="75">
        <v>50</v>
      </c>
      <c r="N20" s="28">
        <f t="shared" si="0"/>
        <v>5000</v>
      </c>
      <c r="O20" s="153"/>
      <c r="Q20" s="3"/>
      <c r="R20" s="3"/>
      <c r="S20" s="4"/>
      <c r="T20" s="3"/>
    </row>
    <row r="21" spans="1:20" s="2" customFormat="1" ht="19.8" customHeight="1">
      <c r="A21" s="9">
        <v>8</v>
      </c>
      <c r="B21" s="5" t="s">
        <v>20</v>
      </c>
      <c r="C21" s="23">
        <f>L21/100*95</f>
        <v>978.50000000000011</v>
      </c>
      <c r="D21" s="24">
        <f>C21/100*20</f>
        <v>195.70000000000005</v>
      </c>
      <c r="E21" s="25"/>
      <c r="F21" s="25">
        <f>C21/100*0.6</f>
        <v>5.8710000000000013</v>
      </c>
      <c r="G21" s="25"/>
      <c r="H21" s="25">
        <f>C21/100*0.2</f>
        <v>1.9570000000000005</v>
      </c>
      <c r="I21" s="25">
        <f>C21/100*4</f>
        <v>39.140000000000008</v>
      </c>
      <c r="J21" s="27">
        <f>C21/100*12</f>
        <v>117.42000000000002</v>
      </c>
      <c r="K21" s="24">
        <f>C21/100*0.04</f>
        <v>0.39140000000000008</v>
      </c>
      <c r="L21" s="137">
        <v>1030</v>
      </c>
      <c r="M21" s="77">
        <v>22</v>
      </c>
      <c r="N21" s="28">
        <f t="shared" si="0"/>
        <v>22660</v>
      </c>
      <c r="O21" s="376"/>
      <c r="Q21" s="3"/>
      <c r="R21" s="3"/>
      <c r="S21" s="4"/>
    </row>
    <row r="22" spans="1:20" s="2" customFormat="1" ht="19.8" customHeight="1">
      <c r="A22" s="9">
        <v>9</v>
      </c>
      <c r="B22" s="149" t="s">
        <v>194</v>
      </c>
      <c r="C22" s="23">
        <f>L22/100*86</f>
        <v>3104.6</v>
      </c>
      <c r="D22" s="24">
        <f>C22/100*42</f>
        <v>1303.932</v>
      </c>
      <c r="E22" s="25"/>
      <c r="F22" s="25">
        <f>C22/100*3.2</f>
        <v>99.347200000000001</v>
      </c>
      <c r="G22" s="25"/>
      <c r="H22" s="25">
        <f>C22/100*0.4</f>
        <v>12.4184</v>
      </c>
      <c r="I22" s="25">
        <f>C22/100*6.3</f>
        <v>195.5898</v>
      </c>
      <c r="J22" s="119">
        <f>C22/100*288</f>
        <v>8941.2479999999996</v>
      </c>
      <c r="K22" s="25">
        <f>C22/100*0.08</f>
        <v>2.4836800000000001</v>
      </c>
      <c r="L22" s="137">
        <v>3610</v>
      </c>
      <c r="M22" s="75">
        <v>15</v>
      </c>
      <c r="N22" s="28">
        <f t="shared" si="0"/>
        <v>54150</v>
      </c>
      <c r="O22" s="153"/>
    </row>
    <row r="23" spans="1:20" s="2" customFormat="1" ht="19.8" customHeight="1">
      <c r="A23" s="9">
        <v>10</v>
      </c>
      <c r="B23" s="149" t="s">
        <v>75</v>
      </c>
      <c r="C23" s="23">
        <f>L23/100*75</f>
        <v>1545</v>
      </c>
      <c r="D23" s="24">
        <f>C23/100*12</f>
        <v>185.39999999999998</v>
      </c>
      <c r="E23" s="25"/>
      <c r="F23" s="25">
        <f>C23/100*0.6</f>
        <v>9.27</v>
      </c>
      <c r="G23" s="25"/>
      <c r="H23" s="25"/>
      <c r="I23" s="25">
        <f>C23/100*2.4</f>
        <v>37.08</v>
      </c>
      <c r="J23" s="25">
        <f>C23/100*26</f>
        <v>401.7</v>
      </c>
      <c r="K23" s="25">
        <f>C23/100*0.02</f>
        <v>0.309</v>
      </c>
      <c r="L23" s="137">
        <v>2060</v>
      </c>
      <c r="M23" s="75">
        <v>22</v>
      </c>
      <c r="N23" s="28">
        <f t="shared" si="0"/>
        <v>45320</v>
      </c>
      <c r="O23" s="153"/>
    </row>
    <row r="24" spans="1:20" s="2" customFormat="1" ht="19.8" customHeight="1">
      <c r="A24" s="9">
        <v>11</v>
      </c>
      <c r="B24" s="6" t="s">
        <v>123</v>
      </c>
      <c r="C24" s="23"/>
      <c r="D24" s="24"/>
      <c r="E24" s="25"/>
      <c r="F24" s="25"/>
      <c r="G24" s="25"/>
      <c r="H24" s="25"/>
      <c r="I24" s="25"/>
      <c r="J24" s="27"/>
      <c r="K24" s="27"/>
      <c r="L24" s="26"/>
      <c r="M24" s="26"/>
      <c r="N24" s="28">
        <v>7600</v>
      </c>
      <c r="O24" s="153"/>
    </row>
    <row r="25" spans="1:20" s="2" customFormat="1" ht="19.8" customHeight="1">
      <c r="A25" s="21" t="s">
        <v>105</v>
      </c>
      <c r="B25" s="22"/>
      <c r="C25" s="34"/>
      <c r="D25" s="121">
        <f>SUM(D14:D24)</f>
        <v>46034.901999999987</v>
      </c>
      <c r="E25" s="36"/>
      <c r="F25" s="36"/>
      <c r="G25" s="36"/>
      <c r="H25" s="36"/>
      <c r="I25" s="36"/>
      <c r="J25" s="36"/>
      <c r="K25" s="36"/>
      <c r="L25" s="37"/>
      <c r="M25" s="320"/>
      <c r="N25" s="263">
        <f>SUM(N14:N24)</f>
        <v>1070470</v>
      </c>
      <c r="O25" s="153"/>
    </row>
    <row r="26" spans="1:20" s="2" customFormat="1" ht="19.8" customHeight="1">
      <c r="A26" s="21" t="s">
        <v>6</v>
      </c>
      <c r="B26" s="22"/>
      <c r="C26" s="34"/>
      <c r="D26" s="35">
        <f>D25/D8</f>
        <v>446.94079611650471</v>
      </c>
      <c r="E26" s="36"/>
      <c r="F26" s="36"/>
      <c r="G26" s="36"/>
      <c r="H26" s="36"/>
      <c r="I26" s="36"/>
      <c r="J26" s="36"/>
      <c r="K26" s="36"/>
      <c r="L26" s="37"/>
      <c r="M26" s="321"/>
      <c r="N26" s="264"/>
      <c r="O26" s="153"/>
    </row>
    <row r="27" spans="1:20" s="2" customFormat="1" ht="19.8" customHeight="1">
      <c r="A27" s="301" t="s">
        <v>51</v>
      </c>
      <c r="B27" s="359"/>
      <c r="C27" s="377" t="s">
        <v>147</v>
      </c>
      <c r="D27" s="20" t="s">
        <v>45</v>
      </c>
      <c r="E27" s="36"/>
      <c r="F27" s="36"/>
      <c r="G27" s="36"/>
      <c r="H27" s="36"/>
      <c r="I27" s="36"/>
      <c r="J27" s="36"/>
      <c r="K27" s="36"/>
      <c r="L27" s="37"/>
      <c r="M27" s="37"/>
      <c r="N27" s="38"/>
      <c r="O27" s="153"/>
    </row>
    <row r="28" spans="1:20" s="2" customFormat="1" ht="19.8" customHeight="1">
      <c r="A28" s="360"/>
      <c r="B28" s="361"/>
      <c r="C28" s="76" t="s">
        <v>60</v>
      </c>
      <c r="D28" s="20">
        <f>D26*100/1320</f>
        <v>33.859151220947325</v>
      </c>
      <c r="E28" s="36"/>
      <c r="F28" s="36"/>
      <c r="G28" s="36"/>
      <c r="H28" s="36"/>
      <c r="I28" s="36"/>
      <c r="J28" s="36"/>
      <c r="K28" s="36"/>
      <c r="L28" s="37"/>
      <c r="M28" s="37"/>
      <c r="N28" s="38"/>
      <c r="O28" s="153"/>
    </row>
    <row r="29" spans="1:20" s="2" customFormat="1" ht="19.8" customHeight="1">
      <c r="A29" s="273" t="s">
        <v>35</v>
      </c>
      <c r="B29" s="273"/>
      <c r="C29" s="56"/>
      <c r="D29" s="57"/>
      <c r="E29" s="58"/>
      <c r="F29" s="58"/>
      <c r="G29" s="58"/>
      <c r="H29" s="58"/>
      <c r="I29" s="58"/>
      <c r="J29" s="58"/>
      <c r="K29" s="58"/>
      <c r="L29" s="59"/>
      <c r="M29" s="59"/>
      <c r="N29" s="69"/>
      <c r="O29" s="153"/>
    </row>
    <row r="30" spans="1:20" s="2" customFormat="1" ht="19.8" customHeight="1">
      <c r="A30" s="9">
        <v>1</v>
      </c>
      <c r="B30" s="10" t="s">
        <v>2</v>
      </c>
      <c r="C30" s="23">
        <f t="shared" ref="C30:C36" si="1">L30/100*100</f>
        <v>120</v>
      </c>
      <c r="D30" s="24">
        <f>C30/100*60</f>
        <v>72</v>
      </c>
      <c r="E30" s="25">
        <f>C30/100*15</f>
        <v>18</v>
      </c>
      <c r="F30" s="25"/>
      <c r="G30" s="25"/>
      <c r="H30" s="25"/>
      <c r="I30" s="25"/>
      <c r="J30" s="27">
        <f>C30/100*387</f>
        <v>464.4</v>
      </c>
      <c r="K30" s="27">
        <f>C30/100*0.09</f>
        <v>0.108</v>
      </c>
      <c r="L30" s="137">
        <v>120</v>
      </c>
      <c r="M30" s="75">
        <v>20</v>
      </c>
      <c r="N30" s="135">
        <f>L30*M30</f>
        <v>2400</v>
      </c>
      <c r="O30" s="153"/>
    </row>
    <row r="31" spans="1:20" s="2" customFormat="1" ht="19.8" customHeight="1">
      <c r="A31" s="9">
        <v>2</v>
      </c>
      <c r="B31" s="146" t="s">
        <v>139</v>
      </c>
      <c r="C31" s="23">
        <f t="shared" si="1"/>
        <v>520</v>
      </c>
      <c r="D31" s="24">
        <f>C31/100*899</f>
        <v>4674.8</v>
      </c>
      <c r="E31" s="25"/>
      <c r="F31" s="25"/>
      <c r="G31" s="119">
        <f>C31/100*100</f>
        <v>520</v>
      </c>
      <c r="H31" s="25"/>
      <c r="I31" s="25"/>
      <c r="J31" s="25"/>
      <c r="K31" s="25"/>
      <c r="L31" s="137">
        <v>520</v>
      </c>
      <c r="M31" s="144">
        <v>69</v>
      </c>
      <c r="N31" s="135">
        <f t="shared" ref="N31:N40" si="2">L31*M31</f>
        <v>35880</v>
      </c>
      <c r="O31" s="378"/>
    </row>
    <row r="32" spans="1:20" s="2" customFormat="1" ht="19.8" customHeight="1">
      <c r="A32" s="9">
        <v>3</v>
      </c>
      <c r="B32" s="148" t="s">
        <v>142</v>
      </c>
      <c r="C32" s="23">
        <f>L32/100*100</f>
        <v>160</v>
      </c>
      <c r="D32" s="120">
        <f>C32/100*900</f>
        <v>1440</v>
      </c>
      <c r="E32" s="25"/>
      <c r="F32" s="25"/>
      <c r="G32" s="119"/>
      <c r="H32" s="119">
        <f>C32/100*100</f>
        <v>160</v>
      </c>
      <c r="I32" s="25"/>
      <c r="J32" s="25"/>
      <c r="K32" s="25"/>
      <c r="L32" s="137">
        <v>160</v>
      </c>
      <c r="M32" s="75">
        <v>65</v>
      </c>
      <c r="N32" s="135">
        <f t="shared" si="2"/>
        <v>10400</v>
      </c>
      <c r="O32" s="378"/>
    </row>
    <row r="33" spans="1:23" s="2" customFormat="1" ht="19.8" customHeight="1">
      <c r="A33" s="9">
        <v>4</v>
      </c>
      <c r="B33" s="5" t="s">
        <v>1</v>
      </c>
      <c r="C33" s="23">
        <f t="shared" si="1"/>
        <v>1545</v>
      </c>
      <c r="D33" s="24">
        <f>C33/100*325</f>
        <v>5021.25</v>
      </c>
      <c r="E33" s="25"/>
      <c r="F33" s="119">
        <f>C33/100*7.9</f>
        <v>122.05500000000001</v>
      </c>
      <c r="G33" s="25"/>
      <c r="H33" s="25">
        <f>C33/100*1</f>
        <v>15.45</v>
      </c>
      <c r="I33" s="119">
        <f>C33/100*68.5</f>
        <v>1058.325</v>
      </c>
      <c r="J33" s="27">
        <f>C33/100*30</f>
        <v>463.5</v>
      </c>
      <c r="K33" s="27">
        <f>C33/100*0.1</f>
        <v>1.5449999999999999</v>
      </c>
      <c r="L33" s="137">
        <v>1545</v>
      </c>
      <c r="M33" s="75">
        <v>18</v>
      </c>
      <c r="N33" s="135">
        <f t="shared" si="2"/>
        <v>27810</v>
      </c>
      <c r="O33" s="153"/>
    </row>
    <row r="34" spans="1:23" s="2" customFormat="1" ht="19.8" customHeight="1">
      <c r="A34" s="9">
        <v>5</v>
      </c>
      <c r="B34" s="5" t="s">
        <v>73</v>
      </c>
      <c r="C34" s="23">
        <f t="shared" si="1"/>
        <v>1030</v>
      </c>
      <c r="D34" s="24">
        <f>C34/100*344</f>
        <v>3543.2000000000003</v>
      </c>
      <c r="E34" s="25"/>
      <c r="F34" s="25">
        <f>C34/100*8.6</f>
        <v>88.58</v>
      </c>
      <c r="G34" s="25"/>
      <c r="H34" s="25">
        <f>C34/100*1.5</f>
        <v>15.450000000000001</v>
      </c>
      <c r="I34" s="25">
        <f>C34/100*74.5</f>
        <v>767.35</v>
      </c>
      <c r="J34" s="25">
        <f>C34/100*32</f>
        <v>329.6</v>
      </c>
      <c r="K34" s="25">
        <f>C34/100*0.14</f>
        <v>1.4420000000000002</v>
      </c>
      <c r="L34" s="137">
        <v>1030</v>
      </c>
      <c r="M34" s="75">
        <v>30</v>
      </c>
      <c r="N34" s="135">
        <f t="shared" si="2"/>
        <v>30900</v>
      </c>
      <c r="O34" s="153"/>
      <c r="P34" s="18"/>
    </row>
    <row r="35" spans="1:23" s="2" customFormat="1" ht="19.8" customHeight="1">
      <c r="A35" s="9">
        <v>6</v>
      </c>
      <c r="B35" s="5" t="s">
        <v>67</v>
      </c>
      <c r="C35" s="23">
        <f t="shared" si="1"/>
        <v>210</v>
      </c>
      <c r="D35" s="24">
        <f>C35/100*334</f>
        <v>701.4</v>
      </c>
      <c r="E35" s="25"/>
      <c r="F35" s="25">
        <f>C35/100*20</f>
        <v>42</v>
      </c>
      <c r="G35" s="25"/>
      <c r="H35" s="25">
        <f>C35/100*2.4</f>
        <v>5.04</v>
      </c>
      <c r="I35" s="25">
        <f>C35/100*58</f>
        <v>121.80000000000001</v>
      </c>
      <c r="J35" s="27">
        <f>C35/100*89</f>
        <v>186.9</v>
      </c>
      <c r="K35" s="27">
        <f>C35/100*0.64</f>
        <v>1.3440000000000001</v>
      </c>
      <c r="L35" s="137">
        <v>210</v>
      </c>
      <c r="M35" s="75">
        <v>190</v>
      </c>
      <c r="N35" s="135">
        <f>L35*M35</f>
        <v>39900</v>
      </c>
      <c r="O35" s="153"/>
    </row>
    <row r="36" spans="1:23" s="2" customFormat="1" ht="19.8" customHeight="1">
      <c r="A36" s="9">
        <v>7</v>
      </c>
      <c r="B36" s="5" t="s">
        <v>134</v>
      </c>
      <c r="C36" s="23">
        <f t="shared" si="1"/>
        <v>70</v>
      </c>
      <c r="D36" s="24">
        <f>C36/100*247</f>
        <v>172.89999999999998</v>
      </c>
      <c r="E36" s="29"/>
      <c r="F36" s="29">
        <f>C36/100*17.5</f>
        <v>12.25</v>
      </c>
      <c r="G36" s="29"/>
      <c r="H36" s="29">
        <f>C36/100*1.6</f>
        <v>1.1199999999999999</v>
      </c>
      <c r="I36" s="29">
        <f>C36/100*39.2</f>
        <v>27.44</v>
      </c>
      <c r="J36" s="71"/>
      <c r="K36" s="71"/>
      <c r="L36" s="375">
        <v>70</v>
      </c>
      <c r="M36" s="75">
        <v>50</v>
      </c>
      <c r="N36" s="135">
        <f t="shared" ref="N36:N39" si="3">L36*M36</f>
        <v>3500</v>
      </c>
      <c r="O36" s="153"/>
      <c r="Q36" s="3"/>
      <c r="R36" s="3"/>
      <c r="S36" s="4"/>
      <c r="T36" s="3"/>
    </row>
    <row r="37" spans="1:23" s="2" customFormat="1" ht="19.8" customHeight="1">
      <c r="A37" s="9">
        <v>8</v>
      </c>
      <c r="B37" s="5" t="s">
        <v>4</v>
      </c>
      <c r="C37" s="23">
        <f>L37/100*98.5</f>
        <v>1526.75</v>
      </c>
      <c r="D37" s="24">
        <f>C37/100*39</f>
        <v>595.4325</v>
      </c>
      <c r="E37" s="29"/>
      <c r="F37" s="29">
        <f>C37/100*1.5</f>
        <v>22.901250000000001</v>
      </c>
      <c r="G37" s="29"/>
      <c r="H37" s="29">
        <f>C37/100*0.2</f>
        <v>3.0535000000000001</v>
      </c>
      <c r="I37" s="29">
        <f>C37/100*7.8</f>
        <v>119.0865</v>
      </c>
      <c r="J37" s="29">
        <f>C37/100*43</f>
        <v>656.50250000000005</v>
      </c>
      <c r="K37" s="29">
        <f>C37/100*0.06</f>
        <v>0.91604999999999992</v>
      </c>
      <c r="L37" s="375">
        <v>1550</v>
      </c>
      <c r="M37" s="26">
        <v>17</v>
      </c>
      <c r="N37" s="135">
        <f t="shared" si="3"/>
        <v>26350</v>
      </c>
      <c r="O37" s="153"/>
      <c r="Q37" s="3"/>
      <c r="R37" s="3"/>
      <c r="S37" s="4"/>
    </row>
    <row r="38" spans="1:23" s="2" customFormat="1" ht="19.8" customHeight="1">
      <c r="A38" s="9">
        <v>8</v>
      </c>
      <c r="B38" s="10" t="s">
        <v>3</v>
      </c>
      <c r="C38" s="23">
        <f>L38/100*98</f>
        <v>1215.2</v>
      </c>
      <c r="D38" s="24">
        <f>C38/100*118</f>
        <v>1433.9360000000001</v>
      </c>
      <c r="E38" s="119">
        <f>C38/100*21</f>
        <v>255.19200000000001</v>
      </c>
      <c r="F38" s="25"/>
      <c r="G38" s="25">
        <f>C38/100*3.8</f>
        <v>46.177599999999998</v>
      </c>
      <c r="H38" s="25"/>
      <c r="I38" s="25"/>
      <c r="J38" s="25">
        <f>C38/100*12</f>
        <v>145.82400000000001</v>
      </c>
      <c r="K38" s="25">
        <f>C38/100*0.1</f>
        <v>1.2152000000000003</v>
      </c>
      <c r="L38" s="137">
        <v>1240</v>
      </c>
      <c r="M38" s="143">
        <v>270</v>
      </c>
      <c r="N38" s="135">
        <f t="shared" si="3"/>
        <v>334800</v>
      </c>
      <c r="O38" s="153"/>
    </row>
    <row r="39" spans="1:23" s="2" customFormat="1" ht="19.8" customHeight="1">
      <c r="A39" s="9">
        <v>9</v>
      </c>
      <c r="B39" s="5" t="s">
        <v>69</v>
      </c>
      <c r="C39" s="23">
        <f>L39/100*48</f>
        <v>1262.4000000000001</v>
      </c>
      <c r="D39" s="24">
        <f>C39/100*199</f>
        <v>2512.1759999999999</v>
      </c>
      <c r="E39" s="119">
        <f>C39/100*21.3</f>
        <v>268.89120000000003</v>
      </c>
      <c r="F39" s="119"/>
      <c r="G39" s="119">
        <f>C39/100*13.1</f>
        <v>165.37440000000001</v>
      </c>
      <c r="H39" s="25"/>
      <c r="I39" s="25"/>
      <c r="J39" s="27">
        <f>C39/100*12</f>
        <v>151.488</v>
      </c>
      <c r="K39" s="27">
        <f>C39/100*0.15</f>
        <v>1.8935999999999999</v>
      </c>
      <c r="L39" s="137">
        <v>2630</v>
      </c>
      <c r="M39" s="137">
        <v>84</v>
      </c>
      <c r="N39" s="135">
        <f t="shared" si="3"/>
        <v>220920</v>
      </c>
      <c r="O39" s="153"/>
      <c r="Q39" s="3"/>
      <c r="R39" s="3"/>
      <c r="S39" s="4"/>
    </row>
    <row r="40" spans="1:23" s="2" customFormat="1" ht="19.8" customHeight="1">
      <c r="A40" s="9">
        <v>10</v>
      </c>
      <c r="B40" s="152" t="s">
        <v>145</v>
      </c>
      <c r="C40" s="23">
        <f>L40/100*100</f>
        <v>1750</v>
      </c>
      <c r="D40" s="24">
        <f>C40/100*487</f>
        <v>8522.5</v>
      </c>
      <c r="E40" s="29"/>
      <c r="F40" s="168">
        <f>C40/100*19.5</f>
        <v>341.25</v>
      </c>
      <c r="G40" s="168"/>
      <c r="H40" s="168">
        <f>C40/100*23.2</f>
        <v>406</v>
      </c>
      <c r="I40" s="29">
        <f>C40/100*46</f>
        <v>805</v>
      </c>
      <c r="J40" s="119">
        <f>C40/100*680</f>
        <v>11900</v>
      </c>
      <c r="K40" s="25">
        <f>C40/100*0.55</f>
        <v>9.625</v>
      </c>
      <c r="L40" s="30">
        <v>1750</v>
      </c>
      <c r="M40" s="143">
        <v>260</v>
      </c>
      <c r="N40" s="135">
        <f t="shared" si="2"/>
        <v>455000</v>
      </c>
      <c r="O40" s="153"/>
      <c r="P40" s="3"/>
    </row>
    <row r="41" spans="1:23" s="2" customFormat="1" ht="19.8" customHeight="1">
      <c r="A41" s="103">
        <v>11</v>
      </c>
      <c r="B41" s="112" t="s">
        <v>123</v>
      </c>
      <c r="C41" s="104"/>
      <c r="D41" s="105"/>
      <c r="E41" s="106"/>
      <c r="F41" s="106"/>
      <c r="G41" s="106"/>
      <c r="H41" s="106"/>
      <c r="I41" s="106"/>
      <c r="J41" s="114"/>
      <c r="K41" s="114"/>
      <c r="L41" s="107"/>
      <c r="M41" s="107"/>
      <c r="N41" s="108">
        <v>6480</v>
      </c>
      <c r="O41" s="153"/>
      <c r="P41" s="153"/>
    </row>
    <row r="42" spans="1:23" ht="21" customHeight="1">
      <c r="A42" s="190" t="s">
        <v>0</v>
      </c>
      <c r="B42" s="200" t="s">
        <v>19</v>
      </c>
      <c r="C42" s="328" t="s">
        <v>8</v>
      </c>
      <c r="D42" s="203" t="s">
        <v>9</v>
      </c>
      <c r="E42" s="193" t="s">
        <v>11</v>
      </c>
      <c r="F42" s="194"/>
      <c r="G42" s="193" t="s">
        <v>13</v>
      </c>
      <c r="H42" s="194"/>
      <c r="I42" s="197" t="s">
        <v>16</v>
      </c>
      <c r="J42" s="197" t="s">
        <v>41</v>
      </c>
      <c r="K42" s="197" t="s">
        <v>42</v>
      </c>
      <c r="L42" s="197" t="s">
        <v>17</v>
      </c>
      <c r="M42" s="197" t="s">
        <v>57</v>
      </c>
      <c r="N42" s="190" t="s">
        <v>18</v>
      </c>
      <c r="O42" s="374"/>
    </row>
    <row r="43" spans="1:23" ht="21" customHeight="1">
      <c r="A43" s="191"/>
      <c r="B43" s="201"/>
      <c r="C43" s="329"/>
      <c r="D43" s="204"/>
      <c r="E43" s="195"/>
      <c r="F43" s="196"/>
      <c r="G43" s="195"/>
      <c r="H43" s="196"/>
      <c r="I43" s="198"/>
      <c r="J43" s="198"/>
      <c r="K43" s="198"/>
      <c r="L43" s="198"/>
      <c r="M43" s="198"/>
      <c r="N43" s="191"/>
      <c r="O43" s="178"/>
    </row>
    <row r="44" spans="1:23" ht="21" customHeight="1">
      <c r="A44" s="191"/>
      <c r="B44" s="201"/>
      <c r="C44" s="329"/>
      <c r="D44" s="204"/>
      <c r="E44" s="197" t="s">
        <v>10</v>
      </c>
      <c r="F44" s="197" t="s">
        <v>12</v>
      </c>
      <c r="G44" s="197" t="s">
        <v>14</v>
      </c>
      <c r="H44" s="197" t="s">
        <v>15</v>
      </c>
      <c r="I44" s="198"/>
      <c r="J44" s="198"/>
      <c r="K44" s="198"/>
      <c r="L44" s="198"/>
      <c r="M44" s="198"/>
      <c r="N44" s="191"/>
      <c r="O44" s="178"/>
    </row>
    <row r="45" spans="1:23" ht="21" customHeight="1">
      <c r="A45" s="192"/>
      <c r="B45" s="202"/>
      <c r="C45" s="330"/>
      <c r="D45" s="205"/>
      <c r="E45" s="199"/>
      <c r="F45" s="199"/>
      <c r="G45" s="199"/>
      <c r="H45" s="199"/>
      <c r="I45" s="199"/>
      <c r="J45" s="199"/>
      <c r="K45" s="199"/>
      <c r="L45" s="199"/>
      <c r="M45" s="199"/>
      <c r="N45" s="192"/>
      <c r="O45" s="178"/>
    </row>
    <row r="46" spans="1:23" s="2" customFormat="1" ht="21" customHeight="1">
      <c r="A46" s="21" t="s">
        <v>106</v>
      </c>
      <c r="B46" s="22"/>
      <c r="C46" s="34"/>
      <c r="D46" s="121">
        <f>SUM(D30:D41)</f>
        <v>28689.594499999999</v>
      </c>
      <c r="E46" s="43"/>
      <c r="F46" s="43"/>
      <c r="G46" s="43"/>
      <c r="H46" s="43"/>
      <c r="I46" s="43"/>
      <c r="J46" s="43"/>
      <c r="K46" s="43"/>
      <c r="L46" s="44"/>
      <c r="M46" s="318"/>
      <c r="N46" s="263">
        <f>SUM(N30:N41)</f>
        <v>1194340</v>
      </c>
      <c r="O46" s="153"/>
    </row>
    <row r="47" spans="1:23" ht="21" customHeight="1">
      <c r="A47" s="21" t="s">
        <v>7</v>
      </c>
      <c r="B47" s="22"/>
      <c r="C47" s="45"/>
      <c r="D47" s="46">
        <f>D46/D8</f>
        <v>278.53975242718445</v>
      </c>
      <c r="E47" s="46"/>
      <c r="F47" s="46"/>
      <c r="G47" s="46"/>
      <c r="H47" s="46"/>
      <c r="I47" s="46"/>
      <c r="J47" s="46"/>
      <c r="K47" s="46"/>
      <c r="L47" s="47"/>
      <c r="M47" s="319"/>
      <c r="N47" s="264"/>
      <c r="O47" s="4"/>
      <c r="P47" s="2"/>
      <c r="Q47" s="2"/>
      <c r="R47" s="2"/>
      <c r="S47" s="2"/>
      <c r="T47" s="2"/>
      <c r="U47" s="2"/>
      <c r="V47" s="2"/>
    </row>
    <row r="48" spans="1:23" ht="21" customHeight="1">
      <c r="A48" s="301" t="s">
        <v>52</v>
      </c>
      <c r="B48" s="211"/>
      <c r="C48" s="377" t="s">
        <v>147</v>
      </c>
      <c r="D48" s="20" t="s">
        <v>58</v>
      </c>
      <c r="E48" s="46"/>
      <c r="F48" s="46"/>
      <c r="G48" s="46"/>
      <c r="H48" s="46"/>
      <c r="I48" s="46"/>
      <c r="J48" s="48"/>
      <c r="K48" s="48"/>
      <c r="L48" s="47"/>
      <c r="M48" s="47"/>
      <c r="N48" s="179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12"/>
      <c r="B49" s="213"/>
      <c r="C49" s="76" t="s">
        <v>60</v>
      </c>
      <c r="D49" s="20">
        <f>D47*100/1320</f>
        <v>21.101496395998822</v>
      </c>
      <c r="E49" s="46"/>
      <c r="F49" s="46"/>
      <c r="G49" s="46"/>
      <c r="H49" s="46"/>
      <c r="I49" s="46"/>
      <c r="J49" s="48"/>
      <c r="K49" s="48"/>
      <c r="L49" s="47"/>
      <c r="M49" s="47"/>
      <c r="N49" s="179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227" t="s">
        <v>107</v>
      </c>
      <c r="B50" s="228"/>
      <c r="C50" s="231"/>
      <c r="D50" s="296">
        <f>D25+D46</f>
        <v>74724.496499999979</v>
      </c>
      <c r="E50" s="123">
        <f>SUM(E14:E41)</f>
        <v>1544.7799000000002</v>
      </c>
      <c r="F50" s="123">
        <f t="shared" ref="F50:H50" si="4">SUM(F14:F41)</f>
        <v>1534.0394499999998</v>
      </c>
      <c r="G50" s="123">
        <f t="shared" si="4"/>
        <v>1661.8181</v>
      </c>
      <c r="H50" s="50">
        <f t="shared" si="4"/>
        <v>719.93889999999999</v>
      </c>
      <c r="I50" s="216">
        <f>SUM(I14:I41)</f>
        <v>9921.5294999999987</v>
      </c>
      <c r="J50" s="216">
        <f>SUM(J14:J41)</f>
        <v>28993.388500000001</v>
      </c>
      <c r="K50" s="214">
        <f>SUM(K14:K41)</f>
        <v>46.625520000000002</v>
      </c>
      <c r="L50" s="243"/>
      <c r="M50" s="243"/>
      <c r="N50" s="298">
        <f>N25+N46</f>
        <v>2264810</v>
      </c>
      <c r="U50" s="12"/>
      <c r="V50" s="12"/>
    </row>
    <row r="51" spans="1:23" ht="21" customHeight="1">
      <c r="A51" s="229"/>
      <c r="B51" s="230"/>
      <c r="C51" s="232"/>
      <c r="D51" s="297"/>
      <c r="E51" s="323">
        <f>E50+F50</f>
        <v>3078.8193499999998</v>
      </c>
      <c r="F51" s="324"/>
      <c r="G51" s="225">
        <f>G50+H50</f>
        <v>2381.7570000000001</v>
      </c>
      <c r="H51" s="226"/>
      <c r="I51" s="217"/>
      <c r="J51" s="217"/>
      <c r="K51" s="215"/>
      <c r="L51" s="243"/>
      <c r="M51" s="243"/>
      <c r="N51" s="298"/>
      <c r="U51" s="12"/>
      <c r="V51" s="12"/>
    </row>
    <row r="52" spans="1:23" ht="21" customHeight="1">
      <c r="A52" s="267" t="s">
        <v>77</v>
      </c>
      <c r="B52" s="268"/>
      <c r="C52" s="269"/>
      <c r="D52" s="138">
        <f>D50/D8</f>
        <v>725.48054854368911</v>
      </c>
      <c r="E52" s="379">
        <f>E50/D8</f>
        <v>14.997863106796119</v>
      </c>
      <c r="F52" s="380">
        <f>F50/D8</f>
        <v>14.893586893203882</v>
      </c>
      <c r="G52" s="379">
        <f>G50/D8</f>
        <v>16.134156310679611</v>
      </c>
      <c r="H52" s="380">
        <f>H50/D8</f>
        <v>6.9896980582524275</v>
      </c>
      <c r="I52" s="208">
        <f>I50/D8</f>
        <v>96.325529126213581</v>
      </c>
      <c r="J52" s="208">
        <f>J50/D8</f>
        <v>281.48920873786409</v>
      </c>
      <c r="K52" s="299">
        <f>K50/D8</f>
        <v>0.4526749514563107</v>
      </c>
      <c r="L52" s="243"/>
      <c r="M52" s="243"/>
      <c r="N52" s="298"/>
      <c r="P52" s="392"/>
      <c r="Q52" s="393"/>
      <c r="R52" s="393"/>
      <c r="S52" s="393"/>
      <c r="T52" s="393"/>
      <c r="U52" s="394"/>
      <c r="V52" s="394"/>
    </row>
    <row r="53" spans="1:23" ht="21" customHeight="1">
      <c r="A53" s="270"/>
      <c r="B53" s="271"/>
      <c r="C53" s="272"/>
      <c r="D53" s="127"/>
      <c r="E53" s="381">
        <f>E52+F52</f>
        <v>29.891449999999999</v>
      </c>
      <c r="F53" s="382"/>
      <c r="G53" s="381">
        <f>G52+H52</f>
        <v>23.123854368932037</v>
      </c>
      <c r="H53" s="382"/>
      <c r="I53" s="209"/>
      <c r="J53" s="209"/>
      <c r="K53" s="300"/>
      <c r="L53" s="243"/>
      <c r="M53" s="243"/>
      <c r="N53" s="298"/>
      <c r="P53" s="395"/>
      <c r="Q53" s="393"/>
      <c r="R53" s="393"/>
      <c r="S53" s="393"/>
      <c r="T53" s="393"/>
      <c r="U53" s="393"/>
      <c r="V53" s="393"/>
    </row>
    <row r="54" spans="1:23" ht="21" customHeight="1">
      <c r="A54" s="315" t="s">
        <v>80</v>
      </c>
      <c r="B54" s="316"/>
      <c r="C54" s="317"/>
      <c r="D54" s="183" t="s">
        <v>28</v>
      </c>
      <c r="E54" s="235" t="s">
        <v>21</v>
      </c>
      <c r="F54" s="235"/>
      <c r="G54" s="235" t="s">
        <v>22</v>
      </c>
      <c r="H54" s="235"/>
      <c r="I54" s="383" t="s">
        <v>23</v>
      </c>
      <c r="J54" s="383">
        <v>600</v>
      </c>
      <c r="K54" s="383">
        <v>0.7</v>
      </c>
      <c r="L54" s="243"/>
      <c r="M54" s="243"/>
      <c r="N54" s="298"/>
      <c r="O54" s="384"/>
      <c r="P54" s="392"/>
      <c r="Q54" s="392"/>
      <c r="R54" s="392"/>
      <c r="S54" s="392"/>
      <c r="T54" s="392"/>
      <c r="U54" s="392"/>
      <c r="V54" s="392"/>
    </row>
    <row r="55" spans="1:23" ht="21" customHeight="1">
      <c r="A55" s="218" t="s">
        <v>78</v>
      </c>
      <c r="B55" s="219"/>
      <c r="C55" s="220"/>
      <c r="D55" s="49"/>
      <c r="E55" s="206">
        <f>E53*4.1</f>
        <v>122.55494499999999</v>
      </c>
      <c r="F55" s="207"/>
      <c r="G55" s="206">
        <f>G53*9</f>
        <v>208.11468932038832</v>
      </c>
      <c r="H55" s="207"/>
      <c r="I55" s="122">
        <f>I52*4.1</f>
        <v>394.93466941747567</v>
      </c>
      <c r="J55" s="253"/>
      <c r="K55" s="253"/>
      <c r="L55" s="243"/>
      <c r="M55" s="243"/>
      <c r="N55" s="298"/>
      <c r="O55" s="384"/>
      <c r="P55" s="396"/>
      <c r="Q55" s="397"/>
      <c r="R55" s="397"/>
      <c r="S55" s="397"/>
      <c r="T55" s="392"/>
      <c r="U55" s="392"/>
      <c r="V55" s="392"/>
    </row>
    <row r="56" spans="1:23" ht="21" customHeight="1">
      <c r="A56" s="221" t="s">
        <v>81</v>
      </c>
      <c r="B56" s="222"/>
      <c r="C56" s="218" t="s">
        <v>59</v>
      </c>
      <c r="D56" s="220"/>
      <c r="E56" s="255">
        <f>E55*100/D52</f>
        <v>16.892933276572833</v>
      </c>
      <c r="F56" s="256"/>
      <c r="G56" s="255">
        <f>G55*100/D52</f>
        <v>28.686460269424501</v>
      </c>
      <c r="H56" s="256"/>
      <c r="I56" s="115">
        <f>I55*100/D52</f>
        <v>54.437664829230407</v>
      </c>
      <c r="J56" s="254"/>
      <c r="K56" s="254"/>
      <c r="L56" s="243"/>
      <c r="M56" s="243"/>
      <c r="N56" s="298"/>
      <c r="O56" s="384"/>
      <c r="P56" s="392"/>
      <c r="Q56" s="392"/>
      <c r="R56" s="392"/>
      <c r="S56" s="392"/>
      <c r="T56" s="392"/>
      <c r="U56" s="392"/>
      <c r="V56" s="392"/>
    </row>
    <row r="57" spans="1:23" ht="21" customHeight="1">
      <c r="A57" s="223"/>
      <c r="B57" s="224"/>
      <c r="C57" s="218" t="s">
        <v>79</v>
      </c>
      <c r="D57" s="220"/>
      <c r="E57" s="218" t="s">
        <v>82</v>
      </c>
      <c r="F57" s="220"/>
      <c r="G57" s="218" t="s">
        <v>83</v>
      </c>
      <c r="H57" s="220"/>
      <c r="I57" s="183" t="s">
        <v>84</v>
      </c>
      <c r="J57" s="234"/>
      <c r="K57" s="234"/>
      <c r="L57" s="243"/>
      <c r="M57" s="243"/>
      <c r="N57" s="298"/>
      <c r="O57" s="384"/>
      <c r="P57" s="132"/>
    </row>
    <row r="58" spans="1:23" ht="21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4"/>
      <c r="M58" s="94"/>
      <c r="N58" s="95"/>
      <c r="O58" s="384"/>
    </row>
    <row r="59" spans="1:23" ht="21" customHeight="1">
      <c r="A59" s="293" t="s">
        <v>114</v>
      </c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384"/>
    </row>
    <row r="60" spans="1:23" ht="21" customHeight="1">
      <c r="A60" s="117" t="s">
        <v>115</v>
      </c>
      <c r="B60" s="294" t="s">
        <v>116</v>
      </c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384"/>
    </row>
    <row r="61" spans="1:23" ht="21" customHeight="1">
      <c r="A61" s="118"/>
      <c r="B61" s="258" t="s">
        <v>222</v>
      </c>
      <c r="C61" s="258"/>
      <c r="D61" s="258"/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384"/>
    </row>
    <row r="62" spans="1:23" ht="21" customHeight="1">
      <c r="A62" s="118"/>
      <c r="B62" s="258" t="s">
        <v>195</v>
      </c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384"/>
    </row>
    <row r="63" spans="1:23" ht="21" customHeight="1">
      <c r="A63" s="118"/>
      <c r="B63" s="258" t="s">
        <v>223</v>
      </c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384"/>
    </row>
    <row r="64" spans="1:23" ht="21" customHeight="1">
      <c r="A64" s="90"/>
      <c r="B64" s="259" t="s">
        <v>117</v>
      </c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384"/>
    </row>
    <row r="65" spans="1:15" ht="21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4"/>
      <c r="M65" s="94"/>
      <c r="N65" s="95"/>
      <c r="O65" s="384"/>
    </row>
    <row r="66" spans="1:15" ht="21" customHeight="1">
      <c r="A66" s="260" t="s">
        <v>62</v>
      </c>
      <c r="B66" s="260"/>
      <c r="C66" s="260"/>
      <c r="D66" s="260"/>
      <c r="E66" s="385"/>
      <c r="F66" s="385"/>
      <c r="G66" s="385"/>
      <c r="H66" s="385"/>
      <c r="I66" s="385"/>
      <c r="J66" s="386" t="s">
        <v>33</v>
      </c>
      <c r="K66" s="386"/>
      <c r="L66" s="386"/>
      <c r="M66" s="386"/>
      <c r="N66" s="386"/>
      <c r="O66" s="384"/>
    </row>
    <row r="67" spans="1:15" ht="21" customHeight="1">
      <c r="A67" s="178"/>
      <c r="B67" s="178"/>
      <c r="C67" s="178"/>
      <c r="D67" s="385"/>
      <c r="E67" s="385"/>
      <c r="F67" s="385"/>
      <c r="G67" s="385"/>
      <c r="H67" s="387"/>
      <c r="I67" s="387"/>
      <c r="J67" s="387"/>
      <c r="K67" s="387"/>
      <c r="L67" s="387"/>
      <c r="M67" s="387"/>
      <c r="N67" s="387"/>
      <c r="O67" s="384"/>
    </row>
    <row r="68" spans="1:15" ht="21" customHeight="1">
      <c r="A68" s="178"/>
      <c r="B68" s="178"/>
      <c r="C68" s="178"/>
      <c r="D68" s="385"/>
      <c r="E68" s="385"/>
      <c r="F68" s="385"/>
      <c r="G68" s="385"/>
      <c r="H68" s="387"/>
      <c r="I68" s="387"/>
      <c r="J68" s="387"/>
      <c r="K68" s="387"/>
      <c r="L68" s="387"/>
      <c r="M68" s="387"/>
      <c r="N68" s="387"/>
      <c r="O68" s="384"/>
    </row>
    <row r="69" spans="1:15" ht="21" customHeight="1">
      <c r="A69" s="178"/>
      <c r="B69" s="178"/>
      <c r="C69" s="178"/>
      <c r="D69" s="385"/>
      <c r="E69" s="385"/>
      <c r="F69" s="385"/>
      <c r="G69" s="385"/>
      <c r="H69" s="387"/>
      <c r="I69" s="387"/>
      <c r="J69" s="388" t="s">
        <v>124</v>
      </c>
      <c r="K69" s="388"/>
      <c r="L69" s="388"/>
      <c r="M69" s="388"/>
      <c r="N69" s="388"/>
      <c r="O69" s="384"/>
    </row>
    <row r="70" spans="1:15" ht="21" customHeight="1">
      <c r="A70" s="261" t="s">
        <v>91</v>
      </c>
      <c r="B70" s="261"/>
      <c r="C70" s="261"/>
      <c r="D70" s="261"/>
      <c r="E70" s="385"/>
      <c r="F70" s="385"/>
      <c r="G70" s="385"/>
      <c r="H70" s="387"/>
      <c r="I70" s="387"/>
      <c r="O70" s="384"/>
    </row>
    <row r="71" spans="1:15" ht="21" customHeight="1">
      <c r="A71" s="178"/>
      <c r="B71" s="178"/>
      <c r="C71" s="178"/>
      <c r="D71" s="385"/>
      <c r="E71" s="385"/>
      <c r="F71" s="385"/>
      <c r="G71" s="385"/>
      <c r="H71" s="387"/>
      <c r="I71" s="387"/>
      <c r="J71" s="387"/>
      <c r="K71" s="387"/>
      <c r="L71" s="387"/>
      <c r="M71" s="387"/>
      <c r="N71" s="387"/>
      <c r="O71" s="384"/>
    </row>
    <row r="72" spans="1:15" ht="21" customHeight="1">
      <c r="A72" s="178"/>
      <c r="B72" s="178"/>
      <c r="C72" s="178"/>
      <c r="D72" s="385"/>
      <c r="E72" s="385"/>
      <c r="F72" s="385"/>
      <c r="G72" s="385"/>
      <c r="H72" s="387"/>
      <c r="I72" s="387"/>
      <c r="J72" s="388" t="s">
        <v>127</v>
      </c>
      <c r="K72" s="388"/>
      <c r="L72" s="388"/>
      <c r="M72" s="388"/>
      <c r="N72" s="388"/>
      <c r="O72" s="384"/>
    </row>
    <row r="73" spans="1:15" ht="21" customHeight="1">
      <c r="A73" s="178"/>
      <c r="B73" s="178"/>
      <c r="C73" s="178"/>
      <c r="D73" s="385"/>
      <c r="E73" s="385"/>
      <c r="F73" s="385"/>
      <c r="G73" s="385"/>
      <c r="H73" s="387"/>
      <c r="I73" s="387"/>
      <c r="J73" s="387"/>
      <c r="K73" s="387"/>
      <c r="L73" s="387"/>
      <c r="M73" s="387"/>
      <c r="N73" s="387"/>
      <c r="O73" s="384"/>
    </row>
    <row r="74" spans="1:15" ht="21" customHeight="1">
      <c r="A74" s="178"/>
      <c r="B74" s="178"/>
      <c r="C74" s="178"/>
      <c r="D74" s="385"/>
      <c r="E74" s="385"/>
      <c r="F74" s="385"/>
      <c r="G74" s="385"/>
      <c r="H74" s="387"/>
      <c r="I74" s="387"/>
      <c r="J74" s="387"/>
      <c r="K74" s="387"/>
      <c r="L74" s="387"/>
      <c r="M74" s="387"/>
      <c r="N74" s="387"/>
      <c r="O74" s="384"/>
    </row>
    <row r="75" spans="1:15" ht="21" customHeight="1">
      <c r="A75" s="178"/>
      <c r="B75" s="178"/>
      <c r="C75" s="178"/>
      <c r="D75" s="385"/>
      <c r="E75" s="385"/>
      <c r="F75" s="385"/>
      <c r="G75" s="385"/>
      <c r="H75" s="387"/>
      <c r="I75" s="387"/>
      <c r="J75" s="387"/>
      <c r="K75" s="387"/>
      <c r="L75" s="387"/>
      <c r="M75" s="387"/>
      <c r="N75" s="387"/>
      <c r="O75" s="384"/>
    </row>
    <row r="76" spans="1:15" ht="21" customHeight="1">
      <c r="A76" s="178"/>
      <c r="B76" s="178"/>
      <c r="C76" s="178"/>
      <c r="D76" s="385"/>
      <c r="E76" s="385"/>
      <c r="F76" s="385"/>
      <c r="G76" s="385"/>
      <c r="H76" s="387"/>
      <c r="I76" s="387"/>
      <c r="J76" s="387"/>
      <c r="K76" s="387"/>
      <c r="L76" s="387"/>
      <c r="M76" s="387"/>
      <c r="N76" s="387"/>
      <c r="O76" s="384"/>
    </row>
    <row r="77" spans="1:15" ht="21" customHeight="1">
      <c r="A77" s="178"/>
      <c r="B77" s="178"/>
      <c r="C77" s="178"/>
      <c r="D77" s="385"/>
      <c r="E77" s="385"/>
      <c r="F77" s="385"/>
      <c r="G77" s="385"/>
      <c r="H77" s="387"/>
      <c r="I77" s="387"/>
      <c r="J77" s="387"/>
      <c r="K77" s="387"/>
      <c r="L77" s="387"/>
      <c r="M77" s="387"/>
      <c r="N77" s="387"/>
      <c r="O77" s="384"/>
    </row>
    <row r="78" spans="1:15" ht="21" customHeight="1">
      <c r="A78" s="178"/>
      <c r="B78" s="178"/>
      <c r="C78" s="178"/>
      <c r="D78" s="385"/>
      <c r="E78" s="385"/>
      <c r="F78" s="385"/>
      <c r="G78" s="385"/>
      <c r="H78" s="387"/>
      <c r="I78" s="387"/>
      <c r="J78" s="387"/>
      <c r="K78" s="387"/>
      <c r="L78" s="387"/>
      <c r="M78" s="387"/>
      <c r="N78" s="387"/>
      <c r="O78" s="384"/>
    </row>
    <row r="79" spans="1:15" ht="21" customHeight="1">
      <c r="A79" s="178"/>
      <c r="B79" s="178"/>
      <c r="C79" s="178"/>
      <c r="D79" s="385"/>
      <c r="E79" s="385"/>
      <c r="F79" s="385"/>
      <c r="G79" s="385"/>
      <c r="H79" s="387"/>
      <c r="I79" s="387"/>
      <c r="J79" s="387"/>
      <c r="K79" s="387"/>
      <c r="L79" s="387"/>
      <c r="M79" s="387"/>
      <c r="N79" s="387"/>
      <c r="O79" s="384"/>
    </row>
    <row r="80" spans="1:15" ht="21" customHeight="1">
      <c r="A80" s="178"/>
      <c r="B80" s="178"/>
      <c r="C80" s="178"/>
      <c r="D80" s="385"/>
      <c r="E80" s="385"/>
      <c r="F80" s="385"/>
      <c r="G80" s="385"/>
      <c r="H80" s="387"/>
      <c r="I80" s="387"/>
      <c r="J80" s="387"/>
      <c r="K80" s="387"/>
      <c r="L80" s="387"/>
      <c r="M80" s="387"/>
      <c r="N80" s="387"/>
      <c r="O80" s="384"/>
    </row>
    <row r="81" spans="1:20" ht="21" customHeight="1">
      <c r="A81" s="178"/>
      <c r="B81" s="178"/>
      <c r="C81" s="178"/>
      <c r="D81" s="385"/>
      <c r="E81" s="385"/>
      <c r="F81" s="385"/>
      <c r="G81" s="385"/>
      <c r="H81" s="387"/>
      <c r="I81" s="387"/>
      <c r="J81" s="387"/>
      <c r="K81" s="387"/>
      <c r="L81" s="387"/>
      <c r="M81" s="387"/>
      <c r="N81" s="387"/>
      <c r="O81" s="384"/>
    </row>
    <row r="82" spans="1:20" ht="19.8" customHeight="1">
      <c r="A82" s="11" t="s">
        <v>61</v>
      </c>
      <c r="B82" s="8"/>
      <c r="C82" s="8"/>
      <c r="D82" s="8"/>
      <c r="E82" s="8"/>
      <c r="F82" s="188" t="s">
        <v>32</v>
      </c>
      <c r="G82" s="188"/>
      <c r="H82" s="188"/>
      <c r="I82" s="188"/>
      <c r="J82" s="188"/>
      <c r="K82" s="188"/>
      <c r="L82" s="188"/>
      <c r="M82" s="188"/>
      <c r="N82" s="188"/>
      <c r="O82" s="372"/>
      <c r="P82" s="372"/>
      <c r="T82" s="2"/>
    </row>
    <row r="83" spans="1:20" ht="19.8" customHeight="1">
      <c r="A83" s="8" t="s">
        <v>221</v>
      </c>
      <c r="B83" s="8"/>
      <c r="C83" s="8"/>
      <c r="D83" s="8"/>
      <c r="E83" s="8"/>
      <c r="F83" s="182"/>
      <c r="G83" s="182"/>
      <c r="H83" s="182"/>
      <c r="I83" s="182"/>
      <c r="J83" s="182"/>
      <c r="K83" s="182"/>
      <c r="L83" s="182"/>
      <c r="M83" s="182"/>
      <c r="N83" s="182"/>
      <c r="O83" s="372"/>
      <c r="P83" s="372"/>
      <c r="T83" s="2"/>
    </row>
    <row r="84" spans="1:20" s="2" customFormat="1" ht="18" customHeight="1">
      <c r="A84" s="235" t="s">
        <v>97</v>
      </c>
      <c r="B84" s="235"/>
      <c r="C84" s="235"/>
      <c r="D84" s="235"/>
      <c r="E84" s="235" t="s">
        <v>89</v>
      </c>
      <c r="F84" s="235"/>
      <c r="G84" s="235"/>
      <c r="H84" s="235"/>
      <c r="I84" s="235"/>
      <c r="J84" s="235"/>
      <c r="K84" s="235"/>
      <c r="L84" s="235"/>
      <c r="M84" s="235"/>
      <c r="N84" s="235"/>
      <c r="O84" s="373"/>
    </row>
    <row r="85" spans="1:20" s="2" customFormat="1" ht="18" customHeight="1">
      <c r="A85" s="235"/>
      <c r="B85" s="235"/>
      <c r="C85" s="235"/>
      <c r="D85" s="235"/>
      <c r="E85" s="235" t="s">
        <v>104</v>
      </c>
      <c r="F85" s="235"/>
      <c r="G85" s="235"/>
      <c r="H85" s="235"/>
      <c r="I85" s="235"/>
      <c r="J85" s="235" t="s">
        <v>101</v>
      </c>
      <c r="K85" s="235"/>
      <c r="L85" s="235"/>
      <c r="M85" s="235"/>
      <c r="N85" s="235"/>
      <c r="O85" s="373"/>
    </row>
    <row r="86" spans="1:20" s="2" customFormat="1" ht="18" customHeight="1">
      <c r="A86" s="265" t="s">
        <v>90</v>
      </c>
      <c r="B86" s="265"/>
      <c r="C86" s="265"/>
      <c r="D86" s="265"/>
      <c r="E86" s="266" t="s">
        <v>144</v>
      </c>
      <c r="F86" s="266"/>
      <c r="G86" s="266"/>
      <c r="H86" s="266"/>
      <c r="I86" s="266"/>
      <c r="J86" s="281" t="s">
        <v>166</v>
      </c>
      <c r="K86" s="282"/>
      <c r="L86" s="282"/>
      <c r="M86" s="282"/>
      <c r="N86" s="283"/>
      <c r="O86" s="373"/>
    </row>
    <row r="87" spans="1:20" s="2" customFormat="1" ht="18" customHeight="1">
      <c r="A87" s="343" t="s">
        <v>165</v>
      </c>
      <c r="B87" s="344"/>
      <c r="C87" s="344"/>
      <c r="D87" s="345"/>
      <c r="E87" s="266"/>
      <c r="F87" s="266"/>
      <c r="G87" s="266"/>
      <c r="H87" s="266"/>
      <c r="I87" s="266"/>
      <c r="J87" s="284"/>
      <c r="K87" s="285"/>
      <c r="L87" s="285"/>
      <c r="M87" s="285"/>
      <c r="N87" s="286"/>
      <c r="O87" s="373"/>
    </row>
    <row r="88" spans="1:20" s="2" customFormat="1" ht="18" customHeight="1">
      <c r="A88" s="346" t="s">
        <v>193</v>
      </c>
      <c r="B88" s="346"/>
      <c r="C88" s="346"/>
      <c r="D88" s="346"/>
      <c r="E88" s="266"/>
      <c r="F88" s="266"/>
      <c r="G88" s="266"/>
      <c r="H88" s="266"/>
      <c r="I88" s="266"/>
      <c r="J88" s="287"/>
      <c r="K88" s="288"/>
      <c r="L88" s="288"/>
      <c r="M88" s="288"/>
      <c r="N88" s="289"/>
      <c r="O88" s="373"/>
    </row>
    <row r="89" spans="1:20" ht="18" customHeight="1">
      <c r="A89" s="275" t="s">
        <v>122</v>
      </c>
      <c r="B89" s="276"/>
      <c r="C89" s="277"/>
      <c r="D89" s="128">
        <v>38</v>
      </c>
      <c r="E89" s="8"/>
      <c r="F89" s="182"/>
      <c r="G89" s="182"/>
      <c r="H89" s="182"/>
      <c r="I89" s="182"/>
      <c r="J89" s="182"/>
      <c r="K89" s="182"/>
      <c r="L89" s="182"/>
      <c r="M89" s="182"/>
      <c r="N89" s="182"/>
      <c r="O89" s="372"/>
      <c r="P89" s="372"/>
      <c r="T89" s="2"/>
    </row>
    <row r="90" spans="1:20" ht="19.8" customHeight="1">
      <c r="A90" s="190" t="s">
        <v>0</v>
      </c>
      <c r="B90" s="200" t="s">
        <v>19</v>
      </c>
      <c r="C90" s="367" t="s">
        <v>8</v>
      </c>
      <c r="D90" s="203" t="s">
        <v>9</v>
      </c>
      <c r="E90" s="363" t="s">
        <v>11</v>
      </c>
      <c r="F90" s="364"/>
      <c r="G90" s="363" t="s">
        <v>13</v>
      </c>
      <c r="H90" s="364"/>
      <c r="I90" s="197" t="s">
        <v>16</v>
      </c>
      <c r="J90" s="197" t="s">
        <v>41</v>
      </c>
      <c r="K90" s="197" t="s">
        <v>42</v>
      </c>
      <c r="L90" s="197" t="s">
        <v>17</v>
      </c>
      <c r="M90" s="197" t="s">
        <v>57</v>
      </c>
      <c r="N90" s="190" t="s">
        <v>18</v>
      </c>
      <c r="O90" s="374"/>
    </row>
    <row r="91" spans="1:20" ht="19.8" customHeight="1">
      <c r="A91" s="191"/>
      <c r="B91" s="201"/>
      <c r="C91" s="368"/>
      <c r="D91" s="204"/>
      <c r="E91" s="365"/>
      <c r="F91" s="366"/>
      <c r="G91" s="365"/>
      <c r="H91" s="366"/>
      <c r="I91" s="198"/>
      <c r="J91" s="198"/>
      <c r="K91" s="198"/>
      <c r="L91" s="198"/>
      <c r="M91" s="198"/>
      <c r="N91" s="191"/>
      <c r="O91" s="178"/>
    </row>
    <row r="92" spans="1:20" ht="19.8" customHeight="1">
      <c r="A92" s="191"/>
      <c r="B92" s="201"/>
      <c r="C92" s="368"/>
      <c r="D92" s="204"/>
      <c r="E92" s="197" t="s">
        <v>10</v>
      </c>
      <c r="F92" s="197" t="s">
        <v>12</v>
      </c>
      <c r="G92" s="197" t="s">
        <v>94</v>
      </c>
      <c r="H92" s="197" t="s">
        <v>15</v>
      </c>
      <c r="I92" s="198"/>
      <c r="J92" s="198"/>
      <c r="K92" s="198"/>
      <c r="L92" s="198"/>
      <c r="M92" s="198"/>
      <c r="N92" s="191"/>
      <c r="O92" s="178"/>
    </row>
    <row r="93" spans="1:20" ht="19.8" customHeight="1">
      <c r="A93" s="192"/>
      <c r="B93" s="202"/>
      <c r="C93" s="369"/>
      <c r="D93" s="205"/>
      <c r="E93" s="199"/>
      <c r="F93" s="199"/>
      <c r="G93" s="199"/>
      <c r="H93" s="199"/>
      <c r="I93" s="199"/>
      <c r="J93" s="199"/>
      <c r="K93" s="199"/>
      <c r="L93" s="199"/>
      <c r="M93" s="199"/>
      <c r="N93" s="192"/>
      <c r="O93" s="178"/>
    </row>
    <row r="94" spans="1:20" ht="19.8" customHeight="1">
      <c r="A94" s="237" t="s">
        <v>39</v>
      </c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9"/>
      <c r="O94" s="178"/>
    </row>
    <row r="95" spans="1:20" s="2" customFormat="1" ht="19.2" customHeight="1">
      <c r="A95" s="9">
        <v>1</v>
      </c>
      <c r="B95" s="10" t="s">
        <v>2</v>
      </c>
      <c r="C95" s="23">
        <f>L95/100*100</f>
        <v>50</v>
      </c>
      <c r="D95" s="24">
        <f>C95/100*60</f>
        <v>30</v>
      </c>
      <c r="E95" s="25">
        <f>C95/100*15</f>
        <v>7.5</v>
      </c>
      <c r="F95" s="25"/>
      <c r="G95" s="25"/>
      <c r="H95" s="25"/>
      <c r="I95" s="25"/>
      <c r="J95" s="27">
        <f>C95/100*387</f>
        <v>193.5</v>
      </c>
      <c r="K95" s="27">
        <f>C95/100*0.09</f>
        <v>4.4999999999999998E-2</v>
      </c>
      <c r="L95" s="137">
        <v>50</v>
      </c>
      <c r="M95" s="75">
        <v>20</v>
      </c>
      <c r="N95" s="28">
        <f>L95*M95</f>
        <v>1000</v>
      </c>
      <c r="O95" s="153"/>
    </row>
    <row r="96" spans="1:20" s="2" customFormat="1" ht="19.2" customHeight="1">
      <c r="A96" s="9">
        <v>2</v>
      </c>
      <c r="B96" s="146" t="s">
        <v>139</v>
      </c>
      <c r="C96" s="23">
        <f>L96/100*100</f>
        <v>190</v>
      </c>
      <c r="D96" s="24">
        <f>C96/100*899</f>
        <v>1708.1</v>
      </c>
      <c r="E96" s="25"/>
      <c r="F96" s="25"/>
      <c r="G96" s="120">
        <f>C96/100*100</f>
        <v>190</v>
      </c>
      <c r="H96" s="119"/>
      <c r="I96" s="25"/>
      <c r="J96" s="27"/>
      <c r="K96" s="27"/>
      <c r="L96" s="137">
        <v>190</v>
      </c>
      <c r="M96" s="75">
        <v>69</v>
      </c>
      <c r="N96" s="28">
        <f t="shared" ref="N96:N102" si="5">L96*M96</f>
        <v>13110</v>
      </c>
      <c r="O96" s="153"/>
    </row>
    <row r="97" spans="1:23" s="2" customFormat="1" ht="19.2" customHeight="1">
      <c r="A97" s="9">
        <v>3</v>
      </c>
      <c r="B97" s="5" t="s">
        <v>1</v>
      </c>
      <c r="C97" s="23">
        <f>L97/100*100</f>
        <v>1634</v>
      </c>
      <c r="D97" s="24">
        <f>C97/100*343.5</f>
        <v>5612.79</v>
      </c>
      <c r="E97" s="25"/>
      <c r="F97" s="119">
        <f>C97/100*7.9</f>
        <v>129.08600000000001</v>
      </c>
      <c r="G97" s="25"/>
      <c r="H97" s="25">
        <f>C97/100*1</f>
        <v>16.34</v>
      </c>
      <c r="I97" s="119">
        <f>C97/100*75.9</f>
        <v>1240.2060000000001</v>
      </c>
      <c r="J97" s="27">
        <f>C97/100*30</f>
        <v>490.2</v>
      </c>
      <c r="K97" s="27">
        <f>C97/100*0.1</f>
        <v>1.6340000000000001</v>
      </c>
      <c r="L97" s="137">
        <v>1634</v>
      </c>
      <c r="M97" s="75">
        <v>18</v>
      </c>
      <c r="N97" s="28">
        <f t="shared" si="5"/>
        <v>29412</v>
      </c>
      <c r="O97" s="153"/>
    </row>
    <row r="98" spans="1:23" s="2" customFormat="1" ht="19.2" customHeight="1">
      <c r="A98" s="9">
        <v>4</v>
      </c>
      <c r="B98" s="5" t="s">
        <v>69</v>
      </c>
      <c r="C98" s="23">
        <f>L98/100*48</f>
        <v>729.59999999999991</v>
      </c>
      <c r="D98" s="24">
        <f>C98/100*199</f>
        <v>1451.9039999999998</v>
      </c>
      <c r="E98" s="119">
        <f>C98/100*20.3</f>
        <v>148.1088</v>
      </c>
      <c r="F98" s="119"/>
      <c r="G98" s="119">
        <f>C98/100*13.1</f>
        <v>95.57759999999999</v>
      </c>
      <c r="H98" s="25"/>
      <c r="I98" s="25"/>
      <c r="J98" s="27">
        <f>C98/100*12</f>
        <v>87.551999999999992</v>
      </c>
      <c r="K98" s="27">
        <f>C98/100*0.15</f>
        <v>1.0943999999999998</v>
      </c>
      <c r="L98" s="137">
        <v>1520</v>
      </c>
      <c r="M98" s="26">
        <v>84</v>
      </c>
      <c r="N98" s="28">
        <f t="shared" si="5"/>
        <v>127680</v>
      </c>
      <c r="O98" s="153"/>
      <c r="Q98" s="3"/>
      <c r="R98" s="3"/>
      <c r="S98" s="4"/>
    </row>
    <row r="99" spans="1:23" s="2" customFormat="1" ht="19.2" customHeight="1">
      <c r="A99" s="9">
        <v>5</v>
      </c>
      <c r="B99" s="79" t="s">
        <v>143</v>
      </c>
      <c r="C99" s="23">
        <f>L99/100*89</f>
        <v>1246</v>
      </c>
      <c r="D99" s="24">
        <f>C99/100*154</f>
        <v>1918.8400000000001</v>
      </c>
      <c r="E99" s="119">
        <f>C99/100*13.1</f>
        <v>163.226</v>
      </c>
      <c r="F99" s="119"/>
      <c r="G99" s="119">
        <f>C99/100*8.3</f>
        <v>103.41800000000002</v>
      </c>
      <c r="H99" s="25"/>
      <c r="I99" s="25">
        <f>C99/100*0.4</f>
        <v>4.9840000000000009</v>
      </c>
      <c r="J99" s="81">
        <f>C99/100*64</f>
        <v>797.44</v>
      </c>
      <c r="K99" s="27">
        <f>C99/100*0.13</f>
        <v>1.6198000000000001</v>
      </c>
      <c r="L99" s="26">
        <v>1400</v>
      </c>
      <c r="M99" s="54">
        <v>77</v>
      </c>
      <c r="N99" s="151">
        <f t="shared" si="5"/>
        <v>107800</v>
      </c>
      <c r="O99" s="153"/>
    </row>
    <row r="100" spans="1:23" s="2" customFormat="1" ht="19.2" customHeight="1">
      <c r="A100" s="9">
        <v>6</v>
      </c>
      <c r="B100" s="5" t="s">
        <v>134</v>
      </c>
      <c r="C100" s="23">
        <f>L100/100*100</f>
        <v>30</v>
      </c>
      <c r="D100" s="24">
        <f>C100/100*247</f>
        <v>74.099999999999994</v>
      </c>
      <c r="E100" s="29"/>
      <c r="F100" s="29">
        <f>C100/100*17.5</f>
        <v>5.25</v>
      </c>
      <c r="G100" s="29"/>
      <c r="H100" s="29">
        <f>C100/100*1.6</f>
        <v>0.48</v>
      </c>
      <c r="I100" s="29">
        <f>C100/100*39.2</f>
        <v>11.76</v>
      </c>
      <c r="J100" s="71"/>
      <c r="K100" s="71"/>
      <c r="L100" s="375">
        <v>30</v>
      </c>
      <c r="M100" s="75">
        <v>50</v>
      </c>
      <c r="N100" s="28">
        <f t="shared" si="5"/>
        <v>1500</v>
      </c>
      <c r="O100" s="153"/>
      <c r="Q100" s="3"/>
      <c r="R100" s="3"/>
      <c r="S100" s="4"/>
      <c r="T100" s="3"/>
    </row>
    <row r="101" spans="1:23" s="2" customFormat="1" ht="18.600000000000001" customHeight="1">
      <c r="A101" s="9">
        <v>7</v>
      </c>
      <c r="B101" s="5" t="s">
        <v>20</v>
      </c>
      <c r="C101" s="23">
        <f>L101/100*95</f>
        <v>361</v>
      </c>
      <c r="D101" s="24">
        <f>C101/100*20</f>
        <v>72.2</v>
      </c>
      <c r="E101" s="25"/>
      <c r="F101" s="25">
        <f>C101/100*0.6</f>
        <v>2.1659999999999999</v>
      </c>
      <c r="G101" s="25"/>
      <c r="H101" s="25">
        <f>C101/100*0.2</f>
        <v>0.72199999999999998</v>
      </c>
      <c r="I101" s="25">
        <f>C101/100*4</f>
        <v>14.44</v>
      </c>
      <c r="J101" s="27">
        <f>C101/100*12</f>
        <v>43.32</v>
      </c>
      <c r="K101" s="24">
        <f>C101/100*0.04</f>
        <v>0.1444</v>
      </c>
      <c r="L101" s="137">
        <v>380</v>
      </c>
      <c r="M101" s="77">
        <v>22</v>
      </c>
      <c r="N101" s="28">
        <f t="shared" si="5"/>
        <v>8360</v>
      </c>
      <c r="O101" s="376"/>
      <c r="Q101" s="3"/>
      <c r="R101" s="3"/>
      <c r="S101" s="4"/>
    </row>
    <row r="102" spans="1:23" s="2" customFormat="1" ht="19.8" customHeight="1">
      <c r="A102" s="9">
        <v>8</v>
      </c>
      <c r="B102" s="149" t="s">
        <v>194</v>
      </c>
      <c r="C102" s="23">
        <f>L102/100*86</f>
        <v>920.19999999999993</v>
      </c>
      <c r="D102" s="24">
        <f>C102/100*42</f>
        <v>386.48399999999998</v>
      </c>
      <c r="E102" s="25"/>
      <c r="F102" s="25">
        <f>C102/100*3.2</f>
        <v>29.446400000000001</v>
      </c>
      <c r="G102" s="25"/>
      <c r="H102" s="25">
        <f>C102/100*0.4</f>
        <v>3.6808000000000001</v>
      </c>
      <c r="I102" s="25">
        <f>C102/100*6.3</f>
        <v>57.9726</v>
      </c>
      <c r="J102" s="119">
        <f>C102/100*288</f>
        <v>2650.1759999999999</v>
      </c>
      <c r="K102" s="25">
        <f>C102/100*0.08</f>
        <v>0.73616000000000004</v>
      </c>
      <c r="L102" s="137">
        <v>1070</v>
      </c>
      <c r="M102" s="75">
        <v>15</v>
      </c>
      <c r="N102" s="28">
        <f t="shared" si="5"/>
        <v>16050</v>
      </c>
      <c r="O102" s="153"/>
    </row>
    <row r="103" spans="1:23" s="2" customFormat="1" ht="19.2" customHeight="1">
      <c r="A103" s="9">
        <v>9</v>
      </c>
      <c r="B103" s="6" t="s">
        <v>123</v>
      </c>
      <c r="C103" s="23"/>
      <c r="D103" s="24"/>
      <c r="E103" s="25"/>
      <c r="F103" s="25"/>
      <c r="G103" s="25"/>
      <c r="H103" s="25"/>
      <c r="I103" s="25"/>
      <c r="J103" s="27"/>
      <c r="K103" s="27"/>
      <c r="L103" s="26"/>
      <c r="M103" s="26"/>
      <c r="N103" s="28">
        <v>2480</v>
      </c>
      <c r="O103" s="153"/>
    </row>
    <row r="104" spans="1:23" s="2" customFormat="1" ht="19.2" customHeight="1">
      <c r="A104" s="21" t="s">
        <v>118</v>
      </c>
      <c r="B104" s="22"/>
      <c r="C104" s="34"/>
      <c r="D104" s="121">
        <f>SUM(D95:D103)</f>
        <v>11254.418000000001</v>
      </c>
      <c r="E104" s="43"/>
      <c r="F104" s="43"/>
      <c r="G104" s="43"/>
      <c r="H104" s="43"/>
      <c r="I104" s="43"/>
      <c r="J104" s="43"/>
      <c r="K104" s="43"/>
      <c r="L104" s="44"/>
      <c r="M104" s="318"/>
      <c r="N104" s="278">
        <f>SUM(N95:N103)</f>
        <v>307392</v>
      </c>
      <c r="O104" s="153"/>
    </row>
    <row r="105" spans="1:23" ht="19.2" customHeight="1">
      <c r="A105" s="21" t="s">
        <v>37</v>
      </c>
      <c r="B105" s="22"/>
      <c r="C105" s="45"/>
      <c r="D105" s="46">
        <f>D104/D89</f>
        <v>296.16889473684216</v>
      </c>
      <c r="E105" s="46"/>
      <c r="F105" s="46"/>
      <c r="G105" s="46"/>
      <c r="H105" s="46"/>
      <c r="I105" s="46"/>
      <c r="J105" s="46"/>
      <c r="K105" s="46"/>
      <c r="L105" s="47"/>
      <c r="M105" s="319"/>
      <c r="N105" s="280"/>
      <c r="O105" s="4"/>
      <c r="P105" s="2"/>
      <c r="Q105" s="2"/>
      <c r="R105" s="2"/>
      <c r="S105" s="2"/>
      <c r="T105" s="2"/>
      <c r="U105" s="2"/>
      <c r="V105" s="2"/>
    </row>
    <row r="106" spans="1:23" ht="19.2" customHeight="1">
      <c r="A106" s="301" t="s">
        <v>53</v>
      </c>
      <c r="B106" s="211"/>
      <c r="C106" s="377" t="s">
        <v>147</v>
      </c>
      <c r="D106" s="20" t="s">
        <v>45</v>
      </c>
      <c r="E106" s="46"/>
      <c r="F106" s="46"/>
      <c r="G106" s="46"/>
      <c r="H106" s="46"/>
      <c r="I106" s="46"/>
      <c r="J106" s="48"/>
      <c r="K106" s="48"/>
      <c r="L106" s="47"/>
      <c r="M106" s="47"/>
      <c r="N106" s="179"/>
      <c r="O106" s="4"/>
      <c r="P106" s="2"/>
      <c r="Q106" s="2"/>
      <c r="R106" s="2"/>
      <c r="S106" s="2"/>
      <c r="T106" s="2"/>
      <c r="U106" s="2"/>
      <c r="V106" s="2"/>
      <c r="W106" s="2"/>
    </row>
    <row r="107" spans="1:23" ht="19.2" customHeight="1">
      <c r="A107" s="212"/>
      <c r="B107" s="213"/>
      <c r="C107" s="76" t="s">
        <v>60</v>
      </c>
      <c r="D107" s="20">
        <f>D105*100/930</f>
        <v>31.846117713638943</v>
      </c>
      <c r="E107" s="46"/>
      <c r="F107" s="46"/>
      <c r="G107" s="46"/>
      <c r="H107" s="46"/>
      <c r="I107" s="46"/>
      <c r="J107" s="48"/>
      <c r="K107" s="48"/>
      <c r="L107" s="47"/>
      <c r="M107" s="47"/>
      <c r="N107" s="179"/>
      <c r="O107" s="4"/>
      <c r="P107" s="2"/>
      <c r="Q107" s="2"/>
      <c r="R107" s="2"/>
      <c r="S107" s="2"/>
      <c r="T107" s="2"/>
      <c r="U107" s="2"/>
      <c r="V107" s="2"/>
      <c r="W107" s="2"/>
    </row>
    <row r="108" spans="1:23" s="2" customFormat="1" ht="19.2" customHeight="1">
      <c r="A108" s="273" t="s">
        <v>38</v>
      </c>
      <c r="B108" s="273"/>
      <c r="C108" s="56"/>
      <c r="D108" s="57"/>
      <c r="E108" s="58"/>
      <c r="F108" s="58"/>
      <c r="G108" s="58"/>
      <c r="H108" s="58"/>
      <c r="I108" s="58"/>
      <c r="J108" s="58"/>
      <c r="K108" s="58"/>
      <c r="L108" s="59"/>
      <c r="M108" s="59"/>
      <c r="N108" s="60"/>
      <c r="O108" s="153"/>
    </row>
    <row r="109" spans="1:23" s="2" customFormat="1" ht="19.2" customHeight="1">
      <c r="A109" s="9">
        <v>1</v>
      </c>
      <c r="B109" s="10" t="s">
        <v>2</v>
      </c>
      <c r="C109" s="23">
        <f t="shared" ref="C109:C114" si="6">L109/100*100</f>
        <v>40</v>
      </c>
      <c r="D109" s="24">
        <f>C109/100*60</f>
        <v>24</v>
      </c>
      <c r="E109" s="25">
        <f>C109/100*15</f>
        <v>6</v>
      </c>
      <c r="F109" s="25"/>
      <c r="G109" s="25"/>
      <c r="H109" s="25"/>
      <c r="I109" s="25"/>
      <c r="J109" s="27">
        <f>C109/100*387</f>
        <v>154.80000000000001</v>
      </c>
      <c r="K109" s="27">
        <f>C109/100*0.09</f>
        <v>3.5999999999999997E-2</v>
      </c>
      <c r="L109" s="137">
        <v>40</v>
      </c>
      <c r="M109" s="75">
        <v>20</v>
      </c>
      <c r="N109" s="28">
        <f>L109*M109</f>
        <v>800</v>
      </c>
      <c r="O109" s="153"/>
    </row>
    <row r="110" spans="1:23" s="2" customFormat="1" ht="19.2" customHeight="1">
      <c r="A110" s="9">
        <v>2</v>
      </c>
      <c r="B110" s="146" t="s">
        <v>139</v>
      </c>
      <c r="C110" s="23">
        <f t="shared" si="6"/>
        <v>190</v>
      </c>
      <c r="D110" s="24">
        <f>C110/100*899</f>
        <v>1708.1</v>
      </c>
      <c r="E110" s="25"/>
      <c r="F110" s="25"/>
      <c r="G110" s="119">
        <f>C110/100*100</f>
        <v>190</v>
      </c>
      <c r="H110" s="25"/>
      <c r="I110" s="25"/>
      <c r="J110" s="25"/>
      <c r="K110" s="25"/>
      <c r="L110" s="137">
        <v>190</v>
      </c>
      <c r="M110" s="144">
        <v>69</v>
      </c>
      <c r="N110" s="28">
        <f t="shared" ref="N110:N113" si="7">L110*M110</f>
        <v>13110</v>
      </c>
      <c r="O110" s="378"/>
    </row>
    <row r="111" spans="1:23" s="2" customFormat="1" ht="19.2" customHeight="1">
      <c r="A111" s="9">
        <v>3</v>
      </c>
      <c r="B111" s="148" t="s">
        <v>142</v>
      </c>
      <c r="C111" s="23">
        <f t="shared" si="6"/>
        <v>100</v>
      </c>
      <c r="D111" s="120">
        <f>C111/100*900</f>
        <v>900</v>
      </c>
      <c r="E111" s="25"/>
      <c r="F111" s="25"/>
      <c r="G111" s="119"/>
      <c r="H111" s="119">
        <f>C111/100*100</f>
        <v>100</v>
      </c>
      <c r="I111" s="25"/>
      <c r="J111" s="25"/>
      <c r="K111" s="25"/>
      <c r="L111" s="137">
        <v>100</v>
      </c>
      <c r="M111" s="75">
        <v>65</v>
      </c>
      <c r="N111" s="28">
        <f t="shared" si="7"/>
        <v>6500</v>
      </c>
      <c r="O111" s="378"/>
    </row>
    <row r="112" spans="1:23" s="2" customFormat="1" ht="19.2" customHeight="1">
      <c r="A112" s="9">
        <v>4</v>
      </c>
      <c r="B112" s="5" t="s">
        <v>1</v>
      </c>
      <c r="C112" s="23">
        <f t="shared" si="6"/>
        <v>911.99999999999989</v>
      </c>
      <c r="D112" s="24">
        <f>C112/100*343.5</f>
        <v>3132.72</v>
      </c>
      <c r="E112" s="25"/>
      <c r="F112" s="25">
        <f>C112/100*7.9</f>
        <v>72.048000000000002</v>
      </c>
      <c r="G112" s="25"/>
      <c r="H112" s="25">
        <f>C112/100*1</f>
        <v>9.1199999999999992</v>
      </c>
      <c r="I112" s="25">
        <f>C112/100*75.9</f>
        <v>692.20799999999997</v>
      </c>
      <c r="J112" s="27">
        <f>C112/100*30</f>
        <v>273.59999999999997</v>
      </c>
      <c r="K112" s="27">
        <f>C112/100*0.1</f>
        <v>0.91199999999999992</v>
      </c>
      <c r="L112" s="137">
        <v>912</v>
      </c>
      <c r="M112" s="75">
        <v>18</v>
      </c>
      <c r="N112" s="28">
        <f t="shared" si="7"/>
        <v>16416</v>
      </c>
      <c r="O112" s="153"/>
    </row>
    <row r="113" spans="1:23" s="2" customFormat="1" ht="19.2" customHeight="1">
      <c r="A113" s="9">
        <v>5</v>
      </c>
      <c r="B113" s="5" t="s">
        <v>73</v>
      </c>
      <c r="C113" s="23">
        <f t="shared" si="6"/>
        <v>610</v>
      </c>
      <c r="D113" s="24">
        <f>C113/100*344</f>
        <v>2098.4</v>
      </c>
      <c r="E113" s="25"/>
      <c r="F113" s="25">
        <f>C113/100*8.6</f>
        <v>52.459999999999994</v>
      </c>
      <c r="G113" s="25"/>
      <c r="H113" s="25">
        <f>C113/100*1.5</f>
        <v>9.1499999999999986</v>
      </c>
      <c r="I113" s="25">
        <f>C113/100*74.5</f>
        <v>454.45</v>
      </c>
      <c r="J113" s="25">
        <f>C113/100*32</f>
        <v>195.2</v>
      </c>
      <c r="K113" s="27">
        <f>C113/100*0.14</f>
        <v>0.85399999999999998</v>
      </c>
      <c r="L113" s="137">
        <v>610</v>
      </c>
      <c r="M113" s="75">
        <v>30</v>
      </c>
      <c r="N113" s="28">
        <f t="shared" si="7"/>
        <v>18300</v>
      </c>
      <c r="O113" s="153"/>
      <c r="P113" s="18"/>
    </row>
    <row r="114" spans="1:23" s="2" customFormat="1" ht="19.2" customHeight="1">
      <c r="A114" s="9">
        <v>6</v>
      </c>
      <c r="B114" s="5" t="s">
        <v>67</v>
      </c>
      <c r="C114" s="23">
        <f t="shared" si="6"/>
        <v>70</v>
      </c>
      <c r="D114" s="24">
        <f>C114/100*334</f>
        <v>233.79999999999998</v>
      </c>
      <c r="E114" s="25"/>
      <c r="F114" s="25">
        <f>C114/100*20</f>
        <v>14</v>
      </c>
      <c r="G114" s="25"/>
      <c r="H114" s="25">
        <f>C114/100*2.4</f>
        <v>1.68</v>
      </c>
      <c r="I114" s="25">
        <f>C114/100*58</f>
        <v>40.599999999999994</v>
      </c>
      <c r="J114" s="27">
        <f>C114/100*89</f>
        <v>62.3</v>
      </c>
      <c r="K114" s="27">
        <f>C114/100*0.64</f>
        <v>0.44799999999999995</v>
      </c>
      <c r="L114" s="137">
        <v>70</v>
      </c>
      <c r="M114" s="75">
        <v>190</v>
      </c>
      <c r="N114" s="28">
        <f>L114*M114</f>
        <v>13300</v>
      </c>
      <c r="O114" s="153"/>
    </row>
    <row r="115" spans="1:23" s="2" customFormat="1" ht="16.2" customHeight="1">
      <c r="A115" s="9">
        <v>7</v>
      </c>
      <c r="B115" s="5" t="s">
        <v>4</v>
      </c>
      <c r="C115" s="23">
        <f>L115/100*98.5</f>
        <v>561.45000000000005</v>
      </c>
      <c r="D115" s="24">
        <f>C115/100*39</f>
        <v>218.96550000000002</v>
      </c>
      <c r="E115" s="29"/>
      <c r="F115" s="29">
        <f>C115/100*1.5</f>
        <v>8.4217500000000012</v>
      </c>
      <c r="G115" s="29"/>
      <c r="H115" s="29">
        <f>C115/100*0.2</f>
        <v>1.1229000000000002</v>
      </c>
      <c r="I115" s="29">
        <f>C115/100*7.8</f>
        <v>43.793100000000003</v>
      </c>
      <c r="J115" s="29">
        <f>C115/100*43</f>
        <v>241.42350000000002</v>
      </c>
      <c r="K115" s="29">
        <f>C115/100*0.06</f>
        <v>0.33687</v>
      </c>
      <c r="L115" s="375">
        <v>570</v>
      </c>
      <c r="M115" s="26">
        <v>17</v>
      </c>
      <c r="N115" s="135">
        <f t="shared" ref="N115:N117" si="8">L115*M115</f>
        <v>9690</v>
      </c>
      <c r="O115" s="153"/>
      <c r="Q115" s="3"/>
      <c r="R115" s="3"/>
      <c r="S115" s="4"/>
    </row>
    <row r="116" spans="1:23" s="2" customFormat="1" ht="20.399999999999999" customHeight="1">
      <c r="A116" s="9">
        <v>8</v>
      </c>
      <c r="B116" s="10" t="s">
        <v>3</v>
      </c>
      <c r="C116" s="23">
        <f>L116/100*98</f>
        <v>588</v>
      </c>
      <c r="D116" s="24">
        <f>C116/100*118</f>
        <v>693.84</v>
      </c>
      <c r="E116" s="119">
        <f>C116/100*21</f>
        <v>123.48</v>
      </c>
      <c r="F116" s="25"/>
      <c r="G116" s="25">
        <f>C116/100*3.8</f>
        <v>22.343999999999998</v>
      </c>
      <c r="H116" s="25"/>
      <c r="I116" s="25"/>
      <c r="J116" s="25">
        <f>C116/100*12</f>
        <v>70.56</v>
      </c>
      <c r="K116" s="25">
        <f>C116/100*0.1</f>
        <v>0.58799999999999997</v>
      </c>
      <c r="L116" s="137">
        <v>600</v>
      </c>
      <c r="M116" s="143">
        <v>270</v>
      </c>
      <c r="N116" s="135">
        <f t="shared" si="8"/>
        <v>162000</v>
      </c>
      <c r="O116" s="153"/>
    </row>
    <row r="117" spans="1:23" s="2" customFormat="1" ht="18.600000000000001" customHeight="1">
      <c r="A117" s="9">
        <v>9</v>
      </c>
      <c r="B117" s="5" t="s">
        <v>69</v>
      </c>
      <c r="C117" s="23">
        <f>L117/100*48</f>
        <v>676.8</v>
      </c>
      <c r="D117" s="24">
        <f>C117/100*199</f>
        <v>1346.8319999999999</v>
      </c>
      <c r="E117" s="119">
        <f>C117/100*20.3</f>
        <v>137.3904</v>
      </c>
      <c r="F117" s="25"/>
      <c r="G117" s="25">
        <f>C117/100*13.1</f>
        <v>88.660799999999995</v>
      </c>
      <c r="H117" s="25"/>
      <c r="I117" s="25"/>
      <c r="J117" s="27">
        <f>C117/100*12</f>
        <v>81.215999999999994</v>
      </c>
      <c r="K117" s="27">
        <f>C117/100*0.15</f>
        <v>1.0151999999999999</v>
      </c>
      <c r="L117" s="137">
        <v>1410</v>
      </c>
      <c r="M117" s="137">
        <v>84</v>
      </c>
      <c r="N117" s="28">
        <f t="shared" si="8"/>
        <v>118440</v>
      </c>
      <c r="O117" s="153"/>
      <c r="Q117" s="3"/>
      <c r="R117" s="3"/>
      <c r="S117" s="4"/>
    </row>
    <row r="118" spans="1:23" s="2" customFormat="1" ht="19.2" customHeight="1">
      <c r="A118" s="9">
        <v>10</v>
      </c>
      <c r="B118" s="5" t="s">
        <v>134</v>
      </c>
      <c r="C118" s="23">
        <f>L118/100*100</f>
        <v>30</v>
      </c>
      <c r="D118" s="24">
        <f>C118/100*247</f>
        <v>74.099999999999994</v>
      </c>
      <c r="E118" s="29"/>
      <c r="F118" s="29">
        <f>C118/100*17.5</f>
        <v>5.25</v>
      </c>
      <c r="G118" s="29"/>
      <c r="H118" s="29">
        <f>C118/100*1.6</f>
        <v>0.48</v>
      </c>
      <c r="I118" s="29">
        <f>C118/100*39.2</f>
        <v>11.76</v>
      </c>
      <c r="J118" s="71"/>
      <c r="K118" s="71"/>
      <c r="L118" s="375">
        <v>30</v>
      </c>
      <c r="M118" s="75">
        <v>50</v>
      </c>
      <c r="N118" s="28">
        <f t="shared" ref="N118" si="9">L118*M118</f>
        <v>1500</v>
      </c>
      <c r="O118" s="153"/>
      <c r="Q118" s="3"/>
      <c r="R118" s="3"/>
      <c r="S118" s="4"/>
      <c r="T118" s="3"/>
    </row>
    <row r="119" spans="1:23" s="2" customFormat="1" ht="19.2" customHeight="1">
      <c r="A119" s="9">
        <v>11</v>
      </c>
      <c r="B119" s="6" t="s">
        <v>123</v>
      </c>
      <c r="C119" s="23"/>
      <c r="D119" s="24"/>
      <c r="E119" s="25"/>
      <c r="F119" s="25"/>
      <c r="G119" s="25"/>
      <c r="H119" s="25"/>
      <c r="I119" s="25"/>
      <c r="J119" s="27"/>
      <c r="K119" s="27"/>
      <c r="L119" s="26"/>
      <c r="M119" s="26"/>
      <c r="N119" s="28">
        <v>2480</v>
      </c>
      <c r="O119" s="153"/>
    </row>
    <row r="120" spans="1:23" s="2" customFormat="1" ht="19.2" customHeight="1">
      <c r="A120" s="21" t="s">
        <v>119</v>
      </c>
      <c r="B120" s="22"/>
      <c r="C120" s="34"/>
      <c r="D120" s="121">
        <f>SUM(D109:D119)</f>
        <v>10430.7575</v>
      </c>
      <c r="E120" s="43"/>
      <c r="F120" s="43"/>
      <c r="G120" s="43"/>
      <c r="H120" s="43"/>
      <c r="I120" s="43"/>
      <c r="J120" s="43"/>
      <c r="K120" s="43"/>
      <c r="L120" s="44"/>
      <c r="M120" s="318"/>
      <c r="N120" s="278">
        <f>SUM(N109:N119)</f>
        <v>362536</v>
      </c>
      <c r="O120" s="153"/>
    </row>
    <row r="121" spans="1:23" ht="19.2" customHeight="1">
      <c r="A121" s="21" t="s">
        <v>36</v>
      </c>
      <c r="B121" s="22"/>
      <c r="C121" s="61"/>
      <c r="D121" s="48">
        <f>D120/D89</f>
        <v>274.49361842105264</v>
      </c>
      <c r="E121" s="48"/>
      <c r="F121" s="48"/>
      <c r="G121" s="48"/>
      <c r="H121" s="48"/>
      <c r="I121" s="48"/>
      <c r="J121" s="48"/>
      <c r="K121" s="48"/>
      <c r="L121" s="62"/>
      <c r="M121" s="319"/>
      <c r="N121" s="279"/>
      <c r="O121" s="4"/>
      <c r="P121" s="2"/>
      <c r="Q121" s="2"/>
      <c r="R121" s="2"/>
      <c r="S121" s="2"/>
      <c r="T121" s="2"/>
      <c r="U121" s="2"/>
      <c r="V121" s="2"/>
    </row>
    <row r="122" spans="1:23" ht="19.2" customHeight="1">
      <c r="A122" s="301" t="s">
        <v>54</v>
      </c>
      <c r="B122" s="211"/>
      <c r="C122" s="377" t="s">
        <v>147</v>
      </c>
      <c r="D122" s="20" t="s">
        <v>46</v>
      </c>
      <c r="E122" s="46"/>
      <c r="F122" s="46"/>
      <c r="G122" s="46"/>
      <c r="H122" s="46"/>
      <c r="I122" s="46"/>
      <c r="J122" s="48"/>
      <c r="K122" s="48"/>
      <c r="L122" s="47"/>
      <c r="M122" s="47"/>
      <c r="N122" s="179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9.2" customHeight="1">
      <c r="A123" s="212"/>
      <c r="B123" s="213"/>
      <c r="C123" s="76" t="s">
        <v>60</v>
      </c>
      <c r="D123" s="20">
        <f>D121*100/930</f>
        <v>29.515442840973403</v>
      </c>
      <c r="E123" s="46"/>
      <c r="F123" s="46"/>
      <c r="G123" s="46"/>
      <c r="H123" s="46"/>
      <c r="I123" s="46"/>
      <c r="J123" s="48"/>
      <c r="K123" s="48"/>
      <c r="L123" s="47"/>
      <c r="M123" s="47"/>
      <c r="N123" s="179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9.2" customHeight="1">
      <c r="A124" s="273" t="s">
        <v>35</v>
      </c>
      <c r="B124" s="273"/>
      <c r="C124" s="63"/>
      <c r="D124" s="64"/>
      <c r="E124" s="64"/>
      <c r="F124" s="64"/>
      <c r="G124" s="64"/>
      <c r="H124" s="64"/>
      <c r="I124" s="64"/>
      <c r="J124" s="64"/>
      <c r="K124" s="64"/>
      <c r="L124" s="65"/>
      <c r="M124" s="65"/>
      <c r="N124" s="66"/>
      <c r="O124" s="4"/>
      <c r="P124" s="2"/>
      <c r="Q124" s="2"/>
      <c r="R124" s="2"/>
      <c r="S124" s="2"/>
      <c r="T124" s="2"/>
      <c r="U124" s="2"/>
      <c r="V124" s="2"/>
    </row>
    <row r="125" spans="1:23" s="2" customFormat="1" ht="19.2" customHeight="1">
      <c r="A125" s="109">
        <v>1</v>
      </c>
      <c r="B125" s="154" t="s">
        <v>145</v>
      </c>
      <c r="C125" s="34">
        <f>L125/100*100</f>
        <v>640</v>
      </c>
      <c r="D125" s="110">
        <f>C125/100*487</f>
        <v>3116.8</v>
      </c>
      <c r="E125" s="36"/>
      <c r="F125" s="129">
        <f>C125/100*19.5</f>
        <v>124.80000000000001</v>
      </c>
      <c r="G125" s="129"/>
      <c r="H125" s="129">
        <f>C125/100*23.2</f>
        <v>148.47999999999999</v>
      </c>
      <c r="I125" s="36">
        <f>C125/100*46</f>
        <v>294.40000000000003</v>
      </c>
      <c r="J125" s="129">
        <f>C125/100*680</f>
        <v>4352</v>
      </c>
      <c r="K125" s="36">
        <f>C125/100*0.55</f>
        <v>3.5200000000000005</v>
      </c>
      <c r="L125" s="37">
        <v>640</v>
      </c>
      <c r="M125" s="155">
        <v>260</v>
      </c>
      <c r="N125" s="111">
        <f t="shared" ref="N125" si="10">L125*M125</f>
        <v>166400</v>
      </c>
      <c r="O125" s="153"/>
      <c r="P125" s="3"/>
    </row>
    <row r="126" spans="1:23" ht="20.399999999999999" customHeight="1">
      <c r="A126" s="190" t="s">
        <v>0</v>
      </c>
      <c r="B126" s="200" t="s">
        <v>19</v>
      </c>
      <c r="C126" s="367" t="s">
        <v>8</v>
      </c>
      <c r="D126" s="203" t="s">
        <v>9</v>
      </c>
      <c r="E126" s="363" t="s">
        <v>11</v>
      </c>
      <c r="F126" s="364"/>
      <c r="G126" s="363" t="s">
        <v>13</v>
      </c>
      <c r="H126" s="364"/>
      <c r="I126" s="197" t="s">
        <v>16</v>
      </c>
      <c r="J126" s="197" t="s">
        <v>41</v>
      </c>
      <c r="K126" s="197" t="s">
        <v>42</v>
      </c>
      <c r="L126" s="197" t="s">
        <v>17</v>
      </c>
      <c r="M126" s="197" t="s">
        <v>57</v>
      </c>
      <c r="N126" s="190" t="s">
        <v>18</v>
      </c>
      <c r="O126" s="374"/>
    </row>
    <row r="127" spans="1:23" ht="20.399999999999999" customHeight="1">
      <c r="A127" s="191"/>
      <c r="B127" s="201"/>
      <c r="C127" s="368"/>
      <c r="D127" s="204"/>
      <c r="E127" s="365"/>
      <c r="F127" s="366"/>
      <c r="G127" s="365"/>
      <c r="H127" s="366"/>
      <c r="I127" s="198"/>
      <c r="J127" s="198"/>
      <c r="K127" s="198"/>
      <c r="L127" s="198"/>
      <c r="M127" s="198"/>
      <c r="N127" s="191"/>
      <c r="O127" s="178"/>
    </row>
    <row r="128" spans="1:23" ht="20.399999999999999" customHeight="1">
      <c r="A128" s="191"/>
      <c r="B128" s="201"/>
      <c r="C128" s="368"/>
      <c r="D128" s="204"/>
      <c r="E128" s="197" t="s">
        <v>10</v>
      </c>
      <c r="F128" s="197" t="s">
        <v>12</v>
      </c>
      <c r="G128" s="197" t="s">
        <v>94</v>
      </c>
      <c r="H128" s="197" t="s">
        <v>15</v>
      </c>
      <c r="I128" s="198"/>
      <c r="J128" s="198"/>
      <c r="K128" s="198"/>
      <c r="L128" s="198"/>
      <c r="M128" s="198"/>
      <c r="N128" s="191"/>
      <c r="O128" s="178"/>
    </row>
    <row r="129" spans="1:23" ht="20.399999999999999" customHeight="1">
      <c r="A129" s="192"/>
      <c r="B129" s="202"/>
      <c r="C129" s="369"/>
      <c r="D129" s="205"/>
      <c r="E129" s="199"/>
      <c r="F129" s="199"/>
      <c r="G129" s="199"/>
      <c r="H129" s="199"/>
      <c r="I129" s="199"/>
      <c r="J129" s="199"/>
      <c r="K129" s="199"/>
      <c r="L129" s="199"/>
      <c r="M129" s="199"/>
      <c r="N129" s="192"/>
      <c r="O129" s="178"/>
    </row>
    <row r="130" spans="1:23" s="2" customFormat="1" ht="21" customHeight="1">
      <c r="A130" s="21" t="s">
        <v>110</v>
      </c>
      <c r="B130" s="22"/>
      <c r="C130" s="34"/>
      <c r="D130" s="35">
        <f>SUM(D124:D125)</f>
        <v>3116.8</v>
      </c>
      <c r="E130" s="43"/>
      <c r="F130" s="43"/>
      <c r="G130" s="43"/>
      <c r="H130" s="43"/>
      <c r="I130" s="43"/>
      <c r="J130" s="82"/>
      <c r="K130" s="43"/>
      <c r="L130" s="44"/>
      <c r="M130" s="318"/>
      <c r="N130" s="278">
        <f>SUM(N124:N125)</f>
        <v>166400</v>
      </c>
      <c r="O130" s="153"/>
    </row>
    <row r="131" spans="1:23" ht="21" customHeight="1">
      <c r="A131" s="21" t="s">
        <v>7</v>
      </c>
      <c r="B131" s="22"/>
      <c r="C131" s="45"/>
      <c r="D131" s="46">
        <f>D130/D89</f>
        <v>82.021052631578954</v>
      </c>
      <c r="E131" s="46"/>
      <c r="F131" s="46"/>
      <c r="G131" s="46"/>
      <c r="H131" s="46"/>
      <c r="I131" s="46"/>
      <c r="J131" s="83"/>
      <c r="K131" s="46"/>
      <c r="L131" s="47"/>
      <c r="M131" s="319"/>
      <c r="N131" s="280"/>
      <c r="O131" s="4"/>
      <c r="P131" s="2"/>
      <c r="Q131" s="2"/>
      <c r="R131" s="2"/>
      <c r="S131" s="2"/>
      <c r="T131" s="2"/>
      <c r="U131" s="2"/>
      <c r="V131" s="2"/>
    </row>
    <row r="132" spans="1:23" ht="21" customHeight="1">
      <c r="A132" s="301" t="s">
        <v>52</v>
      </c>
      <c r="B132" s="211"/>
      <c r="C132" s="377" t="s">
        <v>147</v>
      </c>
      <c r="D132" s="20" t="s">
        <v>50</v>
      </c>
      <c r="E132" s="46"/>
      <c r="F132" s="46"/>
      <c r="G132" s="46"/>
      <c r="H132" s="46"/>
      <c r="I132" s="46"/>
      <c r="J132" s="48"/>
      <c r="K132" s="48"/>
      <c r="L132" s="47"/>
      <c r="M132" s="47"/>
      <c r="N132" s="179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212"/>
      <c r="B133" s="213"/>
      <c r="C133" s="76" t="s">
        <v>60</v>
      </c>
      <c r="D133" s="20">
        <f>D131*100/930</f>
        <v>8.8194680249009618</v>
      </c>
      <c r="E133" s="46"/>
      <c r="F133" s="46"/>
      <c r="G133" s="46"/>
      <c r="H133" s="46"/>
      <c r="I133" s="46"/>
      <c r="J133" s="48"/>
      <c r="K133" s="48"/>
      <c r="L133" s="47"/>
      <c r="M133" s="47"/>
      <c r="N133" s="179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227" t="s">
        <v>107</v>
      </c>
      <c r="B134" s="228"/>
      <c r="C134" s="231"/>
      <c r="D134" s="296">
        <f>D104+D120+D130</f>
        <v>24801.9755</v>
      </c>
      <c r="E134" s="50">
        <f t="shared" ref="E134:K134" si="11">SUM(E95:E125)</f>
        <v>585.70519999999999</v>
      </c>
      <c r="F134" s="50">
        <f t="shared" si="11"/>
        <v>442.92815000000002</v>
      </c>
      <c r="G134" s="50">
        <f t="shared" si="11"/>
        <v>690.00040000000001</v>
      </c>
      <c r="H134" s="50">
        <f t="shared" si="11"/>
        <v>291.25569999999999</v>
      </c>
      <c r="I134" s="216">
        <f t="shared" si="11"/>
        <v>2866.5736999999999</v>
      </c>
      <c r="J134" s="214">
        <f t="shared" si="11"/>
        <v>9693.2875000000022</v>
      </c>
      <c r="K134" s="214">
        <f t="shared" si="11"/>
        <v>12.983830000000001</v>
      </c>
      <c r="L134" s="97"/>
      <c r="M134" s="97"/>
      <c r="N134" s="370">
        <f>N104+N120+N130</f>
        <v>836328</v>
      </c>
      <c r="U134" s="12"/>
      <c r="V134" s="12"/>
    </row>
    <row r="135" spans="1:23" ht="21" customHeight="1">
      <c r="A135" s="229"/>
      <c r="B135" s="230"/>
      <c r="C135" s="232"/>
      <c r="D135" s="297"/>
      <c r="E135" s="323">
        <f>E134+F134</f>
        <v>1028.6333500000001</v>
      </c>
      <c r="F135" s="324"/>
      <c r="G135" s="323">
        <f>G134+H134</f>
        <v>981.25610000000006</v>
      </c>
      <c r="H135" s="324"/>
      <c r="I135" s="217"/>
      <c r="J135" s="215"/>
      <c r="K135" s="215"/>
      <c r="L135" s="99"/>
      <c r="M135" s="99"/>
      <c r="N135" s="371"/>
      <c r="U135" s="12"/>
      <c r="V135" s="12"/>
    </row>
    <row r="136" spans="1:23" ht="21" customHeight="1">
      <c r="A136" s="247" t="s">
        <v>77</v>
      </c>
      <c r="B136" s="248"/>
      <c r="C136" s="249"/>
      <c r="D136" s="133">
        <f>D134/D89</f>
        <v>652.68356578947373</v>
      </c>
      <c r="E136" s="379">
        <f>E134/D89</f>
        <v>15.413294736842104</v>
      </c>
      <c r="F136" s="380">
        <f>F134/D89</f>
        <v>11.656003947368422</v>
      </c>
      <c r="G136" s="379">
        <f>G134/D89</f>
        <v>18.157905263157897</v>
      </c>
      <c r="H136" s="380">
        <f>H134/D89</f>
        <v>7.6646236842105262</v>
      </c>
      <c r="I136" s="208">
        <f>I134/D89</f>
        <v>75.436149999999998</v>
      </c>
      <c r="J136" s="341">
        <f>J134/D89</f>
        <v>255.08651315789479</v>
      </c>
      <c r="K136" s="341">
        <f>K134/D89</f>
        <v>0.34167973684210529</v>
      </c>
      <c r="L136" s="97"/>
      <c r="M136" s="97"/>
      <c r="N136" s="100"/>
      <c r="P136" s="392"/>
      <c r="Q136" s="393"/>
      <c r="R136" s="393"/>
      <c r="S136" s="393"/>
      <c r="T136" s="393"/>
      <c r="U136" s="394"/>
      <c r="V136" s="394"/>
    </row>
    <row r="137" spans="1:23" ht="21" customHeight="1">
      <c r="A137" s="250"/>
      <c r="B137" s="251"/>
      <c r="C137" s="252"/>
      <c r="D137" s="127"/>
      <c r="E137" s="389">
        <f>E136+F136</f>
        <v>27.069298684210526</v>
      </c>
      <c r="F137" s="390"/>
      <c r="G137" s="389">
        <f>G136+H136</f>
        <v>25.822528947368422</v>
      </c>
      <c r="H137" s="390"/>
      <c r="I137" s="209"/>
      <c r="J137" s="341"/>
      <c r="K137" s="341"/>
      <c r="L137" s="98"/>
      <c r="M137" s="98"/>
      <c r="N137" s="101"/>
      <c r="P137" s="395"/>
      <c r="Q137" s="393"/>
      <c r="R137" s="393"/>
      <c r="S137" s="398"/>
      <c r="T137" s="398"/>
      <c r="U137" s="393"/>
      <c r="V137" s="393"/>
    </row>
    <row r="138" spans="1:23" ht="21" customHeight="1">
      <c r="A138" s="315" t="s">
        <v>80</v>
      </c>
      <c r="B138" s="316"/>
      <c r="C138" s="317"/>
      <c r="D138" s="183" t="s">
        <v>29</v>
      </c>
      <c r="E138" s="292" t="s">
        <v>24</v>
      </c>
      <c r="F138" s="292"/>
      <c r="G138" s="292" t="s">
        <v>25</v>
      </c>
      <c r="H138" s="292"/>
      <c r="I138" s="391" t="s">
        <v>26</v>
      </c>
      <c r="J138" s="181">
        <v>500</v>
      </c>
      <c r="K138" s="181">
        <v>0.5</v>
      </c>
      <c r="L138" s="98"/>
      <c r="M138" s="98"/>
      <c r="N138" s="101"/>
      <c r="O138" s="384"/>
      <c r="P138" s="392"/>
      <c r="Q138" s="392"/>
      <c r="R138" s="392"/>
      <c r="S138" s="392"/>
      <c r="T138" s="392"/>
      <c r="U138" s="392"/>
      <c r="V138" s="392"/>
    </row>
    <row r="139" spans="1:23" ht="21" customHeight="1">
      <c r="A139" s="218" t="s">
        <v>78</v>
      </c>
      <c r="B139" s="219"/>
      <c r="C139" s="220"/>
      <c r="D139" s="49"/>
      <c r="E139" s="206">
        <f>E137*4.1</f>
        <v>110.98412460526315</v>
      </c>
      <c r="F139" s="207"/>
      <c r="G139" s="206">
        <f>G137*9</f>
        <v>232.4027605263158</v>
      </c>
      <c r="H139" s="207"/>
      <c r="I139" s="85">
        <f>I136*4.1</f>
        <v>309.28821499999998</v>
      </c>
      <c r="J139" s="253"/>
      <c r="K139" s="253"/>
      <c r="L139" s="98"/>
      <c r="M139" s="98"/>
      <c r="N139" s="101"/>
      <c r="O139" s="384"/>
      <c r="P139" s="396"/>
      <c r="Q139" s="397"/>
      <c r="R139" s="397"/>
      <c r="S139" s="397"/>
      <c r="T139" s="392"/>
      <c r="U139" s="392"/>
      <c r="V139" s="392"/>
    </row>
    <row r="140" spans="1:23" ht="21" customHeight="1">
      <c r="A140" s="221" t="s">
        <v>87</v>
      </c>
      <c r="B140" s="222"/>
      <c r="C140" s="218" t="s">
        <v>59</v>
      </c>
      <c r="D140" s="220"/>
      <c r="E140" s="305">
        <f>E139*100/D136</f>
        <v>17.004277481848167</v>
      </c>
      <c r="F140" s="306"/>
      <c r="G140" s="305">
        <f>G139*100/D136</f>
        <v>35.607264026206295</v>
      </c>
      <c r="H140" s="306"/>
      <c r="I140" s="116">
        <f>I139*100/D136</f>
        <v>47.387161438007219</v>
      </c>
      <c r="J140" s="254"/>
      <c r="K140" s="254"/>
      <c r="L140" s="98"/>
      <c r="M140" s="98"/>
      <c r="N140" s="101"/>
      <c r="O140" s="384"/>
      <c r="P140" s="392"/>
      <c r="Q140" s="392"/>
      <c r="R140" s="392"/>
      <c r="S140" s="392"/>
      <c r="T140" s="392"/>
      <c r="U140" s="392"/>
      <c r="V140" s="392"/>
    </row>
    <row r="141" spans="1:23" ht="21" customHeight="1">
      <c r="A141" s="223"/>
      <c r="B141" s="224"/>
      <c r="C141" s="218" t="s">
        <v>79</v>
      </c>
      <c r="D141" s="220"/>
      <c r="E141" s="218" t="s">
        <v>82</v>
      </c>
      <c r="F141" s="220"/>
      <c r="G141" s="218" t="s">
        <v>85</v>
      </c>
      <c r="H141" s="220"/>
      <c r="I141" s="183" t="s">
        <v>86</v>
      </c>
      <c r="J141" s="234"/>
      <c r="K141" s="234"/>
      <c r="L141" s="99"/>
      <c r="M141" s="99"/>
      <c r="N141" s="102"/>
      <c r="O141" s="384"/>
      <c r="P141" s="132"/>
    </row>
    <row r="142" spans="1:23" ht="21" customHeight="1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4"/>
      <c r="M142" s="94"/>
      <c r="N142" s="95"/>
      <c r="O142" s="384"/>
    </row>
    <row r="143" spans="1:23" ht="21" customHeight="1">
      <c r="A143" s="293" t="s">
        <v>114</v>
      </c>
      <c r="B143" s="293"/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384"/>
    </row>
    <row r="144" spans="1:23" ht="21" customHeight="1">
      <c r="A144" s="117" t="s">
        <v>115</v>
      </c>
      <c r="B144" s="294" t="s">
        <v>116</v>
      </c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384"/>
    </row>
    <row r="145" spans="1:15" ht="21" customHeight="1">
      <c r="A145" s="118"/>
      <c r="B145" s="258" t="s">
        <v>224</v>
      </c>
      <c r="C145" s="258"/>
      <c r="D145" s="258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384"/>
    </row>
    <row r="146" spans="1:15" ht="21" customHeight="1">
      <c r="A146" s="118"/>
      <c r="B146" s="258" t="s">
        <v>225</v>
      </c>
      <c r="C146" s="258"/>
      <c r="D146" s="258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384"/>
    </row>
    <row r="147" spans="1:15" ht="21" customHeight="1">
      <c r="A147" s="118"/>
      <c r="B147" s="258" t="s">
        <v>213</v>
      </c>
      <c r="C147" s="258"/>
      <c r="D147" s="258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384"/>
    </row>
    <row r="148" spans="1:15" ht="21" customHeight="1">
      <c r="A148" s="90"/>
      <c r="B148" s="259" t="s">
        <v>129</v>
      </c>
      <c r="C148" s="259"/>
      <c r="D148" s="259"/>
      <c r="E148" s="259"/>
      <c r="F148" s="259"/>
      <c r="G148" s="259"/>
      <c r="H148" s="259"/>
      <c r="I148" s="259"/>
      <c r="J148" s="259"/>
      <c r="K148" s="259"/>
      <c r="L148" s="259"/>
      <c r="M148" s="259"/>
      <c r="N148" s="259"/>
      <c r="O148" s="384"/>
    </row>
    <row r="149" spans="1:15" ht="21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4"/>
      <c r="M149" s="94"/>
      <c r="N149" s="95"/>
      <c r="O149" s="384"/>
    </row>
    <row r="150" spans="1:15" ht="21" customHeight="1">
      <c r="A150" s="260" t="s">
        <v>62</v>
      </c>
      <c r="B150" s="260"/>
      <c r="C150" s="260"/>
      <c r="D150" s="260"/>
      <c r="E150" s="385"/>
      <c r="F150" s="385"/>
      <c r="G150" s="385"/>
      <c r="H150" s="385"/>
      <c r="I150" s="385"/>
      <c r="J150" s="386" t="s">
        <v>33</v>
      </c>
      <c r="K150" s="386"/>
      <c r="L150" s="386"/>
      <c r="M150" s="386"/>
      <c r="N150" s="386"/>
      <c r="O150" s="384"/>
    </row>
    <row r="151" spans="1:15" ht="21" customHeight="1">
      <c r="A151" s="178"/>
      <c r="B151" s="178"/>
      <c r="C151" s="178"/>
      <c r="D151" s="385"/>
      <c r="E151" s="385"/>
      <c r="F151" s="385"/>
      <c r="G151" s="385"/>
      <c r="H151" s="387"/>
      <c r="I151" s="387"/>
      <c r="J151" s="387"/>
      <c r="K151" s="387"/>
      <c r="L151" s="387"/>
      <c r="M151" s="387"/>
      <c r="N151" s="387"/>
      <c r="O151" s="384"/>
    </row>
    <row r="152" spans="1:15" ht="21" customHeight="1">
      <c r="A152" s="178"/>
      <c r="B152" s="178"/>
      <c r="C152" s="178"/>
      <c r="D152" s="385"/>
      <c r="E152" s="385"/>
      <c r="F152" s="385"/>
      <c r="G152" s="385"/>
      <c r="H152" s="387"/>
      <c r="I152" s="387"/>
      <c r="J152" s="387"/>
      <c r="K152" s="387"/>
      <c r="L152" s="387"/>
      <c r="M152" s="387"/>
      <c r="N152" s="387"/>
      <c r="O152" s="384"/>
    </row>
    <row r="153" spans="1:15" ht="21" customHeight="1">
      <c r="A153" s="178"/>
      <c r="B153" s="178"/>
      <c r="C153" s="178"/>
      <c r="D153" s="385"/>
      <c r="E153" s="385"/>
      <c r="F153" s="385"/>
      <c r="G153" s="385"/>
      <c r="H153" s="387"/>
      <c r="I153" s="387"/>
      <c r="J153" s="388" t="s">
        <v>124</v>
      </c>
      <c r="K153" s="388"/>
      <c r="L153" s="388"/>
      <c r="M153" s="388"/>
      <c r="N153" s="388"/>
      <c r="O153" s="384"/>
    </row>
    <row r="154" spans="1:15" ht="21" customHeight="1">
      <c r="A154" s="261" t="s">
        <v>91</v>
      </c>
      <c r="B154" s="261"/>
      <c r="C154" s="261"/>
      <c r="D154" s="261"/>
      <c r="E154" s="385"/>
      <c r="F154" s="385"/>
      <c r="G154" s="385"/>
      <c r="H154" s="387"/>
      <c r="I154" s="387"/>
      <c r="O154" s="384"/>
    </row>
    <row r="156" spans="1:15" ht="21" customHeight="1">
      <c r="J156" s="388" t="s">
        <v>127</v>
      </c>
      <c r="K156" s="388"/>
      <c r="L156" s="388"/>
      <c r="M156" s="388"/>
      <c r="N156" s="388"/>
    </row>
  </sheetData>
  <mergeCells count="201">
    <mergeCell ref="U136:V136"/>
    <mergeCell ref="J136:J137"/>
    <mergeCell ref="K136:K137"/>
    <mergeCell ref="J134:J135"/>
    <mergeCell ref="K134:K135"/>
    <mergeCell ref="U137:V137"/>
    <mergeCell ref="Q136:R136"/>
    <mergeCell ref="S136:T136"/>
    <mergeCell ref="Q137:R137"/>
    <mergeCell ref="S137:T137"/>
    <mergeCell ref="M104:M105"/>
    <mergeCell ref="N104:N105"/>
    <mergeCell ref="G55:H55"/>
    <mergeCell ref="F92:F93"/>
    <mergeCell ref="G92:G93"/>
    <mergeCell ref="J90:J93"/>
    <mergeCell ref="K90:K93"/>
    <mergeCell ref="M90:M93"/>
    <mergeCell ref="G90:H91"/>
    <mergeCell ref="I90:I93"/>
    <mergeCell ref="H92:H93"/>
    <mergeCell ref="N90:N93"/>
    <mergeCell ref="E90:F91"/>
    <mergeCell ref="E84:N84"/>
    <mergeCell ref="A94:N94"/>
    <mergeCell ref="C57:D57"/>
    <mergeCell ref="E57:F57"/>
    <mergeCell ref="G57:H57"/>
    <mergeCell ref="Q52:R52"/>
    <mergeCell ref="S52:T52"/>
    <mergeCell ref="Q53:R53"/>
    <mergeCell ref="S53:T53"/>
    <mergeCell ref="E92:E93"/>
    <mergeCell ref="A90:A93"/>
    <mergeCell ref="B90:B93"/>
    <mergeCell ref="C90:C93"/>
    <mergeCell ref="D90:D93"/>
    <mergeCell ref="J69:N69"/>
    <mergeCell ref="E86:I88"/>
    <mergeCell ref="J86:N88"/>
    <mergeCell ref="A87:D87"/>
    <mergeCell ref="A88:D88"/>
    <mergeCell ref="A70:D70"/>
    <mergeCell ref="J72:N72"/>
    <mergeCell ref="A86:D86"/>
    <mergeCell ref="L90:L93"/>
    <mergeCell ref="B60:N60"/>
    <mergeCell ref="B61:N61"/>
    <mergeCell ref="B62:N62"/>
    <mergeCell ref="B63:N63"/>
    <mergeCell ref="B64:N64"/>
    <mergeCell ref="A89:C89"/>
    <mergeCell ref="A27:B28"/>
    <mergeCell ref="A29:B29"/>
    <mergeCell ref="G54:H54"/>
    <mergeCell ref="A59:N59"/>
    <mergeCell ref="U52:V52"/>
    <mergeCell ref="U53:V53"/>
    <mergeCell ref="L50:L57"/>
    <mergeCell ref="M50:M57"/>
    <mergeCell ref="N50:N57"/>
    <mergeCell ref="J55:J57"/>
    <mergeCell ref="G51:H51"/>
    <mergeCell ref="N42:N45"/>
    <mergeCell ref="K55:K57"/>
    <mergeCell ref="C56:D56"/>
    <mergeCell ref="E56:F56"/>
    <mergeCell ref="E54:F54"/>
    <mergeCell ref="I42:I45"/>
    <mergeCell ref="J42:J45"/>
    <mergeCell ref="E44:E45"/>
    <mergeCell ref="F44:F45"/>
    <mergeCell ref="M42:M45"/>
    <mergeCell ref="C50:C51"/>
    <mergeCell ref="G53:H53"/>
    <mergeCell ref="G56:H56"/>
    <mergeCell ref="A3:D3"/>
    <mergeCell ref="E3:N3"/>
    <mergeCell ref="G44:G45"/>
    <mergeCell ref="A8:C8"/>
    <mergeCell ref="J9:J12"/>
    <mergeCell ref="K9:K12"/>
    <mergeCell ref="A4:D4"/>
    <mergeCell ref="A84:D85"/>
    <mergeCell ref="E85:I85"/>
    <mergeCell ref="J85:N85"/>
    <mergeCell ref="J66:N66"/>
    <mergeCell ref="A50:B51"/>
    <mergeCell ref="A6:D6"/>
    <mergeCell ref="A7:D7"/>
    <mergeCell ref="A55:C55"/>
    <mergeCell ref="E55:F55"/>
    <mergeCell ref="F82:N82"/>
    <mergeCell ref="A56:B57"/>
    <mergeCell ref="A66:D66"/>
    <mergeCell ref="H44:H45"/>
    <mergeCell ref="I50:I51"/>
    <mergeCell ref="E51:F51"/>
    <mergeCell ref="I52:I53"/>
    <mergeCell ref="L42:L45"/>
    <mergeCell ref="G9:H10"/>
    <mergeCell ref="I9:I12"/>
    <mergeCell ref="L9:L12"/>
    <mergeCell ref="N9:N12"/>
    <mergeCell ref="E11:E12"/>
    <mergeCell ref="F11:F12"/>
    <mergeCell ref="G11:G12"/>
    <mergeCell ref="H11:H12"/>
    <mergeCell ref="M9:M12"/>
    <mergeCell ref="E4:I7"/>
    <mergeCell ref="J4:N7"/>
    <mergeCell ref="A5:D5"/>
    <mergeCell ref="F1:N1"/>
    <mergeCell ref="D50:D51"/>
    <mergeCell ref="M46:M47"/>
    <mergeCell ref="M25:M26"/>
    <mergeCell ref="A13:N13"/>
    <mergeCell ref="A42:A45"/>
    <mergeCell ref="B42:B45"/>
    <mergeCell ref="C42:C45"/>
    <mergeCell ref="N46:N47"/>
    <mergeCell ref="A48:B49"/>
    <mergeCell ref="N25:N26"/>
    <mergeCell ref="D42:D45"/>
    <mergeCell ref="E42:F43"/>
    <mergeCell ref="G42:H43"/>
    <mergeCell ref="K42:K45"/>
    <mergeCell ref="A9:A12"/>
    <mergeCell ref="B9:B12"/>
    <mergeCell ref="C9:C12"/>
    <mergeCell ref="D9:D12"/>
    <mergeCell ref="E9:F10"/>
    <mergeCell ref="J50:J51"/>
    <mergeCell ref="K50:K51"/>
    <mergeCell ref="J52:J53"/>
    <mergeCell ref="K52:K53"/>
    <mergeCell ref="A52:C53"/>
    <mergeCell ref="A54:C54"/>
    <mergeCell ref="E53:F53"/>
    <mergeCell ref="A154:D154"/>
    <mergeCell ref="J156:N156"/>
    <mergeCell ref="C140:D140"/>
    <mergeCell ref="N134:N135"/>
    <mergeCell ref="B147:N147"/>
    <mergeCell ref="B148:N148"/>
    <mergeCell ref="E141:F141"/>
    <mergeCell ref="A134:B135"/>
    <mergeCell ref="C134:C135"/>
    <mergeCell ref="D134:D135"/>
    <mergeCell ref="I134:I135"/>
    <mergeCell ref="A143:N143"/>
    <mergeCell ref="B144:N144"/>
    <mergeCell ref="E140:F140"/>
    <mergeCell ref="G140:H140"/>
    <mergeCell ref="C141:D141"/>
    <mergeCell ref="N130:N131"/>
    <mergeCell ref="A106:B107"/>
    <mergeCell ref="A108:B108"/>
    <mergeCell ref="M120:M121"/>
    <mergeCell ref="N120:N121"/>
    <mergeCell ref="A150:D150"/>
    <mergeCell ref="J150:N150"/>
    <mergeCell ref="A132:B133"/>
    <mergeCell ref="A122:B123"/>
    <mergeCell ref="M130:M131"/>
    <mergeCell ref="K126:K129"/>
    <mergeCell ref="A124:B124"/>
    <mergeCell ref="E128:E129"/>
    <mergeCell ref="F128:F129"/>
    <mergeCell ref="L126:L129"/>
    <mergeCell ref="M126:M129"/>
    <mergeCell ref="E137:F137"/>
    <mergeCell ref="G137:H137"/>
    <mergeCell ref="E138:F138"/>
    <mergeCell ref="G138:H138"/>
    <mergeCell ref="E135:F135"/>
    <mergeCell ref="G135:H135"/>
    <mergeCell ref="J153:N153"/>
    <mergeCell ref="B145:N145"/>
    <mergeCell ref="B146:N146"/>
    <mergeCell ref="G128:G129"/>
    <mergeCell ref="H128:H129"/>
    <mergeCell ref="G126:H127"/>
    <mergeCell ref="I126:I129"/>
    <mergeCell ref="J126:J129"/>
    <mergeCell ref="G141:H141"/>
    <mergeCell ref="N126:N129"/>
    <mergeCell ref="A139:C139"/>
    <mergeCell ref="E139:F139"/>
    <mergeCell ref="G139:H139"/>
    <mergeCell ref="J139:J141"/>
    <mergeCell ref="K139:K141"/>
    <mergeCell ref="A140:B141"/>
    <mergeCell ref="A136:C137"/>
    <mergeCell ref="A138:C138"/>
    <mergeCell ref="I136:I137"/>
    <mergeCell ref="A126:A129"/>
    <mergeCell ref="B126:B129"/>
    <mergeCell ref="C126:C129"/>
    <mergeCell ref="D126:D129"/>
    <mergeCell ref="E126:F127"/>
  </mergeCells>
  <pageMargins left="0.5" right="7.4999999999999997E-2" top="0.4375" bottom="0.36458333333333331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T2-T3</vt:lpstr>
      <vt:lpstr>T3-T3</vt:lpstr>
      <vt:lpstr>T4-T3</vt:lpstr>
      <vt:lpstr>T5-T3</vt:lpstr>
      <vt:lpstr>T6-T3</vt:lpstr>
      <vt:lpstr>T7-T3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2026-04-17T07:22:27Z</cp:lastPrinted>
  <dcterms:created xsi:type="dcterms:W3CDTF">2015-10-28T22:11:29Z</dcterms:created>
  <dcterms:modified xsi:type="dcterms:W3CDTF">2026-04-18T07:37:17Z</dcterms:modified>
</cp:coreProperties>
</file>