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2" windowHeight="8700"/>
  </bookViews>
  <sheets>
    <sheet name="T2-T2" sheetId="20" r:id="rId1"/>
    <sheet name="T3-T2" sheetId="15" r:id="rId2"/>
    <sheet name="T4-T2" sheetId="16" r:id="rId3"/>
    <sheet name="T5-T2" sheetId="17" r:id="rId4"/>
    <sheet name="T6-T2" sheetId="18" r:id="rId5"/>
    <sheet name="T7-T2" sheetId="19" r:id="rId6"/>
  </sheets>
  <calcPr calcId="124519"/>
</workbook>
</file>

<file path=xl/calcChain.xml><?xml version="1.0" encoding="utf-8"?>
<calcChain xmlns="http://schemas.openxmlformats.org/spreadsheetml/2006/main">
  <c r="I96" i="18"/>
  <c r="I110"/>
  <c r="N15" i="17"/>
  <c r="N16"/>
  <c r="I98" i="16"/>
  <c r="I114"/>
  <c r="N104" i="19"/>
  <c r="K104"/>
  <c r="I104"/>
  <c r="F104"/>
  <c r="C104"/>
  <c r="D104" s="1"/>
  <c r="N103"/>
  <c r="C103"/>
  <c r="J103" s="1"/>
  <c r="N26"/>
  <c r="J26"/>
  <c r="I26"/>
  <c r="D26"/>
  <c r="C26"/>
  <c r="F26" s="1"/>
  <c r="N25"/>
  <c r="C25"/>
  <c r="D25" s="1"/>
  <c r="N115" i="18"/>
  <c r="K115"/>
  <c r="J115"/>
  <c r="F115"/>
  <c r="C115"/>
  <c r="D115" s="1"/>
  <c r="N99"/>
  <c r="C99"/>
  <c r="D99" s="1"/>
  <c r="N36"/>
  <c r="C36"/>
  <c r="H36" s="1"/>
  <c r="N23"/>
  <c r="C23"/>
  <c r="D23" s="1"/>
  <c r="N104" i="17"/>
  <c r="K104"/>
  <c r="J104"/>
  <c r="F104"/>
  <c r="D104"/>
  <c r="C104"/>
  <c r="H104" s="1"/>
  <c r="N103"/>
  <c r="C103"/>
  <c r="F103" s="1"/>
  <c r="N24"/>
  <c r="K24"/>
  <c r="I24"/>
  <c r="F24"/>
  <c r="D24"/>
  <c r="C24"/>
  <c r="H24" s="1"/>
  <c r="N23"/>
  <c r="I23"/>
  <c r="D23"/>
  <c r="C23"/>
  <c r="F23" s="1"/>
  <c r="N104" i="16"/>
  <c r="C104"/>
  <c r="D104" s="1"/>
  <c r="N38"/>
  <c r="C38"/>
  <c r="D38" s="1"/>
  <c r="N37"/>
  <c r="C37"/>
  <c r="D37" s="1"/>
  <c r="N36"/>
  <c r="C36"/>
  <c r="F36" s="1"/>
  <c r="N24"/>
  <c r="C24"/>
  <c r="D24" s="1"/>
  <c r="N116" i="15"/>
  <c r="K116"/>
  <c r="J116"/>
  <c r="I116"/>
  <c r="F116"/>
  <c r="D116"/>
  <c r="C116"/>
  <c r="H116" s="1"/>
  <c r="N107" i="20"/>
  <c r="C107"/>
  <c r="D107" s="1"/>
  <c r="N106"/>
  <c r="C106"/>
  <c r="D106" s="1"/>
  <c r="C26"/>
  <c r="D26" s="1"/>
  <c r="N25"/>
  <c r="C25"/>
  <c r="H25" s="1"/>
  <c r="N24"/>
  <c r="C24"/>
  <c r="D24" s="1"/>
  <c r="N98" i="17"/>
  <c r="I98"/>
  <c r="C98"/>
  <c r="J98" s="1"/>
  <c r="N18"/>
  <c r="C18"/>
  <c r="D18" s="1"/>
  <c r="N101" i="20"/>
  <c r="J101"/>
  <c r="C101"/>
  <c r="D101" s="1"/>
  <c r="N18"/>
  <c r="C18"/>
  <c r="K18" s="1"/>
  <c r="N102" i="15"/>
  <c r="C102"/>
  <c r="D102" s="1"/>
  <c r="C25"/>
  <c r="I25" s="1"/>
  <c r="N116" i="19"/>
  <c r="C116"/>
  <c r="D116" s="1"/>
  <c r="N39"/>
  <c r="C39"/>
  <c r="E39" s="1"/>
  <c r="N103" i="20"/>
  <c r="C103"/>
  <c r="H103" s="1"/>
  <c r="N20"/>
  <c r="C20"/>
  <c r="H20" s="1"/>
  <c r="N115" i="19"/>
  <c r="C115"/>
  <c r="J115" s="1"/>
  <c r="N101"/>
  <c r="C101"/>
  <c r="H101" s="1"/>
  <c r="N38"/>
  <c r="C38"/>
  <c r="D38" s="1"/>
  <c r="N22"/>
  <c r="C22"/>
  <c r="D22" s="1"/>
  <c r="I103" l="1"/>
  <c r="J25"/>
  <c r="J103" i="17"/>
  <c r="D103"/>
  <c r="D98"/>
  <c r="K98"/>
  <c r="K23"/>
  <c r="K18"/>
  <c r="J18"/>
  <c r="I18"/>
  <c r="J36" i="16"/>
  <c r="D36"/>
  <c r="D25" i="15"/>
  <c r="F25"/>
  <c r="K25"/>
  <c r="J25"/>
  <c r="K101" i="20"/>
  <c r="J26"/>
  <c r="I26"/>
  <c r="H26"/>
  <c r="K26"/>
  <c r="F26"/>
  <c r="J18"/>
  <c r="D18"/>
  <c r="F103" i="19"/>
  <c r="D103"/>
  <c r="K103"/>
  <c r="J104"/>
  <c r="H104"/>
  <c r="K25"/>
  <c r="K26"/>
  <c r="F25"/>
  <c r="H26"/>
  <c r="I25"/>
  <c r="K116"/>
  <c r="J116"/>
  <c r="F101"/>
  <c r="D101"/>
  <c r="J101"/>
  <c r="J39"/>
  <c r="E116"/>
  <c r="I101"/>
  <c r="K101"/>
  <c r="K39"/>
  <c r="G116"/>
  <c r="I115" i="18"/>
  <c r="H115"/>
  <c r="K99"/>
  <c r="J99"/>
  <c r="I99"/>
  <c r="F99"/>
  <c r="J36"/>
  <c r="I36"/>
  <c r="F36"/>
  <c r="D36"/>
  <c r="K36"/>
  <c r="K23"/>
  <c r="J23"/>
  <c r="I23"/>
  <c r="F23"/>
  <c r="K103" i="17"/>
  <c r="I103"/>
  <c r="I104"/>
  <c r="J24"/>
  <c r="J23"/>
  <c r="J104" i="16"/>
  <c r="K104"/>
  <c r="I104"/>
  <c r="F104"/>
  <c r="K37"/>
  <c r="K38"/>
  <c r="J37"/>
  <c r="J38"/>
  <c r="I37"/>
  <c r="I38"/>
  <c r="H37"/>
  <c r="H38"/>
  <c r="F37"/>
  <c r="F38"/>
  <c r="K36"/>
  <c r="I36"/>
  <c r="K24"/>
  <c r="J24"/>
  <c r="I24"/>
  <c r="F24"/>
  <c r="K106" i="20"/>
  <c r="K107"/>
  <c r="J106"/>
  <c r="J107"/>
  <c r="I106"/>
  <c r="I107"/>
  <c r="H106"/>
  <c r="H107"/>
  <c r="F106"/>
  <c r="F107"/>
  <c r="I18"/>
  <c r="I101"/>
  <c r="K25"/>
  <c r="J25"/>
  <c r="F25"/>
  <c r="D25"/>
  <c r="I25"/>
  <c r="K24"/>
  <c r="J24"/>
  <c r="I24"/>
  <c r="H24"/>
  <c r="F24"/>
  <c r="J102" i="15"/>
  <c r="K102"/>
  <c r="I102"/>
  <c r="H102"/>
  <c r="F102"/>
  <c r="D115" i="19"/>
  <c r="D39"/>
  <c r="G39"/>
  <c r="F103" i="20"/>
  <c r="D103"/>
  <c r="K103"/>
  <c r="I103"/>
  <c r="J103"/>
  <c r="K20"/>
  <c r="J20"/>
  <c r="I20"/>
  <c r="F20"/>
  <c r="D20"/>
  <c r="K115" i="19"/>
  <c r="E115"/>
  <c r="G115"/>
  <c r="G38"/>
  <c r="E38"/>
  <c r="K38"/>
  <c r="J38"/>
  <c r="K22"/>
  <c r="J22"/>
  <c r="I22"/>
  <c r="H22"/>
  <c r="F22"/>
  <c r="N113" i="18" l="1"/>
  <c r="C113"/>
  <c r="E113" s="1"/>
  <c r="I123"/>
  <c r="N123"/>
  <c r="N128" s="1"/>
  <c r="C123"/>
  <c r="N116"/>
  <c r="C116"/>
  <c r="H116" s="1"/>
  <c r="N114"/>
  <c r="C114"/>
  <c r="H114" s="1"/>
  <c r="N112"/>
  <c r="C112"/>
  <c r="G112" s="1"/>
  <c r="N111"/>
  <c r="C111"/>
  <c r="G111" s="1"/>
  <c r="N110"/>
  <c r="C110"/>
  <c r="H110" s="1"/>
  <c r="N109"/>
  <c r="C109"/>
  <c r="G109" s="1"/>
  <c r="N108"/>
  <c r="C108"/>
  <c r="K108" s="1"/>
  <c r="N101"/>
  <c r="C101"/>
  <c r="F101" s="1"/>
  <c r="N100"/>
  <c r="C100"/>
  <c r="F100" s="1"/>
  <c r="N98"/>
  <c r="C98"/>
  <c r="J98" s="1"/>
  <c r="N97"/>
  <c r="C97"/>
  <c r="J97" s="1"/>
  <c r="N96"/>
  <c r="C96"/>
  <c r="N95"/>
  <c r="C95"/>
  <c r="F95" s="1"/>
  <c r="N94"/>
  <c r="C94"/>
  <c r="I94" s="1"/>
  <c r="N93"/>
  <c r="C93"/>
  <c r="H93" s="1"/>
  <c r="N92"/>
  <c r="C92"/>
  <c r="G92" s="1"/>
  <c r="N91"/>
  <c r="C91"/>
  <c r="E91" s="1"/>
  <c r="N127" i="17"/>
  <c r="C127"/>
  <c r="H127" s="1"/>
  <c r="N105"/>
  <c r="C105"/>
  <c r="D105" s="1"/>
  <c r="N101"/>
  <c r="C101"/>
  <c r="J101" s="1"/>
  <c r="N100"/>
  <c r="C100"/>
  <c r="D100" s="1"/>
  <c r="N99"/>
  <c r="C99"/>
  <c r="K99" s="1"/>
  <c r="N39"/>
  <c r="C39"/>
  <c r="F39" s="1"/>
  <c r="N25"/>
  <c r="C25"/>
  <c r="F25" s="1"/>
  <c r="C19"/>
  <c r="J19" s="1"/>
  <c r="N21"/>
  <c r="C21"/>
  <c r="D21" s="1"/>
  <c r="N100" i="16"/>
  <c r="C100"/>
  <c r="G100" s="1"/>
  <c r="N102"/>
  <c r="C102"/>
  <c r="E102" s="1"/>
  <c r="N35"/>
  <c r="C35"/>
  <c r="D35" s="1"/>
  <c r="C22"/>
  <c r="D22" s="1"/>
  <c r="N20"/>
  <c r="C20"/>
  <c r="J20" s="1"/>
  <c r="N115" i="15"/>
  <c r="C115"/>
  <c r="F115" s="1"/>
  <c r="N101"/>
  <c r="C101"/>
  <c r="F101" s="1"/>
  <c r="N23"/>
  <c r="C23"/>
  <c r="E23" s="1"/>
  <c r="N22"/>
  <c r="C22"/>
  <c r="F22" s="1"/>
  <c r="N21"/>
  <c r="C21"/>
  <c r="F21" s="1"/>
  <c r="N130" i="20"/>
  <c r="C130"/>
  <c r="F130" s="1"/>
  <c r="N108"/>
  <c r="C108"/>
  <c r="D108" s="1"/>
  <c r="N42"/>
  <c r="C42"/>
  <c r="D42" s="1"/>
  <c r="J113" i="18" l="1"/>
  <c r="D116"/>
  <c r="E22" i="16"/>
  <c r="G22"/>
  <c r="D115" i="15"/>
  <c r="K102" i="16"/>
  <c r="K100"/>
  <c r="K22"/>
  <c r="I22"/>
  <c r="I130" i="20"/>
  <c r="I42"/>
  <c r="E101" i="17"/>
  <c r="D101"/>
  <c r="G19"/>
  <c r="D113" i="18"/>
  <c r="K113"/>
  <c r="G113"/>
  <c r="J116"/>
  <c r="E98"/>
  <c r="D96"/>
  <c r="K116"/>
  <c r="F116"/>
  <c r="D93"/>
  <c r="K95"/>
  <c r="D95"/>
  <c r="I95" s="1"/>
  <c r="I100"/>
  <c r="D100"/>
  <c r="D94"/>
  <c r="K123"/>
  <c r="J91"/>
  <c r="F123"/>
  <c r="D123"/>
  <c r="D128" s="1"/>
  <c r="D129" s="1"/>
  <c r="D131" s="1"/>
  <c r="J108"/>
  <c r="E108"/>
  <c r="I116"/>
  <c r="D97"/>
  <c r="D108"/>
  <c r="H123"/>
  <c r="K98"/>
  <c r="J123"/>
  <c r="D101"/>
  <c r="D92"/>
  <c r="K94"/>
  <c r="K96"/>
  <c r="G98"/>
  <c r="H100"/>
  <c r="N118"/>
  <c r="N103"/>
  <c r="D98"/>
  <c r="I101"/>
  <c r="D109"/>
  <c r="K91"/>
  <c r="H101"/>
  <c r="J110"/>
  <c r="J111"/>
  <c r="J112"/>
  <c r="J94"/>
  <c r="K97"/>
  <c r="I114"/>
  <c r="D91"/>
  <c r="H94"/>
  <c r="H95"/>
  <c r="H96"/>
  <c r="G97"/>
  <c r="K100"/>
  <c r="F110"/>
  <c r="E111"/>
  <c r="E112"/>
  <c r="F114"/>
  <c r="J95"/>
  <c r="I112"/>
  <c r="F94"/>
  <c r="F96"/>
  <c r="E97"/>
  <c r="J100"/>
  <c r="D110"/>
  <c r="D111"/>
  <c r="D112"/>
  <c r="D114"/>
  <c r="K110"/>
  <c r="K111"/>
  <c r="K112"/>
  <c r="J96"/>
  <c r="I111"/>
  <c r="E19" i="17"/>
  <c r="E99"/>
  <c r="J99"/>
  <c r="J21"/>
  <c r="D99"/>
  <c r="K100"/>
  <c r="K127"/>
  <c r="J100"/>
  <c r="J127"/>
  <c r="G100"/>
  <c r="F127"/>
  <c r="E100"/>
  <c r="G101"/>
  <c r="D127"/>
  <c r="I127"/>
  <c r="K101"/>
  <c r="K105"/>
  <c r="J105"/>
  <c r="I105"/>
  <c r="H105"/>
  <c r="F105"/>
  <c r="G99"/>
  <c r="D25"/>
  <c r="E21"/>
  <c r="D39"/>
  <c r="I25"/>
  <c r="K25"/>
  <c r="J25"/>
  <c r="K39"/>
  <c r="I39"/>
  <c r="H39"/>
  <c r="J39"/>
  <c r="D19"/>
  <c r="G21"/>
  <c r="K19"/>
  <c r="H25"/>
  <c r="K21"/>
  <c r="E100" i="16"/>
  <c r="D100"/>
  <c r="J100"/>
  <c r="I100"/>
  <c r="D102"/>
  <c r="G102"/>
  <c r="J102"/>
  <c r="K20"/>
  <c r="D20"/>
  <c r="G20"/>
  <c r="E20"/>
  <c r="K35"/>
  <c r="J35"/>
  <c r="G35"/>
  <c r="E35"/>
  <c r="D101" i="15"/>
  <c r="K115"/>
  <c r="I115"/>
  <c r="H115"/>
  <c r="J115"/>
  <c r="K101"/>
  <c r="I101"/>
  <c r="H101"/>
  <c r="J101"/>
  <c r="D23"/>
  <c r="D22"/>
  <c r="K23"/>
  <c r="J23"/>
  <c r="I23"/>
  <c r="J22"/>
  <c r="I22"/>
  <c r="H22"/>
  <c r="K22"/>
  <c r="D21"/>
  <c r="K21"/>
  <c r="I21"/>
  <c r="H21"/>
  <c r="J21"/>
  <c r="D130" i="20"/>
  <c r="J130"/>
  <c r="H130"/>
  <c r="K130"/>
  <c r="K108"/>
  <c r="J108"/>
  <c r="I108"/>
  <c r="H108"/>
  <c r="F108"/>
  <c r="J42"/>
  <c r="K42"/>
  <c r="H42"/>
  <c r="F42"/>
  <c r="H132" i="18" l="1"/>
  <c r="H134" s="1"/>
  <c r="G132"/>
  <c r="N132"/>
  <c r="D103"/>
  <c r="D104" s="1"/>
  <c r="D106" s="1"/>
  <c r="I132"/>
  <c r="I134" s="1"/>
  <c r="E132"/>
  <c r="E134" s="1"/>
  <c r="D118"/>
  <c r="D119" s="1"/>
  <c r="D121" s="1"/>
  <c r="J132"/>
  <c r="J134" s="1"/>
  <c r="K132"/>
  <c r="K134" s="1"/>
  <c r="F132"/>
  <c r="F134" s="1"/>
  <c r="N21" i="20"/>
  <c r="C21"/>
  <c r="E21" s="1"/>
  <c r="G133" i="18" l="1"/>
  <c r="G134"/>
  <c r="G135" s="1"/>
  <c r="I137"/>
  <c r="D132"/>
  <c r="D134" s="1"/>
  <c r="E135"/>
  <c r="E133"/>
  <c r="K21" i="20"/>
  <c r="J21"/>
  <c r="D21"/>
  <c r="G21"/>
  <c r="I138" i="18" l="1"/>
  <c r="G137"/>
  <c r="G138" s="1"/>
  <c r="E137"/>
  <c r="N135" i="20"/>
  <c r="D135"/>
  <c r="D136" s="1"/>
  <c r="D138" s="1"/>
  <c r="N123"/>
  <c r="C123"/>
  <c r="J123" s="1"/>
  <c r="N122"/>
  <c r="C122"/>
  <c r="J122" s="1"/>
  <c r="N121"/>
  <c r="C121"/>
  <c r="J121" s="1"/>
  <c r="N120"/>
  <c r="C120"/>
  <c r="G120" s="1"/>
  <c r="N119"/>
  <c r="C119"/>
  <c r="H119" s="1"/>
  <c r="N118"/>
  <c r="C118"/>
  <c r="D118" s="1"/>
  <c r="N117"/>
  <c r="C117"/>
  <c r="I117" s="1"/>
  <c r="N116"/>
  <c r="C116"/>
  <c r="G116" s="1"/>
  <c r="N115"/>
  <c r="C115"/>
  <c r="J115" s="1"/>
  <c r="N105"/>
  <c r="C105"/>
  <c r="I105" s="1"/>
  <c r="N104"/>
  <c r="C104"/>
  <c r="E104" s="1"/>
  <c r="N102"/>
  <c r="C102"/>
  <c r="D102" s="1"/>
  <c r="N100"/>
  <c r="C100"/>
  <c r="I100" s="1"/>
  <c r="N99"/>
  <c r="C99"/>
  <c r="D99" s="1"/>
  <c r="N98"/>
  <c r="C98"/>
  <c r="D98" s="1"/>
  <c r="N97"/>
  <c r="C97"/>
  <c r="D97" s="1"/>
  <c r="N41"/>
  <c r="C41"/>
  <c r="D41" s="1"/>
  <c r="N40"/>
  <c r="C40"/>
  <c r="D40" s="1"/>
  <c r="N39"/>
  <c r="C39"/>
  <c r="E39" s="1"/>
  <c r="N38"/>
  <c r="C38"/>
  <c r="H38" s="1"/>
  <c r="N37"/>
  <c r="C37"/>
  <c r="I37" s="1"/>
  <c r="N36"/>
  <c r="C36"/>
  <c r="H36" s="1"/>
  <c r="N35"/>
  <c r="C35"/>
  <c r="D35" s="1"/>
  <c r="N34"/>
  <c r="C34"/>
  <c r="D34" s="1"/>
  <c r="N27"/>
  <c r="C27"/>
  <c r="F27" s="1"/>
  <c r="N26"/>
  <c r="N23"/>
  <c r="C23"/>
  <c r="D23" s="1"/>
  <c r="N22"/>
  <c r="C22"/>
  <c r="E22" s="1"/>
  <c r="N19"/>
  <c r="C19"/>
  <c r="E19" s="1"/>
  <c r="N17"/>
  <c r="C17"/>
  <c r="I17" s="1"/>
  <c r="N16"/>
  <c r="C16"/>
  <c r="D16" s="1"/>
  <c r="N15"/>
  <c r="C15"/>
  <c r="D15" s="1"/>
  <c r="N14"/>
  <c r="C14"/>
  <c r="J14" s="1"/>
  <c r="E115" l="1"/>
  <c r="D39"/>
  <c r="E138" i="18"/>
  <c r="D17" i="20"/>
  <c r="H100"/>
  <c r="J37"/>
  <c r="J36"/>
  <c r="I36"/>
  <c r="D14"/>
  <c r="H17"/>
  <c r="K39"/>
  <c r="H117"/>
  <c r="K19"/>
  <c r="G121"/>
  <c r="J39"/>
  <c r="I38"/>
  <c r="F38"/>
  <c r="E121"/>
  <c r="G22"/>
  <c r="D121"/>
  <c r="H123"/>
  <c r="D22"/>
  <c r="F123"/>
  <c r="I123"/>
  <c r="J17"/>
  <c r="D38"/>
  <c r="F119"/>
  <c r="K34"/>
  <c r="D104"/>
  <c r="D119"/>
  <c r="F36"/>
  <c r="K40"/>
  <c r="D115"/>
  <c r="J22"/>
  <c r="D36"/>
  <c r="H37"/>
  <c r="J40"/>
  <c r="K97"/>
  <c r="H105"/>
  <c r="J97"/>
  <c r="D100"/>
  <c r="D117"/>
  <c r="F37"/>
  <c r="I40"/>
  <c r="F105"/>
  <c r="F122"/>
  <c r="E14"/>
  <c r="F17"/>
  <c r="D37"/>
  <c r="H40"/>
  <c r="E97"/>
  <c r="D105"/>
  <c r="D122"/>
  <c r="D27"/>
  <c r="D120"/>
  <c r="E120"/>
  <c r="D116"/>
  <c r="H99"/>
  <c r="I122"/>
  <c r="H122"/>
  <c r="D123"/>
  <c r="N125"/>
  <c r="N110"/>
  <c r="G39"/>
  <c r="K41"/>
  <c r="J41"/>
  <c r="I41"/>
  <c r="H41"/>
  <c r="N29"/>
  <c r="G15"/>
  <c r="J19"/>
  <c r="G19"/>
  <c r="D19"/>
  <c r="N48"/>
  <c r="K100"/>
  <c r="K102"/>
  <c r="I23"/>
  <c r="G34"/>
  <c r="J102"/>
  <c r="I118"/>
  <c r="K119"/>
  <c r="K23"/>
  <c r="J23"/>
  <c r="H23"/>
  <c r="I27"/>
  <c r="E34"/>
  <c r="F40"/>
  <c r="F41"/>
  <c r="G102"/>
  <c r="J104"/>
  <c r="H118"/>
  <c r="J119"/>
  <c r="K120"/>
  <c r="K117"/>
  <c r="J100"/>
  <c r="J117"/>
  <c r="K14"/>
  <c r="H16"/>
  <c r="K17"/>
  <c r="F23"/>
  <c r="H27"/>
  <c r="G35"/>
  <c r="K36"/>
  <c r="K37"/>
  <c r="G98"/>
  <c r="F100"/>
  <c r="E102"/>
  <c r="G104"/>
  <c r="K115"/>
  <c r="F117"/>
  <c r="F118"/>
  <c r="I119"/>
  <c r="J120"/>
  <c r="K121"/>
  <c r="K122"/>
  <c r="K123"/>
  <c r="D48" l="1"/>
  <c r="D49" s="1"/>
  <c r="D51" s="1"/>
  <c r="E139"/>
  <c r="E141" s="1"/>
  <c r="D110"/>
  <c r="D111" s="1"/>
  <c r="D113" s="1"/>
  <c r="E52"/>
  <c r="E54" s="1"/>
  <c r="I139"/>
  <c r="I141" s="1"/>
  <c r="D29"/>
  <c r="D30" s="1"/>
  <c r="D32" s="1"/>
  <c r="H52"/>
  <c r="H54" s="1"/>
  <c r="N52"/>
  <c r="J139"/>
  <c r="J141" s="1"/>
  <c r="D125"/>
  <c r="D126" s="1"/>
  <c r="D128" s="1"/>
  <c r="N139"/>
  <c r="K139"/>
  <c r="K141" s="1"/>
  <c r="G139"/>
  <c r="G141" s="1"/>
  <c r="J52"/>
  <c r="J54" s="1"/>
  <c r="I52"/>
  <c r="I54" s="1"/>
  <c r="K52"/>
  <c r="K54" s="1"/>
  <c r="F52"/>
  <c r="F54" s="1"/>
  <c r="H139"/>
  <c r="H141" s="1"/>
  <c r="G52"/>
  <c r="F139"/>
  <c r="F141" s="1"/>
  <c r="I144" l="1"/>
  <c r="D52"/>
  <c r="D54" s="1"/>
  <c r="D139"/>
  <c r="D141" s="1"/>
  <c r="G140"/>
  <c r="I57"/>
  <c r="E53"/>
  <c r="E55"/>
  <c r="E142"/>
  <c r="G142"/>
  <c r="G53"/>
  <c r="G54"/>
  <c r="E140"/>
  <c r="I145" l="1"/>
  <c r="I58"/>
  <c r="E57"/>
  <c r="G55"/>
  <c r="E144"/>
  <c r="G144"/>
  <c r="G145" s="1"/>
  <c r="E58" l="1"/>
  <c r="G57"/>
  <c r="G58" s="1"/>
  <c r="E145"/>
  <c r="N125" i="19" l="1"/>
  <c r="C125"/>
  <c r="D125" s="1"/>
  <c r="N41"/>
  <c r="C41"/>
  <c r="N37" i="18"/>
  <c r="C37"/>
  <c r="J37" s="1"/>
  <c r="N124" i="15"/>
  <c r="C124"/>
  <c r="K124" s="1"/>
  <c r="N39"/>
  <c r="C39"/>
  <c r="D37" i="18" l="1"/>
  <c r="I125" i="19"/>
  <c r="F125"/>
  <c r="D41"/>
  <c r="I41"/>
  <c r="F37" i="18"/>
  <c r="I37"/>
  <c r="H37"/>
  <c r="K37"/>
  <c r="D124" i="15"/>
  <c r="I124"/>
  <c r="J124"/>
  <c r="D39"/>
  <c r="I39"/>
  <c r="K41" i="19"/>
  <c r="J41"/>
  <c r="K125"/>
  <c r="J125"/>
  <c r="H41"/>
  <c r="H125"/>
  <c r="F41"/>
  <c r="F39" i="15"/>
  <c r="H39"/>
  <c r="H124"/>
  <c r="J39"/>
  <c r="K39"/>
  <c r="F124"/>
  <c r="N18" i="18" l="1"/>
  <c r="C18"/>
  <c r="K18" s="1"/>
  <c r="J18" l="1"/>
  <c r="D18"/>
  <c r="I18" s="1"/>
  <c r="H18"/>
  <c r="F18"/>
  <c r="N99" i="16" l="1"/>
  <c r="C99"/>
  <c r="H99" s="1"/>
  <c r="N17"/>
  <c r="C17"/>
  <c r="H17" s="1"/>
  <c r="F99" l="1"/>
  <c r="D99"/>
  <c r="I99" s="1"/>
  <c r="K99"/>
  <c r="J99"/>
  <c r="F17"/>
  <c r="K17"/>
  <c r="D17"/>
  <c r="I17" s="1"/>
  <c r="J17"/>
  <c r="N17" i="18" l="1"/>
  <c r="C17"/>
  <c r="J17" s="1"/>
  <c r="I17" l="1"/>
  <c r="H17"/>
  <c r="F17"/>
  <c r="D17"/>
  <c r="K17"/>
  <c r="N100" i="19" l="1"/>
  <c r="C100"/>
  <c r="E100" s="1"/>
  <c r="N20"/>
  <c r="C20"/>
  <c r="G20" l="1"/>
  <c r="E20"/>
  <c r="D100"/>
  <c r="K100"/>
  <c r="J100"/>
  <c r="G100"/>
  <c r="D20"/>
  <c r="K20"/>
  <c r="J20"/>
  <c r="C120" i="17" l="1"/>
  <c r="N97" i="19"/>
  <c r="C97"/>
  <c r="H97" s="1"/>
  <c r="D97" l="1"/>
  <c r="N17" l="1"/>
  <c r="C17"/>
  <c r="D17" s="1"/>
  <c r="N15" i="18"/>
  <c r="C15"/>
  <c r="H15" s="1"/>
  <c r="N114" i="17"/>
  <c r="C114"/>
  <c r="H114" s="1"/>
  <c r="C16"/>
  <c r="D16" s="1"/>
  <c r="H17" i="19" l="1"/>
  <c r="D15" i="18"/>
  <c r="D114" i="17"/>
  <c r="H16"/>
  <c r="N97" i="16" l="1"/>
  <c r="C97"/>
  <c r="D97" s="1"/>
  <c r="N127"/>
  <c r="C127"/>
  <c r="D127" s="1"/>
  <c r="N34"/>
  <c r="C34"/>
  <c r="D34" s="1"/>
  <c r="N40"/>
  <c r="C40"/>
  <c r="D40" s="1"/>
  <c r="K127" l="1"/>
  <c r="J127"/>
  <c r="I127"/>
  <c r="H127"/>
  <c r="H97"/>
  <c r="F127"/>
  <c r="H34"/>
  <c r="K40"/>
  <c r="I40"/>
  <c r="H40"/>
  <c r="F40"/>
  <c r="J40"/>
  <c r="N22" l="1"/>
  <c r="J22" l="1"/>
  <c r="N95" i="15" l="1"/>
  <c r="C95"/>
  <c r="D95" s="1"/>
  <c r="N16"/>
  <c r="C16"/>
  <c r="D16" s="1"/>
  <c r="N23" i="19"/>
  <c r="C23"/>
  <c r="D23" s="1"/>
  <c r="H95" i="15" l="1"/>
  <c r="H16"/>
  <c r="J23" i="19"/>
  <c r="K23"/>
  <c r="I23"/>
  <c r="H23"/>
  <c r="F23"/>
  <c r="N21" l="1"/>
  <c r="C21"/>
  <c r="D21" s="1"/>
  <c r="N113" i="16"/>
  <c r="C113"/>
  <c r="G113" s="1"/>
  <c r="N33"/>
  <c r="C33"/>
  <c r="G33" s="1"/>
  <c r="N16"/>
  <c r="C16"/>
  <c r="G16" s="1"/>
  <c r="N110" i="15"/>
  <c r="C110"/>
  <c r="G110" s="1"/>
  <c r="N94"/>
  <c r="C94"/>
  <c r="D94" s="1"/>
  <c r="N33"/>
  <c r="C33"/>
  <c r="D33" s="1"/>
  <c r="N118" i="19"/>
  <c r="C118"/>
  <c r="D118" s="1"/>
  <c r="N102"/>
  <c r="C102"/>
  <c r="D102" s="1"/>
  <c r="N112"/>
  <c r="C112"/>
  <c r="D112" s="1"/>
  <c r="N96"/>
  <c r="C96"/>
  <c r="G96" s="1"/>
  <c r="N40"/>
  <c r="C40"/>
  <c r="D40" s="1"/>
  <c r="N24"/>
  <c r="C24"/>
  <c r="D24" s="1"/>
  <c r="N36"/>
  <c r="C36"/>
  <c r="D36" s="1"/>
  <c r="N33" i="18"/>
  <c r="C33"/>
  <c r="D33" s="1"/>
  <c r="I118" i="19" l="1"/>
  <c r="G36"/>
  <c r="D96"/>
  <c r="D110" i="15"/>
  <c r="D33" i="16"/>
  <c r="D16"/>
  <c r="D113"/>
  <c r="K21" i="19"/>
  <c r="J21"/>
  <c r="G21"/>
  <c r="E21"/>
  <c r="G94" i="15"/>
  <c r="G33"/>
  <c r="G112" i="19"/>
  <c r="I102"/>
  <c r="H102"/>
  <c r="F102"/>
  <c r="F118"/>
  <c r="H118"/>
  <c r="I24"/>
  <c r="H24"/>
  <c r="F24"/>
  <c r="I40"/>
  <c r="H40"/>
  <c r="F40"/>
  <c r="I33" i="18"/>
  <c r="H33"/>
  <c r="F33"/>
  <c r="N35" l="1"/>
  <c r="C35"/>
  <c r="D35" s="1"/>
  <c r="N21"/>
  <c r="C21"/>
  <c r="D21" s="1"/>
  <c r="N32"/>
  <c r="C32"/>
  <c r="G32" s="1"/>
  <c r="H35" l="1"/>
  <c r="I35"/>
  <c r="F35"/>
  <c r="F21"/>
  <c r="I21"/>
  <c r="H21"/>
  <c r="D32"/>
  <c r="N118" i="17" l="1"/>
  <c r="C118"/>
  <c r="D118" s="1"/>
  <c r="N120"/>
  <c r="D120"/>
  <c r="N113"/>
  <c r="C113"/>
  <c r="D113" s="1"/>
  <c r="N102"/>
  <c r="C102"/>
  <c r="D102" s="1"/>
  <c r="N96"/>
  <c r="C96"/>
  <c r="D96" s="1"/>
  <c r="G113" l="1"/>
  <c r="K118"/>
  <c r="I118"/>
  <c r="J118"/>
  <c r="H118"/>
  <c r="F118"/>
  <c r="I120"/>
  <c r="H120"/>
  <c r="F120"/>
  <c r="I102"/>
  <c r="H102"/>
  <c r="F102"/>
  <c r="G96"/>
  <c r="N38" l="1"/>
  <c r="N37"/>
  <c r="C37"/>
  <c r="H37" s="1"/>
  <c r="N36"/>
  <c r="C36"/>
  <c r="D36" s="1"/>
  <c r="C33"/>
  <c r="G33" s="1"/>
  <c r="N35"/>
  <c r="C35"/>
  <c r="I35" s="1"/>
  <c r="N34"/>
  <c r="C34"/>
  <c r="N19"/>
  <c r="N22"/>
  <c r="C22"/>
  <c r="D22" s="1"/>
  <c r="N117" i="16"/>
  <c r="C117"/>
  <c r="D117" s="1"/>
  <c r="N103"/>
  <c r="C103"/>
  <c r="D103" s="1"/>
  <c r="N39"/>
  <c r="C39"/>
  <c r="D39" s="1"/>
  <c r="N25"/>
  <c r="C25"/>
  <c r="F25" s="1"/>
  <c r="F35" i="17" l="1"/>
  <c r="J35"/>
  <c r="D35"/>
  <c r="H34"/>
  <c r="I34"/>
  <c r="H35"/>
  <c r="I103" i="16"/>
  <c r="I25"/>
  <c r="H103"/>
  <c r="F34" i="17"/>
  <c r="D34"/>
  <c r="H117" i="16"/>
  <c r="F103"/>
  <c r="J34" i="17"/>
  <c r="H25" i="16"/>
  <c r="I39"/>
  <c r="D33" i="17"/>
  <c r="K37"/>
  <c r="J37"/>
  <c r="F37"/>
  <c r="D37"/>
  <c r="I37"/>
  <c r="I36"/>
  <c r="H36"/>
  <c r="F36"/>
  <c r="K34"/>
  <c r="K35"/>
  <c r="I22"/>
  <c r="H22"/>
  <c r="F22"/>
  <c r="I117" i="16"/>
  <c r="F117"/>
  <c r="H39"/>
  <c r="F39"/>
  <c r="D25"/>
  <c r="N113" i="15" l="1"/>
  <c r="C113"/>
  <c r="D113" s="1"/>
  <c r="N99"/>
  <c r="C99"/>
  <c r="D99" s="1"/>
  <c r="N37"/>
  <c r="C37"/>
  <c r="E37" s="1"/>
  <c r="N36"/>
  <c r="C36"/>
  <c r="D36" s="1"/>
  <c r="N35"/>
  <c r="C35"/>
  <c r="I35" s="1"/>
  <c r="N34"/>
  <c r="C34"/>
  <c r="H34" s="1"/>
  <c r="N20"/>
  <c r="C20"/>
  <c r="D20" s="1"/>
  <c r="D34" l="1"/>
  <c r="J35"/>
  <c r="H35"/>
  <c r="D35"/>
  <c r="J34"/>
  <c r="I34"/>
  <c r="F34"/>
  <c r="F35"/>
  <c r="D37"/>
  <c r="I113"/>
  <c r="H113"/>
  <c r="F113"/>
  <c r="I99"/>
  <c r="H99"/>
  <c r="F99"/>
  <c r="K37"/>
  <c r="J37"/>
  <c r="I37"/>
  <c r="I36"/>
  <c r="H36"/>
  <c r="F36"/>
  <c r="K34"/>
  <c r="K35"/>
  <c r="I20"/>
  <c r="H20"/>
  <c r="F20"/>
  <c r="N132" i="16" l="1"/>
  <c r="N120"/>
  <c r="C120"/>
  <c r="D120" s="1"/>
  <c r="N119"/>
  <c r="C119"/>
  <c r="D119" s="1"/>
  <c r="N118"/>
  <c r="C118"/>
  <c r="D118" s="1"/>
  <c r="N116"/>
  <c r="C116"/>
  <c r="N115"/>
  <c r="C115"/>
  <c r="K115" s="1"/>
  <c r="N114"/>
  <c r="C114"/>
  <c r="N112"/>
  <c r="C112"/>
  <c r="D112" s="1"/>
  <c r="N111"/>
  <c r="C111"/>
  <c r="D111" s="1"/>
  <c r="N101"/>
  <c r="C101"/>
  <c r="N98"/>
  <c r="C98"/>
  <c r="N96"/>
  <c r="C96"/>
  <c r="D96" s="1"/>
  <c r="N95"/>
  <c r="C95"/>
  <c r="D95" s="1"/>
  <c r="N32"/>
  <c r="C32"/>
  <c r="D32" s="1"/>
  <c r="N23"/>
  <c r="C23"/>
  <c r="N21"/>
  <c r="C21"/>
  <c r="E21" s="1"/>
  <c r="N19"/>
  <c r="C19"/>
  <c r="D19" s="1"/>
  <c r="N18"/>
  <c r="C18"/>
  <c r="D18" s="1"/>
  <c r="N15"/>
  <c r="C15"/>
  <c r="D15" s="1"/>
  <c r="N14"/>
  <c r="C14"/>
  <c r="K14" s="1"/>
  <c r="I18" l="1"/>
  <c r="F98"/>
  <c r="K114"/>
  <c r="F23"/>
  <c r="J23"/>
  <c r="K23"/>
  <c r="E101"/>
  <c r="D116"/>
  <c r="J14"/>
  <c r="D14"/>
  <c r="E95"/>
  <c r="D46"/>
  <c r="D47" s="1"/>
  <c r="D49" s="1"/>
  <c r="D132"/>
  <c r="D133" s="1"/>
  <c r="D135" s="1"/>
  <c r="I15"/>
  <c r="K95"/>
  <c r="K112"/>
  <c r="D98"/>
  <c r="E14"/>
  <c r="J118"/>
  <c r="K118"/>
  <c r="J114"/>
  <c r="J111"/>
  <c r="G116"/>
  <c r="K111"/>
  <c r="H114"/>
  <c r="E111"/>
  <c r="F114"/>
  <c r="E116"/>
  <c r="J95"/>
  <c r="J115"/>
  <c r="D23"/>
  <c r="K32"/>
  <c r="I115"/>
  <c r="K15"/>
  <c r="G115"/>
  <c r="J15"/>
  <c r="E115"/>
  <c r="J116"/>
  <c r="N122"/>
  <c r="D101"/>
  <c r="N106"/>
  <c r="K116"/>
  <c r="N46"/>
  <c r="D21"/>
  <c r="N27"/>
  <c r="K96"/>
  <c r="K120"/>
  <c r="K19"/>
  <c r="J96"/>
  <c r="J119"/>
  <c r="J120"/>
  <c r="H15"/>
  <c r="J19"/>
  <c r="J21"/>
  <c r="J32"/>
  <c r="I96"/>
  <c r="J98"/>
  <c r="K101"/>
  <c r="J112"/>
  <c r="D114"/>
  <c r="D115"/>
  <c r="I118"/>
  <c r="I119"/>
  <c r="I120"/>
  <c r="K18"/>
  <c r="K98"/>
  <c r="F15"/>
  <c r="H18"/>
  <c r="G19"/>
  <c r="I21"/>
  <c r="E32"/>
  <c r="H96"/>
  <c r="J101"/>
  <c r="I112"/>
  <c r="E118"/>
  <c r="H119"/>
  <c r="H120"/>
  <c r="K119"/>
  <c r="J18"/>
  <c r="F18"/>
  <c r="E19"/>
  <c r="G21"/>
  <c r="I23"/>
  <c r="F96"/>
  <c r="H98"/>
  <c r="G101"/>
  <c r="F119"/>
  <c r="F120"/>
  <c r="K21"/>
  <c r="D122" l="1"/>
  <c r="D123" s="1"/>
  <c r="D125" s="1"/>
  <c r="G136"/>
  <c r="G138" s="1"/>
  <c r="D106"/>
  <c r="D107" s="1"/>
  <c r="D109" s="1"/>
  <c r="H50"/>
  <c r="H52" s="1"/>
  <c r="D27"/>
  <c r="D28" s="1"/>
  <c r="D30" s="1"/>
  <c r="H136"/>
  <c r="H138" s="1"/>
  <c r="E50"/>
  <c r="E52" s="1"/>
  <c r="N136"/>
  <c r="I50"/>
  <c r="I52" s="1"/>
  <c r="K50"/>
  <c r="K52" s="1"/>
  <c r="J136"/>
  <c r="J138" s="1"/>
  <c r="K136"/>
  <c r="K138" s="1"/>
  <c r="E136"/>
  <c r="E138" s="1"/>
  <c r="F136"/>
  <c r="F138" s="1"/>
  <c r="F50"/>
  <c r="F52" s="1"/>
  <c r="N50"/>
  <c r="J50"/>
  <c r="J52" s="1"/>
  <c r="G50"/>
  <c r="I136"/>
  <c r="I138" s="1"/>
  <c r="D136" l="1"/>
  <c r="D138" s="1"/>
  <c r="D50"/>
  <c r="D52" s="1"/>
  <c r="G137"/>
  <c r="I55"/>
  <c r="E137"/>
  <c r="E51"/>
  <c r="I141"/>
  <c r="E139"/>
  <c r="G52"/>
  <c r="G51"/>
  <c r="G139"/>
  <c r="E53"/>
  <c r="I142" l="1"/>
  <c r="I56"/>
  <c r="E55"/>
  <c r="E141"/>
  <c r="E142" s="1"/>
  <c r="G53"/>
  <c r="G141"/>
  <c r="G142" s="1"/>
  <c r="E56" l="1"/>
  <c r="G55"/>
  <c r="G56" s="1"/>
  <c r="N129" i="15" l="1"/>
  <c r="N117"/>
  <c r="C117"/>
  <c r="D117" s="1"/>
  <c r="N114"/>
  <c r="C114"/>
  <c r="D114" s="1"/>
  <c r="N112"/>
  <c r="C112"/>
  <c r="D112" s="1"/>
  <c r="N111"/>
  <c r="C111"/>
  <c r="J111" s="1"/>
  <c r="N109"/>
  <c r="C109"/>
  <c r="J109" s="1"/>
  <c r="N100"/>
  <c r="C100"/>
  <c r="G100" s="1"/>
  <c r="N98"/>
  <c r="C98"/>
  <c r="D98" s="1"/>
  <c r="N97"/>
  <c r="C97"/>
  <c r="D97" s="1"/>
  <c r="N96"/>
  <c r="C96"/>
  <c r="N93"/>
  <c r="C93"/>
  <c r="J93" s="1"/>
  <c r="N38"/>
  <c r="C38"/>
  <c r="J38" s="1"/>
  <c r="N32"/>
  <c r="C32"/>
  <c r="J32" s="1"/>
  <c r="N25"/>
  <c r="N24"/>
  <c r="C24"/>
  <c r="E24" s="1"/>
  <c r="N19"/>
  <c r="C19"/>
  <c r="I19" s="1"/>
  <c r="N18"/>
  <c r="C18"/>
  <c r="K18" s="1"/>
  <c r="N17"/>
  <c r="C17"/>
  <c r="I17" s="1"/>
  <c r="N15"/>
  <c r="C15"/>
  <c r="N14"/>
  <c r="C14"/>
  <c r="K14" s="1"/>
  <c r="J112" l="1"/>
  <c r="I112"/>
  <c r="D96"/>
  <c r="I96"/>
  <c r="D93"/>
  <c r="J17"/>
  <c r="D17"/>
  <c r="D14"/>
  <c r="E14"/>
  <c r="D18"/>
  <c r="K109"/>
  <c r="K93"/>
  <c r="E93"/>
  <c r="E98"/>
  <c r="F17"/>
  <c r="E109"/>
  <c r="D109"/>
  <c r="F112"/>
  <c r="D24"/>
  <c r="J14"/>
  <c r="K17"/>
  <c r="I24"/>
  <c r="F96"/>
  <c r="K112"/>
  <c r="D129"/>
  <c r="D130" s="1"/>
  <c r="D132" s="1"/>
  <c r="D15"/>
  <c r="G15"/>
  <c r="J18"/>
  <c r="E18"/>
  <c r="K96"/>
  <c r="I114"/>
  <c r="J19"/>
  <c r="D19"/>
  <c r="N119"/>
  <c r="J117"/>
  <c r="N27"/>
  <c r="N104"/>
  <c r="K97"/>
  <c r="E97"/>
  <c r="N45"/>
  <c r="K38"/>
  <c r="G38"/>
  <c r="E38"/>
  <c r="D38"/>
  <c r="K19"/>
  <c r="G19"/>
  <c r="E19"/>
  <c r="K32"/>
  <c r="K24"/>
  <c r="E32"/>
  <c r="E100"/>
  <c r="I111"/>
  <c r="K114"/>
  <c r="H17"/>
  <c r="G18"/>
  <c r="J24"/>
  <c r="D32"/>
  <c r="D100"/>
  <c r="D111"/>
  <c r="H112"/>
  <c r="J114"/>
  <c r="K117"/>
  <c r="H25"/>
  <c r="I97"/>
  <c r="J98"/>
  <c r="K100"/>
  <c r="F114"/>
  <c r="E117"/>
  <c r="G24"/>
  <c r="J96"/>
  <c r="J97"/>
  <c r="K98"/>
  <c r="H114"/>
  <c r="G117"/>
  <c r="H96"/>
  <c r="G97"/>
  <c r="G98"/>
  <c r="J100"/>
  <c r="I100"/>
  <c r="K111"/>
  <c r="F49" l="1"/>
  <c r="F51" s="1"/>
  <c r="I49"/>
  <c r="I51" s="1"/>
  <c r="F133"/>
  <c r="F135" s="1"/>
  <c r="D27"/>
  <c r="D28" s="1"/>
  <c r="D30" s="1"/>
  <c r="D119"/>
  <c r="D120" s="1"/>
  <c r="D122" s="1"/>
  <c r="H49"/>
  <c r="H51" s="1"/>
  <c r="N133"/>
  <c r="D45"/>
  <c r="D46" s="1"/>
  <c r="D48" s="1"/>
  <c r="G49"/>
  <c r="G51" s="1"/>
  <c r="N49"/>
  <c r="D104"/>
  <c r="D105" s="1"/>
  <c r="D107" s="1"/>
  <c r="H133"/>
  <c r="H135" s="1"/>
  <c r="E133"/>
  <c r="G133"/>
  <c r="G135" s="1"/>
  <c r="K133"/>
  <c r="K135" s="1"/>
  <c r="J133"/>
  <c r="J135" s="1"/>
  <c r="K49"/>
  <c r="K51" s="1"/>
  <c r="J49"/>
  <c r="J51" s="1"/>
  <c r="E49"/>
  <c r="I133"/>
  <c r="I135" s="1"/>
  <c r="E50" l="1"/>
  <c r="I54"/>
  <c r="E134"/>
  <c r="G50"/>
  <c r="D49"/>
  <c r="D51" s="1"/>
  <c r="D133"/>
  <c r="D135" s="1"/>
  <c r="G134"/>
  <c r="E135"/>
  <c r="E136" s="1"/>
  <c r="E51"/>
  <c r="E52" s="1"/>
  <c r="I138"/>
  <c r="G52"/>
  <c r="G136"/>
  <c r="I55" l="1"/>
  <c r="I139"/>
  <c r="G54"/>
  <c r="G55" s="1"/>
  <c r="E54"/>
  <c r="E138"/>
  <c r="G138"/>
  <c r="G139" s="1"/>
  <c r="E55" l="1"/>
  <c r="E139"/>
  <c r="N132" i="17" l="1"/>
  <c r="N119"/>
  <c r="C119"/>
  <c r="E119" s="1"/>
  <c r="N117"/>
  <c r="C117"/>
  <c r="J117" s="1"/>
  <c r="N116"/>
  <c r="C116"/>
  <c r="D116" s="1"/>
  <c r="N115"/>
  <c r="C115"/>
  <c r="I115" s="1"/>
  <c r="N112"/>
  <c r="C112"/>
  <c r="E112" s="1"/>
  <c r="N97"/>
  <c r="C97"/>
  <c r="I97" s="1"/>
  <c r="N95"/>
  <c r="C95"/>
  <c r="E95" s="1"/>
  <c r="C38"/>
  <c r="G38" s="1"/>
  <c r="N32"/>
  <c r="C32"/>
  <c r="E32" s="1"/>
  <c r="N20"/>
  <c r="C20"/>
  <c r="N17"/>
  <c r="C17"/>
  <c r="I17" s="1"/>
  <c r="C15"/>
  <c r="N14"/>
  <c r="C14"/>
  <c r="K14" s="1"/>
  <c r="K97" l="1"/>
  <c r="D115"/>
  <c r="J17"/>
  <c r="G20"/>
  <c r="E20"/>
  <c r="E117"/>
  <c r="D15"/>
  <c r="G15"/>
  <c r="D38"/>
  <c r="D117"/>
  <c r="I117"/>
  <c r="G117"/>
  <c r="D14"/>
  <c r="K115"/>
  <c r="J97"/>
  <c r="E38"/>
  <c r="N45"/>
  <c r="K117"/>
  <c r="N122"/>
  <c r="H97"/>
  <c r="N107"/>
  <c r="F97"/>
  <c r="N27"/>
  <c r="J14"/>
  <c r="K17"/>
  <c r="H17"/>
  <c r="F17"/>
  <c r="D17"/>
  <c r="E14"/>
  <c r="D20"/>
  <c r="D32"/>
  <c r="D95"/>
  <c r="D112"/>
  <c r="D119"/>
  <c r="D132"/>
  <c r="D133" s="1"/>
  <c r="D135" s="1"/>
  <c r="J115"/>
  <c r="K116"/>
  <c r="D97"/>
  <c r="J116"/>
  <c r="K20"/>
  <c r="H115"/>
  <c r="G116"/>
  <c r="J20"/>
  <c r="K32"/>
  <c r="K95"/>
  <c r="K112"/>
  <c r="F115"/>
  <c r="E116"/>
  <c r="J32"/>
  <c r="J95"/>
  <c r="J112"/>
  <c r="G119"/>
  <c r="G49" l="1"/>
  <c r="G51" s="1"/>
  <c r="N49"/>
  <c r="H49"/>
  <c r="H51" s="1"/>
  <c r="D107"/>
  <c r="D108" s="1"/>
  <c r="D110" s="1"/>
  <c r="G136"/>
  <c r="G138" s="1"/>
  <c r="D122"/>
  <c r="D123" s="1"/>
  <c r="D125" s="1"/>
  <c r="E136"/>
  <c r="E138" s="1"/>
  <c r="N136"/>
  <c r="H136"/>
  <c r="H138" s="1"/>
  <c r="F136"/>
  <c r="F138" s="1"/>
  <c r="D45"/>
  <c r="D46" s="1"/>
  <c r="D48" s="1"/>
  <c r="J49"/>
  <c r="J51" s="1"/>
  <c r="D27"/>
  <c r="F49"/>
  <c r="F51" s="1"/>
  <c r="I49"/>
  <c r="I51" s="1"/>
  <c r="I54" s="1"/>
  <c r="K49"/>
  <c r="K51" s="1"/>
  <c r="J136"/>
  <c r="J138" s="1"/>
  <c r="I136"/>
  <c r="I138" s="1"/>
  <c r="I141" s="1"/>
  <c r="E49"/>
  <c r="K136"/>
  <c r="K138" s="1"/>
  <c r="N34" i="18"/>
  <c r="C34"/>
  <c r="G34" s="1"/>
  <c r="E34" l="1"/>
  <c r="D34"/>
  <c r="J34"/>
  <c r="G50" i="17"/>
  <c r="D136"/>
  <c r="D138" s="1"/>
  <c r="G137"/>
  <c r="E137"/>
  <c r="D49"/>
  <c r="D51" s="1"/>
  <c r="I55" s="1"/>
  <c r="D28"/>
  <c r="D30" s="1"/>
  <c r="G139"/>
  <c r="E139"/>
  <c r="E141" s="1"/>
  <c r="E50"/>
  <c r="E51"/>
  <c r="G52"/>
  <c r="K34" i="18"/>
  <c r="I34"/>
  <c r="E142" i="17" l="1"/>
  <c r="I142"/>
  <c r="G141"/>
  <c r="G142" s="1"/>
  <c r="G54"/>
  <c r="G55" s="1"/>
  <c r="E52"/>
  <c r="E54" l="1"/>
  <c r="E55" s="1"/>
  <c r="N99" i="19" l="1"/>
  <c r="C99"/>
  <c r="E99" s="1"/>
  <c r="N114"/>
  <c r="C114"/>
  <c r="D114" s="1"/>
  <c r="N113"/>
  <c r="C113"/>
  <c r="D113" s="1"/>
  <c r="N19"/>
  <c r="C19"/>
  <c r="E19" l="1"/>
  <c r="D19"/>
  <c r="D99"/>
  <c r="K99"/>
  <c r="I99"/>
  <c r="J99"/>
  <c r="G99"/>
  <c r="K114"/>
  <c r="K113"/>
  <c r="J113"/>
  <c r="J114"/>
  <c r="I113"/>
  <c r="I114"/>
  <c r="H113"/>
  <c r="H114"/>
  <c r="F113"/>
  <c r="F114"/>
  <c r="K19"/>
  <c r="J19"/>
  <c r="I19"/>
  <c r="G19"/>
  <c r="N22" i="18" l="1"/>
  <c r="C22"/>
  <c r="D22" s="1"/>
  <c r="K22" l="1"/>
  <c r="J22"/>
  <c r="I22"/>
  <c r="H22"/>
  <c r="F22"/>
  <c r="N117" i="19" l="1"/>
  <c r="C117"/>
  <c r="F117" s="1"/>
  <c r="J117" l="1"/>
  <c r="D117"/>
  <c r="K117"/>
  <c r="H117"/>
  <c r="I117"/>
  <c r="N35" l="1"/>
  <c r="C35"/>
  <c r="F35" s="1"/>
  <c r="K35" l="1"/>
  <c r="J35"/>
  <c r="H35"/>
  <c r="D35"/>
  <c r="I35"/>
  <c r="C37" l="1"/>
  <c r="F37" s="1"/>
  <c r="K37" l="1"/>
  <c r="J37"/>
  <c r="I37"/>
  <c r="H37"/>
  <c r="D37"/>
  <c r="N19" i="18" l="1"/>
  <c r="C19"/>
  <c r="E19" s="1"/>
  <c r="D19" l="1"/>
  <c r="K19"/>
  <c r="G19"/>
  <c r="J19"/>
  <c r="N20" l="1"/>
  <c r="C20"/>
  <c r="E20" s="1"/>
  <c r="N24"/>
  <c r="C24"/>
  <c r="D24" s="1"/>
  <c r="D20" l="1"/>
  <c r="I24"/>
  <c r="H24"/>
  <c r="J24"/>
  <c r="K24"/>
  <c r="K20"/>
  <c r="G20"/>
  <c r="J20"/>
  <c r="F24"/>
  <c r="N34" i="19" l="1"/>
  <c r="C34"/>
  <c r="I34" s="1"/>
  <c r="N37"/>
  <c r="F34" l="1"/>
  <c r="D34"/>
  <c r="K34"/>
  <c r="J34"/>
  <c r="H34"/>
  <c r="N33" l="1"/>
  <c r="N98"/>
  <c r="N95"/>
  <c r="N111"/>
  <c r="N18" l="1"/>
  <c r="N16"/>
  <c r="N31" i="18"/>
  <c r="N16"/>
  <c r="N14"/>
  <c r="N120" i="19" l="1"/>
  <c r="N106"/>
  <c r="N130"/>
  <c r="C111"/>
  <c r="K111" s="1"/>
  <c r="N47"/>
  <c r="N28"/>
  <c r="C33"/>
  <c r="K33" s="1"/>
  <c r="N43" i="18"/>
  <c r="N26"/>
  <c r="C31"/>
  <c r="K31" s="1"/>
  <c r="N134" i="19" l="1"/>
  <c r="D130"/>
  <c r="N51"/>
  <c r="D111"/>
  <c r="J111"/>
  <c r="E111"/>
  <c r="D33"/>
  <c r="J33"/>
  <c r="E33"/>
  <c r="N47" i="18"/>
  <c r="D31"/>
  <c r="J31"/>
  <c r="E31"/>
  <c r="D131" i="19" l="1"/>
  <c r="D133" s="1"/>
  <c r="C98" l="1"/>
  <c r="D98" s="1"/>
  <c r="C95"/>
  <c r="C18"/>
  <c r="I18" s="1"/>
  <c r="C16"/>
  <c r="C16" i="18"/>
  <c r="C14"/>
  <c r="D18" i="19" l="1"/>
  <c r="I16" i="18"/>
  <c r="D16"/>
  <c r="E95" i="19"/>
  <c r="K95"/>
  <c r="J95"/>
  <c r="I98"/>
  <c r="J98"/>
  <c r="K98"/>
  <c r="K18"/>
  <c r="J18"/>
  <c r="E16"/>
  <c r="K16"/>
  <c r="J16"/>
  <c r="H16" i="18"/>
  <c r="K16"/>
  <c r="J16"/>
  <c r="D14"/>
  <c r="J14"/>
  <c r="K14"/>
  <c r="D95" i="19"/>
  <c r="H98"/>
  <c r="F98"/>
  <c r="H18"/>
  <c r="D16"/>
  <c r="F18"/>
  <c r="E14" i="18"/>
  <c r="F16"/>
  <c r="J134" i="19" l="1"/>
  <c r="J136" s="1"/>
  <c r="J51"/>
  <c r="J53" s="1"/>
  <c r="K51"/>
  <c r="K53" s="1"/>
  <c r="K134"/>
  <c r="K136" s="1"/>
  <c r="D106"/>
  <c r="D120"/>
  <c r="D121" s="1"/>
  <c r="D28"/>
  <c r="D47"/>
  <c r="G134"/>
  <c r="G136" s="1"/>
  <c r="G47" i="18"/>
  <c r="G49" s="1"/>
  <c r="J47"/>
  <c r="J49" s="1"/>
  <c r="K47"/>
  <c r="K49" s="1"/>
  <c r="D26"/>
  <c r="D27" s="1"/>
  <c r="D43"/>
  <c r="G51" i="19"/>
  <c r="G53" s="1"/>
  <c r="F134"/>
  <c r="F136" s="1"/>
  <c r="E51"/>
  <c r="E53" s="1"/>
  <c r="H134"/>
  <c r="H136" s="1"/>
  <c r="H51"/>
  <c r="H53" s="1"/>
  <c r="I134"/>
  <c r="I51"/>
  <c r="I53" s="1"/>
  <c r="I56" s="1"/>
  <c r="F51"/>
  <c r="F53" s="1"/>
  <c r="E134"/>
  <c r="E136" s="1"/>
  <c r="H47" i="18"/>
  <c r="H49" s="1"/>
  <c r="I47"/>
  <c r="I49" s="1"/>
  <c r="I52" s="1"/>
  <c r="F47"/>
  <c r="F49" s="1"/>
  <c r="E47"/>
  <c r="E49" s="1"/>
  <c r="D107" i="19" l="1"/>
  <c r="D109" s="1"/>
  <c r="I136"/>
  <c r="D48"/>
  <c r="D50" s="1"/>
  <c r="D29"/>
  <c r="D31" s="1"/>
  <c r="D44" i="18"/>
  <c r="D46" s="1"/>
  <c r="G50"/>
  <c r="D134" i="19"/>
  <c r="D123"/>
  <c r="G137"/>
  <c r="D51"/>
  <c r="D53" s="1"/>
  <c r="I57" s="1"/>
  <c r="D29" i="18"/>
  <c r="D47"/>
  <c r="D49" s="1"/>
  <c r="I53" s="1"/>
  <c r="G54" i="19"/>
  <c r="G52"/>
  <c r="G135"/>
  <c r="E52"/>
  <c r="E135"/>
  <c r="E54"/>
  <c r="E56" s="1"/>
  <c r="G48" i="18"/>
  <c r="E48"/>
  <c r="E57" i="19" l="1"/>
  <c r="I139"/>
  <c r="D136"/>
  <c r="E137"/>
  <c r="E139" s="1"/>
  <c r="E50" i="18"/>
  <c r="E52" s="1"/>
  <c r="E53" s="1"/>
  <c r="G139" i="19"/>
  <c r="G56"/>
  <c r="G57" s="1"/>
  <c r="G52" i="18"/>
  <c r="G53" s="1"/>
  <c r="G140" i="19" l="1"/>
  <c r="I140"/>
  <c r="E140"/>
</calcChain>
</file>

<file path=xl/sharedStrings.xml><?xml version="1.0" encoding="utf-8"?>
<sst xmlns="http://schemas.openxmlformats.org/spreadsheetml/2006/main" count="1337" uniqueCount="207">
  <si>
    <t>Số
TT</t>
  </si>
  <si>
    <t>Gạo tẻ</t>
  </si>
  <si>
    <t>Mắm</t>
  </si>
  <si>
    <t>Thịt gà</t>
  </si>
  <si>
    <t>Thịt bò</t>
  </si>
  <si>
    <t>Cà rốt</t>
  </si>
  <si>
    <t>Năng lượng bữa chính/trẻ</t>
  </si>
  <si>
    <t>Năng lượng bữa phụ/trẻ</t>
  </si>
  <si>
    <t>Lượng 
TP 
sạch</t>
  </si>
  <si>
    <t>Năng 
lượng
(Kcal)</t>
  </si>
  <si>
    <r>
      <t>P</t>
    </r>
    <r>
      <rPr>
        <sz val="11"/>
        <rFont val="Times New Roman"/>
        <family val="1"/>
      </rPr>
      <t>(ĐV)</t>
    </r>
  </si>
  <si>
    <t>Protein (g)</t>
  </si>
  <si>
    <r>
      <t>P</t>
    </r>
    <r>
      <rPr>
        <sz val="11"/>
        <rFont val="Times New Roman"/>
        <family val="1"/>
      </rPr>
      <t>(TV)</t>
    </r>
  </si>
  <si>
    <t>Lipid (g)</t>
  </si>
  <si>
    <r>
      <t>L</t>
    </r>
    <r>
      <rPr>
        <sz val="11"/>
        <rFont val="Times New Roman"/>
        <family val="1"/>
      </rPr>
      <t>(ĐV)</t>
    </r>
  </si>
  <si>
    <r>
      <t>L</t>
    </r>
    <r>
      <rPr>
        <sz val="11"/>
        <rFont val="Times New Roman"/>
        <family val="1"/>
      </rPr>
      <t>(TV)</t>
    </r>
  </si>
  <si>
    <t>Glucid
(g)</t>
  </si>
  <si>
    <t>Thực phẩm cần mua (g)</t>
  </si>
  <si>
    <t>Số tiền (đ)</t>
  </si>
  <si>
    <t>Tên 
thực phẩm</t>
  </si>
  <si>
    <t>Cà chua</t>
  </si>
  <si>
    <t>19.5-35.4</t>
  </si>
  <si>
    <t>17-28.2</t>
  </si>
  <si>
    <t>78-106.2</t>
  </si>
  <si>
    <t>19-31.7</t>
  </si>
  <si>
    <t>20-28.9</t>
  </si>
  <si>
    <t>68.8-79.4</t>
  </si>
  <si>
    <t>615-726</t>
  </si>
  <si>
    <t>600-651</t>
  </si>
  <si>
    <t>Đường kính</t>
  </si>
  <si>
    <t>BẢNG TÍNH KHẨU PHẦN ĂN CỦA TRẺ MẪU GIÁO</t>
  </si>
  <si>
    <t>BẢNG TÍNH KHẨU PHẦN ĂN CỦA TRẺ NHÀ TRẺ</t>
  </si>
  <si>
    <t>Ca</t>
  </si>
  <si>
    <t>B1</t>
  </si>
  <si>
    <t>Đơn giá (đ)</t>
  </si>
  <si>
    <t>Bữa chính</t>
  </si>
  <si>
    <t>NGƯỜI THỰC HIỆN</t>
  </si>
  <si>
    <t>% năng lượng bữa chính</t>
  </si>
  <si>
    <t>30-35%</t>
  </si>
  <si>
    <t>Bữa phụ</t>
  </si>
  <si>
    <t>% năng lượng bữa phụ</t>
  </si>
  <si>
    <t>15-20%</t>
  </si>
  <si>
    <t>Bữa trưa</t>
  </si>
  <si>
    <t>Năng lượng bữa trưa/trẻ</t>
  </si>
  <si>
    <t>% năng lượng bữa trưa</t>
  </si>
  <si>
    <t>Bữa chiều</t>
  </si>
  <si>
    <t>Năng lượng bữa chiều/trẻ</t>
  </si>
  <si>
    <t>% năng lượng bữa chiều</t>
  </si>
  <si>
    <t>25-30%</t>
  </si>
  <si>
    <t>5-10%</t>
  </si>
  <si>
    <t>% năng lượng 
bữa chính</t>
  </si>
  <si>
    <t>% năng lượng 
bữa phụ</t>
  </si>
  <si>
    <t>% năng lượng 
bữa trưa</t>
  </si>
  <si>
    <t>% năng lượng 
bữa chiều</t>
  </si>
  <si>
    <t>Đơn giá 
(đ)</t>
  </si>
  <si>
    <t>Thực phẩm cần mua
 (g)</t>
  </si>
  <si>
    <t>Đơn giá
(đ)</t>
  </si>
  <si>
    <t>Dự kiến</t>
  </si>
  <si>
    <t>Thực đạt</t>
  </si>
  <si>
    <r>
      <t>TRƯỜ</t>
    </r>
    <r>
      <rPr>
        <b/>
        <u/>
        <sz val="11"/>
        <rFont val="Times New Roman"/>
        <family val="1"/>
      </rPr>
      <t>NG MÂM NON MỸ</t>
    </r>
    <r>
      <rPr>
        <b/>
        <sz val="11"/>
        <rFont val="Times New Roman"/>
        <family val="1"/>
      </rPr>
      <t xml:space="preserve"> TIẾN</t>
    </r>
  </si>
  <si>
    <t>PHÓ HIỆU TRƯỞNG</t>
  </si>
  <si>
    <t>Hạt sen</t>
  </si>
  <si>
    <t>Trứng chim cút</t>
  </si>
  <si>
    <t>Trứng gà</t>
  </si>
  <si>
    <t>Thịt vịt</t>
  </si>
  <si>
    <t>Gạo nếp</t>
  </si>
  <si>
    <t xml:space="preserve">Thịt lợn nạc </t>
  </si>
  <si>
    <t>Thịt lợn nạc</t>
  </si>
  <si>
    <t>Bí đao</t>
  </si>
  <si>
    <t>Kcal (P:L:G)</t>
  </si>
  <si>
    <t>Tỷ lệ các chất  (%)</t>
  </si>
  <si>
    <t>Khuyến nghị</t>
  </si>
  <si>
    <t>13-20</t>
  </si>
  <si>
    <t>25-35</t>
  </si>
  <si>
    <t>52-60</t>
  </si>
  <si>
    <t>Khẩu phần 
cả ngày của 1 trẻ đạt (g)</t>
  </si>
  <si>
    <t>Khẩu phần khuyến nghị (g)</t>
  </si>
  <si>
    <t>Tỷ lệ các chất (%)</t>
  </si>
  <si>
    <t>30-40</t>
  </si>
  <si>
    <t>47-50</t>
  </si>
  <si>
    <t>Bí đỏ</t>
  </si>
  <si>
    <t>BỮA TRƯA</t>
  </si>
  <si>
    <t>BỮA CHIỀU</t>
  </si>
  <si>
    <t>Cơm tẻ</t>
  </si>
  <si>
    <t>Đặng Thị Phượng</t>
  </si>
  <si>
    <t>Thịt lợn nạc sốt cà chua</t>
  </si>
  <si>
    <t>Canh cà rốt, hạt sen nấu thịt gà</t>
  </si>
  <si>
    <t>Bí đao xào trứng gà</t>
  </si>
  <si>
    <t>Trứng chim cút sốt chua ngọt</t>
  </si>
  <si>
    <t>Canh bí đao, cà rốt nấu thịt lợn nạc</t>
  </si>
  <si>
    <t>Thịt lợn nạc rim trứng gà</t>
  </si>
  <si>
    <t>Trứng vịt</t>
  </si>
  <si>
    <t>Sườn lợn</t>
  </si>
  <si>
    <t>BỮA PHỤ CHIỀU</t>
  </si>
  <si>
    <t xml:space="preserve">BỮA PHỤ </t>
  </si>
  <si>
    <t>BỮA CHÍNH TRƯA</t>
  </si>
  <si>
    <t>BỮA CHÍNH CHIỀU</t>
  </si>
  <si>
    <t xml:space="preserve">Cộng chung bữa chính </t>
  </si>
  <si>
    <t xml:space="preserve">Cộng chung bữa phụ </t>
  </si>
  <si>
    <t>Cộng chung 
xuất ăn</t>
  </si>
  <si>
    <t>Nhận xét: So với khẩu phần khuyến nghị</t>
  </si>
  <si>
    <t xml:space="preserve">                </t>
  </si>
  <si>
    <t>Số g các chất dinh dưỡng và tỷ lệ các chất dinh dưỡng (P:L:G) đạt trong khoảng quy định.</t>
  </si>
  <si>
    <t>Trần Thị Thu</t>
  </si>
  <si>
    <t xml:space="preserve">Cộng chung bữa trưa </t>
  </si>
  <si>
    <t xml:space="preserve">Cộng chung bữa chiều </t>
  </si>
  <si>
    <t>Cộng chung 
 xuất ăn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</si>
  <si>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trẻ.</t>
    </r>
  </si>
  <si>
    <t xml:space="preserve">Cộng chung  bữa phụ </t>
  </si>
  <si>
    <r>
      <t>Cách khắc phục:</t>
    </r>
    <r>
      <rPr>
        <sz val="11"/>
        <rFont val="Times New Roman"/>
        <family val="1"/>
      </rPr>
      <t xml:space="preserve"> Duy trì số g lương thực thực phẩm trong khẩu phần ăn của trẻ.</t>
    </r>
  </si>
  <si>
    <t xml:space="preserve">Số xuất ăn: </t>
  </si>
  <si>
    <t>Bột canh, hạt nêm</t>
  </si>
  <si>
    <t>Số xuất ăn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</si>
  <si>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</t>
    </r>
  </si>
  <si>
    <t>Trần Thị Minh Thu</t>
  </si>
  <si>
    <t>Thịt vịt sốt chua ngọt</t>
  </si>
  <si>
    <t>Số g các chất dinh dưỡng và tỷ lệ các chất dinh dưỡng (P:L:G) đạt trong khoảng khuyến nghị.</t>
  </si>
  <si>
    <t>Hành khô</t>
  </si>
  <si>
    <t>Cháo thịt vịt, bí đao</t>
  </si>
  <si>
    <t>Nước tương</t>
  </si>
  <si>
    <t>Cháo bí đỏ - sườn lợn</t>
  </si>
  <si>
    <t>Dầu cá Ranee</t>
  </si>
  <si>
    <t>Bánh đa</t>
  </si>
  <si>
    <t xml:space="preserve">Cua </t>
  </si>
  <si>
    <t>Canh bí đỏ nấu sườn lợn</t>
  </si>
  <si>
    <t>Cháo thịt gà cà rốt, hạt sen</t>
  </si>
  <si>
    <t>Dầu Simply</t>
  </si>
  <si>
    <t>Chuối tây</t>
  </si>
  <si>
    <t>Tép gạo</t>
  </si>
  <si>
    <t>Mộc nhĩ</t>
  </si>
  <si>
    <t>Thịt lơn nạc om mộc nhĩ, nước tương</t>
  </si>
  <si>
    <t>Sữa bột Nuvi Grow</t>
  </si>
  <si>
    <t>Uống sữa Nuvi Grow</t>
  </si>
  <si>
    <t>Khuyến
 nghị</t>
  </si>
  <si>
    <t>Tỷ lệ L động vật đạt 70.3%; so với khẩu phần khuyến nghị đảm bảo đạt</t>
  </si>
  <si>
    <t>Dứa</t>
  </si>
  <si>
    <t>Bí đao, cà rốt xào thịt lợn nạc</t>
  </si>
  <si>
    <t>Trứng chim cút, thịt lợn nạc sốt cà chua</t>
  </si>
  <si>
    <t>Thịt gà, thịt lợn om mộc nhĩ, nước tương</t>
  </si>
  <si>
    <t>Cua</t>
  </si>
  <si>
    <t>Ruốc cá quả</t>
  </si>
  <si>
    <t>Dứa xào thịt lợn</t>
  </si>
  <si>
    <t>Cá quả</t>
  </si>
  <si>
    <t>Tỷ lệ L động vật đạt 70%; so với khẩu phần khuyến nghị đảm bảo đạt</t>
  </si>
  <si>
    <t>Bí đỏ xào thịt gà</t>
  </si>
  <si>
    <t>Trứng gà, thịt lợn chiên sốt cà chua</t>
  </si>
  <si>
    <t>Trứng vịt, thịt lợn chiên sốt cà chua</t>
  </si>
  <si>
    <t>Thịt bò sốt dứa, cà chua</t>
  </si>
  <si>
    <t>Cháo thịt bò, thịt gà - bí đỏ</t>
  </si>
  <si>
    <t>Bí đỏ xào thịt bò</t>
  </si>
  <si>
    <t>Canh rau bắp cải nấu thịt bò</t>
  </si>
  <si>
    <t>Bắp cải</t>
  </si>
  <si>
    <t>Canh bắp cải nấu thịt bò</t>
  </si>
  <si>
    <t>Bầu xào thịt gà</t>
  </si>
  <si>
    <t>Canh rau đay, mướp nấu tép</t>
  </si>
  <si>
    <t>Bầu</t>
  </si>
  <si>
    <t>Rau đay</t>
  </si>
  <si>
    <t>Mướp</t>
  </si>
  <si>
    <t>Tỷ lệ P động vật đạt 52.7%; so với khẩu phần khuyến nghị đảm bảo đạt</t>
  </si>
  <si>
    <t>Canh bí đỏ, cà rốt nấu thịt vịt</t>
  </si>
  <si>
    <t>Canh rau mồng tơi nấu cua</t>
  </si>
  <si>
    <t>Bún thịt lợn - cà chua, cà rốt</t>
  </si>
  <si>
    <t>Mồng tơi</t>
  </si>
  <si>
    <t>Bún</t>
  </si>
  <si>
    <t>Tỷ lệ L động vật đạt 69.9.%; so với khẩu phần khuyến nghị đảm bảo đạt</t>
  </si>
  <si>
    <t>Canh rau ngót, mướp nấu thịt gà</t>
  </si>
  <si>
    <t>Rau ngót</t>
  </si>
  <si>
    <t>Tỷ lệ P động vật đạt 58.1%; so với khẩu phần khuyến nghị đảm bảo đạt</t>
  </si>
  <si>
    <t>Bánh đa cua, rau muống</t>
  </si>
  <si>
    <t>Canh cua rau muống</t>
  </si>
  <si>
    <t>Canh bí đao, cà rốt nấu thịt gà</t>
  </si>
  <si>
    <t>Rau muống</t>
  </si>
  <si>
    <t>Tỷ lệ P động vật đạt 52.1%; so với khẩu phần khuyến nghị tương đối đạt</t>
  </si>
  <si>
    <t>Canh bí đao, cà rốt thịt gà</t>
  </si>
  <si>
    <t>Canh rau ngót, mướp nấu thịt lợn</t>
  </si>
  <si>
    <t>Thứ ba, ngày 7 tháng 4 năm 2026</t>
  </si>
  <si>
    <t>Thứ hai, ngày 6 tháng 4 năm 2026</t>
  </si>
  <si>
    <t>Kcal đạt 697.04. So với khẩu phần khuyến nghị đảm bảo đạt</t>
  </si>
  <si>
    <t>Tỷ lệ P động vật đạt 50.3%; so với khẩu phần khuyến nghị tương đối đạt</t>
  </si>
  <si>
    <t>Kcal đạt 627.82 So với khẩu phần khuyến nghị đảm bảo đạt</t>
  </si>
  <si>
    <t>Tỷ lệ L động vật đạt 69.5%; so với khẩu phần khuyến nghị đảm bảo đạt</t>
  </si>
  <si>
    <t>Kcal đạt 721.9 So với khẩu phần khuyến nghị đảm bảo đạt</t>
  </si>
  <si>
    <t>Tỷ lệ P động vật đạt 54%; so với khẩu phần khuyến tương đối đạt</t>
  </si>
  <si>
    <t>Tỷ lệ L động vật đạt 70.5%; so với khẩu phần khuyến nghị cao hơn 0,4%</t>
  </si>
  <si>
    <t>Kcal đạt 652.17 So với khẩu phần khuyến nghị đảm bảo đạt</t>
  </si>
  <si>
    <t>Tỷ lệ P động vật đạt 58.8%; so với khẩu phần khuyến nghị đảm bảo đạt</t>
  </si>
  <si>
    <t>Tỷ lệ L động vật đạt 69.8%; so với khẩu phần khuyến nghị đảm bảo đạt</t>
  </si>
  <si>
    <t>Thứ tư, ngày 8 tháng 4 năm 2026</t>
  </si>
  <si>
    <t>Kcal đạt 703.55. So với khẩu phần khuyến nghị đảm bảo đạt trong khoảng nhu cầu khuyến nghị</t>
  </si>
  <si>
    <t>Tỷ lệ P động vật đạt 59.6%; so với khẩu phần khuyến nghị đảm bảo đạt</t>
  </si>
  <si>
    <t>Kcal đạt 630.42 So với khẩu phần khuyến nghị đảm bảo đạt</t>
  </si>
  <si>
    <t>Tỷ lệ P động vật đạt 66.5%; So với khẩu phần khuyến nghị cao hơn 6.5%</t>
  </si>
  <si>
    <t>Thứ năm, ngày 9 tháng 4 năm 2026</t>
  </si>
  <si>
    <t>Kcal đạt 709.36 So với khẩu phần khuyến nghị đảm bảo đạt</t>
  </si>
  <si>
    <t>Tỷ lệ P động vật đạt 51.1%; so với khẩu phần khuyến tương nghị đảm bảo đạt</t>
  </si>
  <si>
    <t>Tỷ lệ L động vật đạt 69%; so với khẩu phần khuyến nghị đảm bảo đạt</t>
  </si>
  <si>
    <t>Kcal đạt 641.56. So với khẩu phần khuyến nghị đảm bảo đạt</t>
  </si>
  <si>
    <t>Tỷ lệ L động vật đạt 70.4%; so với khẩu phần khuyến nghị đảm bảo đạt</t>
  </si>
  <si>
    <t>Thứ sáu, ngày 10 tháng 4 năm 2026</t>
  </si>
  <si>
    <t>Kcal đạt 699.02. So với khẩu phần khuyến nghị đảm bảo đạt</t>
  </si>
  <si>
    <t>Kcal đạt 642.135 So với khẩu phần khuyến nghị đảm bảo đạt</t>
  </si>
  <si>
    <t>Tỷ lệ P động vật đạt 60.2%; so với khẩu phần khuyến nghị đảm bảo đạt</t>
  </si>
  <si>
    <t>Thứ bẩy, ngày 11 tháng 4 năm 2026</t>
  </si>
  <si>
    <t>Kcal đạt 715.84 So với khẩu phần khuyến nghị đảm bảo đạt</t>
  </si>
  <si>
    <t>Tỷ lệ P động vật đạt 50.7%; so với khẩu phần khuyến nghị tương đối đạt</t>
  </si>
  <si>
    <t>Kcal đạt 638.5 So với khẩu phần khuyến nghị đảm bảo đạt</t>
  </si>
  <si>
    <t>Tỷ lệ P động vật đạt 60%; so với khẩu phần khuyến nghị đảm bảo đạt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</si>
</sst>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#.##0"/>
    <numFmt numFmtId="166" formatCode="#,##0.0"/>
    <numFmt numFmtId="167" formatCode="0.0"/>
  </numFmts>
  <fonts count="16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55">
    <xf numFmtId="0" fontId="0" fillId="0" borderId="0" xfId="0"/>
    <xf numFmtId="0" fontId="3" fillId="0" borderId="0" xfId="0" applyFont="1"/>
    <xf numFmtId="0" fontId="3" fillId="0" borderId="0" xfId="0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0" fontId="8" fillId="0" borderId="4" xfId="0" applyFont="1" applyFill="1" applyBorder="1"/>
    <xf numFmtId="4" fontId="6" fillId="0" borderId="2" xfId="0" applyNumberFormat="1" applyFont="1" applyBorder="1"/>
    <xf numFmtId="0" fontId="5" fillId="0" borderId="0" xfId="0" applyFont="1" applyAlignment="1"/>
    <xf numFmtId="0" fontId="8" fillId="0" borderId="4" xfId="0" applyFont="1" applyFill="1" applyBorder="1" applyAlignment="1">
      <alignment horizontal="center"/>
    </xf>
    <xf numFmtId="3" fontId="8" fillId="0" borderId="4" xfId="1" applyNumberFormat="1" applyFont="1" applyFill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/>
    <xf numFmtId="3" fontId="11" fillId="0" borderId="4" xfId="0" applyNumberFormat="1" applyFont="1" applyFill="1" applyBorder="1"/>
    <xf numFmtId="2" fontId="11" fillId="0" borderId="4" xfId="0" applyNumberFormat="1" applyFont="1" applyFill="1" applyBorder="1"/>
    <xf numFmtId="4" fontId="11" fillId="0" borderId="4" xfId="0" applyNumberFormat="1" applyFont="1" applyFill="1" applyBorder="1"/>
    <xf numFmtId="1" fontId="11" fillId="0" borderId="4" xfId="0" applyNumberFormat="1" applyFont="1" applyFill="1" applyBorder="1"/>
    <xf numFmtId="3" fontId="11" fillId="0" borderId="4" xfId="0" applyNumberFormat="1" applyFont="1" applyFill="1" applyBorder="1" applyAlignment="1"/>
    <xf numFmtId="4" fontId="11" fillId="0" borderId="5" xfId="0" applyNumberFormat="1" applyFont="1" applyFill="1" applyBorder="1"/>
    <xf numFmtId="1" fontId="6" fillId="0" borderId="3" xfId="0" applyNumberFormat="1" applyFont="1" applyBorder="1"/>
    <xf numFmtId="0" fontId="6" fillId="0" borderId="2" xfId="0" applyFont="1" applyBorder="1" applyAlignment="1">
      <alignment vertical="center"/>
    </xf>
    <xf numFmtId="167" fontId="11" fillId="0" borderId="4" xfId="0" applyNumberFormat="1" applyFont="1" applyFill="1" applyBorder="1"/>
    <xf numFmtId="164" fontId="11" fillId="0" borderId="5" xfId="0" applyNumberFormat="1" applyFont="1" applyFill="1" applyBorder="1"/>
    <xf numFmtId="164" fontId="11" fillId="0" borderId="4" xfId="0" applyNumberFormat="1" applyFont="1" applyFill="1" applyBorder="1"/>
    <xf numFmtId="0" fontId="13" fillId="0" borderId="15" xfId="0" applyFont="1" applyFill="1" applyBorder="1" applyAlignment="1"/>
    <xf numFmtId="0" fontId="13" fillId="0" borderId="6" xfId="0" applyFont="1" applyFill="1" applyBorder="1" applyAlignment="1"/>
    <xf numFmtId="3" fontId="11" fillId="0" borderId="2" xfId="0" applyNumberFormat="1" applyFont="1" applyFill="1" applyBorder="1"/>
    <xf numFmtId="2" fontId="6" fillId="0" borderId="2" xfId="0" applyNumberFormat="1" applyFont="1" applyFill="1" applyBorder="1"/>
    <xf numFmtId="4" fontId="11" fillId="0" borderId="2" xfId="0" applyNumberFormat="1" applyFont="1" applyFill="1" applyBorder="1"/>
    <xf numFmtId="1" fontId="11" fillId="0" borderId="2" xfId="0" applyNumberFormat="1" applyFont="1" applyFill="1" applyBorder="1"/>
    <xf numFmtId="2" fontId="6" fillId="0" borderId="2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/>
    <xf numFmtId="1" fontId="6" fillId="0" borderId="2" xfId="0" applyNumberFormat="1" applyFont="1" applyFill="1" applyBorder="1"/>
    <xf numFmtId="0" fontId="11" fillId="0" borderId="2" xfId="0" applyFont="1" applyBorder="1"/>
    <xf numFmtId="0" fontId="6" fillId="0" borderId="2" xfId="0" applyFont="1" applyBorder="1"/>
    <xf numFmtId="1" fontId="6" fillId="0" borderId="2" xfId="0" applyNumberFormat="1" applyFont="1" applyBorder="1"/>
    <xf numFmtId="0" fontId="6" fillId="0" borderId="13" xfId="0" applyFont="1" applyBorder="1"/>
    <xf numFmtId="0" fontId="8" fillId="0" borderId="11" xfId="0" applyFont="1" applyFill="1" applyBorder="1" applyAlignment="1">
      <alignment horizontal="center"/>
    </xf>
    <xf numFmtId="3" fontId="8" fillId="0" borderId="11" xfId="1" applyNumberFormat="1" applyFont="1" applyFill="1" applyBorder="1" applyAlignment="1">
      <alignment horizontal="left"/>
    </xf>
    <xf numFmtId="3" fontId="11" fillId="0" borderId="11" xfId="0" applyNumberFormat="1" applyFont="1" applyFill="1" applyBorder="1"/>
    <xf numFmtId="2" fontId="11" fillId="0" borderId="11" xfId="0" applyNumberFormat="1" applyFont="1" applyFill="1" applyBorder="1"/>
    <xf numFmtId="4" fontId="11" fillId="0" borderId="11" xfId="0" applyNumberFormat="1" applyFont="1" applyFill="1" applyBorder="1"/>
    <xf numFmtId="1" fontId="11" fillId="0" borderId="11" xfId="0" applyNumberFormat="1" applyFont="1" applyFill="1" applyBorder="1"/>
    <xf numFmtId="167" fontId="11" fillId="0" borderId="11" xfId="0" applyNumberFormat="1" applyFont="1" applyFill="1" applyBorder="1"/>
    <xf numFmtId="3" fontId="11" fillId="0" borderId="11" xfId="0" applyNumberFormat="1" applyFont="1" applyFill="1" applyBorder="1" applyAlignment="1"/>
    <xf numFmtId="3" fontId="11" fillId="0" borderId="12" xfId="0" applyNumberFormat="1" applyFont="1" applyFill="1" applyBorder="1"/>
    <xf numFmtId="2" fontId="11" fillId="0" borderId="12" xfId="0" applyNumberFormat="1" applyFont="1" applyFill="1" applyBorder="1"/>
    <xf numFmtId="4" fontId="11" fillId="0" borderId="12" xfId="0" applyNumberFormat="1" applyFont="1" applyFill="1" applyBorder="1"/>
    <xf numFmtId="1" fontId="11" fillId="0" borderId="12" xfId="0" applyNumberFormat="1" applyFont="1" applyFill="1" applyBorder="1"/>
    <xf numFmtId="3" fontId="11" fillId="0" borderId="6" xfId="0" applyNumberFormat="1" applyFont="1" applyFill="1" applyBorder="1" applyAlignment="1"/>
    <xf numFmtId="1" fontId="6" fillId="0" borderId="2" xfId="0" applyNumberFormat="1" applyFont="1" applyFill="1" applyBorder="1" applyAlignment="1">
      <alignment horizontal="center"/>
    </xf>
    <xf numFmtId="3" fontId="11" fillId="0" borderId="12" xfId="0" applyNumberFormat="1" applyFont="1" applyFill="1" applyBorder="1" applyAlignment="1"/>
    <xf numFmtId="0" fontId="11" fillId="0" borderId="13" xfId="0" applyFont="1" applyBorder="1"/>
    <xf numFmtId="1" fontId="6" fillId="0" borderId="13" xfId="0" applyNumberFormat="1" applyFont="1" applyBorder="1"/>
    <xf numFmtId="0" fontId="11" fillId="0" borderId="12" xfId="0" applyFont="1" applyBorder="1"/>
    <xf numFmtId="0" fontId="6" fillId="0" borderId="12" xfId="0" applyFont="1" applyBorder="1"/>
    <xf numFmtId="1" fontId="6" fillId="0" borderId="12" xfId="0" applyNumberFormat="1" applyFont="1" applyBorder="1"/>
    <xf numFmtId="3" fontId="6" fillId="0" borderId="12" xfId="0" applyNumberFormat="1" applyFont="1" applyFill="1" applyBorder="1" applyAlignment="1">
      <alignment horizontal="center" vertical="center"/>
    </xf>
    <xf numFmtId="1" fontId="6" fillId="0" borderId="13" xfId="0" applyNumberFormat="1" applyFont="1" applyFill="1" applyBorder="1"/>
    <xf numFmtId="164" fontId="11" fillId="0" borderId="11" xfId="0" applyNumberFormat="1" applyFont="1" applyFill="1" applyBorder="1"/>
    <xf numFmtId="3" fontId="6" fillId="0" borderId="6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/>
    </xf>
    <xf numFmtId="3" fontId="11" fillId="0" borderId="3" xfId="0" applyNumberFormat="1" applyFont="1" applyFill="1" applyBorder="1" applyAlignment="1">
      <alignment horizontal="center"/>
    </xf>
    <xf numFmtId="164" fontId="14" fillId="0" borderId="5" xfId="0" applyNumberFormat="1" applyFont="1" applyFill="1" applyBorder="1"/>
    <xf numFmtId="164" fontId="14" fillId="0" borderId="4" xfId="0" applyNumberFormat="1" applyFont="1" applyFill="1" applyBorder="1"/>
    <xf numFmtId="2" fontId="14" fillId="0" borderId="4" xfId="0" applyNumberFormat="1" applyFont="1" applyFill="1" applyBorder="1"/>
    <xf numFmtId="3" fontId="14" fillId="0" borderId="4" xfId="1" applyNumberFormat="1" applyFont="1" applyFill="1" applyBorder="1" applyAlignment="1">
      <alignment horizontal="left"/>
    </xf>
    <xf numFmtId="3" fontId="3" fillId="0" borderId="4" xfId="1" applyNumberFormat="1" applyFont="1" applyFill="1" applyBorder="1" applyAlignment="1">
      <alignment horizontal="left"/>
    </xf>
    <xf numFmtId="2" fontId="6" fillId="0" borderId="2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4" fontId="12" fillId="0" borderId="0" xfId="0" applyNumberFormat="1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3" fontId="8" fillId="0" borderId="20" xfId="1" applyNumberFormat="1" applyFont="1" applyFill="1" applyBorder="1" applyAlignment="1">
      <alignment horizontal="left"/>
    </xf>
    <xf numFmtId="3" fontId="11" fillId="0" borderId="20" xfId="0" applyNumberFormat="1" applyFont="1" applyFill="1" applyBorder="1"/>
    <xf numFmtId="2" fontId="11" fillId="0" borderId="20" xfId="0" applyNumberFormat="1" applyFont="1" applyFill="1" applyBorder="1"/>
    <xf numFmtId="4" fontId="11" fillId="0" borderId="20" xfId="0" applyNumberFormat="1" applyFont="1" applyFill="1" applyBorder="1"/>
    <xf numFmtId="1" fontId="11" fillId="0" borderId="20" xfId="0" applyNumberFormat="1" applyFont="1" applyFill="1" applyBorder="1"/>
    <xf numFmtId="3" fontId="11" fillId="0" borderId="20" xfId="0" applyNumberFormat="1" applyFont="1" applyFill="1" applyBorder="1" applyAlignment="1"/>
    <xf numFmtId="2" fontId="3" fillId="0" borderId="0" xfId="0" applyNumberFormat="1" applyFont="1"/>
    <xf numFmtId="167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4" fontId="14" fillId="0" borderId="4" xfId="0" applyNumberFormat="1" applyFont="1" applyFill="1" applyBorder="1"/>
    <xf numFmtId="3" fontId="14" fillId="0" borderId="11" xfId="0" applyNumberFormat="1" applyFont="1" applyFill="1" applyBorder="1" applyAlignment="1"/>
    <xf numFmtId="3" fontId="14" fillId="0" borderId="4" xfId="0" applyNumberFormat="1" applyFont="1" applyFill="1" applyBorder="1" applyAlignment="1"/>
    <xf numFmtId="2" fontId="12" fillId="0" borderId="2" xfId="0" applyNumberFormat="1" applyFont="1" applyFill="1" applyBorder="1"/>
    <xf numFmtId="4" fontId="12" fillId="0" borderId="2" xfId="0" applyNumberFormat="1" applyFont="1" applyBorder="1"/>
    <xf numFmtId="4" fontId="13" fillId="0" borderId="2" xfId="0" applyNumberFormat="1" applyFont="1" applyBorder="1"/>
    <xf numFmtId="2" fontId="6" fillId="2" borderId="3" xfId="0" applyNumberFormat="1" applyFont="1" applyFill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right"/>
    </xf>
    <xf numFmtId="2" fontId="6" fillId="0" borderId="3" xfId="0" applyNumberFormat="1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167" fontId="14" fillId="0" borderId="4" xfId="0" applyNumberFormat="1" applyFont="1" applyFill="1" applyBorder="1"/>
    <xf numFmtId="0" fontId="6" fillId="0" borderId="13" xfId="0" applyFont="1" applyFill="1" applyBorder="1" applyAlignment="1">
      <alignment vertical="center"/>
    </xf>
    <xf numFmtId="4" fontId="11" fillId="2" borderId="4" xfId="0" applyNumberFormat="1" applyFont="1" applyFill="1" applyBorder="1"/>
    <xf numFmtId="4" fontId="11" fillId="2" borderId="20" xfId="0" applyNumberFormat="1" applyFont="1" applyFill="1" applyBorder="1"/>
    <xf numFmtId="164" fontId="12" fillId="2" borderId="6" xfId="0" applyNumberFormat="1" applyFont="1" applyFill="1" applyBorder="1" applyAlignment="1"/>
    <xf numFmtId="164" fontId="6" fillId="2" borderId="6" xfId="0" applyNumberFormat="1" applyFont="1" applyFill="1" applyBorder="1" applyAlignment="1"/>
    <xf numFmtId="164" fontId="6" fillId="2" borderId="2" xfId="0" applyNumberFormat="1" applyFont="1" applyFill="1" applyBorder="1" applyAlignment="1"/>
    <xf numFmtId="167" fontId="11" fillId="2" borderId="11" xfId="0" applyNumberFormat="1" applyFont="1" applyFill="1" applyBorder="1"/>
    <xf numFmtId="167" fontId="11" fillId="2" borderId="4" xfId="0" applyNumberFormat="1" applyFont="1" applyFill="1" applyBorder="1"/>
    <xf numFmtId="1" fontId="11" fillId="2" borderId="4" xfId="0" applyNumberFormat="1" applyFont="1" applyFill="1" applyBorder="1"/>
    <xf numFmtId="0" fontId="6" fillId="2" borderId="13" xfId="0" applyFont="1" applyFill="1" applyBorder="1" applyAlignment="1">
      <alignment vertical="center"/>
    </xf>
    <xf numFmtId="3" fontId="11" fillId="2" borderId="4" xfId="0" applyNumberFormat="1" applyFont="1" applyFill="1" applyBorder="1" applyAlignment="1"/>
    <xf numFmtId="3" fontId="11" fillId="2" borderId="11" xfId="0" applyNumberFormat="1" applyFont="1" applyFill="1" applyBorder="1" applyAlignment="1"/>
    <xf numFmtId="3" fontId="11" fillId="0" borderId="4" xfId="1" applyNumberFormat="1" applyFont="1" applyFill="1" applyBorder="1" applyAlignment="1">
      <alignment horizontal="left"/>
    </xf>
    <xf numFmtId="0" fontId="2" fillId="2" borderId="0" xfId="0" applyFont="1" applyFill="1" applyAlignment="1"/>
    <xf numFmtId="0" fontId="5" fillId="2" borderId="0" xfId="0" applyFont="1" applyFill="1" applyAlignment="1"/>
    <xf numFmtId="0" fontId="3" fillId="2" borderId="0" xfId="0" applyFont="1" applyFill="1"/>
    <xf numFmtId="0" fontId="8" fillId="0" borderId="2" xfId="0" applyFont="1" applyFill="1" applyBorder="1" applyAlignment="1">
      <alignment horizontal="center"/>
    </xf>
    <xf numFmtId="2" fontId="11" fillId="0" borderId="2" xfId="0" applyNumberFormat="1" applyFont="1" applyFill="1" applyBorder="1"/>
    <xf numFmtId="4" fontId="14" fillId="0" borderId="2" xfId="0" applyNumberFormat="1" applyFont="1" applyFill="1" applyBorder="1"/>
    <xf numFmtId="3" fontId="11" fillId="0" borderId="2" xfId="0" applyNumberFormat="1" applyFont="1" applyFill="1" applyBorder="1" applyAlignment="1"/>
    <xf numFmtId="4" fontId="14" fillId="0" borderId="5" xfId="0" applyNumberFormat="1" applyFont="1" applyFill="1" applyBorder="1"/>
    <xf numFmtId="0" fontId="8" fillId="0" borderId="2" xfId="0" applyFont="1" applyFill="1" applyBorder="1"/>
    <xf numFmtId="164" fontId="14" fillId="0" borderId="2" xfId="0" applyNumberFormat="1" applyFont="1" applyFill="1" applyBorder="1"/>
    <xf numFmtId="164" fontId="11" fillId="0" borderId="2" xfId="0" applyNumberFormat="1" applyFont="1" applyFill="1" applyBorder="1"/>
    <xf numFmtId="167" fontId="11" fillId="0" borderId="2" xfId="0" applyNumberFormat="1" applyFont="1" applyFill="1" applyBorder="1"/>
    <xf numFmtId="3" fontId="8" fillId="2" borderId="4" xfId="1" applyNumberFormat="1" applyFont="1" applyFill="1" applyBorder="1" applyAlignment="1">
      <alignment horizontal="left"/>
    </xf>
    <xf numFmtId="0" fontId="3" fillId="0" borderId="4" xfId="0" applyFont="1" applyFill="1" applyBorder="1"/>
    <xf numFmtId="3" fontId="3" fillId="2" borderId="4" xfId="1" applyNumberFormat="1" applyFont="1" applyFill="1" applyBorder="1" applyAlignment="1">
      <alignment horizontal="left"/>
    </xf>
    <xf numFmtId="2" fontId="6" fillId="0" borderId="13" xfId="0" applyNumberFormat="1" applyFont="1" applyBorder="1" applyAlignment="1">
      <alignment vertical="center"/>
    </xf>
    <xf numFmtId="2" fontId="6" fillId="0" borderId="13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/>
    </xf>
    <xf numFmtId="3" fontId="11" fillId="2" borderId="4" xfId="0" applyNumberFormat="1" applyFont="1" applyFill="1" applyBorder="1"/>
    <xf numFmtId="2" fontId="11" fillId="2" borderId="4" xfId="0" applyNumberFormat="1" applyFont="1" applyFill="1" applyBorder="1"/>
    <xf numFmtId="164" fontId="11" fillId="2" borderId="4" xfId="0" applyNumberFormat="1" applyFont="1" applyFill="1" applyBorder="1"/>
    <xf numFmtId="1" fontId="11" fillId="2" borderId="11" xfId="0" applyNumberFormat="1" applyFont="1" applyFill="1" applyBorder="1"/>
    <xf numFmtId="2" fontId="6" fillId="2" borderId="13" xfId="0" applyNumberFormat="1" applyFont="1" applyFill="1" applyBorder="1" applyAlignment="1">
      <alignment vertical="center"/>
    </xf>
    <xf numFmtId="3" fontId="10" fillId="0" borderId="4" xfId="2" applyNumberFormat="1" applyFont="1" applyFill="1" applyBorder="1" applyAlignment="1">
      <alignment horizontal="left" vertical="center" wrapText="1"/>
    </xf>
    <xf numFmtId="3" fontId="10" fillId="0" borderId="2" xfId="2" applyNumberFormat="1" applyFont="1" applyFill="1" applyBorder="1" applyAlignment="1">
      <alignment horizontal="left" vertical="center" wrapText="1"/>
    </xf>
    <xf numFmtId="167" fontId="14" fillId="0" borderId="2" xfId="0" applyNumberFormat="1" applyFont="1" applyFill="1" applyBorder="1"/>
    <xf numFmtId="0" fontId="8" fillId="2" borderId="4" xfId="0" applyFont="1" applyFill="1" applyBorder="1"/>
    <xf numFmtId="3" fontId="14" fillId="2" borderId="4" xfId="0" applyNumberFormat="1" applyFont="1" applyFill="1" applyBorder="1" applyAlignment="1"/>
    <xf numFmtId="3" fontId="14" fillId="2" borderId="11" xfId="0" applyNumberFormat="1" applyFont="1" applyFill="1" applyBorder="1" applyAlignment="1"/>
    <xf numFmtId="0" fontId="8" fillId="2" borderId="5" xfId="0" applyFont="1" applyFill="1" applyBorder="1"/>
    <xf numFmtId="2" fontId="6" fillId="0" borderId="2" xfId="0" applyNumberFormat="1" applyFont="1" applyFill="1" applyBorder="1" applyAlignment="1">
      <alignment vertical="center"/>
    </xf>
    <xf numFmtId="4" fontId="14" fillId="0" borderId="11" xfId="0" applyNumberFormat="1" applyFont="1" applyFill="1" applyBorder="1"/>
    <xf numFmtId="2" fontId="13" fillId="0" borderId="2" xfId="0" applyNumberFormat="1" applyFont="1" applyFill="1" applyBorder="1"/>
    <xf numFmtId="3" fontId="14" fillId="0" borderId="2" xfId="0" applyNumberFormat="1" applyFont="1" applyFill="1" applyBorder="1" applyAlignment="1"/>
    <xf numFmtId="164" fontId="11" fillId="0" borderId="14" xfId="0" applyNumberFormat="1" applyFont="1" applyFill="1" applyBorder="1"/>
    <xf numFmtId="164" fontId="14" fillId="0" borderId="20" xfId="0" applyNumberFormat="1" applyFont="1" applyFill="1" applyBorder="1"/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4" fontId="3" fillId="0" borderId="0" xfId="0" applyNumberFormat="1" applyFont="1" applyFill="1" applyBorder="1"/>
    <xf numFmtId="167" fontId="3" fillId="0" borderId="0" xfId="0" applyNumberFormat="1" applyFont="1" applyFill="1" applyBorder="1"/>
    <xf numFmtId="1" fontId="3" fillId="0" borderId="0" xfId="0" applyNumberFormat="1" applyFont="1" applyFill="1" applyBorder="1"/>
    <xf numFmtId="0" fontId="3" fillId="0" borderId="0" xfId="0" applyFont="1" applyBorder="1" applyAlignment="1">
      <alignment horizontal="left" vertical="top"/>
    </xf>
    <xf numFmtId="0" fontId="5" fillId="2" borderId="0" xfId="0" applyFont="1" applyFill="1" applyAlignment="1">
      <alignment vertical="center"/>
    </xf>
    <xf numFmtId="4" fontId="3" fillId="2" borderId="0" xfId="0" applyNumberFormat="1" applyFont="1" applyFill="1"/>
    <xf numFmtId="164" fontId="14" fillId="0" borderId="11" xfId="0" applyNumberFormat="1" applyFont="1" applyFill="1" applyBorder="1"/>
    <xf numFmtId="4" fontId="14" fillId="2" borderId="4" xfId="0" applyNumberFormat="1" applyFont="1" applyFill="1" applyBorder="1"/>
    <xf numFmtId="0" fontId="2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wrapText="1"/>
    </xf>
    <xf numFmtId="3" fontId="13" fillId="0" borderId="13" xfId="0" applyNumberFormat="1" applyFont="1" applyFill="1" applyBorder="1" applyAlignment="1">
      <alignment horizontal="center" vertical="center"/>
    </xf>
    <xf numFmtId="3" fontId="13" fillId="0" borderId="3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" fontId="13" fillId="0" borderId="1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164" fontId="13" fillId="0" borderId="14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7" fontId="6" fillId="0" borderId="15" xfId="0" applyNumberFormat="1" applyFont="1" applyBorder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164" fontId="13" fillId="0" borderId="13" xfId="0" applyNumberFormat="1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165" fontId="6" fillId="2" borderId="12" xfId="0" applyNumberFormat="1" applyFont="1" applyFill="1" applyBorder="1" applyAlignment="1">
      <alignment horizontal="center"/>
    </xf>
    <xf numFmtId="165" fontId="6" fillId="2" borderId="6" xfId="0" applyNumberFormat="1" applyFont="1" applyFill="1" applyBorder="1" applyAlignment="1">
      <alignment horizontal="center"/>
    </xf>
    <xf numFmtId="165" fontId="6" fillId="2" borderId="15" xfId="0" applyNumberFormat="1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/>
    </xf>
    <xf numFmtId="2" fontId="6" fillId="0" borderId="15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2" fontId="12" fillId="0" borderId="1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/>
    </xf>
    <xf numFmtId="2" fontId="6" fillId="0" borderId="6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4" fontId="3" fillId="2" borderId="0" xfId="0" applyNumberFormat="1" applyFont="1" applyFill="1" applyBorder="1"/>
    <xf numFmtId="1" fontId="11" fillId="0" borderId="5" xfId="0" applyNumberFormat="1" applyFont="1" applyFill="1" applyBorder="1"/>
    <xf numFmtId="1" fontId="11" fillId="2" borderId="5" xfId="0" applyNumberFormat="1" applyFont="1" applyFill="1" applyBorder="1"/>
    <xf numFmtId="3" fontId="10" fillId="0" borderId="2" xfId="0" applyNumberFormat="1" applyFont="1" applyFill="1" applyBorder="1" applyAlignment="1">
      <alignment horizontal="center" wrapText="1"/>
    </xf>
    <xf numFmtId="167" fontId="3" fillId="0" borderId="0" xfId="0" applyNumberFormat="1" applyFont="1" applyFill="1"/>
    <xf numFmtId="0" fontId="12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/>
    <xf numFmtId="2" fontId="3" fillId="2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/>
    <xf numFmtId="166" fontId="3" fillId="2" borderId="0" xfId="0" applyNumberFormat="1" applyFont="1" applyFill="1" applyBorder="1" applyAlignment="1">
      <alignment horizontal="center"/>
    </xf>
    <xf numFmtId="1" fontId="14" fillId="0" borderId="4" xfId="0" applyNumberFormat="1" applyFont="1" applyFill="1" applyBorder="1"/>
    <xf numFmtId="164" fontId="12" fillId="0" borderId="2" xfId="0" applyNumberFormat="1" applyFont="1" applyFill="1" applyBorder="1" applyAlignment="1"/>
    <xf numFmtId="164" fontId="12" fillId="0" borderId="6" xfId="0" applyNumberFormat="1" applyFont="1" applyFill="1" applyBorder="1" applyAlignment="1"/>
    <xf numFmtId="164" fontId="6" fillId="0" borderId="6" xfId="0" applyNumberFormat="1" applyFont="1" applyFill="1" applyBorder="1" applyAlignment="1"/>
    <xf numFmtId="165" fontId="6" fillId="0" borderId="15" xfId="0" applyNumberFormat="1" applyFont="1" applyFill="1" applyBorder="1" applyAlignment="1">
      <alignment horizontal="center"/>
    </xf>
    <xf numFmtId="165" fontId="6" fillId="0" borderId="6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left" vertical="top"/>
    </xf>
    <xf numFmtId="2" fontId="11" fillId="2" borderId="20" xfId="0" applyNumberFormat="1" applyFont="1" applyFill="1" applyBorder="1"/>
    <xf numFmtId="164" fontId="12" fillId="2" borderId="2" xfId="0" applyNumberFormat="1" applyFont="1" applyFill="1" applyBorder="1" applyAlignment="1"/>
  </cellXfs>
  <cellStyles count="3">
    <cellStyle name="Normal" xfId="0" builtinId="0"/>
    <cellStyle name="Normal_Sheet1" xfId="1"/>
    <cellStyle name="Normal_Sheet1_tinh an thang 7_tinh an thang 5 nam 201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61"/>
  <sheetViews>
    <sheetView tabSelected="1" workbookViewId="0">
      <selection activeCell="O1" sqref="O1"/>
    </sheetView>
  </sheetViews>
  <sheetFormatPr defaultColWidth="9.109375" defaultRowHeight="20.399999999999999" customHeight="1"/>
  <cols>
    <col min="1" max="1" width="4" style="1" customWidth="1"/>
    <col min="2" max="2" width="12.6640625" style="1" customWidth="1"/>
    <col min="3" max="3" width="7" style="1" customWidth="1"/>
    <col min="4" max="4" width="7.44140625" style="1" customWidth="1"/>
    <col min="5" max="8" width="7.33203125" style="1" customWidth="1"/>
    <col min="9" max="9" width="7.6640625" style="1" customWidth="1"/>
    <col min="10" max="11" width="7.33203125" style="1" customWidth="1"/>
    <col min="12" max="12" width="6.44140625" style="1" customWidth="1"/>
    <col min="13" max="13" width="4.88671875" style="1" customWidth="1"/>
    <col min="14" max="14" width="7" style="1" customWidth="1"/>
    <col min="15" max="15" width="11.88671875" style="1" customWidth="1"/>
    <col min="16" max="16" width="9.109375" style="1"/>
    <col min="17" max="22" width="7" style="1" customWidth="1"/>
    <col min="23" max="16384" width="9.109375" style="1"/>
  </cols>
  <sheetData>
    <row r="1" spans="1:20" ht="20.399999999999999" customHeight="1">
      <c r="A1" s="10" t="s">
        <v>59</v>
      </c>
      <c r="B1" s="7"/>
      <c r="C1" s="7"/>
      <c r="D1" s="7"/>
      <c r="E1" s="7"/>
      <c r="F1" s="185" t="s">
        <v>30</v>
      </c>
      <c r="G1" s="185"/>
      <c r="H1" s="185"/>
      <c r="I1" s="185"/>
      <c r="J1" s="185"/>
      <c r="K1" s="185"/>
      <c r="L1" s="185"/>
      <c r="M1" s="185"/>
      <c r="N1" s="185"/>
      <c r="O1" s="152"/>
      <c r="P1" s="152"/>
      <c r="T1" s="2"/>
    </row>
    <row r="2" spans="1:20" ht="20.399999999999999" customHeight="1">
      <c r="A2" s="7" t="s">
        <v>176</v>
      </c>
      <c r="B2" s="7"/>
      <c r="C2" s="7"/>
      <c r="D2" s="7"/>
      <c r="E2" s="7"/>
      <c r="F2" s="166"/>
      <c r="G2" s="166"/>
      <c r="H2" s="166"/>
      <c r="I2" s="166"/>
      <c r="J2" s="166"/>
      <c r="K2" s="166"/>
      <c r="L2" s="166"/>
      <c r="M2" s="166"/>
      <c r="N2" s="166"/>
      <c r="O2" s="152"/>
      <c r="P2" s="152"/>
      <c r="T2" s="2"/>
    </row>
    <row r="3" spans="1:20" s="2" customFormat="1" ht="19.8" customHeight="1">
      <c r="A3" s="186" t="s">
        <v>95</v>
      </c>
      <c r="B3" s="186"/>
      <c r="C3" s="186"/>
      <c r="D3" s="186"/>
      <c r="E3" s="186" t="s">
        <v>93</v>
      </c>
      <c r="F3" s="186"/>
      <c r="G3" s="186"/>
      <c r="H3" s="186"/>
      <c r="I3" s="186"/>
      <c r="J3" s="186"/>
      <c r="K3" s="186"/>
      <c r="L3" s="186"/>
      <c r="M3" s="186"/>
      <c r="N3" s="186"/>
      <c r="O3" s="153"/>
    </row>
    <row r="4" spans="1:20" s="2" customFormat="1" ht="19.8" customHeight="1">
      <c r="A4" s="187" t="s">
        <v>83</v>
      </c>
      <c r="B4" s="187"/>
      <c r="C4" s="187"/>
      <c r="D4" s="187"/>
      <c r="E4" s="188" t="s">
        <v>132</v>
      </c>
      <c r="F4" s="188"/>
      <c r="G4" s="188"/>
      <c r="H4" s="188"/>
      <c r="I4" s="188"/>
      <c r="J4" s="189" t="s">
        <v>125</v>
      </c>
      <c r="K4" s="190"/>
      <c r="L4" s="190"/>
      <c r="M4" s="190"/>
      <c r="N4" s="191"/>
      <c r="O4" s="153"/>
    </row>
    <row r="5" spans="1:20" s="2" customFormat="1" ht="19.8" customHeight="1">
      <c r="A5" s="198" t="s">
        <v>147</v>
      </c>
      <c r="B5" s="198"/>
      <c r="C5" s="198"/>
      <c r="D5" s="198"/>
      <c r="E5" s="188"/>
      <c r="F5" s="188"/>
      <c r="G5" s="188"/>
      <c r="H5" s="188"/>
      <c r="I5" s="188"/>
      <c r="J5" s="192"/>
      <c r="K5" s="193"/>
      <c r="L5" s="193"/>
      <c r="M5" s="193"/>
      <c r="N5" s="194"/>
      <c r="O5" s="153"/>
    </row>
    <row r="6" spans="1:20" s="2" customFormat="1" ht="19.8" customHeight="1">
      <c r="A6" s="202" t="s">
        <v>153</v>
      </c>
      <c r="B6" s="203"/>
      <c r="C6" s="203"/>
      <c r="D6" s="204"/>
      <c r="E6" s="188"/>
      <c r="F6" s="188"/>
      <c r="G6" s="188"/>
      <c r="H6" s="188"/>
      <c r="I6" s="188"/>
      <c r="J6" s="192"/>
      <c r="K6" s="193"/>
      <c r="L6" s="193"/>
      <c r="M6" s="193"/>
      <c r="N6" s="194"/>
      <c r="O6" s="153"/>
    </row>
    <row r="7" spans="1:20" s="2" customFormat="1" ht="19.8" customHeight="1">
      <c r="A7" s="199" t="s">
        <v>154</v>
      </c>
      <c r="B7" s="199"/>
      <c r="C7" s="199"/>
      <c r="D7" s="199"/>
      <c r="E7" s="188"/>
      <c r="F7" s="188"/>
      <c r="G7" s="188"/>
      <c r="H7" s="188"/>
      <c r="I7" s="188"/>
      <c r="J7" s="195"/>
      <c r="K7" s="196"/>
      <c r="L7" s="196"/>
      <c r="M7" s="196"/>
      <c r="N7" s="197"/>
      <c r="O7" s="153"/>
    </row>
    <row r="8" spans="1:20" s="2" customFormat="1" ht="19.8" customHeight="1">
      <c r="A8" s="169" t="s">
        <v>112</v>
      </c>
      <c r="B8" s="170"/>
      <c r="C8" s="171"/>
      <c r="D8" s="99">
        <v>225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153"/>
    </row>
    <row r="9" spans="1:20" ht="19.8" customHeight="1">
      <c r="A9" s="172" t="s">
        <v>0</v>
      </c>
      <c r="B9" s="175" t="s">
        <v>19</v>
      </c>
      <c r="C9" s="178" t="s">
        <v>8</v>
      </c>
      <c r="D9" s="178" t="s">
        <v>9</v>
      </c>
      <c r="E9" s="181" t="s">
        <v>11</v>
      </c>
      <c r="F9" s="182"/>
      <c r="G9" s="181" t="s">
        <v>13</v>
      </c>
      <c r="H9" s="182"/>
      <c r="I9" s="200" t="s">
        <v>16</v>
      </c>
      <c r="J9" s="200" t="s">
        <v>32</v>
      </c>
      <c r="K9" s="200" t="s">
        <v>33</v>
      </c>
      <c r="L9" s="200" t="s">
        <v>17</v>
      </c>
      <c r="M9" s="200" t="s">
        <v>34</v>
      </c>
      <c r="N9" s="172" t="s">
        <v>18</v>
      </c>
      <c r="O9" s="154"/>
    </row>
    <row r="10" spans="1:20" ht="19.8" customHeight="1">
      <c r="A10" s="173"/>
      <c r="B10" s="176"/>
      <c r="C10" s="179"/>
      <c r="D10" s="179"/>
      <c r="E10" s="183"/>
      <c r="F10" s="184"/>
      <c r="G10" s="183"/>
      <c r="H10" s="184"/>
      <c r="I10" s="208"/>
      <c r="J10" s="208"/>
      <c r="K10" s="208"/>
      <c r="L10" s="208"/>
      <c r="M10" s="208"/>
      <c r="N10" s="173"/>
      <c r="O10" s="163"/>
    </row>
    <row r="11" spans="1:20" ht="19.8" customHeight="1">
      <c r="A11" s="173"/>
      <c r="B11" s="176"/>
      <c r="C11" s="179"/>
      <c r="D11" s="179"/>
      <c r="E11" s="200" t="s">
        <v>10</v>
      </c>
      <c r="F11" s="200" t="s">
        <v>12</v>
      </c>
      <c r="G11" s="200" t="s">
        <v>14</v>
      </c>
      <c r="H11" s="200" t="s">
        <v>15</v>
      </c>
      <c r="I11" s="208"/>
      <c r="J11" s="208"/>
      <c r="K11" s="208"/>
      <c r="L11" s="208"/>
      <c r="M11" s="208"/>
      <c r="N11" s="173"/>
      <c r="O11" s="163"/>
    </row>
    <row r="12" spans="1:20" ht="19.8" customHeight="1">
      <c r="A12" s="174"/>
      <c r="B12" s="177"/>
      <c r="C12" s="180"/>
      <c r="D12" s="180"/>
      <c r="E12" s="201"/>
      <c r="F12" s="201"/>
      <c r="G12" s="201"/>
      <c r="H12" s="201"/>
      <c r="I12" s="201"/>
      <c r="J12" s="201"/>
      <c r="K12" s="201"/>
      <c r="L12" s="201"/>
      <c r="M12" s="201"/>
      <c r="N12" s="174"/>
      <c r="O12" s="163"/>
    </row>
    <row r="13" spans="1:20" ht="19.2" customHeight="1">
      <c r="A13" s="205" t="s">
        <v>35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7"/>
      <c r="O13" s="163"/>
    </row>
    <row r="14" spans="1:20" s="2" customFormat="1" ht="18.600000000000001" customHeight="1">
      <c r="A14" s="37">
        <v>1</v>
      </c>
      <c r="B14" s="38" t="s">
        <v>2</v>
      </c>
      <c r="C14" s="39">
        <f>L14/100*100</f>
        <v>290</v>
      </c>
      <c r="D14" s="40">
        <f>C14/100*60</f>
        <v>174</v>
      </c>
      <c r="E14" s="41">
        <f>C14/100*15</f>
        <v>43.5</v>
      </c>
      <c r="F14" s="41"/>
      <c r="G14" s="41"/>
      <c r="H14" s="41"/>
      <c r="I14" s="41"/>
      <c r="J14" s="147">
        <f>C14/100*387</f>
        <v>1122.3</v>
      </c>
      <c r="K14" s="41">
        <f>C14/100*0.09</f>
        <v>0.26100000000000001</v>
      </c>
      <c r="L14" s="137">
        <v>290</v>
      </c>
      <c r="M14" s="43">
        <v>20</v>
      </c>
      <c r="N14" s="114">
        <f>L14*M14</f>
        <v>5800</v>
      </c>
      <c r="O14" s="155"/>
    </row>
    <row r="15" spans="1:20" s="2" customFormat="1" ht="18.600000000000001" customHeight="1">
      <c r="A15" s="8">
        <v>2</v>
      </c>
      <c r="B15" s="9" t="s">
        <v>121</v>
      </c>
      <c r="C15" s="12">
        <f>L15/100*100</f>
        <v>1240</v>
      </c>
      <c r="D15" s="65">
        <f>C15/100*899</f>
        <v>11147.6</v>
      </c>
      <c r="E15" s="14"/>
      <c r="F15" s="14"/>
      <c r="G15" s="91">
        <f>C15/100*99.6</f>
        <v>1235.04</v>
      </c>
      <c r="H15" s="14"/>
      <c r="I15" s="14"/>
      <c r="J15" s="14"/>
      <c r="K15" s="14"/>
      <c r="L15" s="111">
        <v>1240</v>
      </c>
      <c r="M15" s="65">
        <v>69</v>
      </c>
      <c r="N15" s="143">
        <f t="shared" ref="N15:N27" si="0">L15*M15</f>
        <v>85560</v>
      </c>
      <c r="O15" s="157"/>
    </row>
    <row r="16" spans="1:20" s="2" customFormat="1" ht="18.600000000000001" customHeight="1">
      <c r="A16" s="8">
        <v>3</v>
      </c>
      <c r="B16" s="9" t="s">
        <v>126</v>
      </c>
      <c r="C16" s="12">
        <f>L16/100*100</f>
        <v>229.99999999999997</v>
      </c>
      <c r="D16" s="65">
        <f>C16/100*900</f>
        <v>2070</v>
      </c>
      <c r="E16" s="14"/>
      <c r="F16" s="14"/>
      <c r="G16" s="91"/>
      <c r="H16" s="14">
        <f>C16/100*100</f>
        <v>229.99999999999997</v>
      </c>
      <c r="I16" s="14"/>
      <c r="J16" s="14"/>
      <c r="K16" s="14"/>
      <c r="L16" s="111">
        <v>230</v>
      </c>
      <c r="M16" s="65">
        <v>65</v>
      </c>
      <c r="N16" s="143">
        <f t="shared" si="0"/>
        <v>14950</v>
      </c>
      <c r="O16" s="157"/>
    </row>
    <row r="17" spans="1:20" s="2" customFormat="1" ht="18.600000000000001" customHeight="1">
      <c r="A17" s="8">
        <v>4</v>
      </c>
      <c r="B17" s="5" t="s">
        <v>1</v>
      </c>
      <c r="C17" s="12">
        <f>L17/100*100</f>
        <v>21375</v>
      </c>
      <c r="D17" s="65">
        <f>C17/100*344</f>
        <v>73530</v>
      </c>
      <c r="E17" s="14"/>
      <c r="F17" s="91">
        <f>C17/100*7.9</f>
        <v>1688.625</v>
      </c>
      <c r="G17" s="14"/>
      <c r="H17" s="14">
        <f>C17/100*1</f>
        <v>213.75</v>
      </c>
      <c r="I17" s="91">
        <f>C17/100*67.3</f>
        <v>14385.375</v>
      </c>
      <c r="J17" s="91">
        <f>C17/100*30</f>
        <v>6412.5</v>
      </c>
      <c r="K17" s="14">
        <f>C17/100*0.1</f>
        <v>21.375</v>
      </c>
      <c r="L17" s="111">
        <v>21375</v>
      </c>
      <c r="M17" s="20">
        <v>18</v>
      </c>
      <c r="N17" s="144">
        <f t="shared" si="0"/>
        <v>384750</v>
      </c>
      <c r="O17" s="155"/>
    </row>
    <row r="18" spans="1:20" s="2" customFormat="1" ht="18.600000000000001" customHeight="1">
      <c r="A18" s="8">
        <v>5</v>
      </c>
      <c r="B18" s="9" t="s">
        <v>29</v>
      </c>
      <c r="C18" s="12">
        <f>L18/100*100</f>
        <v>180</v>
      </c>
      <c r="D18" s="13">
        <f>C18/100*390</f>
        <v>702</v>
      </c>
      <c r="E18" s="14"/>
      <c r="F18" s="14"/>
      <c r="G18" s="14"/>
      <c r="H18" s="14"/>
      <c r="I18" s="14">
        <f>C18/100*97.4</f>
        <v>175.32000000000002</v>
      </c>
      <c r="J18" s="22">
        <f>C18/100*178</f>
        <v>320.40000000000003</v>
      </c>
      <c r="K18" s="22">
        <f>C18/100*0.05</f>
        <v>9.0000000000000011E-2</v>
      </c>
      <c r="L18" s="111">
        <v>180</v>
      </c>
      <c r="M18" s="20">
        <v>25</v>
      </c>
      <c r="N18" s="113">
        <f t="shared" si="0"/>
        <v>4500</v>
      </c>
      <c r="O18" s="156"/>
    </row>
    <row r="19" spans="1:20" s="2" customFormat="1" ht="18.600000000000001" customHeight="1">
      <c r="A19" s="8">
        <v>6</v>
      </c>
      <c r="B19" s="5" t="s">
        <v>4</v>
      </c>
      <c r="C19" s="12">
        <f>L19/100*98</f>
        <v>6693.4</v>
      </c>
      <c r="D19" s="13">
        <f>C19/100*118</f>
        <v>7898.2119999999995</v>
      </c>
      <c r="E19" s="91">
        <f>C19/100*30</f>
        <v>2008.02</v>
      </c>
      <c r="F19" s="14"/>
      <c r="G19" s="14">
        <f>C19/100*3.8</f>
        <v>254.34919999999997</v>
      </c>
      <c r="H19" s="14"/>
      <c r="I19" s="14"/>
      <c r="J19" s="22">
        <f>C19/100*12</f>
        <v>803.20799999999997</v>
      </c>
      <c r="K19" s="22">
        <f>C19/100*0.1</f>
        <v>6.6934000000000005</v>
      </c>
      <c r="L19" s="111">
        <v>6830</v>
      </c>
      <c r="M19" s="15">
        <v>270</v>
      </c>
      <c r="N19" s="143">
        <f t="shared" si="0"/>
        <v>1844100</v>
      </c>
      <c r="O19" s="155"/>
      <c r="Q19" s="3"/>
      <c r="R19" s="3"/>
      <c r="S19" s="4"/>
    </row>
    <row r="20" spans="1:20" s="2" customFormat="1" ht="18.600000000000001" customHeight="1">
      <c r="A20" s="8">
        <v>7</v>
      </c>
      <c r="B20" s="5" t="s">
        <v>20</v>
      </c>
      <c r="C20" s="12">
        <f>L20/100*95</f>
        <v>1073.5</v>
      </c>
      <c r="D20" s="13">
        <f>C20/100*20</f>
        <v>214.7</v>
      </c>
      <c r="E20" s="14"/>
      <c r="F20" s="14">
        <f>C20/100*0.6</f>
        <v>6.4409999999999998</v>
      </c>
      <c r="G20" s="14"/>
      <c r="H20" s="14">
        <f>C20/100*0.2</f>
        <v>2.1469999999999998</v>
      </c>
      <c r="I20" s="14">
        <f>C20/100*4</f>
        <v>42.94</v>
      </c>
      <c r="J20" s="21">
        <f>C20/100*12</f>
        <v>128.82</v>
      </c>
      <c r="K20" s="21">
        <f>C20/100*0.04</f>
        <v>0.4294</v>
      </c>
      <c r="L20" s="324">
        <v>1130</v>
      </c>
      <c r="M20" s="20">
        <v>22</v>
      </c>
      <c r="N20" s="113">
        <f t="shared" si="0"/>
        <v>24860</v>
      </c>
      <c r="O20" s="155"/>
      <c r="Q20" s="3"/>
      <c r="R20" s="3"/>
    </row>
    <row r="21" spans="1:20" s="2" customFormat="1" ht="18.600000000000001" customHeight="1">
      <c r="A21" s="8">
        <v>8</v>
      </c>
      <c r="B21" s="5" t="s">
        <v>3</v>
      </c>
      <c r="C21" s="12">
        <f>L21/100*48</f>
        <v>1296</v>
      </c>
      <c r="D21" s="13">
        <f>C21/100*199</f>
        <v>2579.04</v>
      </c>
      <c r="E21" s="14">
        <f>C21/100*29</f>
        <v>375.84000000000003</v>
      </c>
      <c r="F21" s="14"/>
      <c r="G21" s="14">
        <f>C21/100*13.1</f>
        <v>169.77600000000001</v>
      </c>
      <c r="H21" s="14"/>
      <c r="I21" s="14"/>
      <c r="J21" s="22">
        <f>C21/100*12</f>
        <v>155.52000000000001</v>
      </c>
      <c r="K21" s="22">
        <f>C21/100*0.15</f>
        <v>1.944</v>
      </c>
      <c r="L21" s="111">
        <v>2700</v>
      </c>
      <c r="M21" s="15">
        <v>84</v>
      </c>
      <c r="N21" s="143">
        <f t="shared" si="0"/>
        <v>226800</v>
      </c>
      <c r="O21" s="155"/>
      <c r="Q21" s="3"/>
      <c r="R21" s="3"/>
      <c r="S21" s="4"/>
    </row>
    <row r="22" spans="1:20" s="2" customFormat="1" ht="18.600000000000001" customHeight="1">
      <c r="A22" s="8">
        <v>9</v>
      </c>
      <c r="B22" s="9" t="s">
        <v>128</v>
      </c>
      <c r="C22" s="12">
        <f>L22/100*92</f>
        <v>1444.3999999999999</v>
      </c>
      <c r="D22" s="13">
        <f>C22/100*58</f>
        <v>837.75199999999995</v>
      </c>
      <c r="E22" s="14">
        <f>C22/100*11.7</f>
        <v>168.99479999999997</v>
      </c>
      <c r="F22" s="14"/>
      <c r="G22" s="14">
        <f>C22/100*1.2</f>
        <v>17.332799999999999</v>
      </c>
      <c r="H22" s="14"/>
      <c r="I22" s="14"/>
      <c r="J22" s="64">
        <f>C22/100*910</f>
        <v>13144.039999999999</v>
      </c>
      <c r="K22" s="22"/>
      <c r="L22" s="111">
        <v>1570</v>
      </c>
      <c r="M22" s="102">
        <v>155</v>
      </c>
      <c r="N22" s="143">
        <f t="shared" si="0"/>
        <v>243350</v>
      </c>
      <c r="O22" s="155"/>
    </row>
    <row r="23" spans="1:20" s="2" customFormat="1" ht="18.600000000000001" customHeight="1">
      <c r="A23" s="8">
        <v>10</v>
      </c>
      <c r="B23" s="5" t="s">
        <v>135</v>
      </c>
      <c r="C23" s="12">
        <f>L23/100*81</f>
        <v>2203.1999999999998</v>
      </c>
      <c r="D23" s="13">
        <f>C23/100*17</f>
        <v>374.54399999999993</v>
      </c>
      <c r="E23" s="17"/>
      <c r="F23" s="17">
        <f>C23/100*0.9</f>
        <v>19.828799999999998</v>
      </c>
      <c r="G23" s="17"/>
      <c r="H23" s="17">
        <f>C23/100*0.2</f>
        <v>4.4063999999999997</v>
      </c>
      <c r="I23" s="17">
        <f>C23/100*2.8</f>
        <v>61.689599999999984</v>
      </c>
      <c r="J23" s="14">
        <f>C23/100*28</f>
        <v>616.89599999999996</v>
      </c>
      <c r="K23" s="22">
        <f>C23/100*0.04</f>
        <v>0.88127999999999984</v>
      </c>
      <c r="L23" s="324">
        <v>2720</v>
      </c>
      <c r="M23" s="20">
        <v>20</v>
      </c>
      <c r="N23" s="113">
        <f t="shared" si="0"/>
        <v>54400</v>
      </c>
      <c r="O23" s="155"/>
      <c r="P23" s="3"/>
    </row>
    <row r="24" spans="1:20" s="118" customFormat="1" ht="18.600000000000001" customHeight="1">
      <c r="A24" s="133">
        <v>11</v>
      </c>
      <c r="B24" s="142" t="s">
        <v>155</v>
      </c>
      <c r="C24" s="134">
        <f>L24/100*65</f>
        <v>2925</v>
      </c>
      <c r="D24" s="135">
        <f>C24/100*14</f>
        <v>409.5</v>
      </c>
      <c r="E24" s="104"/>
      <c r="F24" s="104">
        <f>C24/100*0.6</f>
        <v>17.55</v>
      </c>
      <c r="G24" s="104"/>
      <c r="H24" s="104">
        <f>C24/100*0.02</f>
        <v>0.58499999999999996</v>
      </c>
      <c r="I24" s="104">
        <f>C24/100*2.9</f>
        <v>84.825000000000003</v>
      </c>
      <c r="J24" s="104">
        <f>C24/100*21</f>
        <v>614.25</v>
      </c>
      <c r="K24" s="104">
        <f>C24/100*0.03</f>
        <v>0.87749999999999995</v>
      </c>
      <c r="L24" s="111">
        <v>4500</v>
      </c>
      <c r="M24" s="110">
        <v>25</v>
      </c>
      <c r="N24" s="143">
        <f t="shared" si="0"/>
        <v>112500</v>
      </c>
      <c r="O24" s="322"/>
    </row>
    <row r="25" spans="1:20" s="2" customFormat="1" ht="18.600000000000001" customHeight="1">
      <c r="A25" s="8">
        <v>12</v>
      </c>
      <c r="B25" s="142" t="s">
        <v>156</v>
      </c>
      <c r="C25" s="12">
        <f>L25/100*80</f>
        <v>4504</v>
      </c>
      <c r="D25" s="13">
        <f>C25/100*25</f>
        <v>1126</v>
      </c>
      <c r="E25" s="17"/>
      <c r="F25" s="17">
        <f>C25/100*2.8</f>
        <v>126.11199999999999</v>
      </c>
      <c r="G25" s="17"/>
      <c r="H25" s="17">
        <f>C25/100*0.3</f>
        <v>13.511999999999999</v>
      </c>
      <c r="I25" s="17">
        <f>C25/100*3</f>
        <v>135.12</v>
      </c>
      <c r="J25" s="123">
        <f>C25/100*182</f>
        <v>8197.2800000000007</v>
      </c>
      <c r="K25" s="17">
        <f>C25/100*0.13</f>
        <v>5.8552</v>
      </c>
      <c r="L25" s="324">
        <v>5630</v>
      </c>
      <c r="M25" s="15">
        <v>30</v>
      </c>
      <c r="N25" s="143">
        <f t="shared" si="0"/>
        <v>168900</v>
      </c>
      <c r="O25" s="155"/>
      <c r="Q25" s="3"/>
      <c r="R25" s="3"/>
      <c r="S25" s="4"/>
    </row>
    <row r="26" spans="1:20" s="2" customFormat="1" ht="18.600000000000001" customHeight="1">
      <c r="A26" s="133">
        <v>13</v>
      </c>
      <c r="B26" s="5" t="s">
        <v>157</v>
      </c>
      <c r="C26" s="12">
        <f>L26/100*81</f>
        <v>915.30000000000007</v>
      </c>
      <c r="D26" s="13">
        <f>C26/100*17</f>
        <v>155.601</v>
      </c>
      <c r="E26" s="14"/>
      <c r="F26" s="14">
        <f>C26/100*0.9</f>
        <v>8.2377000000000002</v>
      </c>
      <c r="G26" s="14"/>
      <c r="H26" s="14">
        <f>C26/100*0.2</f>
        <v>1.8306000000000002</v>
      </c>
      <c r="I26" s="14">
        <f>C26/100*2.8</f>
        <v>25.628399999999999</v>
      </c>
      <c r="J26" s="64">
        <f>C26/100*28</f>
        <v>256.28399999999999</v>
      </c>
      <c r="K26" s="22">
        <f>C26/100*0.04</f>
        <v>0.36612</v>
      </c>
      <c r="L26" s="111">
        <v>1130</v>
      </c>
      <c r="M26" s="15">
        <v>25</v>
      </c>
      <c r="N26" s="113">
        <f t="shared" si="0"/>
        <v>28250</v>
      </c>
      <c r="O26" s="155"/>
    </row>
    <row r="27" spans="1:20" s="2" customFormat="1" ht="18.600000000000001" customHeight="1">
      <c r="A27" s="8">
        <v>14</v>
      </c>
      <c r="B27" s="5" t="s">
        <v>117</v>
      </c>
      <c r="C27" s="12">
        <f>L27/100*100</f>
        <v>229.99999999999997</v>
      </c>
      <c r="D27" s="13">
        <f>C27/100*247</f>
        <v>568.09999999999991</v>
      </c>
      <c r="E27" s="17"/>
      <c r="F27" s="17">
        <f>C27/100*17.5</f>
        <v>40.25</v>
      </c>
      <c r="G27" s="17"/>
      <c r="H27" s="17">
        <f>C27/100*1.6</f>
        <v>3.6799999999999997</v>
      </c>
      <c r="I27" s="17">
        <f>C27/100*39.2</f>
        <v>90.16</v>
      </c>
      <c r="J27" s="21"/>
      <c r="K27" s="21"/>
      <c r="L27" s="324">
        <v>230</v>
      </c>
      <c r="M27" s="20">
        <v>50</v>
      </c>
      <c r="N27" s="113">
        <f t="shared" si="0"/>
        <v>11500</v>
      </c>
      <c r="O27" s="155"/>
      <c r="Q27" s="3"/>
      <c r="R27" s="3"/>
      <c r="S27" s="4"/>
      <c r="T27" s="3"/>
    </row>
    <row r="28" spans="1:20" s="2" customFormat="1" ht="18.600000000000001" customHeight="1">
      <c r="A28" s="8">
        <v>15</v>
      </c>
      <c r="B28" s="9" t="s">
        <v>111</v>
      </c>
      <c r="C28" s="12"/>
      <c r="D28" s="13"/>
      <c r="E28" s="14"/>
      <c r="F28" s="14"/>
      <c r="G28" s="14"/>
      <c r="H28" s="14"/>
      <c r="I28" s="14"/>
      <c r="J28" s="14"/>
      <c r="K28" s="14"/>
      <c r="L28" s="15"/>
      <c r="M28" s="15"/>
      <c r="N28" s="16">
        <v>17480</v>
      </c>
      <c r="O28" s="155"/>
    </row>
    <row r="29" spans="1:20" s="2" customFormat="1" ht="18.600000000000001" customHeight="1">
      <c r="A29" s="23" t="s">
        <v>97</v>
      </c>
      <c r="B29" s="24"/>
      <c r="C29" s="25"/>
      <c r="D29" s="148">
        <f>SUM(D14:D28)</f>
        <v>101787.04899999998</v>
      </c>
      <c r="E29" s="27"/>
      <c r="F29" s="27"/>
      <c r="G29" s="27"/>
      <c r="H29" s="27"/>
      <c r="I29" s="27"/>
      <c r="J29" s="27"/>
      <c r="K29" s="27"/>
      <c r="L29" s="28"/>
      <c r="M29" s="28"/>
      <c r="N29" s="209">
        <f>SUM(N14:N28)</f>
        <v>3227700</v>
      </c>
      <c r="O29" s="155"/>
    </row>
    <row r="30" spans="1:20" s="2" customFormat="1" ht="18.600000000000001" customHeight="1">
      <c r="A30" s="23" t="s">
        <v>6</v>
      </c>
      <c r="B30" s="24"/>
      <c r="C30" s="25"/>
      <c r="D30" s="26">
        <f>D29/D8</f>
        <v>452.38688444444438</v>
      </c>
      <c r="E30" s="27"/>
      <c r="F30" s="27"/>
      <c r="G30" s="27"/>
      <c r="H30" s="27"/>
      <c r="I30" s="27"/>
      <c r="J30" s="27"/>
      <c r="K30" s="27"/>
      <c r="L30" s="28"/>
      <c r="M30" s="28"/>
      <c r="N30" s="210"/>
      <c r="O30" s="155"/>
    </row>
    <row r="31" spans="1:20" s="2" customFormat="1" ht="18.600000000000001" customHeight="1">
      <c r="A31" s="211" t="s">
        <v>37</v>
      </c>
      <c r="B31" s="212"/>
      <c r="C31" s="325" t="s">
        <v>133</v>
      </c>
      <c r="D31" s="29" t="s">
        <v>38</v>
      </c>
      <c r="E31" s="27"/>
      <c r="F31" s="27"/>
      <c r="G31" s="27"/>
      <c r="H31" s="27"/>
      <c r="I31" s="27"/>
      <c r="J31" s="27"/>
      <c r="K31" s="27"/>
      <c r="L31" s="28"/>
      <c r="M31" s="28"/>
      <c r="N31" s="30"/>
      <c r="O31" s="155"/>
    </row>
    <row r="32" spans="1:20" s="2" customFormat="1" ht="18.600000000000001" customHeight="1">
      <c r="A32" s="213"/>
      <c r="B32" s="214"/>
      <c r="C32" s="62" t="s">
        <v>58</v>
      </c>
      <c r="D32" s="29">
        <f>D30*100/1320</f>
        <v>34.271733670033662</v>
      </c>
      <c r="E32" s="27"/>
      <c r="F32" s="27"/>
      <c r="G32" s="27"/>
      <c r="H32" s="27"/>
      <c r="I32" s="27"/>
      <c r="J32" s="27"/>
      <c r="K32" s="27"/>
      <c r="L32" s="28"/>
      <c r="M32" s="28"/>
      <c r="N32" s="30"/>
      <c r="O32" s="155"/>
    </row>
    <row r="33" spans="1:20" s="2" customFormat="1" ht="18.600000000000001" customHeight="1">
      <c r="A33" s="215" t="s">
        <v>39</v>
      </c>
      <c r="B33" s="215"/>
      <c r="C33" s="45"/>
      <c r="D33" s="46"/>
      <c r="E33" s="47"/>
      <c r="F33" s="47"/>
      <c r="G33" s="47"/>
      <c r="H33" s="47"/>
      <c r="I33" s="47"/>
      <c r="J33" s="47"/>
      <c r="K33" s="47"/>
      <c r="L33" s="48"/>
      <c r="M33" s="48"/>
      <c r="N33" s="49"/>
      <c r="O33" s="155"/>
    </row>
    <row r="34" spans="1:20" s="2" customFormat="1" ht="18.600000000000001" customHeight="1">
      <c r="A34" s="37">
        <v>1</v>
      </c>
      <c r="B34" s="38" t="s">
        <v>2</v>
      </c>
      <c r="C34" s="39">
        <f>L34/100*100</f>
        <v>270</v>
      </c>
      <c r="D34" s="40">
        <f>C34/100*60</f>
        <v>162</v>
      </c>
      <c r="E34" s="41">
        <f>C34/100*15</f>
        <v>40.5</v>
      </c>
      <c r="F34" s="41"/>
      <c r="G34" s="41">
        <f>C35/100*6.5</f>
        <v>87.75</v>
      </c>
      <c r="H34" s="41"/>
      <c r="I34" s="41"/>
      <c r="J34" s="41"/>
      <c r="K34" s="41">
        <f>C34/100*0.09</f>
        <v>0.24299999999999999</v>
      </c>
      <c r="L34" s="137">
        <v>270</v>
      </c>
      <c r="M34" s="43">
        <v>20</v>
      </c>
      <c r="N34" s="44">
        <f>L34*M34</f>
        <v>5400</v>
      </c>
      <c r="O34" s="155"/>
    </row>
    <row r="35" spans="1:20" s="2" customFormat="1" ht="18.600000000000001" customHeight="1">
      <c r="A35" s="8">
        <v>2</v>
      </c>
      <c r="B35" s="9" t="s">
        <v>121</v>
      </c>
      <c r="C35" s="12">
        <f>L35/100*100</f>
        <v>1350</v>
      </c>
      <c r="D35" s="65">
        <f>C35/100*899</f>
        <v>12136.5</v>
      </c>
      <c r="E35" s="91"/>
      <c r="F35" s="91"/>
      <c r="G35" s="91">
        <f>C35/100*100</f>
        <v>1350</v>
      </c>
      <c r="H35" s="14"/>
      <c r="I35" s="14"/>
      <c r="J35" s="22"/>
      <c r="K35" s="22"/>
      <c r="L35" s="111">
        <v>1350</v>
      </c>
      <c r="M35" s="20">
        <v>69</v>
      </c>
      <c r="N35" s="16">
        <f t="shared" ref="N35:N40" si="1">L35*M35</f>
        <v>93150</v>
      </c>
      <c r="O35" s="155"/>
    </row>
    <row r="36" spans="1:20" s="2" customFormat="1" ht="18.600000000000001" customHeight="1">
      <c r="A36" s="8">
        <v>3</v>
      </c>
      <c r="B36" s="5" t="s">
        <v>65</v>
      </c>
      <c r="C36" s="12">
        <f>L36/100*100</f>
        <v>2250</v>
      </c>
      <c r="D36" s="13">
        <f>C36/100*344</f>
        <v>7740</v>
      </c>
      <c r="E36" s="14"/>
      <c r="F36" s="14">
        <f>C36/100*8.6</f>
        <v>193.5</v>
      </c>
      <c r="G36" s="14"/>
      <c r="H36" s="14">
        <f>C36/100*1.5</f>
        <v>33.75</v>
      </c>
      <c r="I36" s="14">
        <f>C36/100*74.5</f>
        <v>1676.25</v>
      </c>
      <c r="J36" s="14">
        <f>C36/100*32</f>
        <v>720</v>
      </c>
      <c r="K36" s="14">
        <f>C36/100*0.14</f>
        <v>3.1500000000000004</v>
      </c>
      <c r="L36" s="111">
        <v>2250</v>
      </c>
      <c r="M36" s="20">
        <v>30</v>
      </c>
      <c r="N36" s="16">
        <f t="shared" si="1"/>
        <v>67500</v>
      </c>
      <c r="O36" s="155"/>
      <c r="P36" s="326"/>
    </row>
    <row r="37" spans="1:20" s="2" customFormat="1" ht="18.600000000000001" customHeight="1">
      <c r="A37" s="8">
        <v>4</v>
      </c>
      <c r="B37" s="5" t="s">
        <v>1</v>
      </c>
      <c r="C37" s="12">
        <f>L37/100*100</f>
        <v>3375</v>
      </c>
      <c r="D37" s="65">
        <f>C37/100*344</f>
        <v>11610</v>
      </c>
      <c r="E37" s="14"/>
      <c r="F37" s="14">
        <f>C37/100*7.9</f>
        <v>266.625</v>
      </c>
      <c r="G37" s="14"/>
      <c r="H37" s="14">
        <f>C37/100*1</f>
        <v>33.75</v>
      </c>
      <c r="I37" s="91">
        <f>C37/100*67.3</f>
        <v>2271.375</v>
      </c>
      <c r="J37" s="64">
        <f>C37/100*30</f>
        <v>1012.5</v>
      </c>
      <c r="K37" s="22">
        <f>C37/100*0.1</f>
        <v>3.375</v>
      </c>
      <c r="L37" s="111">
        <v>3375</v>
      </c>
      <c r="M37" s="20">
        <v>18</v>
      </c>
      <c r="N37" s="16">
        <f t="shared" si="1"/>
        <v>60750</v>
      </c>
      <c r="O37" s="155"/>
    </row>
    <row r="38" spans="1:20" s="2" customFormat="1" ht="18.600000000000001" customHeight="1">
      <c r="A38" s="8">
        <v>5</v>
      </c>
      <c r="B38" s="5" t="s">
        <v>117</v>
      </c>
      <c r="C38" s="12">
        <f>L38/100*100</f>
        <v>130</v>
      </c>
      <c r="D38" s="13">
        <f>C38/100*247</f>
        <v>321.10000000000002</v>
      </c>
      <c r="E38" s="17"/>
      <c r="F38" s="17">
        <f>C38/100*17.5</f>
        <v>22.75</v>
      </c>
      <c r="G38" s="17"/>
      <c r="H38" s="17">
        <f>C38/100*1.6</f>
        <v>2.08</v>
      </c>
      <c r="I38" s="17">
        <f>C38/100*39.2</f>
        <v>50.960000000000008</v>
      </c>
      <c r="J38" s="21"/>
      <c r="K38" s="21"/>
      <c r="L38" s="324">
        <v>130</v>
      </c>
      <c r="M38" s="20">
        <v>50</v>
      </c>
      <c r="N38" s="16">
        <f t="shared" si="1"/>
        <v>6500</v>
      </c>
      <c r="O38" s="155"/>
      <c r="Q38" s="3"/>
      <c r="R38" s="3"/>
      <c r="S38" s="4"/>
      <c r="T38" s="3"/>
    </row>
    <row r="39" spans="1:20" s="2" customFormat="1" ht="18.600000000000001" customHeight="1">
      <c r="A39" s="8">
        <v>6</v>
      </c>
      <c r="B39" s="5" t="s">
        <v>3</v>
      </c>
      <c r="C39" s="12">
        <f>L39/100*48</f>
        <v>2169.6000000000004</v>
      </c>
      <c r="D39" s="13">
        <f>C39/100*199</f>
        <v>4317.5040000000008</v>
      </c>
      <c r="E39" s="14">
        <f>C39/100*29</f>
        <v>629.1840000000002</v>
      </c>
      <c r="F39" s="14"/>
      <c r="G39" s="14">
        <f>C39/100*13.1</f>
        <v>284.21760000000006</v>
      </c>
      <c r="H39" s="14"/>
      <c r="I39" s="14"/>
      <c r="J39" s="22">
        <f>C39/100*12</f>
        <v>260.35200000000009</v>
      </c>
      <c r="K39" s="22">
        <f>C39/100*0.15</f>
        <v>3.2544000000000008</v>
      </c>
      <c r="L39" s="111">
        <v>4520</v>
      </c>
      <c r="M39" s="15">
        <v>84</v>
      </c>
      <c r="N39" s="93">
        <f t="shared" si="1"/>
        <v>379680</v>
      </c>
      <c r="O39" s="155"/>
      <c r="Q39" s="3"/>
      <c r="R39" s="3"/>
      <c r="S39" s="4"/>
    </row>
    <row r="40" spans="1:20" s="2" customFormat="1" ht="18.600000000000001" customHeight="1">
      <c r="A40" s="8">
        <v>7</v>
      </c>
      <c r="B40" s="5" t="s">
        <v>5</v>
      </c>
      <c r="C40" s="12">
        <f>L40/100*98.5</f>
        <v>3329.2999999999997</v>
      </c>
      <c r="D40" s="13">
        <f>C40/100*39</f>
        <v>1298.4269999999999</v>
      </c>
      <c r="E40" s="17"/>
      <c r="F40" s="17">
        <f>C40/100*1.5</f>
        <v>49.939499999999995</v>
      </c>
      <c r="G40" s="17"/>
      <c r="H40" s="17">
        <f>C40/100*0.2</f>
        <v>6.6585999999999999</v>
      </c>
      <c r="I40" s="17">
        <f>C40/100*7.8</f>
        <v>259.68540000000002</v>
      </c>
      <c r="J40" s="123">
        <f>C40/100*43</f>
        <v>1431.5989999999999</v>
      </c>
      <c r="K40" s="17">
        <f>C40/100*0.06</f>
        <v>1.9975799999999999</v>
      </c>
      <c r="L40" s="324">
        <v>3380</v>
      </c>
      <c r="M40" s="15">
        <v>17</v>
      </c>
      <c r="N40" s="16">
        <f t="shared" si="1"/>
        <v>57460</v>
      </c>
      <c r="O40" s="155"/>
      <c r="Q40" s="3"/>
      <c r="R40" s="3"/>
      <c r="S40" s="4"/>
    </row>
    <row r="41" spans="1:20" s="2" customFormat="1" ht="18.600000000000001" customHeight="1">
      <c r="A41" s="8">
        <v>8</v>
      </c>
      <c r="B41" s="5" t="s">
        <v>61</v>
      </c>
      <c r="C41" s="12">
        <f>L41/100*100</f>
        <v>229.99999999999997</v>
      </c>
      <c r="D41" s="13">
        <f>C41/100*334</f>
        <v>768.19999999999993</v>
      </c>
      <c r="E41" s="14"/>
      <c r="F41" s="14">
        <f>C41/100*20</f>
        <v>46</v>
      </c>
      <c r="G41" s="14"/>
      <c r="H41" s="14">
        <f>C41/100*2.4</f>
        <v>5.52</v>
      </c>
      <c r="I41" s="14">
        <f>C41/100*58</f>
        <v>133.39999999999998</v>
      </c>
      <c r="J41" s="22">
        <f>C41/100*89</f>
        <v>204.7</v>
      </c>
      <c r="K41" s="22">
        <f>C41/100*0.64</f>
        <v>1.472</v>
      </c>
      <c r="L41" s="111">
        <v>230</v>
      </c>
      <c r="M41" s="102">
        <v>190</v>
      </c>
      <c r="N41" s="16">
        <f>L41*M41</f>
        <v>43700</v>
      </c>
      <c r="O41" s="155"/>
    </row>
    <row r="42" spans="1:20" s="2" customFormat="1" ht="18.600000000000001" customHeight="1">
      <c r="A42" s="8">
        <v>9</v>
      </c>
      <c r="B42" s="139" t="s">
        <v>131</v>
      </c>
      <c r="C42" s="12">
        <f>L42/100*100</f>
        <v>3820.0000000000005</v>
      </c>
      <c r="D42" s="65">
        <f>C42/100*437</f>
        <v>16693.400000000001</v>
      </c>
      <c r="E42" s="17"/>
      <c r="F42" s="17">
        <f>C42/100*19.5</f>
        <v>744.90000000000009</v>
      </c>
      <c r="G42" s="17"/>
      <c r="H42" s="17">
        <f>C42/100*23.2</f>
        <v>886.24</v>
      </c>
      <c r="I42" s="17">
        <f>C42/100*46</f>
        <v>1757.2</v>
      </c>
      <c r="J42" s="91">
        <f>C42/100*680</f>
        <v>25976.000000000004</v>
      </c>
      <c r="K42" s="14">
        <f>C42/100*0.55</f>
        <v>21.01</v>
      </c>
      <c r="L42" s="323">
        <v>3820</v>
      </c>
      <c r="M42" s="102">
        <v>260</v>
      </c>
      <c r="N42" s="93">
        <f t="shared" ref="N42" si="2">L42*M42</f>
        <v>993200</v>
      </c>
      <c r="O42" s="155"/>
      <c r="P42" s="3"/>
    </row>
    <row r="43" spans="1:20" s="2" customFormat="1" ht="18.600000000000001" customHeight="1">
      <c r="A43" s="77">
        <v>10</v>
      </c>
      <c r="B43" s="78" t="s">
        <v>111</v>
      </c>
      <c r="C43" s="79"/>
      <c r="D43" s="353"/>
      <c r="E43" s="105"/>
      <c r="F43" s="81"/>
      <c r="G43" s="81"/>
      <c r="H43" s="81"/>
      <c r="I43" s="81"/>
      <c r="J43" s="81"/>
      <c r="K43" s="81"/>
      <c r="L43" s="82"/>
      <c r="M43" s="82"/>
      <c r="N43" s="83">
        <v>14680</v>
      </c>
      <c r="O43" s="155"/>
    </row>
    <row r="44" spans="1:20" ht="20.399999999999999" customHeight="1">
      <c r="A44" s="172" t="s">
        <v>0</v>
      </c>
      <c r="B44" s="175" t="s">
        <v>19</v>
      </c>
      <c r="C44" s="178" t="s">
        <v>8</v>
      </c>
      <c r="D44" s="178" t="s">
        <v>9</v>
      </c>
      <c r="E44" s="181" t="s">
        <v>11</v>
      </c>
      <c r="F44" s="182"/>
      <c r="G44" s="181" t="s">
        <v>13</v>
      </c>
      <c r="H44" s="182"/>
      <c r="I44" s="200" t="s">
        <v>16</v>
      </c>
      <c r="J44" s="200" t="s">
        <v>32</v>
      </c>
      <c r="K44" s="200" t="s">
        <v>33</v>
      </c>
      <c r="L44" s="200" t="s">
        <v>17</v>
      </c>
      <c r="M44" s="200" t="s">
        <v>34</v>
      </c>
      <c r="N44" s="172" t="s">
        <v>18</v>
      </c>
      <c r="O44" s="154"/>
    </row>
    <row r="45" spans="1:20" ht="20.399999999999999" customHeight="1">
      <c r="A45" s="173"/>
      <c r="B45" s="176"/>
      <c r="C45" s="179"/>
      <c r="D45" s="179"/>
      <c r="E45" s="183"/>
      <c r="F45" s="184"/>
      <c r="G45" s="183"/>
      <c r="H45" s="184"/>
      <c r="I45" s="208"/>
      <c r="J45" s="208"/>
      <c r="K45" s="208"/>
      <c r="L45" s="208"/>
      <c r="M45" s="208"/>
      <c r="N45" s="173"/>
      <c r="O45" s="163"/>
    </row>
    <row r="46" spans="1:20" ht="20.399999999999999" customHeight="1">
      <c r="A46" s="173"/>
      <c r="B46" s="176"/>
      <c r="C46" s="179"/>
      <c r="D46" s="179"/>
      <c r="E46" s="200" t="s">
        <v>10</v>
      </c>
      <c r="F46" s="200" t="s">
        <v>12</v>
      </c>
      <c r="G46" s="200" t="s">
        <v>14</v>
      </c>
      <c r="H46" s="200" t="s">
        <v>15</v>
      </c>
      <c r="I46" s="208"/>
      <c r="J46" s="208"/>
      <c r="K46" s="208"/>
      <c r="L46" s="208"/>
      <c r="M46" s="208"/>
      <c r="N46" s="173"/>
      <c r="O46" s="163"/>
    </row>
    <row r="47" spans="1:20" ht="20.399999999999999" customHeight="1">
      <c r="A47" s="174"/>
      <c r="B47" s="177"/>
      <c r="C47" s="180"/>
      <c r="D47" s="180"/>
      <c r="E47" s="201"/>
      <c r="F47" s="201"/>
      <c r="G47" s="201"/>
      <c r="H47" s="201"/>
      <c r="I47" s="201"/>
      <c r="J47" s="201"/>
      <c r="K47" s="201"/>
      <c r="L47" s="201"/>
      <c r="M47" s="201"/>
      <c r="N47" s="174"/>
      <c r="O47" s="163"/>
    </row>
    <row r="48" spans="1:20" s="2" customFormat="1" ht="20.399999999999999" customHeight="1">
      <c r="A48" s="216" t="s">
        <v>98</v>
      </c>
      <c r="B48" s="216"/>
      <c r="C48" s="25"/>
      <c r="D48" s="94">
        <f>SUM(D34:D43)</f>
        <v>55047.131000000001</v>
      </c>
      <c r="E48" s="31"/>
      <c r="F48" s="31"/>
      <c r="G48" s="31"/>
      <c r="H48" s="31"/>
      <c r="I48" s="31"/>
      <c r="J48" s="31"/>
      <c r="K48" s="31"/>
      <c r="L48" s="32"/>
      <c r="M48" s="32"/>
      <c r="N48" s="209">
        <f>SUM(N34:N43)</f>
        <v>1722020</v>
      </c>
      <c r="O48" s="155"/>
    </row>
    <row r="49" spans="1:23" ht="20.399999999999999" customHeight="1">
      <c r="A49" s="216" t="s">
        <v>7</v>
      </c>
      <c r="B49" s="216"/>
      <c r="C49" s="33"/>
      <c r="D49" s="34">
        <f>D48/D8</f>
        <v>244.65391555555556</v>
      </c>
      <c r="E49" s="34"/>
      <c r="F49" s="34"/>
      <c r="G49" s="34"/>
      <c r="H49" s="34"/>
      <c r="I49" s="34"/>
      <c r="J49" s="34"/>
      <c r="K49" s="34"/>
      <c r="L49" s="35"/>
      <c r="M49" s="35"/>
      <c r="N49" s="210"/>
      <c r="O49" s="4"/>
      <c r="P49" s="2"/>
      <c r="Q49" s="2"/>
      <c r="R49" s="2"/>
      <c r="S49" s="2"/>
      <c r="T49" s="2"/>
      <c r="U49" s="2"/>
      <c r="V49" s="2"/>
      <c r="W49" s="2"/>
    </row>
    <row r="50" spans="1:23" ht="20.399999999999999" customHeight="1">
      <c r="A50" s="211" t="s">
        <v>40</v>
      </c>
      <c r="B50" s="212"/>
      <c r="C50" s="325" t="s">
        <v>133</v>
      </c>
      <c r="D50" s="29" t="s">
        <v>41</v>
      </c>
      <c r="E50" s="34"/>
      <c r="F50" s="34"/>
      <c r="G50" s="34"/>
      <c r="H50" s="34"/>
      <c r="I50" s="34"/>
      <c r="J50" s="36"/>
      <c r="K50" s="36"/>
      <c r="L50" s="35"/>
      <c r="M50" s="35"/>
      <c r="N50" s="168"/>
      <c r="O50" s="4"/>
      <c r="P50" s="2"/>
      <c r="Q50" s="2"/>
      <c r="R50" s="2"/>
      <c r="S50" s="2"/>
      <c r="T50" s="2"/>
      <c r="U50" s="2"/>
      <c r="V50" s="2"/>
      <c r="W50" s="2"/>
    </row>
    <row r="51" spans="1:23" ht="20.399999999999999" customHeight="1">
      <c r="A51" s="213"/>
      <c r="B51" s="214"/>
      <c r="C51" s="62" t="s">
        <v>58</v>
      </c>
      <c r="D51" s="29">
        <f>D49*100/1320</f>
        <v>18.53438754208754</v>
      </c>
      <c r="E51" s="34"/>
      <c r="F51" s="34"/>
      <c r="G51" s="34"/>
      <c r="H51" s="34"/>
      <c r="I51" s="34"/>
      <c r="J51" s="36"/>
      <c r="K51" s="36"/>
      <c r="L51" s="35"/>
      <c r="M51" s="35"/>
      <c r="N51" s="168"/>
      <c r="O51" s="4"/>
      <c r="P51" s="2"/>
      <c r="Q51" s="2"/>
      <c r="R51" s="2"/>
      <c r="S51" s="2"/>
      <c r="T51" s="2"/>
      <c r="U51" s="2"/>
      <c r="V51" s="2"/>
      <c r="W51" s="2"/>
    </row>
    <row r="52" spans="1:23" ht="20.399999999999999" customHeight="1">
      <c r="A52" s="217" t="s">
        <v>99</v>
      </c>
      <c r="B52" s="218"/>
      <c r="C52" s="221"/>
      <c r="D52" s="223">
        <f>D29+D48</f>
        <v>156834.18</v>
      </c>
      <c r="E52" s="95">
        <f t="shared" ref="E52:K52" si="3">SUM(E14:E43)</f>
        <v>3266.0388000000003</v>
      </c>
      <c r="F52" s="95">
        <f t="shared" si="3"/>
        <v>3230.759</v>
      </c>
      <c r="G52" s="95">
        <f t="shared" si="3"/>
        <v>3398.4655999999995</v>
      </c>
      <c r="H52" s="95">
        <f t="shared" si="3"/>
        <v>1437.9096</v>
      </c>
      <c r="I52" s="225">
        <f t="shared" si="3"/>
        <v>21149.928400000001</v>
      </c>
      <c r="J52" s="227">
        <f t="shared" si="3"/>
        <v>61376.649000000005</v>
      </c>
      <c r="K52" s="229">
        <f t="shared" si="3"/>
        <v>73.27488000000001</v>
      </c>
      <c r="L52" s="231"/>
      <c r="M52" s="231"/>
      <c r="N52" s="232">
        <f>N29+N48</f>
        <v>4949720</v>
      </c>
      <c r="P52" s="2"/>
      <c r="Q52" s="2"/>
      <c r="R52" s="2"/>
      <c r="S52" s="2"/>
      <c r="T52" s="2"/>
      <c r="U52" s="2"/>
      <c r="V52" s="2"/>
    </row>
    <row r="53" spans="1:23" ht="20.399999999999999" customHeight="1">
      <c r="A53" s="219"/>
      <c r="B53" s="220"/>
      <c r="C53" s="222"/>
      <c r="D53" s="224"/>
      <c r="E53" s="233">
        <f>E52+F52</f>
        <v>6496.7978000000003</v>
      </c>
      <c r="F53" s="234"/>
      <c r="G53" s="233">
        <f>G52+H52</f>
        <v>4836.3751999999995</v>
      </c>
      <c r="H53" s="234"/>
      <c r="I53" s="226"/>
      <c r="J53" s="228"/>
      <c r="K53" s="230"/>
      <c r="L53" s="231"/>
      <c r="M53" s="231"/>
      <c r="N53" s="232"/>
      <c r="U53" s="11"/>
      <c r="V53" s="11"/>
    </row>
    <row r="54" spans="1:23" ht="20.399999999999999" customHeight="1">
      <c r="A54" s="235" t="s">
        <v>75</v>
      </c>
      <c r="B54" s="236"/>
      <c r="C54" s="237"/>
      <c r="D54" s="101">
        <f>D52/D8</f>
        <v>697.04079999999999</v>
      </c>
      <c r="E54" s="108">
        <f>E52/D8</f>
        <v>14.515728000000001</v>
      </c>
      <c r="F54" s="107">
        <f>F52/D8</f>
        <v>14.358928888888888</v>
      </c>
      <c r="G54" s="108">
        <f>G52/D8</f>
        <v>15.104291555555553</v>
      </c>
      <c r="H54" s="107">
        <f>H52/D8</f>
        <v>6.3907093333333336</v>
      </c>
      <c r="I54" s="241">
        <f>I52/D8</f>
        <v>93.999681777777781</v>
      </c>
      <c r="J54" s="241">
        <f>J52/D8</f>
        <v>272.78510666666671</v>
      </c>
      <c r="K54" s="243">
        <f>K52/D8</f>
        <v>0.32566613333333339</v>
      </c>
      <c r="L54" s="231"/>
      <c r="M54" s="231"/>
      <c r="N54" s="232"/>
      <c r="U54" s="11"/>
      <c r="V54" s="11"/>
    </row>
    <row r="55" spans="1:23" ht="20.399999999999999" customHeight="1">
      <c r="A55" s="238"/>
      <c r="B55" s="239"/>
      <c r="C55" s="240"/>
      <c r="D55" s="98"/>
      <c r="E55" s="304">
        <f>E54+F54</f>
        <v>28.874656888888889</v>
      </c>
      <c r="F55" s="303"/>
      <c r="G55" s="304">
        <f>G54+H54</f>
        <v>21.495000888888889</v>
      </c>
      <c r="H55" s="303"/>
      <c r="I55" s="242"/>
      <c r="J55" s="242"/>
      <c r="K55" s="244"/>
      <c r="L55" s="231"/>
      <c r="M55" s="231"/>
      <c r="N55" s="232"/>
      <c r="P55" s="337"/>
      <c r="Q55" s="338"/>
      <c r="R55" s="338"/>
      <c r="S55" s="338"/>
      <c r="T55" s="338"/>
      <c r="U55" s="339"/>
      <c r="V55" s="339"/>
    </row>
    <row r="56" spans="1:23" ht="20.399999999999999" customHeight="1">
      <c r="A56" s="327" t="s">
        <v>76</v>
      </c>
      <c r="B56" s="328"/>
      <c r="C56" s="329"/>
      <c r="D56" s="330" t="s">
        <v>27</v>
      </c>
      <c r="E56" s="186" t="s">
        <v>21</v>
      </c>
      <c r="F56" s="186"/>
      <c r="G56" s="186" t="s">
        <v>22</v>
      </c>
      <c r="H56" s="186"/>
      <c r="I56" s="167" t="s">
        <v>23</v>
      </c>
      <c r="J56" s="351">
        <v>600</v>
      </c>
      <c r="K56" s="351">
        <v>0.74</v>
      </c>
      <c r="L56" s="231"/>
      <c r="M56" s="231"/>
      <c r="N56" s="232"/>
      <c r="O56" s="158"/>
      <c r="P56" s="340"/>
      <c r="Q56" s="338"/>
      <c r="R56" s="338"/>
      <c r="S56" s="338"/>
      <c r="T56" s="338"/>
      <c r="U56" s="338"/>
      <c r="V56" s="338"/>
    </row>
    <row r="57" spans="1:23" ht="20.399999999999999" customHeight="1">
      <c r="A57" s="248" t="s">
        <v>69</v>
      </c>
      <c r="B57" s="249"/>
      <c r="C57" s="250"/>
      <c r="D57" s="19"/>
      <c r="E57" s="251">
        <f>E55*4.1</f>
        <v>118.38609324444444</v>
      </c>
      <c r="F57" s="252"/>
      <c r="G57" s="251">
        <f>G55*9</f>
        <v>193.45500799999999</v>
      </c>
      <c r="H57" s="252"/>
      <c r="I57" s="68">
        <f>I54*4.1</f>
        <v>385.39869528888886</v>
      </c>
      <c r="J57" s="253"/>
      <c r="K57" s="253"/>
      <c r="L57" s="231"/>
      <c r="M57" s="231"/>
      <c r="N57" s="232"/>
      <c r="O57" s="158"/>
      <c r="P57" s="341"/>
      <c r="Q57" s="342"/>
      <c r="R57" s="342"/>
      <c r="S57" s="342"/>
      <c r="T57" s="337"/>
      <c r="U57" s="337"/>
      <c r="V57" s="337"/>
    </row>
    <row r="58" spans="1:23" ht="20.399999999999999" customHeight="1">
      <c r="A58" s="256" t="s">
        <v>70</v>
      </c>
      <c r="B58" s="257"/>
      <c r="C58" s="248" t="s">
        <v>58</v>
      </c>
      <c r="D58" s="250"/>
      <c r="E58" s="260">
        <f>E57*100/D54</f>
        <v>16.984098096473613</v>
      </c>
      <c r="F58" s="261"/>
      <c r="G58" s="260">
        <f>G57*100/D54</f>
        <v>27.753756738486469</v>
      </c>
      <c r="H58" s="261"/>
      <c r="I58" s="86">
        <f>I57*100/D54</f>
        <v>55.290693929091219</v>
      </c>
      <c r="J58" s="254"/>
      <c r="K58" s="254"/>
      <c r="L58" s="231"/>
      <c r="M58" s="231"/>
      <c r="N58" s="232"/>
      <c r="O58" s="158"/>
      <c r="P58" s="337"/>
      <c r="Q58" s="343"/>
      <c r="R58" s="337"/>
      <c r="S58" s="337"/>
      <c r="T58" s="337"/>
      <c r="U58" s="337"/>
      <c r="V58" s="337"/>
    </row>
    <row r="59" spans="1:23" ht="20.399999999999999" customHeight="1">
      <c r="A59" s="258"/>
      <c r="B59" s="259"/>
      <c r="C59" s="248" t="s">
        <v>71</v>
      </c>
      <c r="D59" s="250"/>
      <c r="E59" s="248" t="s">
        <v>72</v>
      </c>
      <c r="F59" s="250"/>
      <c r="G59" s="248" t="s">
        <v>73</v>
      </c>
      <c r="H59" s="250"/>
      <c r="I59" s="330" t="s">
        <v>74</v>
      </c>
      <c r="J59" s="255"/>
      <c r="K59" s="255"/>
      <c r="L59" s="231"/>
      <c r="M59" s="231"/>
      <c r="N59" s="232"/>
      <c r="O59" s="158"/>
      <c r="P59" s="84"/>
    </row>
    <row r="60" spans="1:23" ht="20.399999999999999" customHeight="1">
      <c r="A60" s="70"/>
      <c r="B60" s="71"/>
      <c r="C60" s="70"/>
      <c r="D60" s="70"/>
      <c r="E60" s="70"/>
      <c r="F60" s="70"/>
      <c r="G60" s="70"/>
      <c r="H60" s="70"/>
      <c r="I60" s="70"/>
      <c r="J60" s="70"/>
      <c r="K60" s="70"/>
      <c r="L60" s="72"/>
      <c r="M60" s="72"/>
      <c r="N60" s="73"/>
      <c r="O60" s="158"/>
      <c r="Q60" s="84"/>
    </row>
    <row r="61" spans="1:23" ht="20.399999999999999" customHeight="1">
      <c r="A61" s="245" t="s">
        <v>100</v>
      </c>
      <c r="B61" s="245"/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158"/>
    </row>
    <row r="62" spans="1:23" ht="20.399999999999999" customHeight="1">
      <c r="A62" s="87" t="s">
        <v>101</v>
      </c>
      <c r="B62" s="246" t="s">
        <v>102</v>
      </c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158"/>
    </row>
    <row r="63" spans="1:23" ht="20.399999999999999" customHeight="1">
      <c r="A63" s="88"/>
      <c r="B63" s="247" t="s">
        <v>177</v>
      </c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158"/>
    </row>
    <row r="64" spans="1:23" ht="20.399999999999999" customHeight="1">
      <c r="A64" s="88"/>
      <c r="B64" s="247" t="s">
        <v>178</v>
      </c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158"/>
    </row>
    <row r="65" spans="1:15" ht="20.399999999999999" customHeight="1">
      <c r="A65" s="88"/>
      <c r="B65" s="247" t="s">
        <v>134</v>
      </c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158"/>
    </row>
    <row r="66" spans="1:15" ht="20.399999999999999" customHeight="1">
      <c r="A66" s="70"/>
      <c r="B66" s="262" t="s">
        <v>109</v>
      </c>
      <c r="C66" s="262"/>
      <c r="D66" s="262"/>
      <c r="E66" s="262"/>
      <c r="F66" s="262"/>
      <c r="G66" s="262"/>
      <c r="H66" s="262"/>
      <c r="I66" s="262"/>
      <c r="J66" s="262"/>
      <c r="K66" s="262"/>
      <c r="L66" s="262"/>
      <c r="M66" s="262"/>
      <c r="N66" s="262"/>
      <c r="O66" s="158"/>
    </row>
    <row r="67" spans="1:15" ht="20.399999999999999" customHeight="1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89"/>
      <c r="M67" s="89"/>
      <c r="N67" s="90"/>
      <c r="O67" s="158"/>
    </row>
    <row r="68" spans="1:15" ht="20.399999999999999" customHeight="1">
      <c r="A68" s="263" t="s">
        <v>60</v>
      </c>
      <c r="B68" s="263"/>
      <c r="C68" s="263"/>
      <c r="D68" s="263"/>
      <c r="E68" s="332"/>
      <c r="F68" s="332"/>
      <c r="G68" s="332"/>
      <c r="H68" s="332"/>
      <c r="I68" s="332"/>
      <c r="J68" s="333" t="s">
        <v>36</v>
      </c>
      <c r="K68" s="333"/>
      <c r="L68" s="333"/>
      <c r="M68" s="333"/>
      <c r="N68" s="333"/>
      <c r="O68" s="158"/>
    </row>
    <row r="69" spans="1:15" ht="20.399999999999999" customHeight="1">
      <c r="A69" s="163"/>
      <c r="B69" s="163"/>
      <c r="C69" s="163"/>
      <c r="D69" s="332"/>
      <c r="E69" s="332"/>
      <c r="F69" s="332"/>
      <c r="G69" s="332"/>
      <c r="H69" s="334"/>
      <c r="I69" s="334"/>
      <c r="J69" s="334"/>
      <c r="K69" s="334"/>
      <c r="L69" s="334"/>
      <c r="M69" s="334"/>
      <c r="N69" s="334"/>
      <c r="O69" s="158"/>
    </row>
    <row r="70" spans="1:15" ht="20.399999999999999" customHeight="1">
      <c r="A70" s="163"/>
      <c r="B70" s="163"/>
      <c r="C70" s="163"/>
      <c r="D70" s="332"/>
      <c r="E70" s="332"/>
      <c r="F70" s="332"/>
      <c r="G70" s="332"/>
      <c r="H70" s="334"/>
      <c r="I70" s="334"/>
      <c r="J70" s="334"/>
      <c r="K70" s="334"/>
      <c r="L70" s="334"/>
      <c r="M70" s="334"/>
      <c r="N70" s="334"/>
      <c r="O70" s="158"/>
    </row>
    <row r="71" spans="1:15" ht="20.399999999999999" customHeight="1">
      <c r="A71" s="163"/>
      <c r="B71" s="163"/>
      <c r="C71" s="163"/>
      <c r="D71" s="332"/>
      <c r="E71" s="332"/>
      <c r="F71" s="332"/>
      <c r="G71" s="332"/>
      <c r="H71" s="334"/>
      <c r="I71" s="334"/>
      <c r="J71" s="335" t="s">
        <v>103</v>
      </c>
      <c r="K71" s="335"/>
      <c r="L71" s="335"/>
      <c r="M71" s="335"/>
      <c r="N71" s="335"/>
      <c r="O71" s="158"/>
    </row>
    <row r="72" spans="1:15" ht="20.399999999999999" customHeight="1">
      <c r="A72" s="264" t="s">
        <v>84</v>
      </c>
      <c r="B72" s="264"/>
      <c r="C72" s="264"/>
      <c r="D72" s="264"/>
      <c r="E72" s="332"/>
      <c r="F72" s="332"/>
      <c r="G72" s="332"/>
      <c r="H72" s="334"/>
      <c r="I72" s="334"/>
      <c r="O72" s="158"/>
    </row>
    <row r="73" spans="1:15" ht="20.399999999999999" customHeight="1">
      <c r="A73" s="163"/>
      <c r="B73" s="163"/>
      <c r="C73" s="163"/>
      <c r="D73" s="332"/>
      <c r="E73" s="332"/>
      <c r="F73" s="332"/>
      <c r="G73" s="332"/>
      <c r="H73" s="334"/>
      <c r="I73" s="334"/>
      <c r="J73" s="334"/>
      <c r="K73" s="334"/>
      <c r="L73" s="334"/>
      <c r="M73" s="334"/>
      <c r="N73" s="334"/>
      <c r="O73" s="158"/>
    </row>
    <row r="74" spans="1:15" ht="20.399999999999999" customHeight="1">
      <c r="A74" s="163"/>
      <c r="B74" s="163"/>
      <c r="C74" s="163"/>
      <c r="D74" s="332"/>
      <c r="E74" s="332"/>
      <c r="F74" s="332"/>
      <c r="G74" s="332"/>
      <c r="H74" s="334"/>
      <c r="I74" s="334"/>
      <c r="J74" s="335" t="s">
        <v>114</v>
      </c>
      <c r="K74" s="335"/>
      <c r="L74" s="335"/>
      <c r="M74" s="335"/>
      <c r="N74" s="335"/>
      <c r="O74" s="158"/>
    </row>
    <row r="75" spans="1:15" ht="20.399999999999999" customHeight="1">
      <c r="A75" s="163"/>
      <c r="B75" s="163"/>
      <c r="C75" s="163"/>
      <c r="D75" s="332"/>
      <c r="E75" s="332"/>
      <c r="F75" s="332"/>
      <c r="G75" s="332"/>
      <c r="H75" s="334"/>
      <c r="I75" s="334"/>
      <c r="J75" s="334"/>
      <c r="K75" s="334"/>
      <c r="L75" s="334"/>
      <c r="M75" s="334"/>
      <c r="N75" s="334"/>
      <c r="O75" s="158"/>
    </row>
    <row r="76" spans="1:15" ht="20.399999999999999" customHeight="1">
      <c r="A76" s="163"/>
      <c r="B76" s="163"/>
      <c r="C76" s="163"/>
      <c r="D76" s="332"/>
      <c r="E76" s="332"/>
      <c r="F76" s="332"/>
      <c r="G76" s="332"/>
      <c r="H76" s="334"/>
      <c r="I76" s="334"/>
      <c r="J76" s="334"/>
      <c r="K76" s="334"/>
      <c r="L76" s="334"/>
      <c r="M76" s="334"/>
      <c r="N76" s="334"/>
      <c r="O76" s="158"/>
    </row>
    <row r="77" spans="1:15" ht="20.399999999999999" customHeight="1">
      <c r="A77" s="163"/>
      <c r="B77" s="163"/>
      <c r="C77" s="163"/>
      <c r="D77" s="332"/>
      <c r="E77" s="332"/>
      <c r="F77" s="332"/>
      <c r="G77" s="332"/>
      <c r="H77" s="334"/>
      <c r="I77" s="334"/>
      <c r="J77" s="334"/>
      <c r="K77" s="334"/>
      <c r="L77" s="334"/>
      <c r="M77" s="334"/>
      <c r="N77" s="334"/>
      <c r="O77" s="158"/>
    </row>
    <row r="78" spans="1:15" ht="20.399999999999999" customHeight="1">
      <c r="A78" s="163"/>
      <c r="B78" s="163"/>
      <c r="C78" s="163"/>
      <c r="D78" s="332"/>
      <c r="E78" s="332"/>
      <c r="F78" s="332"/>
      <c r="G78" s="332"/>
      <c r="H78" s="334"/>
      <c r="I78" s="334"/>
      <c r="J78" s="334"/>
      <c r="K78" s="334"/>
      <c r="L78" s="334"/>
      <c r="M78" s="334"/>
      <c r="N78" s="334"/>
      <c r="O78" s="158"/>
    </row>
    <row r="79" spans="1:15" ht="20.399999999999999" customHeight="1">
      <c r="A79" s="163"/>
      <c r="B79" s="163"/>
      <c r="C79" s="163"/>
      <c r="D79" s="332"/>
      <c r="E79" s="332"/>
      <c r="F79" s="332"/>
      <c r="G79" s="332"/>
      <c r="H79" s="334"/>
      <c r="I79" s="334"/>
      <c r="J79" s="334"/>
      <c r="K79" s="334"/>
      <c r="L79" s="334"/>
      <c r="M79" s="334"/>
      <c r="N79" s="334"/>
      <c r="O79" s="158"/>
    </row>
    <row r="80" spans="1:15" ht="20.399999999999999" customHeight="1">
      <c r="A80" s="163"/>
      <c r="B80" s="163"/>
      <c r="C80" s="163"/>
      <c r="D80" s="332"/>
      <c r="E80" s="332"/>
      <c r="F80" s="332"/>
      <c r="G80" s="332"/>
      <c r="H80" s="334"/>
      <c r="I80" s="334"/>
      <c r="J80" s="334"/>
      <c r="K80" s="334"/>
      <c r="L80" s="334"/>
      <c r="M80" s="334"/>
      <c r="N80" s="334"/>
      <c r="O80" s="158"/>
    </row>
    <row r="81" spans="1:20" ht="20.399999999999999" customHeight="1">
      <c r="A81" s="163"/>
      <c r="B81" s="163"/>
      <c r="C81" s="163"/>
      <c r="D81" s="332"/>
      <c r="E81" s="332"/>
      <c r="F81" s="332"/>
      <c r="G81" s="332"/>
      <c r="H81" s="334"/>
      <c r="I81" s="334"/>
      <c r="J81" s="334"/>
      <c r="K81" s="334"/>
      <c r="L81" s="334"/>
      <c r="M81" s="334"/>
      <c r="N81" s="334"/>
      <c r="O81" s="158"/>
    </row>
    <row r="82" spans="1:20" ht="20.399999999999999" customHeight="1">
      <c r="A82" s="163"/>
      <c r="B82" s="163"/>
      <c r="C82" s="163"/>
      <c r="D82" s="332"/>
      <c r="E82" s="332"/>
      <c r="F82" s="332"/>
      <c r="G82" s="332"/>
      <c r="H82" s="334"/>
      <c r="I82" s="334"/>
      <c r="J82" s="334"/>
      <c r="K82" s="334"/>
      <c r="L82" s="334"/>
      <c r="M82" s="334"/>
      <c r="N82" s="334"/>
      <c r="O82" s="158"/>
    </row>
    <row r="83" spans="1:20" ht="20.399999999999999" customHeight="1">
      <c r="A83" s="163"/>
      <c r="B83" s="163"/>
      <c r="C83" s="163"/>
      <c r="D83" s="332"/>
      <c r="E83" s="332"/>
      <c r="F83" s="332"/>
      <c r="G83" s="332"/>
      <c r="H83" s="334"/>
      <c r="I83" s="334"/>
      <c r="J83" s="334"/>
      <c r="K83" s="334"/>
      <c r="L83" s="334"/>
      <c r="M83" s="334"/>
      <c r="N83" s="334"/>
      <c r="O83" s="158"/>
    </row>
    <row r="84" spans="1:20" ht="20.399999999999999" customHeight="1">
      <c r="A84" s="10" t="s">
        <v>59</v>
      </c>
      <c r="B84" s="7"/>
      <c r="C84" s="7"/>
      <c r="D84" s="7"/>
      <c r="E84" s="7"/>
      <c r="F84" s="185" t="s">
        <v>31</v>
      </c>
      <c r="G84" s="185"/>
      <c r="H84" s="185"/>
      <c r="I84" s="185"/>
      <c r="J84" s="185"/>
      <c r="K84" s="185"/>
      <c r="L84" s="185"/>
      <c r="M84" s="185"/>
      <c r="N84" s="185"/>
      <c r="O84" s="152"/>
      <c r="P84" s="152"/>
      <c r="T84" s="2"/>
    </row>
    <row r="85" spans="1:20" ht="20.399999999999999" customHeight="1">
      <c r="A85" s="7" t="s">
        <v>176</v>
      </c>
      <c r="B85" s="7"/>
      <c r="C85" s="7"/>
      <c r="D85" s="7"/>
      <c r="E85" s="7"/>
      <c r="F85" s="166"/>
      <c r="G85" s="166"/>
      <c r="H85" s="166"/>
      <c r="I85" s="166"/>
      <c r="J85" s="166"/>
      <c r="K85" s="166"/>
      <c r="L85" s="166"/>
      <c r="M85" s="166"/>
      <c r="N85" s="166"/>
      <c r="O85" s="152"/>
      <c r="P85" s="152"/>
      <c r="T85" s="2"/>
    </row>
    <row r="86" spans="1:20" s="2" customFormat="1" ht="18" customHeight="1">
      <c r="A86" s="186" t="s">
        <v>95</v>
      </c>
      <c r="B86" s="186"/>
      <c r="C86" s="186"/>
      <c r="D86" s="186"/>
      <c r="E86" s="186" t="s">
        <v>82</v>
      </c>
      <c r="F86" s="186"/>
      <c r="G86" s="186"/>
      <c r="H86" s="186"/>
      <c r="I86" s="186"/>
      <c r="J86" s="186"/>
      <c r="K86" s="186"/>
      <c r="L86" s="186"/>
      <c r="M86" s="186"/>
      <c r="N86" s="186"/>
      <c r="O86" s="153"/>
    </row>
    <row r="87" spans="1:20" s="2" customFormat="1" ht="18" customHeight="1">
      <c r="A87" s="186"/>
      <c r="B87" s="186"/>
      <c r="C87" s="186"/>
      <c r="D87" s="186"/>
      <c r="E87" s="186" t="s">
        <v>94</v>
      </c>
      <c r="F87" s="186"/>
      <c r="G87" s="186"/>
      <c r="H87" s="186"/>
      <c r="I87" s="186"/>
      <c r="J87" s="186" t="s">
        <v>96</v>
      </c>
      <c r="K87" s="186"/>
      <c r="L87" s="186"/>
      <c r="M87" s="186"/>
      <c r="N87" s="186"/>
      <c r="O87" s="153"/>
    </row>
    <row r="88" spans="1:20" s="2" customFormat="1" ht="18" customHeight="1">
      <c r="A88" s="187" t="s">
        <v>83</v>
      </c>
      <c r="B88" s="187"/>
      <c r="C88" s="187"/>
      <c r="D88" s="187"/>
      <c r="E88" s="188" t="s">
        <v>132</v>
      </c>
      <c r="F88" s="188"/>
      <c r="G88" s="188"/>
      <c r="H88" s="188"/>
      <c r="I88" s="188"/>
      <c r="J88" s="265" t="s">
        <v>83</v>
      </c>
      <c r="K88" s="266"/>
      <c r="L88" s="266"/>
      <c r="M88" s="266"/>
      <c r="N88" s="267"/>
      <c r="O88" s="153"/>
    </row>
    <row r="89" spans="1:20" s="2" customFormat="1" ht="18" customHeight="1">
      <c r="A89" s="198" t="s">
        <v>147</v>
      </c>
      <c r="B89" s="198"/>
      <c r="C89" s="198"/>
      <c r="D89" s="198"/>
      <c r="E89" s="188"/>
      <c r="F89" s="188"/>
      <c r="G89" s="188"/>
      <c r="H89" s="188"/>
      <c r="I89" s="188"/>
      <c r="J89" s="202" t="s">
        <v>85</v>
      </c>
      <c r="K89" s="203"/>
      <c r="L89" s="203"/>
      <c r="M89" s="203"/>
      <c r="N89" s="204"/>
      <c r="O89" s="153"/>
    </row>
    <row r="90" spans="1:20" s="2" customFormat="1" ht="18" customHeight="1">
      <c r="A90" s="199" t="s">
        <v>154</v>
      </c>
      <c r="B90" s="199"/>
      <c r="C90" s="199"/>
      <c r="D90" s="199"/>
      <c r="E90" s="188"/>
      <c r="F90" s="188"/>
      <c r="G90" s="188"/>
      <c r="H90" s="188"/>
      <c r="I90" s="188"/>
      <c r="J90" s="268" t="s">
        <v>86</v>
      </c>
      <c r="K90" s="269"/>
      <c r="L90" s="269"/>
      <c r="M90" s="269"/>
      <c r="N90" s="270"/>
      <c r="O90" s="153"/>
    </row>
    <row r="91" spans="1:20" ht="18" customHeight="1">
      <c r="A91" s="169" t="s">
        <v>112</v>
      </c>
      <c r="B91" s="170"/>
      <c r="C91" s="171"/>
      <c r="D91" s="99">
        <v>60</v>
      </c>
      <c r="E91" s="7"/>
      <c r="F91" s="166"/>
      <c r="G91" s="166"/>
      <c r="H91" s="166"/>
      <c r="I91" s="166"/>
      <c r="J91" s="166"/>
      <c r="K91" s="166"/>
      <c r="L91" s="166"/>
      <c r="M91" s="166"/>
      <c r="N91" s="166"/>
      <c r="O91" s="152"/>
      <c r="P91" s="152"/>
      <c r="T91" s="2"/>
    </row>
    <row r="92" spans="1:20" ht="18" customHeight="1">
      <c r="A92" s="172" t="s">
        <v>0</v>
      </c>
      <c r="B92" s="175" t="s">
        <v>19</v>
      </c>
      <c r="C92" s="178" t="s">
        <v>8</v>
      </c>
      <c r="D92" s="178" t="s">
        <v>9</v>
      </c>
      <c r="E92" s="181" t="s">
        <v>11</v>
      </c>
      <c r="F92" s="182"/>
      <c r="G92" s="181" t="s">
        <v>13</v>
      </c>
      <c r="H92" s="182"/>
      <c r="I92" s="200" t="s">
        <v>16</v>
      </c>
      <c r="J92" s="200" t="s">
        <v>32</v>
      </c>
      <c r="K92" s="200" t="s">
        <v>33</v>
      </c>
      <c r="L92" s="200" t="s">
        <v>17</v>
      </c>
      <c r="M92" s="200" t="s">
        <v>34</v>
      </c>
      <c r="N92" s="172" t="s">
        <v>18</v>
      </c>
      <c r="O92" s="154"/>
    </row>
    <row r="93" spans="1:20" ht="18" customHeight="1">
      <c r="A93" s="173"/>
      <c r="B93" s="176"/>
      <c r="C93" s="179"/>
      <c r="D93" s="179"/>
      <c r="E93" s="183"/>
      <c r="F93" s="184"/>
      <c r="G93" s="183"/>
      <c r="H93" s="184"/>
      <c r="I93" s="208"/>
      <c r="J93" s="208"/>
      <c r="K93" s="208"/>
      <c r="L93" s="208"/>
      <c r="M93" s="208"/>
      <c r="N93" s="173"/>
      <c r="O93" s="163"/>
    </row>
    <row r="94" spans="1:20" ht="18" customHeight="1">
      <c r="A94" s="173"/>
      <c r="B94" s="176"/>
      <c r="C94" s="179"/>
      <c r="D94" s="179"/>
      <c r="E94" s="200" t="s">
        <v>10</v>
      </c>
      <c r="F94" s="200" t="s">
        <v>12</v>
      </c>
      <c r="G94" s="200" t="s">
        <v>14</v>
      </c>
      <c r="H94" s="200" t="s">
        <v>15</v>
      </c>
      <c r="I94" s="208"/>
      <c r="J94" s="208"/>
      <c r="K94" s="208"/>
      <c r="L94" s="208"/>
      <c r="M94" s="208"/>
      <c r="N94" s="173"/>
      <c r="O94" s="163"/>
    </row>
    <row r="95" spans="1:20" ht="18" customHeight="1">
      <c r="A95" s="174"/>
      <c r="B95" s="177"/>
      <c r="C95" s="180"/>
      <c r="D95" s="180"/>
      <c r="E95" s="201"/>
      <c r="F95" s="201"/>
      <c r="G95" s="201"/>
      <c r="H95" s="201"/>
      <c r="I95" s="201"/>
      <c r="J95" s="201"/>
      <c r="K95" s="201"/>
      <c r="L95" s="201"/>
      <c r="M95" s="201"/>
      <c r="N95" s="174"/>
      <c r="O95" s="163"/>
    </row>
    <row r="96" spans="1:20" ht="17.399999999999999" customHeight="1">
      <c r="A96" s="205" t="s">
        <v>42</v>
      </c>
      <c r="B96" s="206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7"/>
      <c r="O96" s="163"/>
    </row>
    <row r="97" spans="1:23" s="2" customFormat="1" ht="17.399999999999999" customHeight="1">
      <c r="A97" s="8">
        <v>1</v>
      </c>
      <c r="B97" s="9" t="s">
        <v>2</v>
      </c>
      <c r="C97" s="12">
        <f>L97/100*100</f>
        <v>80</v>
      </c>
      <c r="D97" s="13">
        <f>C97/100*60</f>
        <v>48</v>
      </c>
      <c r="E97" s="14">
        <f>C97/100*15</f>
        <v>12</v>
      </c>
      <c r="F97" s="14"/>
      <c r="G97" s="14"/>
      <c r="H97" s="14"/>
      <c r="I97" s="14"/>
      <c r="J97" s="14">
        <f>C97/100*387</f>
        <v>309.60000000000002</v>
      </c>
      <c r="K97" s="14">
        <f>C97/100*0.09</f>
        <v>7.1999999999999995E-2</v>
      </c>
      <c r="L97" s="111">
        <v>80</v>
      </c>
      <c r="M97" s="20">
        <v>20</v>
      </c>
      <c r="N97" s="16">
        <f>L97*M97</f>
        <v>1600</v>
      </c>
      <c r="O97" s="155"/>
    </row>
    <row r="98" spans="1:23" s="2" customFormat="1" ht="17.399999999999999" customHeight="1">
      <c r="A98" s="8">
        <v>2</v>
      </c>
      <c r="B98" s="9" t="s">
        <v>121</v>
      </c>
      <c r="C98" s="12">
        <f>L98/100*100</f>
        <v>470</v>
      </c>
      <c r="D98" s="65">
        <f>C98/100*899</f>
        <v>4225.3</v>
      </c>
      <c r="E98" s="14"/>
      <c r="F98" s="14"/>
      <c r="G98" s="91">
        <f>C98/100*99.6</f>
        <v>468.12</v>
      </c>
      <c r="H98" s="14"/>
      <c r="I98" s="14"/>
      <c r="J98" s="14"/>
      <c r="K98" s="14"/>
      <c r="L98" s="111">
        <v>470</v>
      </c>
      <c r="M98" s="65">
        <v>69</v>
      </c>
      <c r="N98" s="93">
        <f t="shared" ref="N98:N108" si="4">L98*M98</f>
        <v>32430</v>
      </c>
      <c r="O98" s="157"/>
    </row>
    <row r="99" spans="1:23" s="2" customFormat="1" ht="17.399999999999999" customHeight="1">
      <c r="A99" s="8">
        <v>3</v>
      </c>
      <c r="B99" s="9" t="s">
        <v>126</v>
      </c>
      <c r="C99" s="12">
        <f>L99/100*100</f>
        <v>140</v>
      </c>
      <c r="D99" s="65">
        <f>C99/100*900</f>
        <v>1260</v>
      </c>
      <c r="E99" s="14"/>
      <c r="F99" s="14"/>
      <c r="G99" s="91"/>
      <c r="H99" s="14">
        <f>C99/100*100</f>
        <v>140</v>
      </c>
      <c r="I99" s="14"/>
      <c r="J99" s="14"/>
      <c r="K99" s="14"/>
      <c r="L99" s="111">
        <v>140</v>
      </c>
      <c r="M99" s="65">
        <v>65</v>
      </c>
      <c r="N99" s="93">
        <f t="shared" si="4"/>
        <v>9100</v>
      </c>
      <c r="O99" s="157"/>
    </row>
    <row r="100" spans="1:23" s="2" customFormat="1" ht="17.399999999999999" customHeight="1">
      <c r="A100" s="8">
        <v>4</v>
      </c>
      <c r="B100" s="5" t="s">
        <v>1</v>
      </c>
      <c r="C100" s="12">
        <f>L100/100*100</f>
        <v>2580</v>
      </c>
      <c r="D100" s="13">
        <f>C100/100*344</f>
        <v>8875.2000000000007</v>
      </c>
      <c r="E100" s="14"/>
      <c r="F100" s="14">
        <f>C100/100*7.9</f>
        <v>203.82000000000002</v>
      </c>
      <c r="G100" s="14"/>
      <c r="H100" s="14">
        <f>C100/100*1</f>
        <v>25.8</v>
      </c>
      <c r="I100" s="14">
        <f>C100/100*73.75</f>
        <v>1902.75</v>
      </c>
      <c r="J100" s="14">
        <f>C100/100*30</f>
        <v>774</v>
      </c>
      <c r="K100" s="14">
        <f>C100/100*0.1</f>
        <v>2.58</v>
      </c>
      <c r="L100" s="111">
        <v>2580</v>
      </c>
      <c r="M100" s="20">
        <v>18</v>
      </c>
      <c r="N100" s="16">
        <f t="shared" si="4"/>
        <v>46440</v>
      </c>
      <c r="O100" s="155"/>
    </row>
    <row r="101" spans="1:23" s="2" customFormat="1" ht="17.399999999999999" customHeight="1">
      <c r="A101" s="8">
        <v>5</v>
      </c>
      <c r="B101" s="9" t="s">
        <v>29</v>
      </c>
      <c r="C101" s="12">
        <f>L101/100*100</f>
        <v>50</v>
      </c>
      <c r="D101" s="13">
        <f>C101/100*390</f>
        <v>195</v>
      </c>
      <c r="E101" s="14"/>
      <c r="F101" s="14"/>
      <c r="G101" s="14"/>
      <c r="H101" s="14"/>
      <c r="I101" s="14">
        <f>C101/100*97.4</f>
        <v>48.7</v>
      </c>
      <c r="J101" s="22">
        <f>C101/100*178</f>
        <v>89</v>
      </c>
      <c r="K101" s="22">
        <f>C101/100*0.05</f>
        <v>2.5000000000000001E-2</v>
      </c>
      <c r="L101" s="111">
        <v>50</v>
      </c>
      <c r="M101" s="20">
        <v>25</v>
      </c>
      <c r="N101" s="16">
        <f t="shared" si="4"/>
        <v>1250</v>
      </c>
      <c r="O101" s="156"/>
    </row>
    <row r="102" spans="1:23" s="2" customFormat="1" ht="17.399999999999999" customHeight="1">
      <c r="A102" s="8">
        <v>6</v>
      </c>
      <c r="B102" s="5" t="s">
        <v>4</v>
      </c>
      <c r="C102" s="12">
        <f>L102/100*98</f>
        <v>1450.4</v>
      </c>
      <c r="D102" s="13">
        <f>C102/100*118</f>
        <v>1711.4720000000002</v>
      </c>
      <c r="E102" s="14">
        <f>C102/100*21</f>
        <v>304.584</v>
      </c>
      <c r="F102" s="14"/>
      <c r="G102" s="14">
        <f>C102/100*3.8</f>
        <v>55.115200000000002</v>
      </c>
      <c r="H102" s="14"/>
      <c r="I102" s="14"/>
      <c r="J102" s="22">
        <f>C102/100*12</f>
        <v>174.048</v>
      </c>
      <c r="K102" s="22">
        <f>C102/100*0.1</f>
        <v>1.4504000000000001</v>
      </c>
      <c r="L102" s="111">
        <v>1480</v>
      </c>
      <c r="M102" s="15">
        <v>270</v>
      </c>
      <c r="N102" s="93">
        <f t="shared" si="4"/>
        <v>399600</v>
      </c>
      <c r="O102" s="155"/>
      <c r="Q102" s="3"/>
      <c r="R102" s="3"/>
      <c r="S102" s="4"/>
    </row>
    <row r="103" spans="1:23" s="2" customFormat="1" ht="17.399999999999999" customHeight="1">
      <c r="A103" s="8">
        <v>7</v>
      </c>
      <c r="B103" s="5" t="s">
        <v>20</v>
      </c>
      <c r="C103" s="12">
        <f>L103/100*95</f>
        <v>285</v>
      </c>
      <c r="D103" s="13">
        <f>C103/100*20</f>
        <v>57</v>
      </c>
      <c r="E103" s="14"/>
      <c r="F103" s="14">
        <f>C103/100*0.6</f>
        <v>1.71</v>
      </c>
      <c r="G103" s="14"/>
      <c r="H103" s="14">
        <f>C103/100*0.2</f>
        <v>0.57000000000000006</v>
      </c>
      <c r="I103" s="14">
        <f>C103/100*4</f>
        <v>11.4</v>
      </c>
      <c r="J103" s="21">
        <f>C103/100*12</f>
        <v>34.200000000000003</v>
      </c>
      <c r="K103" s="21">
        <f>C103/100*0.04</f>
        <v>0.114</v>
      </c>
      <c r="L103" s="324">
        <v>300</v>
      </c>
      <c r="M103" s="20">
        <v>22</v>
      </c>
      <c r="N103" s="16">
        <f t="shared" si="4"/>
        <v>6600</v>
      </c>
      <c r="O103" s="155"/>
      <c r="Q103" s="3"/>
      <c r="R103" s="3"/>
    </row>
    <row r="104" spans="1:23" s="2" customFormat="1" ht="17.399999999999999" customHeight="1">
      <c r="A104" s="8">
        <v>8</v>
      </c>
      <c r="B104" s="9" t="s">
        <v>128</v>
      </c>
      <c r="C104" s="12">
        <f>L104/100*92</f>
        <v>441.59999999999997</v>
      </c>
      <c r="D104" s="13">
        <f>C104/100*58</f>
        <v>256.12799999999999</v>
      </c>
      <c r="E104" s="14">
        <f>C104/100*11.7</f>
        <v>51.667199999999994</v>
      </c>
      <c r="F104" s="14"/>
      <c r="G104" s="14">
        <f>C104/100*1.2</f>
        <v>5.299199999999999</v>
      </c>
      <c r="H104" s="14"/>
      <c r="I104" s="14"/>
      <c r="J104" s="64">
        <f>C104/100*910</f>
        <v>4018.5599999999995</v>
      </c>
      <c r="K104" s="22"/>
      <c r="L104" s="111">
        <v>480</v>
      </c>
      <c r="M104" s="102">
        <v>155</v>
      </c>
      <c r="N104" s="16">
        <f t="shared" si="4"/>
        <v>74400</v>
      </c>
      <c r="O104" s="155"/>
    </row>
    <row r="105" spans="1:23" s="2" customFormat="1" ht="17.399999999999999" customHeight="1">
      <c r="A105" s="8">
        <v>9</v>
      </c>
      <c r="B105" s="5" t="s">
        <v>117</v>
      </c>
      <c r="C105" s="12">
        <f>L105/100*100</f>
        <v>50</v>
      </c>
      <c r="D105" s="13">
        <f>C105/100*247</f>
        <v>123.5</v>
      </c>
      <c r="E105" s="17"/>
      <c r="F105" s="17">
        <f>C105/100*17.5</f>
        <v>8.75</v>
      </c>
      <c r="G105" s="17"/>
      <c r="H105" s="17">
        <f>C105/100*1.6</f>
        <v>0.8</v>
      </c>
      <c r="I105" s="17">
        <f>C105/100*39.2</f>
        <v>19.600000000000001</v>
      </c>
      <c r="J105" s="21"/>
      <c r="K105" s="21"/>
      <c r="L105" s="324">
        <v>50</v>
      </c>
      <c r="M105" s="20">
        <v>50</v>
      </c>
      <c r="N105" s="16">
        <f t="shared" si="4"/>
        <v>2500</v>
      </c>
      <c r="O105" s="155"/>
      <c r="Q105" s="3"/>
      <c r="R105" s="3"/>
      <c r="S105" s="4"/>
      <c r="T105" s="3"/>
    </row>
    <row r="106" spans="1:23" s="2" customFormat="1" ht="17.399999999999999" customHeight="1">
      <c r="A106" s="8">
        <v>10</v>
      </c>
      <c r="B106" s="142" t="s">
        <v>156</v>
      </c>
      <c r="C106" s="12">
        <f>L106/100*80</f>
        <v>960</v>
      </c>
      <c r="D106" s="13">
        <f>C106/100*25</f>
        <v>240</v>
      </c>
      <c r="E106" s="17"/>
      <c r="F106" s="17">
        <f>C106/100*2.8</f>
        <v>26.88</v>
      </c>
      <c r="G106" s="17"/>
      <c r="H106" s="17">
        <f>C106/100*0.3</f>
        <v>2.88</v>
      </c>
      <c r="I106" s="17">
        <f>C106/100*3</f>
        <v>28.799999999999997</v>
      </c>
      <c r="J106" s="123">
        <f>C106/100*182</f>
        <v>1747.2</v>
      </c>
      <c r="K106" s="17">
        <f>C106/100*0.13</f>
        <v>1.248</v>
      </c>
      <c r="L106" s="324">
        <v>1200</v>
      </c>
      <c r="M106" s="15">
        <v>30</v>
      </c>
      <c r="N106" s="113">
        <f t="shared" si="4"/>
        <v>36000</v>
      </c>
      <c r="O106" s="155"/>
      <c r="Q106" s="3"/>
      <c r="R106" s="3"/>
      <c r="S106" s="4"/>
    </row>
    <row r="107" spans="1:23" s="2" customFormat="1" ht="17.399999999999999" customHeight="1">
      <c r="A107" s="8">
        <v>11</v>
      </c>
      <c r="B107" s="5" t="s">
        <v>157</v>
      </c>
      <c r="C107" s="12">
        <f>L107/100*81</f>
        <v>243</v>
      </c>
      <c r="D107" s="13">
        <f>C107/100*17</f>
        <v>41.31</v>
      </c>
      <c r="E107" s="14"/>
      <c r="F107" s="14">
        <f>C107/100*0.9</f>
        <v>2.1870000000000003</v>
      </c>
      <c r="G107" s="14"/>
      <c r="H107" s="14">
        <f>C107/100*0.2</f>
        <v>0.48600000000000004</v>
      </c>
      <c r="I107" s="14">
        <f>C107/100*2.8</f>
        <v>6.8040000000000003</v>
      </c>
      <c r="J107" s="64">
        <f>C107/100*28</f>
        <v>68.040000000000006</v>
      </c>
      <c r="K107" s="22">
        <f>C107/100*0.04</f>
        <v>9.7200000000000009E-2</v>
      </c>
      <c r="L107" s="111">
        <v>300</v>
      </c>
      <c r="M107" s="15">
        <v>25</v>
      </c>
      <c r="N107" s="113">
        <f t="shared" si="4"/>
        <v>7500</v>
      </c>
      <c r="O107" s="155"/>
    </row>
    <row r="108" spans="1:23" s="2" customFormat="1" ht="17.399999999999999" customHeight="1">
      <c r="A108" s="8">
        <v>12</v>
      </c>
      <c r="B108" s="5" t="s">
        <v>135</v>
      </c>
      <c r="C108" s="12">
        <f>L108/100*81</f>
        <v>502.2</v>
      </c>
      <c r="D108" s="13">
        <f>C108/100*17</f>
        <v>85.374000000000009</v>
      </c>
      <c r="E108" s="17"/>
      <c r="F108" s="17">
        <f>C108/100*0.9</f>
        <v>4.5198</v>
      </c>
      <c r="G108" s="17"/>
      <c r="H108" s="17">
        <f>C108/100*0.2</f>
        <v>1.0044000000000002</v>
      </c>
      <c r="I108" s="17">
        <f>C108/100*2.8</f>
        <v>14.0616</v>
      </c>
      <c r="J108" s="14">
        <f>C108/100*28</f>
        <v>140.61600000000001</v>
      </c>
      <c r="K108" s="22">
        <f>C108/100*0.04</f>
        <v>0.20088</v>
      </c>
      <c r="L108" s="324">
        <v>620</v>
      </c>
      <c r="M108" s="20">
        <v>20</v>
      </c>
      <c r="N108" s="16">
        <f t="shared" si="4"/>
        <v>12400</v>
      </c>
      <c r="O108" s="155"/>
      <c r="P108" s="3"/>
    </row>
    <row r="109" spans="1:23" s="2" customFormat="1" ht="17.399999999999999" customHeight="1">
      <c r="A109" s="8">
        <v>13</v>
      </c>
      <c r="B109" s="9" t="s">
        <v>111</v>
      </c>
      <c r="C109" s="12"/>
      <c r="D109" s="135"/>
      <c r="E109" s="14"/>
      <c r="F109" s="14"/>
      <c r="G109" s="14"/>
      <c r="H109" s="14"/>
      <c r="I109" s="14"/>
      <c r="J109" s="14"/>
      <c r="K109" s="14"/>
      <c r="L109" s="15"/>
      <c r="M109" s="15"/>
      <c r="N109" s="16">
        <v>4000</v>
      </c>
      <c r="O109" s="155"/>
    </row>
    <row r="110" spans="1:23" s="2" customFormat="1" ht="17.399999999999999" customHeight="1">
      <c r="A110" s="23" t="s">
        <v>104</v>
      </c>
      <c r="B110" s="24"/>
      <c r="C110" s="25"/>
      <c r="D110" s="94">
        <f>SUM(D97:D109)</f>
        <v>17118.284</v>
      </c>
      <c r="E110" s="31"/>
      <c r="F110" s="31"/>
      <c r="G110" s="31"/>
      <c r="H110" s="31"/>
      <c r="I110" s="31"/>
      <c r="J110" s="31"/>
      <c r="K110" s="31"/>
      <c r="L110" s="32"/>
      <c r="M110" s="32"/>
      <c r="N110" s="271">
        <f>SUM(N97:N109)</f>
        <v>633820</v>
      </c>
      <c r="O110" s="155"/>
    </row>
    <row r="111" spans="1:23" ht="17.399999999999999" customHeight="1">
      <c r="A111" s="23" t="s">
        <v>43</v>
      </c>
      <c r="B111" s="24"/>
      <c r="C111" s="33"/>
      <c r="D111" s="34">
        <f>D110/D91</f>
        <v>285.30473333333333</v>
      </c>
      <c r="E111" s="34"/>
      <c r="F111" s="34"/>
      <c r="G111" s="34"/>
      <c r="H111" s="34"/>
      <c r="I111" s="34"/>
      <c r="J111" s="34"/>
      <c r="K111" s="34"/>
      <c r="L111" s="35"/>
      <c r="M111" s="35"/>
      <c r="N111" s="272"/>
      <c r="O111" s="160"/>
      <c r="P111" s="2"/>
      <c r="Q111" s="2"/>
      <c r="R111" s="2"/>
      <c r="S111" s="2"/>
      <c r="T111" s="2"/>
      <c r="U111" s="2"/>
      <c r="V111" s="2"/>
      <c r="W111" s="2"/>
    </row>
    <row r="112" spans="1:23" ht="17.399999999999999" customHeight="1">
      <c r="A112" s="211" t="s">
        <v>44</v>
      </c>
      <c r="B112" s="212"/>
      <c r="C112" s="325" t="s">
        <v>133</v>
      </c>
      <c r="D112" s="29" t="s">
        <v>38</v>
      </c>
      <c r="E112" s="34"/>
      <c r="F112" s="34"/>
      <c r="G112" s="34"/>
      <c r="H112" s="34"/>
      <c r="I112" s="34"/>
      <c r="J112" s="36"/>
      <c r="K112" s="36"/>
      <c r="L112" s="35"/>
      <c r="M112" s="35"/>
      <c r="N112" s="168"/>
      <c r="O112" s="4"/>
      <c r="P112" s="2"/>
      <c r="Q112" s="2"/>
      <c r="R112" s="2"/>
      <c r="S112" s="2"/>
      <c r="T112" s="2"/>
      <c r="U112" s="2"/>
      <c r="V112" s="2"/>
      <c r="W112" s="2"/>
    </row>
    <row r="113" spans="1:23" ht="17.399999999999999" customHeight="1">
      <c r="A113" s="213"/>
      <c r="B113" s="214"/>
      <c r="C113" s="62" t="s">
        <v>58</v>
      </c>
      <c r="D113" s="29">
        <f>D111*100/930</f>
        <v>30.677928315412185</v>
      </c>
      <c r="E113" s="34"/>
      <c r="F113" s="34"/>
      <c r="G113" s="34"/>
      <c r="H113" s="34"/>
      <c r="I113" s="34"/>
      <c r="J113" s="36"/>
      <c r="K113" s="36"/>
      <c r="L113" s="35"/>
      <c r="M113" s="35"/>
      <c r="N113" s="168"/>
      <c r="O113" s="4"/>
      <c r="P113" s="2"/>
      <c r="Q113" s="2"/>
      <c r="R113" s="2"/>
      <c r="S113" s="2"/>
      <c r="T113" s="2"/>
      <c r="U113" s="2"/>
      <c r="V113" s="2"/>
      <c r="W113" s="2"/>
    </row>
    <row r="114" spans="1:23" s="2" customFormat="1" ht="17.399999999999999" customHeight="1">
      <c r="A114" s="215" t="s">
        <v>45</v>
      </c>
      <c r="B114" s="215"/>
      <c r="C114" s="45"/>
      <c r="D114" s="46"/>
      <c r="E114" s="47"/>
      <c r="F114" s="47"/>
      <c r="G114" s="47"/>
      <c r="H114" s="47"/>
      <c r="I114" s="47"/>
      <c r="J114" s="47"/>
      <c r="K114" s="47"/>
      <c r="L114" s="48"/>
      <c r="M114" s="48"/>
      <c r="N114" s="51"/>
      <c r="O114" s="155"/>
    </row>
    <row r="115" spans="1:23" s="2" customFormat="1" ht="17.399999999999999" customHeight="1">
      <c r="A115" s="8">
        <v>1</v>
      </c>
      <c r="B115" s="9" t="s">
        <v>2</v>
      </c>
      <c r="C115" s="12">
        <f>L115/100*100</f>
        <v>70</v>
      </c>
      <c r="D115" s="13">
        <f>C115/100*60</f>
        <v>42</v>
      </c>
      <c r="E115" s="14">
        <f>C115/100*15</f>
        <v>10.5</v>
      </c>
      <c r="F115" s="14"/>
      <c r="G115" s="14"/>
      <c r="H115" s="14"/>
      <c r="I115" s="14"/>
      <c r="J115" s="14">
        <f>C115/100*387</f>
        <v>270.89999999999998</v>
      </c>
      <c r="K115" s="14">
        <f>C115/100*0.09</f>
        <v>6.3E-2</v>
      </c>
      <c r="L115" s="111">
        <v>70</v>
      </c>
      <c r="M115" s="20">
        <v>20</v>
      </c>
      <c r="N115" s="16">
        <f>L115*M115</f>
        <v>1400</v>
      </c>
      <c r="O115" s="155"/>
    </row>
    <row r="116" spans="1:23" s="2" customFormat="1" ht="17.399999999999999" customHeight="1">
      <c r="A116" s="8">
        <v>2</v>
      </c>
      <c r="B116" s="9" t="s">
        <v>121</v>
      </c>
      <c r="C116" s="12">
        <f>L116/100*100</f>
        <v>310</v>
      </c>
      <c r="D116" s="65">
        <f>C116/100*899</f>
        <v>2786.9</v>
      </c>
      <c r="E116" s="14"/>
      <c r="F116" s="14"/>
      <c r="G116" s="91">
        <f>C116/100*99.6</f>
        <v>308.76</v>
      </c>
      <c r="H116" s="14"/>
      <c r="I116" s="14"/>
      <c r="J116" s="14"/>
      <c r="K116" s="14"/>
      <c r="L116" s="111">
        <v>310</v>
      </c>
      <c r="M116" s="65">
        <v>69</v>
      </c>
      <c r="N116" s="93">
        <f t="shared" ref="N116:N122" si="5">L116*M116</f>
        <v>21390</v>
      </c>
      <c r="O116" s="157"/>
    </row>
    <row r="117" spans="1:23" s="2" customFormat="1" ht="17.399999999999999" customHeight="1">
      <c r="A117" s="8">
        <v>3</v>
      </c>
      <c r="B117" s="5" t="s">
        <v>1</v>
      </c>
      <c r="C117" s="12">
        <f>L117/100*100</f>
        <v>2520</v>
      </c>
      <c r="D117" s="13">
        <f>C117/100*344</f>
        <v>8668.7999999999993</v>
      </c>
      <c r="E117" s="14"/>
      <c r="F117" s="14">
        <f>C117/100*7.9</f>
        <v>199.08</v>
      </c>
      <c r="G117" s="14"/>
      <c r="H117" s="14">
        <f>C117/100*1</f>
        <v>25.2</v>
      </c>
      <c r="I117" s="14">
        <f>C117/100*73.75</f>
        <v>1858.5</v>
      </c>
      <c r="J117" s="14">
        <f>C117/100*30</f>
        <v>756</v>
      </c>
      <c r="K117" s="14">
        <f>C117/100*0.1</f>
        <v>2.52</v>
      </c>
      <c r="L117" s="111">
        <v>2520</v>
      </c>
      <c r="M117" s="20">
        <v>18</v>
      </c>
      <c r="N117" s="16">
        <f t="shared" si="5"/>
        <v>45360</v>
      </c>
      <c r="O117" s="155"/>
    </row>
    <row r="118" spans="1:23" s="2" customFormat="1" ht="17.399999999999999" customHeight="1">
      <c r="A118" s="8">
        <v>4</v>
      </c>
      <c r="B118" s="5" t="s">
        <v>117</v>
      </c>
      <c r="C118" s="12">
        <f>L118/100*100</f>
        <v>50</v>
      </c>
      <c r="D118" s="13">
        <f>C118/100*247</f>
        <v>123.5</v>
      </c>
      <c r="E118" s="17"/>
      <c r="F118" s="17">
        <f>C118/100*17.5</f>
        <v>8.75</v>
      </c>
      <c r="G118" s="17"/>
      <c r="H118" s="17">
        <f>C118/100*1.6</f>
        <v>0.8</v>
      </c>
      <c r="I118" s="17">
        <f>C118/100*39.2</f>
        <v>19.600000000000001</v>
      </c>
      <c r="J118" s="21"/>
      <c r="K118" s="21"/>
      <c r="L118" s="324">
        <v>50</v>
      </c>
      <c r="M118" s="20">
        <v>50</v>
      </c>
      <c r="N118" s="16">
        <f t="shared" si="5"/>
        <v>2500</v>
      </c>
      <c r="O118" s="155"/>
      <c r="Q118" s="3"/>
      <c r="R118" s="3"/>
      <c r="S118" s="4"/>
      <c r="T118" s="3"/>
    </row>
    <row r="119" spans="1:23" s="2" customFormat="1" ht="17.399999999999999" customHeight="1">
      <c r="A119" s="8">
        <v>5</v>
      </c>
      <c r="B119" s="5" t="s">
        <v>20</v>
      </c>
      <c r="C119" s="12">
        <f>L119/100*95</f>
        <v>855</v>
      </c>
      <c r="D119" s="13">
        <f>C119/100*20</f>
        <v>171</v>
      </c>
      <c r="E119" s="14"/>
      <c r="F119" s="14">
        <f>C119/100*0.6</f>
        <v>5.13</v>
      </c>
      <c r="G119" s="14"/>
      <c r="H119" s="14">
        <f>C119/100*0.2</f>
        <v>1.7100000000000002</v>
      </c>
      <c r="I119" s="14">
        <f>C119/100*4</f>
        <v>34.200000000000003</v>
      </c>
      <c r="J119" s="21">
        <f>C119/100*12</f>
        <v>102.60000000000001</v>
      </c>
      <c r="K119" s="21">
        <f>C119/100*0.04</f>
        <v>0.34200000000000003</v>
      </c>
      <c r="L119" s="324">
        <v>900</v>
      </c>
      <c r="M119" s="20">
        <v>22</v>
      </c>
      <c r="N119" s="16">
        <f t="shared" si="5"/>
        <v>19800</v>
      </c>
      <c r="O119" s="155"/>
      <c r="Q119" s="3"/>
      <c r="R119" s="3"/>
    </row>
    <row r="120" spans="1:23" s="2" customFormat="1" ht="17.399999999999999" customHeight="1">
      <c r="A120" s="8">
        <v>6</v>
      </c>
      <c r="B120" s="9" t="s">
        <v>66</v>
      </c>
      <c r="C120" s="12">
        <f>L120/100*98</f>
        <v>1666</v>
      </c>
      <c r="D120" s="13">
        <f>C120/100*139</f>
        <v>2315.7400000000002</v>
      </c>
      <c r="E120" s="14">
        <f>C120/100*19</f>
        <v>316.54000000000002</v>
      </c>
      <c r="F120" s="14"/>
      <c r="G120" s="14">
        <f>C120/100*7</f>
        <v>116.62</v>
      </c>
      <c r="H120" s="14"/>
      <c r="I120" s="14"/>
      <c r="J120" s="22">
        <f>C120/100*7</f>
        <v>116.62</v>
      </c>
      <c r="K120" s="22">
        <f>C120/100*0.9</f>
        <v>14.994</v>
      </c>
      <c r="L120" s="111">
        <v>1700</v>
      </c>
      <c r="M120" s="15">
        <v>133</v>
      </c>
      <c r="N120" s="93">
        <f t="shared" si="5"/>
        <v>226100</v>
      </c>
      <c r="O120" s="155"/>
    </row>
    <row r="121" spans="1:23" s="2" customFormat="1" ht="17.399999999999999" customHeight="1">
      <c r="A121" s="8">
        <v>7</v>
      </c>
      <c r="B121" s="5" t="s">
        <v>3</v>
      </c>
      <c r="C121" s="12">
        <f>L121/100*48</f>
        <v>374.4</v>
      </c>
      <c r="D121" s="13">
        <f>C121/100*199</f>
        <v>745.05599999999993</v>
      </c>
      <c r="E121" s="14">
        <f>C121/100*20.3</f>
        <v>76.003199999999993</v>
      </c>
      <c r="F121" s="14"/>
      <c r="G121" s="14">
        <f>C121/100*13.1</f>
        <v>49.046399999999998</v>
      </c>
      <c r="H121" s="14"/>
      <c r="I121" s="14"/>
      <c r="J121" s="22">
        <f>C121/100*12</f>
        <v>44.927999999999997</v>
      </c>
      <c r="K121" s="22">
        <f>C121/100*0.15</f>
        <v>0.56159999999999999</v>
      </c>
      <c r="L121" s="111">
        <v>780</v>
      </c>
      <c r="M121" s="15">
        <v>84</v>
      </c>
      <c r="N121" s="16">
        <f t="shared" si="5"/>
        <v>65520</v>
      </c>
      <c r="O121" s="155"/>
      <c r="Q121" s="3"/>
      <c r="R121" s="3"/>
      <c r="S121" s="4"/>
    </row>
    <row r="122" spans="1:23" s="2" customFormat="1" ht="17.399999999999999" customHeight="1">
      <c r="A122" s="8">
        <v>8</v>
      </c>
      <c r="B122" s="5" t="s">
        <v>5</v>
      </c>
      <c r="C122" s="12">
        <f>L122/100*98.5</f>
        <v>1359.3000000000002</v>
      </c>
      <c r="D122" s="13">
        <f>C122/100*39</f>
        <v>530.12700000000007</v>
      </c>
      <c r="E122" s="17"/>
      <c r="F122" s="17">
        <f>C122/100*1.5</f>
        <v>20.389500000000002</v>
      </c>
      <c r="G122" s="17"/>
      <c r="H122" s="17">
        <f>C122/100*0.2</f>
        <v>2.7186000000000003</v>
      </c>
      <c r="I122" s="17">
        <f>C122/100*7.8</f>
        <v>106.0254</v>
      </c>
      <c r="J122" s="17">
        <f>C122/100*43</f>
        <v>584.49900000000002</v>
      </c>
      <c r="K122" s="17">
        <f>C122/100*0.06</f>
        <v>0.81558000000000008</v>
      </c>
      <c r="L122" s="324">
        <v>1380</v>
      </c>
      <c r="M122" s="15">
        <v>17</v>
      </c>
      <c r="N122" s="16">
        <f t="shared" si="5"/>
        <v>23460</v>
      </c>
      <c r="O122" s="155"/>
      <c r="Q122" s="3"/>
      <c r="R122" s="3"/>
      <c r="S122" s="4"/>
    </row>
    <row r="123" spans="1:23" s="2" customFormat="1" ht="17.399999999999999" customHeight="1">
      <c r="A123" s="8">
        <v>9</v>
      </c>
      <c r="B123" s="5" t="s">
        <v>61</v>
      </c>
      <c r="C123" s="12">
        <f>L123/100*100</f>
        <v>60</v>
      </c>
      <c r="D123" s="13">
        <f>C123/100*334</f>
        <v>200.4</v>
      </c>
      <c r="E123" s="14"/>
      <c r="F123" s="14">
        <f>C123/100*20</f>
        <v>12</v>
      </c>
      <c r="G123" s="14"/>
      <c r="H123" s="14">
        <f>C123/100*2.4</f>
        <v>1.44</v>
      </c>
      <c r="I123" s="14">
        <f>C123/100*58</f>
        <v>34.799999999999997</v>
      </c>
      <c r="J123" s="22">
        <f>C123/100*89</f>
        <v>53.4</v>
      </c>
      <c r="K123" s="22">
        <f>C123/100*0.64</f>
        <v>0.38400000000000001</v>
      </c>
      <c r="L123" s="111">
        <v>60</v>
      </c>
      <c r="M123" s="102">
        <v>190</v>
      </c>
      <c r="N123" s="16">
        <f>L123*M123</f>
        <v>11400</v>
      </c>
      <c r="O123" s="155"/>
    </row>
    <row r="124" spans="1:23" s="2" customFormat="1" ht="17.399999999999999" customHeight="1">
      <c r="A124" s="8">
        <v>10</v>
      </c>
      <c r="B124" s="9" t="s">
        <v>111</v>
      </c>
      <c r="C124" s="12"/>
      <c r="D124" s="13"/>
      <c r="E124" s="104"/>
      <c r="F124" s="104"/>
      <c r="G124" s="104"/>
      <c r="H124" s="14"/>
      <c r="I124" s="14"/>
      <c r="J124" s="14"/>
      <c r="K124" s="14"/>
      <c r="L124" s="15"/>
      <c r="M124" s="15"/>
      <c r="N124" s="16">
        <v>4000</v>
      </c>
      <c r="O124" s="155"/>
    </row>
    <row r="125" spans="1:23" s="2" customFormat="1" ht="17.399999999999999" customHeight="1">
      <c r="A125" s="23" t="s">
        <v>105</v>
      </c>
      <c r="B125" s="24"/>
      <c r="C125" s="25"/>
      <c r="D125" s="94">
        <f>SUM(D115:D124)</f>
        <v>15583.522999999999</v>
      </c>
      <c r="E125" s="31"/>
      <c r="F125" s="31"/>
      <c r="G125" s="31"/>
      <c r="H125" s="31"/>
      <c r="I125" s="31"/>
      <c r="J125" s="31"/>
      <c r="K125" s="31"/>
      <c r="L125" s="32"/>
      <c r="M125" s="32"/>
      <c r="N125" s="271">
        <f>SUM(N115:N124)</f>
        <v>420930</v>
      </c>
      <c r="O125" s="155"/>
    </row>
    <row r="126" spans="1:23" ht="17.399999999999999" customHeight="1">
      <c r="A126" s="23" t="s">
        <v>46</v>
      </c>
      <c r="B126" s="24"/>
      <c r="C126" s="52"/>
      <c r="D126" s="36">
        <f>D125/D91</f>
        <v>259.7253833333333</v>
      </c>
      <c r="E126" s="36"/>
      <c r="F126" s="36"/>
      <c r="G126" s="36"/>
      <c r="H126" s="36"/>
      <c r="I126" s="36"/>
      <c r="J126" s="36"/>
      <c r="K126" s="36"/>
      <c r="L126" s="53"/>
      <c r="M126" s="35"/>
      <c r="N126" s="272"/>
      <c r="O126" s="4"/>
      <c r="P126" s="2"/>
      <c r="Q126" s="2"/>
      <c r="R126" s="2"/>
      <c r="S126" s="2"/>
      <c r="T126" s="2"/>
      <c r="U126" s="2"/>
      <c r="V126" s="2"/>
      <c r="W126" s="2"/>
    </row>
    <row r="127" spans="1:23" ht="17.399999999999999" customHeight="1">
      <c r="A127" s="211" t="s">
        <v>47</v>
      </c>
      <c r="B127" s="212"/>
      <c r="C127" s="325" t="s">
        <v>133</v>
      </c>
      <c r="D127" s="29" t="s">
        <v>48</v>
      </c>
      <c r="E127" s="34"/>
      <c r="F127" s="34"/>
      <c r="G127" s="34"/>
      <c r="H127" s="34"/>
      <c r="I127" s="34"/>
      <c r="J127" s="36"/>
      <c r="K127" s="36"/>
      <c r="L127" s="35"/>
      <c r="M127" s="35"/>
      <c r="N127" s="168"/>
      <c r="O127" s="4"/>
      <c r="P127" s="2"/>
      <c r="Q127" s="2"/>
      <c r="R127" s="2"/>
      <c r="S127" s="2"/>
      <c r="T127" s="2"/>
      <c r="U127" s="2"/>
      <c r="V127" s="2"/>
      <c r="W127" s="2"/>
    </row>
    <row r="128" spans="1:23" ht="17.399999999999999" customHeight="1">
      <c r="A128" s="213"/>
      <c r="B128" s="214"/>
      <c r="C128" s="62" t="s">
        <v>58</v>
      </c>
      <c r="D128" s="50">
        <f>D126*100/930</f>
        <v>27.927460573476701</v>
      </c>
      <c r="E128" s="34"/>
      <c r="F128" s="34"/>
      <c r="G128" s="34"/>
      <c r="H128" s="34"/>
      <c r="I128" s="34"/>
      <c r="J128" s="36"/>
      <c r="K128" s="36"/>
      <c r="L128" s="35"/>
      <c r="M128" s="35"/>
      <c r="N128" s="168"/>
      <c r="O128" s="4"/>
      <c r="P128" s="2"/>
      <c r="Q128" s="2"/>
      <c r="R128" s="2"/>
      <c r="S128" s="2"/>
      <c r="T128" s="2"/>
      <c r="U128" s="2"/>
      <c r="V128" s="2"/>
      <c r="W128" s="2"/>
    </row>
    <row r="129" spans="1:23" ht="17.399999999999999" customHeight="1">
      <c r="A129" s="215" t="s">
        <v>39</v>
      </c>
      <c r="B129" s="215"/>
      <c r="C129" s="54"/>
      <c r="D129" s="55"/>
      <c r="E129" s="55"/>
      <c r="F129" s="55"/>
      <c r="G129" s="55"/>
      <c r="H129" s="55"/>
      <c r="I129" s="55"/>
      <c r="J129" s="55"/>
      <c r="K129" s="55"/>
      <c r="L129" s="56"/>
      <c r="M129" s="56"/>
      <c r="N129" s="57"/>
      <c r="O129" s="4"/>
      <c r="P129" s="2"/>
      <c r="Q129" s="2"/>
      <c r="R129" s="2"/>
      <c r="S129" s="2"/>
      <c r="T129" s="2"/>
      <c r="U129" s="2"/>
      <c r="V129" s="2"/>
      <c r="W129" s="2"/>
    </row>
    <row r="130" spans="1:23" s="2" customFormat="1" ht="17.399999999999999" customHeight="1">
      <c r="A130" s="119">
        <v>1</v>
      </c>
      <c r="B130" s="140" t="s">
        <v>131</v>
      </c>
      <c r="C130" s="25">
        <f>L130/100*100</f>
        <v>1019.9999999999999</v>
      </c>
      <c r="D130" s="120">
        <f>C130/100*487</f>
        <v>4967.3999999999996</v>
      </c>
      <c r="E130" s="27"/>
      <c r="F130" s="27">
        <f>C130/100*19.5</f>
        <v>198.89999999999998</v>
      </c>
      <c r="G130" s="27"/>
      <c r="H130" s="27">
        <f>C130/100*23.2</f>
        <v>236.64</v>
      </c>
      <c r="I130" s="27">
        <f>C130/100*46</f>
        <v>469.2</v>
      </c>
      <c r="J130" s="121">
        <f>C130/100*680</f>
        <v>6935.9999999999991</v>
      </c>
      <c r="K130" s="27">
        <f>C130/100*0.55</f>
        <v>5.61</v>
      </c>
      <c r="L130" s="28">
        <v>1020</v>
      </c>
      <c r="M130" s="141">
        <v>260</v>
      </c>
      <c r="N130" s="149">
        <f t="shared" ref="N130" si="6">L130*M130</f>
        <v>265200</v>
      </c>
      <c r="O130" s="155"/>
      <c r="P130" s="3"/>
    </row>
    <row r="131" spans="1:23" ht="20.399999999999999" customHeight="1">
      <c r="A131" s="172" t="s">
        <v>0</v>
      </c>
      <c r="B131" s="175" t="s">
        <v>19</v>
      </c>
      <c r="C131" s="178" t="s">
        <v>8</v>
      </c>
      <c r="D131" s="178" t="s">
        <v>9</v>
      </c>
      <c r="E131" s="181" t="s">
        <v>11</v>
      </c>
      <c r="F131" s="182"/>
      <c r="G131" s="181" t="s">
        <v>13</v>
      </c>
      <c r="H131" s="182"/>
      <c r="I131" s="200" t="s">
        <v>16</v>
      </c>
      <c r="J131" s="200" t="s">
        <v>32</v>
      </c>
      <c r="K131" s="200" t="s">
        <v>33</v>
      </c>
      <c r="L131" s="200" t="s">
        <v>17</v>
      </c>
      <c r="M131" s="200" t="s">
        <v>34</v>
      </c>
      <c r="N131" s="172" t="s">
        <v>18</v>
      </c>
      <c r="O131" s="154"/>
    </row>
    <row r="132" spans="1:23" ht="20.399999999999999" customHeight="1">
      <c r="A132" s="173"/>
      <c r="B132" s="176"/>
      <c r="C132" s="179"/>
      <c r="D132" s="179"/>
      <c r="E132" s="183"/>
      <c r="F132" s="184"/>
      <c r="G132" s="183"/>
      <c r="H132" s="184"/>
      <c r="I132" s="208"/>
      <c r="J132" s="208"/>
      <c r="K132" s="208"/>
      <c r="L132" s="208"/>
      <c r="M132" s="208"/>
      <c r="N132" s="173"/>
      <c r="O132" s="163"/>
    </row>
    <row r="133" spans="1:23" ht="20.399999999999999" customHeight="1">
      <c r="A133" s="173"/>
      <c r="B133" s="176"/>
      <c r="C133" s="179"/>
      <c r="D133" s="179"/>
      <c r="E133" s="200" t="s">
        <v>10</v>
      </c>
      <c r="F133" s="200" t="s">
        <v>12</v>
      </c>
      <c r="G133" s="200" t="s">
        <v>14</v>
      </c>
      <c r="H133" s="200" t="s">
        <v>15</v>
      </c>
      <c r="I133" s="208"/>
      <c r="J133" s="208"/>
      <c r="K133" s="208"/>
      <c r="L133" s="208"/>
      <c r="M133" s="208"/>
      <c r="N133" s="173"/>
      <c r="O133" s="163"/>
    </row>
    <row r="134" spans="1:23" ht="20.399999999999999" customHeight="1">
      <c r="A134" s="174"/>
      <c r="B134" s="177"/>
      <c r="C134" s="180"/>
      <c r="D134" s="180"/>
      <c r="E134" s="201"/>
      <c r="F134" s="201"/>
      <c r="G134" s="201"/>
      <c r="H134" s="201"/>
      <c r="I134" s="201"/>
      <c r="J134" s="201"/>
      <c r="K134" s="201"/>
      <c r="L134" s="201"/>
      <c r="M134" s="201"/>
      <c r="N134" s="174"/>
      <c r="O134" s="163"/>
    </row>
    <row r="135" spans="1:23" s="2" customFormat="1" ht="20.399999999999999" customHeight="1">
      <c r="A135" s="216" t="s">
        <v>98</v>
      </c>
      <c r="B135" s="216"/>
      <c r="C135" s="25"/>
      <c r="D135" s="26">
        <f>SUM(D129:D130)</f>
        <v>4967.3999999999996</v>
      </c>
      <c r="E135" s="31"/>
      <c r="F135" s="31"/>
      <c r="G135" s="31"/>
      <c r="H135" s="31"/>
      <c r="I135" s="31"/>
      <c r="J135" s="31"/>
      <c r="K135" s="31"/>
      <c r="L135" s="32"/>
      <c r="M135" s="58"/>
      <c r="N135" s="271">
        <f>SUM(N129:N130)</f>
        <v>265200</v>
      </c>
      <c r="O135" s="155"/>
    </row>
    <row r="136" spans="1:23" ht="20.399999999999999" customHeight="1">
      <c r="A136" s="216" t="s">
        <v>7</v>
      </c>
      <c r="B136" s="216"/>
      <c r="C136" s="33"/>
      <c r="D136" s="34">
        <f>D135/D91</f>
        <v>82.789999999999992</v>
      </c>
      <c r="E136" s="34"/>
      <c r="F136" s="34"/>
      <c r="G136" s="34"/>
      <c r="H136" s="34"/>
      <c r="I136" s="34"/>
      <c r="J136" s="34"/>
      <c r="K136" s="34"/>
      <c r="L136" s="35"/>
      <c r="M136" s="18"/>
      <c r="N136" s="272"/>
      <c r="O136" s="4"/>
      <c r="P136" s="2"/>
      <c r="Q136" s="2"/>
      <c r="R136" s="2"/>
      <c r="S136" s="2"/>
      <c r="T136" s="2"/>
      <c r="U136" s="2"/>
      <c r="V136" s="2"/>
      <c r="W136" s="2"/>
    </row>
    <row r="137" spans="1:23" ht="20.399999999999999" customHeight="1">
      <c r="A137" s="211" t="s">
        <v>40</v>
      </c>
      <c r="B137" s="212"/>
      <c r="C137" s="325" t="s">
        <v>133</v>
      </c>
      <c r="D137" s="29" t="s">
        <v>49</v>
      </c>
      <c r="E137" s="34"/>
      <c r="F137" s="34"/>
      <c r="G137" s="34"/>
      <c r="H137" s="34"/>
      <c r="I137" s="34"/>
      <c r="J137" s="36"/>
      <c r="K137" s="36"/>
      <c r="L137" s="35"/>
      <c r="M137" s="35"/>
      <c r="N137" s="168"/>
      <c r="O137" s="4"/>
      <c r="P137" s="2"/>
      <c r="Q137" s="2"/>
      <c r="R137" s="2"/>
      <c r="S137" s="2"/>
      <c r="T137" s="2"/>
      <c r="U137" s="2"/>
      <c r="V137" s="2"/>
      <c r="W137" s="2"/>
    </row>
    <row r="138" spans="1:23" ht="20.399999999999999" customHeight="1">
      <c r="A138" s="213"/>
      <c r="B138" s="214"/>
      <c r="C138" s="62" t="s">
        <v>58</v>
      </c>
      <c r="D138" s="29">
        <f>D136*100/930</f>
        <v>8.9021505376344088</v>
      </c>
      <c r="E138" s="34"/>
      <c r="F138" s="34"/>
      <c r="G138" s="34"/>
      <c r="H138" s="34"/>
      <c r="I138" s="34"/>
      <c r="J138" s="36"/>
      <c r="K138" s="36"/>
      <c r="L138" s="35"/>
      <c r="M138" s="35"/>
      <c r="N138" s="168"/>
      <c r="O138" s="4"/>
      <c r="P138" s="2"/>
      <c r="Q138" s="2"/>
      <c r="R138" s="2"/>
      <c r="S138" s="2"/>
      <c r="T138" s="2"/>
      <c r="U138" s="2"/>
      <c r="V138" s="2"/>
      <c r="W138" s="2"/>
    </row>
    <row r="139" spans="1:23" ht="20.399999999999999" customHeight="1">
      <c r="A139" s="217" t="s">
        <v>99</v>
      </c>
      <c r="B139" s="218"/>
      <c r="C139" s="221"/>
      <c r="D139" s="282">
        <f>D110+D125+D135</f>
        <v>37669.207000000002</v>
      </c>
      <c r="E139" s="6">
        <f>SUM(E97:E137)</f>
        <v>771.2944</v>
      </c>
      <c r="F139" s="6">
        <f t="shared" ref="F139:H139" si="7">SUM(F97:F137)</f>
        <v>692.11630000000002</v>
      </c>
      <c r="G139" s="95">
        <f t="shared" si="7"/>
        <v>1002.9607999999999</v>
      </c>
      <c r="H139" s="6">
        <f t="shared" si="7"/>
        <v>440.04899999999998</v>
      </c>
      <c r="I139" s="229">
        <f>SUM(I97:I137)</f>
        <v>4554.4409999999998</v>
      </c>
      <c r="J139" s="227">
        <f>SUM(J97:J130)</f>
        <v>16220.210999999999</v>
      </c>
      <c r="K139" s="229">
        <f>SUM(K97:K130)</f>
        <v>31.077659999999998</v>
      </c>
      <c r="L139" s="231"/>
      <c r="M139" s="231"/>
      <c r="N139" s="232">
        <f>N110+N125+N135</f>
        <v>1319950</v>
      </c>
      <c r="U139" s="11"/>
      <c r="V139" s="11"/>
    </row>
    <row r="140" spans="1:23" ht="20.399999999999999" customHeight="1">
      <c r="A140" s="219"/>
      <c r="B140" s="220"/>
      <c r="C140" s="222"/>
      <c r="D140" s="283"/>
      <c r="E140" s="233">
        <f>E139+F139</f>
        <v>1463.4106999999999</v>
      </c>
      <c r="F140" s="234"/>
      <c r="G140" s="233">
        <f>G139+H139</f>
        <v>1443.0097999999998</v>
      </c>
      <c r="H140" s="234"/>
      <c r="I140" s="230"/>
      <c r="J140" s="228"/>
      <c r="K140" s="230"/>
      <c r="L140" s="231"/>
      <c r="M140" s="231"/>
      <c r="N140" s="232"/>
      <c r="U140" s="11"/>
      <c r="V140" s="11"/>
    </row>
    <row r="141" spans="1:23" ht="20.399999999999999" customHeight="1">
      <c r="A141" s="273" t="s">
        <v>75</v>
      </c>
      <c r="B141" s="274"/>
      <c r="C141" s="275"/>
      <c r="D141" s="101">
        <f>D139/D91</f>
        <v>627.82011666666665</v>
      </c>
      <c r="E141" s="108">
        <f>E139/D91</f>
        <v>12.854906666666666</v>
      </c>
      <c r="F141" s="107">
        <f>F139/D91</f>
        <v>11.535271666666667</v>
      </c>
      <c r="G141" s="108">
        <f>G139/D91</f>
        <v>16.716013333333333</v>
      </c>
      <c r="H141" s="107">
        <f>H139/D91</f>
        <v>7.3341499999999993</v>
      </c>
      <c r="I141" s="243">
        <f>I139/D91</f>
        <v>75.907349999999994</v>
      </c>
      <c r="J141" s="279">
        <f>J139/D91</f>
        <v>270.33684999999997</v>
      </c>
      <c r="K141" s="281">
        <f>K139/D91</f>
        <v>0.517961</v>
      </c>
      <c r="L141" s="231"/>
      <c r="M141" s="231"/>
      <c r="N141" s="232"/>
      <c r="P141" s="337"/>
      <c r="Q141" s="338"/>
      <c r="R141" s="338"/>
      <c r="S141" s="338"/>
      <c r="T141" s="338"/>
      <c r="U141" s="339"/>
      <c r="V141" s="339"/>
    </row>
    <row r="142" spans="1:23" ht="20.399999999999999" customHeight="1">
      <c r="A142" s="276"/>
      <c r="B142" s="277"/>
      <c r="C142" s="278"/>
      <c r="D142" s="98"/>
      <c r="E142" s="304">
        <f>E141+F141</f>
        <v>24.390178333333331</v>
      </c>
      <c r="F142" s="303"/>
      <c r="G142" s="304">
        <f>G141+H141</f>
        <v>24.05016333333333</v>
      </c>
      <c r="H142" s="303"/>
      <c r="I142" s="244"/>
      <c r="J142" s="280"/>
      <c r="K142" s="244"/>
      <c r="L142" s="231"/>
      <c r="M142" s="231"/>
      <c r="N142" s="232"/>
      <c r="P142" s="340"/>
      <c r="Q142" s="338"/>
      <c r="R142" s="338"/>
      <c r="S142" s="344"/>
      <c r="T142" s="344"/>
      <c r="U142" s="338"/>
      <c r="V142" s="338"/>
    </row>
    <row r="143" spans="1:23" ht="20.399999999999999" customHeight="1">
      <c r="A143" s="327" t="s">
        <v>76</v>
      </c>
      <c r="B143" s="328"/>
      <c r="C143" s="329"/>
      <c r="D143" s="330" t="s">
        <v>28</v>
      </c>
      <c r="E143" s="336" t="s">
        <v>24</v>
      </c>
      <c r="F143" s="336"/>
      <c r="G143" s="336" t="s">
        <v>25</v>
      </c>
      <c r="H143" s="336"/>
      <c r="I143" s="330" t="s">
        <v>26</v>
      </c>
      <c r="J143" s="164">
        <v>500</v>
      </c>
      <c r="K143" s="164">
        <v>0.59</v>
      </c>
      <c r="L143" s="231"/>
      <c r="M143" s="231"/>
      <c r="N143" s="232"/>
      <c r="O143" s="158"/>
      <c r="P143" s="337"/>
      <c r="Q143" s="337"/>
      <c r="R143" s="337"/>
      <c r="S143" s="337"/>
      <c r="T143" s="337"/>
      <c r="U143" s="337"/>
      <c r="V143" s="337"/>
    </row>
    <row r="144" spans="1:23" ht="20.399999999999999" customHeight="1">
      <c r="A144" s="248" t="s">
        <v>69</v>
      </c>
      <c r="B144" s="249"/>
      <c r="C144" s="250"/>
      <c r="D144" s="19"/>
      <c r="E144" s="251">
        <f>E142*4.1</f>
        <v>99.999731166666649</v>
      </c>
      <c r="F144" s="252"/>
      <c r="G144" s="251">
        <f>G142*9</f>
        <v>216.45146999999997</v>
      </c>
      <c r="H144" s="252"/>
      <c r="I144" s="68">
        <f>I141*4.1</f>
        <v>311.22013499999997</v>
      </c>
      <c r="J144" s="253"/>
      <c r="K144" s="253"/>
      <c r="L144" s="231"/>
      <c r="M144" s="231"/>
      <c r="N144" s="232"/>
      <c r="O144" s="158"/>
      <c r="P144" s="341"/>
      <c r="Q144" s="342"/>
      <c r="R144" s="342"/>
      <c r="S144" s="342"/>
      <c r="T144" s="337"/>
      <c r="U144" s="337"/>
      <c r="V144" s="337"/>
    </row>
    <row r="145" spans="1:22" ht="20.399999999999999" customHeight="1">
      <c r="A145" s="256" t="s">
        <v>77</v>
      </c>
      <c r="B145" s="257"/>
      <c r="C145" s="248" t="s">
        <v>58</v>
      </c>
      <c r="D145" s="250"/>
      <c r="E145" s="284">
        <f>E144*100/D141</f>
        <v>15.928086487193635</v>
      </c>
      <c r="F145" s="285"/>
      <c r="G145" s="284">
        <f>G144*100/D141</f>
        <v>34.476670029183246</v>
      </c>
      <c r="H145" s="285"/>
      <c r="I145" s="85">
        <f>I144*100/D141</f>
        <v>49.571545533199036</v>
      </c>
      <c r="J145" s="254"/>
      <c r="K145" s="254"/>
      <c r="L145" s="231"/>
      <c r="M145" s="231"/>
      <c r="N145" s="232"/>
      <c r="O145" s="158"/>
      <c r="P145" s="337"/>
      <c r="Q145" s="343"/>
      <c r="R145" s="337"/>
      <c r="S145" s="337"/>
      <c r="T145" s="337"/>
      <c r="U145" s="337"/>
      <c r="V145" s="337"/>
    </row>
    <row r="146" spans="1:22" ht="20.399999999999999" customHeight="1">
      <c r="A146" s="258"/>
      <c r="B146" s="259"/>
      <c r="C146" s="248" t="s">
        <v>71</v>
      </c>
      <c r="D146" s="250"/>
      <c r="E146" s="248" t="s">
        <v>72</v>
      </c>
      <c r="F146" s="250"/>
      <c r="G146" s="248" t="s">
        <v>78</v>
      </c>
      <c r="H146" s="250"/>
      <c r="I146" s="330" t="s">
        <v>79</v>
      </c>
      <c r="J146" s="255"/>
      <c r="K146" s="255"/>
      <c r="L146" s="231"/>
      <c r="M146" s="231"/>
      <c r="N146" s="232"/>
      <c r="O146" s="158"/>
      <c r="P146" s="84"/>
    </row>
    <row r="147" spans="1:22" ht="20.399999999999999" customHeight="1">
      <c r="A147" s="70"/>
      <c r="B147" s="71"/>
      <c r="C147" s="70"/>
      <c r="D147" s="70"/>
      <c r="E147" s="70"/>
      <c r="F147" s="70"/>
      <c r="G147" s="70"/>
      <c r="H147" s="70"/>
      <c r="I147" s="70"/>
      <c r="J147" s="70"/>
      <c r="K147" s="70"/>
      <c r="L147" s="72"/>
      <c r="M147" s="72"/>
      <c r="N147" s="73"/>
      <c r="O147" s="158"/>
      <c r="P147" s="84"/>
    </row>
    <row r="148" spans="1:22" ht="20.399999999999999" customHeight="1">
      <c r="A148" s="245" t="s">
        <v>100</v>
      </c>
      <c r="B148" s="245"/>
      <c r="C148" s="245"/>
      <c r="D148" s="245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158"/>
    </row>
    <row r="149" spans="1:22" ht="20.399999999999999" customHeight="1">
      <c r="A149" s="87" t="s">
        <v>101</v>
      </c>
      <c r="B149" s="246" t="s">
        <v>102</v>
      </c>
      <c r="C149" s="246"/>
      <c r="D149" s="246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158"/>
    </row>
    <row r="150" spans="1:22" ht="20.399999999999999" customHeight="1">
      <c r="A150" s="88"/>
      <c r="B150" s="247" t="s">
        <v>179</v>
      </c>
      <c r="C150" s="247"/>
      <c r="D150" s="247"/>
      <c r="E150" s="247"/>
      <c r="F150" s="247"/>
      <c r="G150" s="247"/>
      <c r="H150" s="247"/>
      <c r="I150" s="247"/>
      <c r="J150" s="247"/>
      <c r="K150" s="247"/>
      <c r="L150" s="247"/>
      <c r="M150" s="247"/>
      <c r="N150" s="247"/>
      <c r="O150" s="158"/>
    </row>
    <row r="151" spans="1:22" ht="20.399999999999999" customHeight="1">
      <c r="A151" s="88"/>
      <c r="B151" s="247" t="s">
        <v>158</v>
      </c>
      <c r="C151" s="247"/>
      <c r="D151" s="247"/>
      <c r="E151" s="247"/>
      <c r="F151" s="247"/>
      <c r="G151" s="247"/>
      <c r="H151" s="247"/>
      <c r="I151" s="247"/>
      <c r="J151" s="247"/>
      <c r="K151" s="247"/>
      <c r="L151" s="247"/>
      <c r="M151" s="247"/>
      <c r="N151" s="247"/>
      <c r="O151" s="158"/>
    </row>
    <row r="152" spans="1:22" ht="20.399999999999999" customHeight="1">
      <c r="A152" s="88"/>
      <c r="B152" s="247" t="s">
        <v>180</v>
      </c>
      <c r="C152" s="247"/>
      <c r="D152" s="247"/>
      <c r="E152" s="247"/>
      <c r="F152" s="247"/>
      <c r="G152" s="247"/>
      <c r="H152" s="247"/>
      <c r="I152" s="247"/>
      <c r="J152" s="247"/>
      <c r="K152" s="247"/>
      <c r="L152" s="247"/>
      <c r="M152" s="247"/>
      <c r="N152" s="247"/>
      <c r="O152" s="158"/>
    </row>
    <row r="153" spans="1:22" ht="20.399999999999999" customHeight="1">
      <c r="A153" s="70"/>
      <c r="B153" s="262" t="s">
        <v>107</v>
      </c>
      <c r="C153" s="262"/>
      <c r="D153" s="262"/>
      <c r="E153" s="262"/>
      <c r="F153" s="262"/>
      <c r="G153" s="262"/>
      <c r="H153" s="262"/>
      <c r="I153" s="262"/>
      <c r="J153" s="262"/>
      <c r="K153" s="262"/>
      <c r="L153" s="262"/>
      <c r="M153" s="262"/>
      <c r="N153" s="262"/>
      <c r="O153" s="158"/>
    </row>
    <row r="154" spans="1:22" ht="20.399999999999999" customHeight="1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89"/>
      <c r="M154" s="89"/>
      <c r="N154" s="90"/>
      <c r="O154" s="158"/>
    </row>
    <row r="155" spans="1:22" ht="20.399999999999999" customHeight="1">
      <c r="A155" s="263" t="s">
        <v>60</v>
      </c>
      <c r="B155" s="263"/>
      <c r="C155" s="263"/>
      <c r="D155" s="263"/>
      <c r="E155" s="332"/>
      <c r="F155" s="332"/>
      <c r="G155" s="332"/>
      <c r="H155" s="332"/>
      <c r="I155" s="332"/>
      <c r="J155" s="333" t="s">
        <v>36</v>
      </c>
      <c r="K155" s="333"/>
      <c r="L155" s="333"/>
      <c r="M155" s="333"/>
      <c r="N155" s="333"/>
      <c r="O155" s="158"/>
    </row>
    <row r="156" spans="1:22" ht="20.399999999999999" customHeight="1">
      <c r="A156" s="163"/>
      <c r="B156" s="163"/>
      <c r="C156" s="163"/>
      <c r="D156" s="332"/>
      <c r="E156" s="332"/>
      <c r="F156" s="332"/>
      <c r="G156" s="332"/>
      <c r="H156" s="334"/>
      <c r="I156" s="334"/>
      <c r="J156" s="334"/>
      <c r="K156" s="334"/>
      <c r="L156" s="334"/>
      <c r="M156" s="334"/>
      <c r="N156" s="334"/>
      <c r="O156" s="158"/>
    </row>
    <row r="157" spans="1:22" ht="20.399999999999999" customHeight="1">
      <c r="A157" s="163"/>
      <c r="B157" s="163"/>
      <c r="C157" s="163"/>
      <c r="D157" s="332"/>
      <c r="E157" s="332"/>
      <c r="F157" s="332"/>
      <c r="G157" s="332"/>
      <c r="H157" s="334"/>
      <c r="I157" s="334"/>
      <c r="J157" s="334"/>
      <c r="K157" s="334"/>
      <c r="L157" s="334"/>
      <c r="M157" s="334"/>
      <c r="N157" s="334"/>
      <c r="O157" s="158"/>
    </row>
    <row r="158" spans="1:22" ht="20.399999999999999" customHeight="1">
      <c r="A158" s="163"/>
      <c r="B158" s="163"/>
      <c r="C158" s="163"/>
      <c r="D158" s="332"/>
      <c r="E158" s="332"/>
      <c r="F158" s="332"/>
      <c r="G158" s="332"/>
      <c r="H158" s="334"/>
      <c r="I158" s="334"/>
      <c r="J158" s="335" t="s">
        <v>103</v>
      </c>
      <c r="K158" s="335"/>
      <c r="L158" s="335"/>
      <c r="M158" s="335"/>
      <c r="N158" s="335"/>
      <c r="O158" s="158"/>
    </row>
    <row r="159" spans="1:22" ht="20.399999999999999" customHeight="1">
      <c r="A159" s="264" t="s">
        <v>84</v>
      </c>
      <c r="B159" s="264"/>
      <c r="C159" s="264"/>
      <c r="D159" s="264"/>
      <c r="E159" s="332"/>
      <c r="F159" s="332"/>
      <c r="G159" s="332"/>
      <c r="H159" s="334"/>
      <c r="I159" s="334"/>
      <c r="O159" s="158"/>
    </row>
    <row r="160" spans="1:22" ht="20.399999999999999" customHeight="1">
      <c r="J160" s="334"/>
      <c r="K160" s="334"/>
      <c r="L160" s="334"/>
      <c r="M160" s="334"/>
      <c r="N160" s="334"/>
    </row>
    <row r="161" spans="10:14" ht="20.399999999999999" customHeight="1">
      <c r="J161" s="335" t="s">
        <v>114</v>
      </c>
      <c r="K161" s="335"/>
      <c r="L161" s="335"/>
      <c r="M161" s="335"/>
      <c r="N161" s="335"/>
    </row>
  </sheetData>
  <mergeCells count="204">
    <mergeCell ref="A155:D155"/>
    <mergeCell ref="J155:N155"/>
    <mergeCell ref="J158:N158"/>
    <mergeCell ref="A159:D159"/>
    <mergeCell ref="J161:N161"/>
    <mergeCell ref="A148:N148"/>
    <mergeCell ref="B149:N149"/>
    <mergeCell ref="B150:N150"/>
    <mergeCell ref="B151:N151"/>
    <mergeCell ref="B152:N152"/>
    <mergeCell ref="B153:N153"/>
    <mergeCell ref="A145:B146"/>
    <mergeCell ref="C145:D145"/>
    <mergeCell ref="E145:F145"/>
    <mergeCell ref="G145:H145"/>
    <mergeCell ref="C146:D146"/>
    <mergeCell ref="E146:F146"/>
    <mergeCell ref="G146:H146"/>
    <mergeCell ref="E143:F143"/>
    <mergeCell ref="G143:H143"/>
    <mergeCell ref="A144:C144"/>
    <mergeCell ref="E144:F144"/>
    <mergeCell ref="G144:H144"/>
    <mergeCell ref="Q141:R141"/>
    <mergeCell ref="S141:T141"/>
    <mergeCell ref="U141:V141"/>
    <mergeCell ref="E142:F142"/>
    <mergeCell ref="G142:H142"/>
    <mergeCell ref="Q142:R142"/>
    <mergeCell ref="S142:T142"/>
    <mergeCell ref="U142:V142"/>
    <mergeCell ref="L139:L146"/>
    <mergeCell ref="M139:M146"/>
    <mergeCell ref="N139:N146"/>
    <mergeCell ref="E140:F140"/>
    <mergeCell ref="G140:H140"/>
    <mergeCell ref="K144:K146"/>
    <mergeCell ref="J144:J146"/>
    <mergeCell ref="A141:C142"/>
    <mergeCell ref="I141:I142"/>
    <mergeCell ref="J141:J142"/>
    <mergeCell ref="K141:K142"/>
    <mergeCell ref="A143:C143"/>
    <mergeCell ref="A135:B135"/>
    <mergeCell ref="N135:N136"/>
    <mergeCell ref="A136:B136"/>
    <mergeCell ref="A137:B138"/>
    <mergeCell ref="A139:B140"/>
    <mergeCell ref="C139:C140"/>
    <mergeCell ref="D139:D140"/>
    <mergeCell ref="I139:I140"/>
    <mergeCell ref="J139:J140"/>
    <mergeCell ref="K139:K140"/>
    <mergeCell ref="I131:I134"/>
    <mergeCell ref="J131:J134"/>
    <mergeCell ref="K131:K134"/>
    <mergeCell ref="L131:L134"/>
    <mergeCell ref="M131:M134"/>
    <mergeCell ref="N131:N134"/>
    <mergeCell ref="A131:A134"/>
    <mergeCell ref="B131:B134"/>
    <mergeCell ref="C131:C134"/>
    <mergeCell ref="D131:D134"/>
    <mergeCell ref="E131:F132"/>
    <mergeCell ref="G131:H132"/>
    <mergeCell ref="E133:E134"/>
    <mergeCell ref="F133:F134"/>
    <mergeCell ref="G133:G134"/>
    <mergeCell ref="H133:H134"/>
    <mergeCell ref="N110:N111"/>
    <mergeCell ref="A112:B113"/>
    <mergeCell ref="A114:B114"/>
    <mergeCell ref="N125:N126"/>
    <mergeCell ref="A127:B128"/>
    <mergeCell ref="A129:B129"/>
    <mergeCell ref="N92:N95"/>
    <mergeCell ref="E94:E95"/>
    <mergeCell ref="F94:F95"/>
    <mergeCell ref="G94:G95"/>
    <mergeCell ref="H94:H95"/>
    <mergeCell ref="A96:N96"/>
    <mergeCell ref="G92:H93"/>
    <mergeCell ref="I92:I95"/>
    <mergeCell ref="J92:J95"/>
    <mergeCell ref="K92:K95"/>
    <mergeCell ref="L92:L95"/>
    <mergeCell ref="M92:M95"/>
    <mergeCell ref="A91:C91"/>
    <mergeCell ref="A92:A95"/>
    <mergeCell ref="B92:B95"/>
    <mergeCell ref="C92:C95"/>
    <mergeCell ref="D92:D95"/>
    <mergeCell ref="E92:F93"/>
    <mergeCell ref="A88:D88"/>
    <mergeCell ref="E88:I90"/>
    <mergeCell ref="J88:N88"/>
    <mergeCell ref="A89:D89"/>
    <mergeCell ref="J89:N89"/>
    <mergeCell ref="A90:D90"/>
    <mergeCell ref="J90:N90"/>
    <mergeCell ref="J74:N74"/>
    <mergeCell ref="F84:N84"/>
    <mergeCell ref="A86:D87"/>
    <mergeCell ref="E86:N86"/>
    <mergeCell ref="E87:I87"/>
    <mergeCell ref="J87:N87"/>
    <mergeCell ref="B65:N65"/>
    <mergeCell ref="B66:N66"/>
    <mergeCell ref="A68:D68"/>
    <mergeCell ref="J68:N68"/>
    <mergeCell ref="J71:N71"/>
    <mergeCell ref="A72:D72"/>
    <mergeCell ref="A61:N61"/>
    <mergeCell ref="B62:N62"/>
    <mergeCell ref="B63:N63"/>
    <mergeCell ref="B64:N64"/>
    <mergeCell ref="A57:C57"/>
    <mergeCell ref="E57:F57"/>
    <mergeCell ref="G57:H57"/>
    <mergeCell ref="J57:J59"/>
    <mergeCell ref="K57:K59"/>
    <mergeCell ref="A58:B59"/>
    <mergeCell ref="C58:D58"/>
    <mergeCell ref="E58:F58"/>
    <mergeCell ref="G58:H58"/>
    <mergeCell ref="C59:D59"/>
    <mergeCell ref="S55:T55"/>
    <mergeCell ref="U55:V55"/>
    <mergeCell ref="A56:C56"/>
    <mergeCell ref="E56:F56"/>
    <mergeCell ref="G56:H56"/>
    <mergeCell ref="Q56:R56"/>
    <mergeCell ref="S56:T56"/>
    <mergeCell ref="U56:V56"/>
    <mergeCell ref="L52:L59"/>
    <mergeCell ref="M52:M59"/>
    <mergeCell ref="N52:N59"/>
    <mergeCell ref="E53:F53"/>
    <mergeCell ref="G53:H53"/>
    <mergeCell ref="A54:C55"/>
    <mergeCell ref="I54:I55"/>
    <mergeCell ref="J54:J55"/>
    <mergeCell ref="K54:K55"/>
    <mergeCell ref="E55:F55"/>
    <mergeCell ref="E59:F59"/>
    <mergeCell ref="G59:H59"/>
    <mergeCell ref="A50:B51"/>
    <mergeCell ref="A52:B53"/>
    <mergeCell ref="C52:C53"/>
    <mergeCell ref="D52:D53"/>
    <mergeCell ref="I52:I53"/>
    <mergeCell ref="J52:J53"/>
    <mergeCell ref="K52:K53"/>
    <mergeCell ref="G55:H55"/>
    <mergeCell ref="Q55:R55"/>
    <mergeCell ref="K44:K47"/>
    <mergeCell ref="L44:L47"/>
    <mergeCell ref="M44:M47"/>
    <mergeCell ref="N44:N47"/>
    <mergeCell ref="E46:E47"/>
    <mergeCell ref="F46:F47"/>
    <mergeCell ref="G46:G47"/>
    <mergeCell ref="H46:H47"/>
    <mergeCell ref="A48:B48"/>
    <mergeCell ref="N48:N49"/>
    <mergeCell ref="A49:B49"/>
    <mergeCell ref="A33:B33"/>
    <mergeCell ref="A44:A47"/>
    <mergeCell ref="B44:B47"/>
    <mergeCell ref="C44:C47"/>
    <mergeCell ref="D44:D47"/>
    <mergeCell ref="E44:F45"/>
    <mergeCell ref="G44:H45"/>
    <mergeCell ref="I44:I47"/>
    <mergeCell ref="J44:J47"/>
    <mergeCell ref="A13:N13"/>
    <mergeCell ref="G9:H10"/>
    <mergeCell ref="I9:I12"/>
    <mergeCell ref="J9:J12"/>
    <mergeCell ref="K9:K12"/>
    <mergeCell ref="L9:L12"/>
    <mergeCell ref="M9:M12"/>
    <mergeCell ref="N29:N30"/>
    <mergeCell ref="A31:B32"/>
    <mergeCell ref="A8:C8"/>
    <mergeCell ref="A9:A12"/>
    <mergeCell ref="B9:B12"/>
    <mergeCell ref="C9:C12"/>
    <mergeCell ref="D9:D12"/>
    <mergeCell ref="E9:F10"/>
    <mergeCell ref="F1:N1"/>
    <mergeCell ref="A3:D3"/>
    <mergeCell ref="E3:N3"/>
    <mergeCell ref="A4:D4"/>
    <mergeCell ref="E4:I7"/>
    <mergeCell ref="J4:N7"/>
    <mergeCell ref="A5:D5"/>
    <mergeCell ref="A7:D7"/>
    <mergeCell ref="N9:N12"/>
    <mergeCell ref="E11:E12"/>
    <mergeCell ref="F11:F12"/>
    <mergeCell ref="G11:G12"/>
    <mergeCell ref="H11:H12"/>
    <mergeCell ref="A6:D6"/>
  </mergeCells>
  <pageMargins left="0.26666666666666666" right="0.22500000000000001" top="0.46666666666666667" bottom="0.42499999999999999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55"/>
  <sheetViews>
    <sheetView workbookViewId="0">
      <selection activeCell="P1" sqref="P1"/>
    </sheetView>
  </sheetViews>
  <sheetFormatPr defaultColWidth="9.109375" defaultRowHeight="21" customHeight="1"/>
  <cols>
    <col min="1" max="1" width="4" style="1" customWidth="1"/>
    <col min="2" max="2" width="13.109375" style="1" customWidth="1"/>
    <col min="3" max="3" width="7.5546875" style="1" customWidth="1"/>
    <col min="4" max="4" width="7.21875" style="1" customWidth="1"/>
    <col min="5" max="8" width="7" style="1" customWidth="1"/>
    <col min="9" max="9" width="7.88671875" style="1" customWidth="1"/>
    <col min="10" max="11" width="7.109375" style="1" customWidth="1"/>
    <col min="12" max="12" width="6.44140625" style="1" customWidth="1"/>
    <col min="13" max="13" width="5.88671875" style="1" customWidth="1"/>
    <col min="14" max="14" width="6.88671875" style="1" customWidth="1"/>
    <col min="15" max="15" width="11.88671875" style="1" customWidth="1"/>
    <col min="16" max="16" width="9.109375" style="1"/>
    <col min="17" max="22" width="8.33203125" style="1" customWidth="1"/>
    <col min="23" max="16384" width="9.109375" style="1"/>
  </cols>
  <sheetData>
    <row r="1" spans="1:20" ht="22.8" customHeight="1">
      <c r="A1" s="10" t="s">
        <v>59</v>
      </c>
      <c r="B1" s="7"/>
      <c r="C1" s="7"/>
      <c r="D1" s="7"/>
      <c r="E1" s="7"/>
      <c r="F1" s="185" t="s">
        <v>30</v>
      </c>
      <c r="G1" s="185"/>
      <c r="H1" s="185"/>
      <c r="I1" s="185"/>
      <c r="J1" s="185"/>
      <c r="K1" s="185"/>
      <c r="L1" s="185"/>
      <c r="M1" s="185"/>
      <c r="N1" s="185"/>
      <c r="O1" s="152"/>
      <c r="P1" s="152"/>
      <c r="T1" s="2"/>
    </row>
    <row r="2" spans="1:20" ht="22.8" customHeight="1">
      <c r="A2" s="7" t="s">
        <v>175</v>
      </c>
      <c r="B2" s="7"/>
      <c r="C2" s="7"/>
      <c r="D2" s="7"/>
      <c r="E2" s="7"/>
      <c r="F2" s="166"/>
      <c r="G2" s="166"/>
      <c r="H2" s="166"/>
      <c r="I2" s="166"/>
      <c r="J2" s="166"/>
      <c r="K2" s="166"/>
      <c r="L2" s="166"/>
      <c r="M2" s="166"/>
      <c r="N2" s="166"/>
      <c r="O2" s="152"/>
      <c r="P2" s="152"/>
      <c r="T2" s="2"/>
    </row>
    <row r="3" spans="1:20" s="2" customFormat="1" ht="21" customHeight="1">
      <c r="A3" s="186" t="s">
        <v>95</v>
      </c>
      <c r="B3" s="186"/>
      <c r="C3" s="186"/>
      <c r="D3" s="186"/>
      <c r="E3" s="186" t="s">
        <v>93</v>
      </c>
      <c r="F3" s="186"/>
      <c r="G3" s="186"/>
      <c r="H3" s="186"/>
      <c r="I3" s="186"/>
      <c r="J3" s="186"/>
      <c r="K3" s="186"/>
      <c r="L3" s="186"/>
      <c r="M3" s="186"/>
      <c r="N3" s="186"/>
      <c r="O3" s="153"/>
    </row>
    <row r="4" spans="1:20" s="2" customFormat="1" ht="21" customHeight="1">
      <c r="A4" s="187" t="s">
        <v>83</v>
      </c>
      <c r="B4" s="187"/>
      <c r="C4" s="187"/>
      <c r="D4" s="187"/>
      <c r="E4" s="188" t="s">
        <v>132</v>
      </c>
      <c r="F4" s="188"/>
      <c r="G4" s="188"/>
      <c r="H4" s="188"/>
      <c r="I4" s="188"/>
      <c r="J4" s="189" t="s">
        <v>118</v>
      </c>
      <c r="K4" s="190"/>
      <c r="L4" s="190"/>
      <c r="M4" s="190"/>
      <c r="N4" s="191"/>
      <c r="O4" s="153"/>
    </row>
    <row r="5" spans="1:20" s="2" customFormat="1" ht="21" customHeight="1">
      <c r="A5" s="291" t="s">
        <v>137</v>
      </c>
      <c r="B5" s="291"/>
      <c r="C5" s="291"/>
      <c r="D5" s="291"/>
      <c r="E5" s="188"/>
      <c r="F5" s="188"/>
      <c r="G5" s="188"/>
      <c r="H5" s="188"/>
      <c r="I5" s="188"/>
      <c r="J5" s="192"/>
      <c r="K5" s="193"/>
      <c r="L5" s="193"/>
      <c r="M5" s="193"/>
      <c r="N5" s="194"/>
      <c r="O5" s="153"/>
    </row>
    <row r="6" spans="1:20" s="2" customFormat="1" ht="21" customHeight="1">
      <c r="A6" s="294" t="s">
        <v>136</v>
      </c>
      <c r="B6" s="295"/>
      <c r="C6" s="295"/>
      <c r="D6" s="296"/>
      <c r="E6" s="188"/>
      <c r="F6" s="188"/>
      <c r="G6" s="188"/>
      <c r="H6" s="188"/>
      <c r="I6" s="188"/>
      <c r="J6" s="192"/>
      <c r="K6" s="193"/>
      <c r="L6" s="193"/>
      <c r="M6" s="193"/>
      <c r="N6" s="194"/>
      <c r="O6" s="153"/>
    </row>
    <row r="7" spans="1:20" s="2" customFormat="1" ht="21" customHeight="1">
      <c r="A7" s="199" t="s">
        <v>150</v>
      </c>
      <c r="B7" s="199"/>
      <c r="C7" s="199"/>
      <c r="D7" s="199"/>
      <c r="E7" s="188"/>
      <c r="F7" s="188"/>
      <c r="G7" s="188"/>
      <c r="H7" s="188"/>
      <c r="I7" s="188"/>
      <c r="J7" s="195"/>
      <c r="K7" s="196"/>
      <c r="L7" s="196"/>
      <c r="M7" s="196"/>
      <c r="N7" s="197"/>
      <c r="O7" s="153"/>
    </row>
    <row r="8" spans="1:20" s="2" customFormat="1" ht="21" customHeight="1">
      <c r="A8" s="292" t="s">
        <v>110</v>
      </c>
      <c r="B8" s="292"/>
      <c r="C8" s="290">
        <v>234</v>
      </c>
      <c r="D8" s="290"/>
      <c r="E8" s="69"/>
      <c r="F8" s="69"/>
      <c r="G8" s="69"/>
      <c r="H8" s="69"/>
      <c r="I8" s="69"/>
      <c r="J8" s="69"/>
      <c r="K8" s="69"/>
      <c r="L8" s="69"/>
      <c r="M8" s="69"/>
      <c r="N8" s="165"/>
      <c r="O8" s="153"/>
    </row>
    <row r="9" spans="1:20" ht="21" customHeight="1">
      <c r="A9" s="172" t="s">
        <v>0</v>
      </c>
      <c r="B9" s="175" t="s">
        <v>19</v>
      </c>
      <c r="C9" s="178" t="s">
        <v>8</v>
      </c>
      <c r="D9" s="178" t="s">
        <v>9</v>
      </c>
      <c r="E9" s="181" t="s">
        <v>11</v>
      </c>
      <c r="F9" s="182"/>
      <c r="G9" s="181" t="s">
        <v>13</v>
      </c>
      <c r="H9" s="182"/>
      <c r="I9" s="200" t="s">
        <v>16</v>
      </c>
      <c r="J9" s="200" t="s">
        <v>32</v>
      </c>
      <c r="K9" s="200" t="s">
        <v>33</v>
      </c>
      <c r="L9" s="200" t="s">
        <v>17</v>
      </c>
      <c r="M9" s="200" t="s">
        <v>34</v>
      </c>
      <c r="N9" s="172" t="s">
        <v>18</v>
      </c>
      <c r="O9" s="154"/>
    </row>
    <row r="10" spans="1:20" ht="21" customHeight="1">
      <c r="A10" s="173"/>
      <c r="B10" s="176"/>
      <c r="C10" s="179"/>
      <c r="D10" s="179"/>
      <c r="E10" s="183"/>
      <c r="F10" s="184"/>
      <c r="G10" s="183"/>
      <c r="H10" s="184"/>
      <c r="I10" s="208"/>
      <c r="J10" s="208"/>
      <c r="K10" s="208"/>
      <c r="L10" s="208"/>
      <c r="M10" s="208"/>
      <c r="N10" s="173"/>
      <c r="O10" s="163"/>
    </row>
    <row r="11" spans="1:20" ht="21" customHeight="1">
      <c r="A11" s="173"/>
      <c r="B11" s="176"/>
      <c r="C11" s="179"/>
      <c r="D11" s="179"/>
      <c r="E11" s="200" t="s">
        <v>10</v>
      </c>
      <c r="F11" s="200" t="s">
        <v>12</v>
      </c>
      <c r="G11" s="200" t="s">
        <v>14</v>
      </c>
      <c r="H11" s="200" t="s">
        <v>15</v>
      </c>
      <c r="I11" s="208"/>
      <c r="J11" s="208"/>
      <c r="K11" s="208"/>
      <c r="L11" s="208"/>
      <c r="M11" s="208"/>
      <c r="N11" s="173"/>
      <c r="O11" s="163"/>
    </row>
    <row r="12" spans="1:20" ht="21" customHeight="1">
      <c r="A12" s="174"/>
      <c r="B12" s="177"/>
      <c r="C12" s="180"/>
      <c r="D12" s="180"/>
      <c r="E12" s="201"/>
      <c r="F12" s="201"/>
      <c r="G12" s="201"/>
      <c r="H12" s="201"/>
      <c r="I12" s="201"/>
      <c r="J12" s="201"/>
      <c r="K12" s="201"/>
      <c r="L12" s="201"/>
      <c r="M12" s="201"/>
      <c r="N12" s="174"/>
      <c r="O12" s="163"/>
    </row>
    <row r="13" spans="1:20" ht="20.399999999999999" customHeight="1">
      <c r="A13" s="205" t="s">
        <v>35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7"/>
      <c r="O13" s="163"/>
    </row>
    <row r="14" spans="1:20" s="2" customFormat="1" ht="20.399999999999999" customHeight="1">
      <c r="A14" s="8">
        <v>1</v>
      </c>
      <c r="B14" s="9" t="s">
        <v>2</v>
      </c>
      <c r="C14" s="12">
        <f>L14/100*100</f>
        <v>300</v>
      </c>
      <c r="D14" s="13">
        <f>C14/100*60</f>
        <v>180</v>
      </c>
      <c r="E14" s="14">
        <f>C14/100*15</f>
        <v>45</v>
      </c>
      <c r="F14" s="14"/>
      <c r="G14" s="14"/>
      <c r="H14" s="14"/>
      <c r="I14" s="14"/>
      <c r="J14" s="64">
        <f>C14/100*387</f>
        <v>1161</v>
      </c>
      <c r="K14" s="22">
        <f>C14/100*0.09</f>
        <v>0.27</v>
      </c>
      <c r="L14" s="15">
        <v>300</v>
      </c>
      <c r="M14" s="20">
        <v>20</v>
      </c>
      <c r="N14" s="16">
        <f>L14*M14</f>
        <v>6000</v>
      </c>
      <c r="O14" s="155"/>
    </row>
    <row r="15" spans="1:20" s="2" customFormat="1" ht="20.399999999999999" customHeight="1">
      <c r="A15" s="8">
        <v>2</v>
      </c>
      <c r="B15" s="9" t="s">
        <v>121</v>
      </c>
      <c r="C15" s="12">
        <f>L15/100*100</f>
        <v>450</v>
      </c>
      <c r="D15" s="13">
        <f>C15/100*899</f>
        <v>4045.5</v>
      </c>
      <c r="E15" s="14"/>
      <c r="F15" s="14"/>
      <c r="G15" s="14">
        <f>C15/100*100</f>
        <v>450</v>
      </c>
      <c r="H15" s="14"/>
      <c r="I15" s="14"/>
      <c r="J15" s="14"/>
      <c r="K15" s="14"/>
      <c r="L15" s="15">
        <v>450</v>
      </c>
      <c r="M15" s="65">
        <v>69</v>
      </c>
      <c r="N15" s="16">
        <f t="shared" ref="N15:N25" si="0">L15*M15</f>
        <v>31050</v>
      </c>
      <c r="O15" s="157"/>
    </row>
    <row r="16" spans="1:20" s="2" customFormat="1" ht="20.399999999999999" customHeight="1">
      <c r="A16" s="8">
        <v>3</v>
      </c>
      <c r="B16" s="9" t="s">
        <v>126</v>
      </c>
      <c r="C16" s="12">
        <f>L16/100*100</f>
        <v>260</v>
      </c>
      <c r="D16" s="65">
        <f>C16/100*900</f>
        <v>2340</v>
      </c>
      <c r="E16" s="14"/>
      <c r="F16" s="14"/>
      <c r="G16" s="91"/>
      <c r="H16" s="14">
        <f>C16/100*100</f>
        <v>260</v>
      </c>
      <c r="I16" s="14"/>
      <c r="J16" s="14"/>
      <c r="K16" s="14"/>
      <c r="L16" s="111">
        <v>260</v>
      </c>
      <c r="M16" s="65">
        <v>65</v>
      </c>
      <c r="N16" s="93">
        <f t="shared" si="0"/>
        <v>16900</v>
      </c>
      <c r="O16" s="157"/>
    </row>
    <row r="17" spans="1:20" s="2" customFormat="1" ht="20.399999999999999" customHeight="1">
      <c r="A17" s="8">
        <v>4</v>
      </c>
      <c r="B17" s="5" t="s">
        <v>1</v>
      </c>
      <c r="C17" s="12">
        <f>L17/100*100</f>
        <v>22230</v>
      </c>
      <c r="D17" s="65">
        <f>C17/100*337</f>
        <v>74915.100000000006</v>
      </c>
      <c r="E17" s="14"/>
      <c r="F17" s="91">
        <f>C17/100*7.9</f>
        <v>1756.17</v>
      </c>
      <c r="G17" s="14"/>
      <c r="H17" s="14">
        <f>C17/100*1</f>
        <v>222.3</v>
      </c>
      <c r="I17" s="91">
        <f>C17/100*71.9</f>
        <v>15983.370000000003</v>
      </c>
      <c r="J17" s="64">
        <f>C17/100*30</f>
        <v>6669</v>
      </c>
      <c r="K17" s="22">
        <f>C17/100*0.1</f>
        <v>22.230000000000004</v>
      </c>
      <c r="L17" s="15">
        <v>22230</v>
      </c>
      <c r="M17" s="20">
        <v>18</v>
      </c>
      <c r="N17" s="93">
        <f t="shared" si="0"/>
        <v>400140</v>
      </c>
      <c r="O17" s="155"/>
    </row>
    <row r="18" spans="1:20" s="2" customFormat="1" ht="20.399999999999999" customHeight="1">
      <c r="A18" s="8">
        <v>5</v>
      </c>
      <c r="B18" s="9" t="s">
        <v>66</v>
      </c>
      <c r="C18" s="12">
        <f>L18/100*98</f>
        <v>5958.4</v>
      </c>
      <c r="D18" s="13">
        <f>C18/100*139</f>
        <v>8282.1759999999995</v>
      </c>
      <c r="E18" s="91">
        <f>C18/100*19</f>
        <v>1132.096</v>
      </c>
      <c r="F18" s="14"/>
      <c r="G18" s="14">
        <f>C18/100*7</f>
        <v>417.08799999999997</v>
      </c>
      <c r="H18" s="14"/>
      <c r="I18" s="14"/>
      <c r="J18" s="64">
        <f>C18/100*7</f>
        <v>417.08799999999997</v>
      </c>
      <c r="K18" s="22">
        <f>C18/100*0.9</f>
        <v>53.625599999999999</v>
      </c>
      <c r="L18" s="15">
        <v>6080</v>
      </c>
      <c r="M18" s="15">
        <v>133</v>
      </c>
      <c r="N18" s="93">
        <f t="shared" si="0"/>
        <v>808640</v>
      </c>
      <c r="O18" s="155"/>
    </row>
    <row r="19" spans="1:20" s="2" customFormat="1" ht="20.399999999999999" customHeight="1">
      <c r="A19" s="8">
        <v>6</v>
      </c>
      <c r="B19" s="5" t="s">
        <v>4</v>
      </c>
      <c r="C19" s="12">
        <f>L19/100*98</f>
        <v>2851.8</v>
      </c>
      <c r="D19" s="13">
        <f>C19/100*118</f>
        <v>3365.1240000000003</v>
      </c>
      <c r="E19" s="14">
        <f>C19/100*21</f>
        <v>598.87800000000004</v>
      </c>
      <c r="F19" s="14"/>
      <c r="G19" s="14">
        <f>C19/100*3.8</f>
        <v>108.36839999999999</v>
      </c>
      <c r="H19" s="14"/>
      <c r="I19" s="14">
        <f>C19/100*2.5</f>
        <v>71.295000000000002</v>
      </c>
      <c r="J19" s="63">
        <f>C19/100*12</f>
        <v>342.21600000000001</v>
      </c>
      <c r="K19" s="21">
        <f>C19/100*0.1</f>
        <v>2.8518000000000003</v>
      </c>
      <c r="L19" s="323">
        <v>2910</v>
      </c>
      <c r="M19" s="43">
        <v>270</v>
      </c>
      <c r="N19" s="93">
        <f t="shared" si="0"/>
        <v>785700</v>
      </c>
      <c r="O19" s="156"/>
      <c r="Q19" s="3"/>
      <c r="R19" s="3"/>
    </row>
    <row r="20" spans="1:20" s="2" customFormat="1" ht="20.399999999999999" customHeight="1">
      <c r="A20" s="8">
        <v>7</v>
      </c>
      <c r="B20" s="5" t="s">
        <v>117</v>
      </c>
      <c r="C20" s="12">
        <f>L20/100*100</f>
        <v>240</v>
      </c>
      <c r="D20" s="13">
        <f>C20/100*247</f>
        <v>592.79999999999995</v>
      </c>
      <c r="E20" s="17"/>
      <c r="F20" s="17">
        <f>C20/100*17.5</f>
        <v>42</v>
      </c>
      <c r="G20" s="17"/>
      <c r="H20" s="17">
        <f>C20/100*1.6</f>
        <v>3.84</v>
      </c>
      <c r="I20" s="17">
        <f>C20/100*39.2</f>
        <v>94.08</v>
      </c>
      <c r="J20" s="21"/>
      <c r="K20" s="21"/>
      <c r="L20" s="323">
        <v>240</v>
      </c>
      <c r="M20" s="20">
        <v>50</v>
      </c>
      <c r="N20" s="16">
        <f t="shared" si="0"/>
        <v>12000</v>
      </c>
      <c r="O20" s="155"/>
      <c r="Q20" s="3"/>
      <c r="R20" s="3"/>
      <c r="S20" s="4"/>
      <c r="T20" s="3"/>
    </row>
    <row r="21" spans="1:20" s="2" customFormat="1" ht="20.399999999999999" customHeight="1">
      <c r="A21" s="8">
        <v>8</v>
      </c>
      <c r="B21" s="5" t="s">
        <v>20</v>
      </c>
      <c r="C21" s="12">
        <f>L21/100*95</f>
        <v>2242</v>
      </c>
      <c r="D21" s="13">
        <f>C21/100*20</f>
        <v>448.40000000000003</v>
      </c>
      <c r="E21" s="14"/>
      <c r="F21" s="14">
        <f>C21/100*0.6</f>
        <v>13.452</v>
      </c>
      <c r="G21" s="14"/>
      <c r="H21" s="14">
        <f>C21/100*0.2</f>
        <v>4.4840000000000009</v>
      </c>
      <c r="I21" s="14">
        <f>C21/100*4</f>
        <v>89.68</v>
      </c>
      <c r="J21" s="63">
        <f>C21/100*12</f>
        <v>269.04000000000002</v>
      </c>
      <c r="K21" s="21">
        <f>C21/100*0.04</f>
        <v>0.89680000000000004</v>
      </c>
      <c r="L21" s="324">
        <v>2360</v>
      </c>
      <c r="M21" s="15">
        <v>22</v>
      </c>
      <c r="N21" s="16">
        <f t="shared" si="0"/>
        <v>51920</v>
      </c>
      <c r="O21" s="155"/>
    </row>
    <row r="22" spans="1:20" s="2" customFormat="1" ht="20.399999999999999" customHeight="1">
      <c r="A22" s="8">
        <v>9</v>
      </c>
      <c r="B22" s="5" t="s">
        <v>5</v>
      </c>
      <c r="C22" s="12">
        <f>L22/100*98.5</f>
        <v>965.30000000000007</v>
      </c>
      <c r="D22" s="13">
        <f>C22/100*39</f>
        <v>376.46700000000004</v>
      </c>
      <c r="E22" s="17"/>
      <c r="F22" s="17">
        <f>C22/100*1.5</f>
        <v>14.479500000000002</v>
      </c>
      <c r="G22" s="17"/>
      <c r="H22" s="17">
        <f>C22/100*0.2</f>
        <v>1.9306000000000001</v>
      </c>
      <c r="I22" s="17">
        <f>C22/100*7.8</f>
        <v>75.293400000000005</v>
      </c>
      <c r="J22" s="17">
        <f>C22/100*43</f>
        <v>415.07900000000001</v>
      </c>
      <c r="K22" s="17">
        <f>C22/100*0.06</f>
        <v>0.57918000000000003</v>
      </c>
      <c r="L22" s="324">
        <v>980</v>
      </c>
      <c r="M22" s="15">
        <v>17</v>
      </c>
      <c r="N22" s="16">
        <f t="shared" si="0"/>
        <v>16660</v>
      </c>
      <c r="O22" s="155"/>
      <c r="Q22" s="3"/>
      <c r="R22" s="3"/>
      <c r="S22" s="4"/>
    </row>
    <row r="23" spans="1:20" s="2" customFormat="1" ht="20.399999999999999" customHeight="1">
      <c r="A23" s="8">
        <v>10</v>
      </c>
      <c r="B23" s="5" t="s">
        <v>68</v>
      </c>
      <c r="C23" s="12">
        <f>L23/100*75</f>
        <v>1755</v>
      </c>
      <c r="D23" s="13">
        <f>C23/100*12</f>
        <v>210.60000000000002</v>
      </c>
      <c r="E23" s="14">
        <f>C23/100*0.6</f>
        <v>10.53</v>
      </c>
      <c r="F23" s="14"/>
      <c r="G23" s="14"/>
      <c r="H23" s="14"/>
      <c r="I23" s="14">
        <f>C23/100*2.4</f>
        <v>42.12</v>
      </c>
      <c r="J23" s="64">
        <f>C23/100*26</f>
        <v>456.3</v>
      </c>
      <c r="K23" s="22">
        <f>C23/100*0.02</f>
        <v>0.35100000000000003</v>
      </c>
      <c r="L23" s="111">
        <v>2340</v>
      </c>
      <c r="M23" s="15">
        <v>22</v>
      </c>
      <c r="N23" s="16">
        <f t="shared" si="0"/>
        <v>51480</v>
      </c>
      <c r="O23" s="155"/>
    </row>
    <row r="24" spans="1:20" s="2" customFormat="1" ht="20.399999999999999" customHeight="1">
      <c r="A24" s="8">
        <v>11</v>
      </c>
      <c r="B24" s="67" t="s">
        <v>62</v>
      </c>
      <c r="C24" s="12">
        <f>L24/100*89</f>
        <v>7298</v>
      </c>
      <c r="D24" s="65">
        <f>C24/100*154</f>
        <v>11238.92</v>
      </c>
      <c r="E24" s="14">
        <f>C24/100*13.1</f>
        <v>956.03800000000001</v>
      </c>
      <c r="F24" s="14"/>
      <c r="G24" s="14">
        <f>C24/100*11.1</f>
        <v>810.07799999999997</v>
      </c>
      <c r="H24" s="14"/>
      <c r="I24" s="14">
        <f>C24/100*0.4</f>
        <v>29.192000000000004</v>
      </c>
      <c r="J24" s="64">
        <f>C24/100*64</f>
        <v>4670.72</v>
      </c>
      <c r="K24" s="22">
        <f>C24/100*0.13</f>
        <v>9.4874000000000009</v>
      </c>
      <c r="L24" s="15">
        <v>8200</v>
      </c>
      <c r="M24" s="42">
        <v>77</v>
      </c>
      <c r="N24" s="92">
        <f t="shared" si="0"/>
        <v>631400</v>
      </c>
      <c r="O24" s="155"/>
    </row>
    <row r="25" spans="1:20" s="2" customFormat="1" ht="20.399999999999999" customHeight="1">
      <c r="A25" s="8">
        <v>12</v>
      </c>
      <c r="B25" s="5" t="s">
        <v>151</v>
      </c>
      <c r="C25" s="12">
        <f>L25/100*90</f>
        <v>7380</v>
      </c>
      <c r="D25" s="13">
        <f>C25/100*29</f>
        <v>2140.1999999999998</v>
      </c>
      <c r="E25" s="17"/>
      <c r="F25" s="17">
        <f>C25/100*1.8</f>
        <v>132.84</v>
      </c>
      <c r="G25" s="17"/>
      <c r="H25" s="17">
        <f>C25/100*0.1</f>
        <v>7.38</v>
      </c>
      <c r="I25" s="17">
        <f>C25/100*5.3</f>
        <v>391.14</v>
      </c>
      <c r="J25" s="63">
        <f>C25/100*48</f>
        <v>3542.3999999999996</v>
      </c>
      <c r="K25" s="21">
        <f>C25/100*0.05</f>
        <v>3.69</v>
      </c>
      <c r="L25" s="323">
        <v>8200</v>
      </c>
      <c r="M25" s="15">
        <v>13</v>
      </c>
      <c r="N25" s="93">
        <f t="shared" si="0"/>
        <v>106600</v>
      </c>
      <c r="O25" s="155"/>
      <c r="Q25" s="3"/>
      <c r="R25" s="3"/>
      <c r="S25" s="4"/>
    </row>
    <row r="26" spans="1:20" s="2" customFormat="1" ht="20.399999999999999" customHeight="1">
      <c r="A26" s="8">
        <v>13</v>
      </c>
      <c r="B26" s="9" t="s">
        <v>111</v>
      </c>
      <c r="C26" s="12"/>
      <c r="D26" s="135"/>
      <c r="E26" s="14"/>
      <c r="F26" s="14"/>
      <c r="G26" s="14"/>
      <c r="H26" s="14"/>
      <c r="I26" s="14"/>
      <c r="J26" s="22"/>
      <c r="K26" s="22"/>
      <c r="L26" s="15"/>
      <c r="M26" s="15"/>
      <c r="N26" s="16">
        <v>18240</v>
      </c>
      <c r="O26" s="155"/>
    </row>
    <row r="27" spans="1:20" s="2" customFormat="1" ht="20.399999999999999" customHeight="1">
      <c r="A27" s="23" t="s">
        <v>97</v>
      </c>
      <c r="B27" s="24"/>
      <c r="C27" s="25"/>
      <c r="D27" s="148">
        <f>SUM(D14:D26)</f>
        <v>108135.28700000001</v>
      </c>
      <c r="E27" s="27"/>
      <c r="F27" s="27"/>
      <c r="G27" s="27"/>
      <c r="H27" s="27"/>
      <c r="I27" s="27"/>
      <c r="J27" s="27"/>
      <c r="K27" s="27"/>
      <c r="L27" s="28"/>
      <c r="M27" s="28"/>
      <c r="N27" s="209">
        <f>SUM(N14:N26)</f>
        <v>2936730</v>
      </c>
      <c r="O27" s="155"/>
    </row>
    <row r="28" spans="1:20" s="2" customFormat="1" ht="20.399999999999999" customHeight="1">
      <c r="A28" s="23" t="s">
        <v>6</v>
      </c>
      <c r="B28" s="24"/>
      <c r="C28" s="25"/>
      <c r="D28" s="26">
        <f>D27/C8</f>
        <v>462.11661111111118</v>
      </c>
      <c r="E28" s="27"/>
      <c r="F28" s="27"/>
      <c r="G28" s="27"/>
      <c r="H28" s="27"/>
      <c r="I28" s="27"/>
      <c r="J28" s="27"/>
      <c r="K28" s="27"/>
      <c r="L28" s="28"/>
      <c r="M28" s="28"/>
      <c r="N28" s="210"/>
      <c r="O28" s="155"/>
    </row>
    <row r="29" spans="1:20" s="2" customFormat="1" ht="20.399999999999999" customHeight="1">
      <c r="A29" s="211" t="s">
        <v>37</v>
      </c>
      <c r="B29" s="212"/>
      <c r="C29" s="325" t="s">
        <v>133</v>
      </c>
      <c r="D29" s="29" t="s">
        <v>38</v>
      </c>
      <c r="E29" s="27"/>
      <c r="F29" s="27"/>
      <c r="G29" s="27"/>
      <c r="H29" s="27"/>
      <c r="I29" s="27"/>
      <c r="J29" s="27"/>
      <c r="K29" s="27"/>
      <c r="L29" s="28"/>
      <c r="M29" s="28"/>
      <c r="N29" s="30"/>
      <c r="O29" s="155"/>
    </row>
    <row r="30" spans="1:20" s="2" customFormat="1" ht="20.399999999999999" customHeight="1">
      <c r="A30" s="213"/>
      <c r="B30" s="214"/>
      <c r="C30" s="62" t="s">
        <v>58</v>
      </c>
      <c r="D30" s="29">
        <f>D28*100/1320</f>
        <v>35.008834175084182</v>
      </c>
      <c r="E30" s="27"/>
      <c r="F30" s="27"/>
      <c r="G30" s="27"/>
      <c r="H30" s="27"/>
      <c r="I30" s="27"/>
      <c r="J30" s="27"/>
      <c r="K30" s="27"/>
      <c r="L30" s="28"/>
      <c r="M30" s="28"/>
      <c r="N30" s="30"/>
      <c r="O30" s="155"/>
    </row>
    <row r="31" spans="1:20" s="2" customFormat="1" ht="20.399999999999999" customHeight="1">
      <c r="A31" s="215" t="s">
        <v>39</v>
      </c>
      <c r="B31" s="215"/>
      <c r="C31" s="45"/>
      <c r="D31" s="46"/>
      <c r="E31" s="47"/>
      <c r="F31" s="47"/>
      <c r="G31" s="47"/>
      <c r="H31" s="47"/>
      <c r="I31" s="47"/>
      <c r="J31" s="47"/>
      <c r="K31" s="47"/>
      <c r="L31" s="48"/>
      <c r="M31" s="48"/>
      <c r="N31" s="49"/>
      <c r="O31" s="155"/>
    </row>
    <row r="32" spans="1:20" s="2" customFormat="1" ht="20.399999999999999" customHeight="1">
      <c r="A32" s="8">
        <v>1</v>
      </c>
      <c r="B32" s="9" t="s">
        <v>2</v>
      </c>
      <c r="C32" s="12">
        <f>L32/100*100</f>
        <v>280</v>
      </c>
      <c r="D32" s="13">
        <f>C32/100*60</f>
        <v>168</v>
      </c>
      <c r="E32" s="14">
        <f>C32/100*15</f>
        <v>42</v>
      </c>
      <c r="F32" s="14"/>
      <c r="G32" s="14"/>
      <c r="H32" s="14"/>
      <c r="I32" s="14"/>
      <c r="J32" s="64">
        <f>C32/100*387</f>
        <v>1083.5999999999999</v>
      </c>
      <c r="K32" s="22">
        <f>C32/100*0.09</f>
        <v>0.252</v>
      </c>
      <c r="L32" s="111">
        <v>280</v>
      </c>
      <c r="M32" s="20">
        <v>20</v>
      </c>
      <c r="N32" s="16">
        <f>L32*M32</f>
        <v>5600</v>
      </c>
      <c r="O32" s="155"/>
    </row>
    <row r="33" spans="1:23" s="2" customFormat="1" ht="20.399999999999999" customHeight="1">
      <c r="A33" s="8">
        <v>2</v>
      </c>
      <c r="B33" s="9" t="s">
        <v>121</v>
      </c>
      <c r="C33" s="12">
        <f>L33/100*100</f>
        <v>590</v>
      </c>
      <c r="D33" s="13">
        <f>C33/100*899</f>
        <v>5304.1</v>
      </c>
      <c r="E33" s="14"/>
      <c r="F33" s="14"/>
      <c r="G33" s="14">
        <f>C33/100*100</f>
        <v>590</v>
      </c>
      <c r="H33" s="14"/>
      <c r="I33" s="14"/>
      <c r="J33" s="14"/>
      <c r="K33" s="14"/>
      <c r="L33" s="15">
        <v>590</v>
      </c>
      <c r="M33" s="65">
        <v>69</v>
      </c>
      <c r="N33" s="16">
        <f t="shared" ref="N33" si="1">L33*M33</f>
        <v>40710</v>
      </c>
      <c r="O33" s="157"/>
    </row>
    <row r="34" spans="1:23" s="2" customFormat="1" ht="20.399999999999999" customHeight="1">
      <c r="A34" s="8">
        <v>3</v>
      </c>
      <c r="B34" s="5" t="s">
        <v>65</v>
      </c>
      <c r="C34" s="12">
        <f>L34/100*100</f>
        <v>2340</v>
      </c>
      <c r="D34" s="13">
        <f>C34/100*344</f>
        <v>8049.5999999999995</v>
      </c>
      <c r="E34" s="14"/>
      <c r="F34" s="14">
        <f>C34/100*8.6</f>
        <v>201.23999999999998</v>
      </c>
      <c r="G34" s="14"/>
      <c r="H34" s="14">
        <f>C34/100*1.5</f>
        <v>35.099999999999994</v>
      </c>
      <c r="I34" s="14">
        <f>C34/100*74.5</f>
        <v>1743.3</v>
      </c>
      <c r="J34" s="14">
        <f>C34/100*32</f>
        <v>748.8</v>
      </c>
      <c r="K34" s="14">
        <f>C34/100*0.14</f>
        <v>3.2760000000000002</v>
      </c>
      <c r="L34" s="111">
        <v>2340</v>
      </c>
      <c r="M34" s="20">
        <v>30</v>
      </c>
      <c r="N34" s="16">
        <f t="shared" ref="N34:N39" si="2">L34*M34</f>
        <v>70200</v>
      </c>
      <c r="O34" s="155"/>
      <c r="P34" s="326"/>
    </row>
    <row r="35" spans="1:23" s="2" customFormat="1" ht="20.399999999999999" customHeight="1">
      <c r="A35" s="8">
        <v>4</v>
      </c>
      <c r="B35" s="5" t="s">
        <v>1</v>
      </c>
      <c r="C35" s="12">
        <f>L35/100*100</f>
        <v>3510</v>
      </c>
      <c r="D35" s="65">
        <f>C35/100*337</f>
        <v>11828.7</v>
      </c>
      <c r="E35" s="14"/>
      <c r="F35" s="14">
        <f>C35/100*7.9</f>
        <v>277.29000000000002</v>
      </c>
      <c r="G35" s="14"/>
      <c r="H35" s="14">
        <f>C35/100*1</f>
        <v>35.1</v>
      </c>
      <c r="I35" s="91">
        <f>C35/100*71.9</f>
        <v>2523.6900000000005</v>
      </c>
      <c r="J35" s="151">
        <f>C35/100*30</f>
        <v>1053</v>
      </c>
      <c r="K35" s="22">
        <f>C35/100*0.1</f>
        <v>3.5100000000000002</v>
      </c>
      <c r="L35" s="111">
        <v>3510</v>
      </c>
      <c r="M35" s="20">
        <v>18</v>
      </c>
      <c r="N35" s="16">
        <f t="shared" si="2"/>
        <v>63180</v>
      </c>
      <c r="O35" s="155"/>
    </row>
    <row r="36" spans="1:23" s="2" customFormat="1" ht="20.399999999999999" customHeight="1">
      <c r="A36" s="8">
        <v>5</v>
      </c>
      <c r="B36" s="5" t="s">
        <v>117</v>
      </c>
      <c r="C36" s="12">
        <f>L36/100*100</f>
        <v>140</v>
      </c>
      <c r="D36" s="13">
        <f>C36/100*247</f>
        <v>345.79999999999995</v>
      </c>
      <c r="E36" s="17"/>
      <c r="F36" s="17">
        <f>C36/100*17.5</f>
        <v>24.5</v>
      </c>
      <c r="G36" s="17"/>
      <c r="H36" s="17">
        <f>C36/100*1.6</f>
        <v>2.2399999999999998</v>
      </c>
      <c r="I36" s="17">
        <f>C36/100*39.2</f>
        <v>54.88</v>
      </c>
      <c r="J36" s="150"/>
      <c r="K36" s="21"/>
      <c r="L36" s="323">
        <v>140</v>
      </c>
      <c r="M36" s="20">
        <v>50</v>
      </c>
      <c r="N36" s="16">
        <f t="shared" si="2"/>
        <v>7000</v>
      </c>
      <c r="O36" s="155"/>
      <c r="Q36" s="3"/>
      <c r="R36" s="3"/>
      <c r="S36" s="4"/>
      <c r="T36" s="3"/>
    </row>
    <row r="37" spans="1:23" s="2" customFormat="1" ht="20.399999999999999" customHeight="1">
      <c r="A37" s="8">
        <v>6</v>
      </c>
      <c r="B37" s="5" t="s">
        <v>68</v>
      </c>
      <c r="C37" s="12">
        <f>L37/100*75</f>
        <v>3510</v>
      </c>
      <c r="D37" s="13">
        <f>C37/100*12</f>
        <v>421.20000000000005</v>
      </c>
      <c r="E37" s="14">
        <f>C37/100*0.6</f>
        <v>21.06</v>
      </c>
      <c r="F37" s="14"/>
      <c r="G37" s="14"/>
      <c r="H37" s="14"/>
      <c r="I37" s="14">
        <f>C37/100*2.4</f>
        <v>84.24</v>
      </c>
      <c r="J37" s="64">
        <f>C37/100*26</f>
        <v>912.6</v>
      </c>
      <c r="K37" s="22">
        <f>C37/100*0.02</f>
        <v>0.70200000000000007</v>
      </c>
      <c r="L37" s="111">
        <v>4680</v>
      </c>
      <c r="M37" s="15">
        <v>22</v>
      </c>
      <c r="N37" s="93">
        <f t="shared" si="2"/>
        <v>102960</v>
      </c>
      <c r="O37" s="155"/>
    </row>
    <row r="38" spans="1:23" s="2" customFormat="1" ht="20.399999999999999" customHeight="1">
      <c r="A38" s="8">
        <v>7</v>
      </c>
      <c r="B38" s="9" t="s">
        <v>64</v>
      </c>
      <c r="C38" s="12">
        <f>L38/100*40</f>
        <v>5540</v>
      </c>
      <c r="D38" s="65">
        <f>C38/100*276</f>
        <v>15290.4</v>
      </c>
      <c r="E38" s="14">
        <f>C38/100*17.8</f>
        <v>986.12</v>
      </c>
      <c r="F38" s="14"/>
      <c r="G38" s="91">
        <f>C38/100*21.8</f>
        <v>1207.72</v>
      </c>
      <c r="H38" s="14"/>
      <c r="I38" s="14"/>
      <c r="J38" s="64">
        <f>C38/100*13</f>
        <v>720.19999999999993</v>
      </c>
      <c r="K38" s="22">
        <f>C38/100*0.07</f>
        <v>3.8780000000000001</v>
      </c>
      <c r="L38" s="111">
        <v>13850</v>
      </c>
      <c r="M38" s="20">
        <v>63</v>
      </c>
      <c r="N38" s="93">
        <f t="shared" si="2"/>
        <v>872550</v>
      </c>
      <c r="O38" s="155"/>
    </row>
    <row r="39" spans="1:23" s="2" customFormat="1" ht="20.399999999999999" customHeight="1">
      <c r="A39" s="8">
        <v>8</v>
      </c>
      <c r="B39" s="139" t="s">
        <v>131</v>
      </c>
      <c r="C39" s="12">
        <f>L39/100*100</f>
        <v>3979.9999999999995</v>
      </c>
      <c r="D39" s="65">
        <f>C39/100*487</f>
        <v>19382.599999999999</v>
      </c>
      <c r="E39" s="17"/>
      <c r="F39" s="17">
        <f>C39/100*19.5</f>
        <v>776.09999999999991</v>
      </c>
      <c r="G39" s="17"/>
      <c r="H39" s="17">
        <f>C39/100*23.2</f>
        <v>923.3599999999999</v>
      </c>
      <c r="I39" s="17">
        <f>C39/100*46</f>
        <v>1830.8</v>
      </c>
      <c r="J39" s="91">
        <f>C39/100*680</f>
        <v>27063.999999999996</v>
      </c>
      <c r="K39" s="14">
        <f>C39/100*0.55</f>
        <v>21.89</v>
      </c>
      <c r="L39" s="323">
        <v>3980</v>
      </c>
      <c r="M39" s="102">
        <v>260</v>
      </c>
      <c r="N39" s="93">
        <f t="shared" si="2"/>
        <v>1034800</v>
      </c>
      <c r="O39" s="155"/>
      <c r="P39" s="3"/>
    </row>
    <row r="40" spans="1:23" s="2" customFormat="1" ht="20.399999999999999" customHeight="1">
      <c r="A40" s="77">
        <v>9</v>
      </c>
      <c r="B40" s="78" t="s">
        <v>111</v>
      </c>
      <c r="C40" s="79"/>
      <c r="D40" s="80"/>
      <c r="E40" s="81"/>
      <c r="F40" s="81"/>
      <c r="G40" s="105"/>
      <c r="H40" s="105"/>
      <c r="I40" s="81"/>
      <c r="J40" s="81"/>
      <c r="K40" s="81"/>
      <c r="L40" s="82"/>
      <c r="M40" s="82"/>
      <c r="N40" s="83">
        <v>15440</v>
      </c>
      <c r="O40" s="155"/>
    </row>
    <row r="41" spans="1:23" ht="22.2" customHeight="1">
      <c r="A41" s="172" t="s">
        <v>0</v>
      </c>
      <c r="B41" s="175" t="s">
        <v>19</v>
      </c>
      <c r="C41" s="178" t="s">
        <v>8</v>
      </c>
      <c r="D41" s="178" t="s">
        <v>9</v>
      </c>
      <c r="E41" s="181" t="s">
        <v>11</v>
      </c>
      <c r="F41" s="182"/>
      <c r="G41" s="181" t="s">
        <v>13</v>
      </c>
      <c r="H41" s="182"/>
      <c r="I41" s="200" t="s">
        <v>16</v>
      </c>
      <c r="J41" s="200" t="s">
        <v>32</v>
      </c>
      <c r="K41" s="200" t="s">
        <v>33</v>
      </c>
      <c r="L41" s="200" t="s">
        <v>17</v>
      </c>
      <c r="M41" s="200" t="s">
        <v>34</v>
      </c>
      <c r="N41" s="172" t="s">
        <v>18</v>
      </c>
      <c r="O41" s="154"/>
    </row>
    <row r="42" spans="1:23" ht="22.2" customHeight="1">
      <c r="A42" s="173"/>
      <c r="B42" s="176"/>
      <c r="C42" s="179"/>
      <c r="D42" s="179"/>
      <c r="E42" s="183"/>
      <c r="F42" s="184"/>
      <c r="G42" s="183"/>
      <c r="H42" s="184"/>
      <c r="I42" s="208"/>
      <c r="J42" s="208"/>
      <c r="K42" s="208"/>
      <c r="L42" s="208"/>
      <c r="M42" s="208"/>
      <c r="N42" s="173"/>
      <c r="O42" s="163"/>
    </row>
    <row r="43" spans="1:23" ht="22.2" customHeight="1">
      <c r="A43" s="173"/>
      <c r="B43" s="176"/>
      <c r="C43" s="179"/>
      <c r="D43" s="179"/>
      <c r="E43" s="200" t="s">
        <v>10</v>
      </c>
      <c r="F43" s="200" t="s">
        <v>12</v>
      </c>
      <c r="G43" s="200" t="s">
        <v>14</v>
      </c>
      <c r="H43" s="200" t="s">
        <v>15</v>
      </c>
      <c r="I43" s="208"/>
      <c r="J43" s="208"/>
      <c r="K43" s="208"/>
      <c r="L43" s="208"/>
      <c r="M43" s="208"/>
      <c r="N43" s="173"/>
      <c r="O43" s="163"/>
    </row>
    <row r="44" spans="1:23" ht="22.2" customHeight="1">
      <c r="A44" s="174"/>
      <c r="B44" s="177"/>
      <c r="C44" s="180"/>
      <c r="D44" s="180"/>
      <c r="E44" s="201"/>
      <c r="F44" s="201"/>
      <c r="G44" s="201"/>
      <c r="H44" s="201"/>
      <c r="I44" s="201"/>
      <c r="J44" s="201"/>
      <c r="K44" s="201"/>
      <c r="L44" s="201"/>
      <c r="M44" s="201"/>
      <c r="N44" s="174"/>
      <c r="O44" s="163"/>
    </row>
    <row r="45" spans="1:23" s="2" customFormat="1" ht="21" customHeight="1">
      <c r="A45" s="216" t="s">
        <v>98</v>
      </c>
      <c r="B45" s="216"/>
      <c r="C45" s="25"/>
      <c r="D45" s="94">
        <f>SUM(D32:D40)</f>
        <v>60790.400000000001</v>
      </c>
      <c r="E45" s="31"/>
      <c r="F45" s="31"/>
      <c r="G45" s="31"/>
      <c r="H45" s="31"/>
      <c r="I45" s="31"/>
      <c r="J45" s="31"/>
      <c r="K45" s="31"/>
      <c r="L45" s="32"/>
      <c r="M45" s="32"/>
      <c r="N45" s="209">
        <f>SUM(N32:N40)</f>
        <v>2212440</v>
      </c>
      <c r="O45" s="155"/>
    </row>
    <row r="46" spans="1:23" ht="21" customHeight="1">
      <c r="A46" s="216" t="s">
        <v>7</v>
      </c>
      <c r="B46" s="216"/>
      <c r="C46" s="33"/>
      <c r="D46" s="34">
        <f>D45/C8</f>
        <v>259.7880341880342</v>
      </c>
      <c r="E46" s="34"/>
      <c r="F46" s="34"/>
      <c r="G46" s="34"/>
      <c r="H46" s="34"/>
      <c r="I46" s="34"/>
      <c r="J46" s="34"/>
      <c r="K46" s="34"/>
      <c r="L46" s="35"/>
      <c r="M46" s="35"/>
      <c r="N46" s="210"/>
      <c r="O46" s="4"/>
      <c r="P46" s="2"/>
      <c r="Q46" s="2"/>
      <c r="R46" s="2"/>
      <c r="S46" s="2"/>
      <c r="T46" s="2"/>
      <c r="U46" s="2"/>
      <c r="V46" s="2"/>
      <c r="W46" s="2"/>
    </row>
    <row r="47" spans="1:23" ht="21" customHeight="1">
      <c r="A47" s="211" t="s">
        <v>40</v>
      </c>
      <c r="B47" s="212"/>
      <c r="C47" s="325" t="s">
        <v>133</v>
      </c>
      <c r="D47" s="29" t="s">
        <v>41</v>
      </c>
      <c r="E47" s="34"/>
      <c r="F47" s="34"/>
      <c r="G47" s="34"/>
      <c r="H47" s="34"/>
      <c r="I47" s="34"/>
      <c r="J47" s="36"/>
      <c r="K47" s="36"/>
      <c r="L47" s="35"/>
      <c r="M47" s="35"/>
      <c r="N47" s="168"/>
      <c r="O47" s="4"/>
      <c r="P47" s="2"/>
      <c r="Q47" s="2"/>
      <c r="R47" s="2"/>
      <c r="S47" s="2"/>
      <c r="T47" s="2"/>
      <c r="U47" s="2"/>
      <c r="V47" s="2"/>
      <c r="W47" s="2"/>
    </row>
    <row r="48" spans="1:23" ht="21" customHeight="1">
      <c r="A48" s="213"/>
      <c r="B48" s="214"/>
      <c r="C48" s="62" t="s">
        <v>58</v>
      </c>
      <c r="D48" s="29">
        <f>D46*100/1320</f>
        <v>19.680911680911684</v>
      </c>
      <c r="E48" s="34"/>
      <c r="F48" s="34"/>
      <c r="G48" s="34"/>
      <c r="H48" s="34"/>
      <c r="I48" s="34"/>
      <c r="J48" s="36"/>
      <c r="K48" s="36"/>
      <c r="L48" s="35"/>
      <c r="M48" s="35"/>
      <c r="N48" s="168"/>
      <c r="O48" s="4"/>
      <c r="P48" s="2"/>
      <c r="Q48" s="2"/>
      <c r="R48" s="2"/>
      <c r="S48" s="2"/>
      <c r="T48" s="2"/>
      <c r="U48" s="2"/>
      <c r="V48" s="2"/>
      <c r="W48" s="2"/>
    </row>
    <row r="49" spans="1:22" ht="21" customHeight="1">
      <c r="A49" s="217" t="s">
        <v>106</v>
      </c>
      <c r="B49" s="218"/>
      <c r="C49" s="221"/>
      <c r="D49" s="223">
        <f>D27+D45</f>
        <v>168925.68700000001</v>
      </c>
      <c r="E49" s="96">
        <f>SUM(E14:E40)</f>
        <v>3791.7220000000002</v>
      </c>
      <c r="F49" s="96">
        <f t="shared" ref="F49:H49" si="3">SUM(F14:F40)</f>
        <v>3238.0714999999996</v>
      </c>
      <c r="G49" s="96">
        <f t="shared" si="3"/>
        <v>3583.2543999999998</v>
      </c>
      <c r="H49" s="95">
        <f t="shared" si="3"/>
        <v>1495.7345999999998</v>
      </c>
      <c r="I49" s="225">
        <f>SUM(I14:I40)</f>
        <v>23013.080400000003</v>
      </c>
      <c r="J49" s="227">
        <f>SUM(J14:J40)</f>
        <v>49525.042999999991</v>
      </c>
      <c r="K49" s="229">
        <f>SUM(K14:K40)</f>
        <v>127.48977999999998</v>
      </c>
      <c r="L49" s="231"/>
      <c r="M49" s="231"/>
      <c r="N49" s="232">
        <f>N27+N45</f>
        <v>5149170</v>
      </c>
      <c r="P49" s="2"/>
      <c r="Q49" s="2"/>
      <c r="R49" s="2"/>
      <c r="S49" s="2"/>
      <c r="T49" s="2"/>
      <c r="U49" s="2"/>
      <c r="V49" s="2"/>
    </row>
    <row r="50" spans="1:22" ht="21" customHeight="1">
      <c r="A50" s="219"/>
      <c r="B50" s="220"/>
      <c r="C50" s="222"/>
      <c r="D50" s="224"/>
      <c r="E50" s="233">
        <f>E49+F49</f>
        <v>7029.7934999999998</v>
      </c>
      <c r="F50" s="234"/>
      <c r="G50" s="233">
        <f>G49+H49</f>
        <v>5078.9889999999996</v>
      </c>
      <c r="H50" s="234"/>
      <c r="I50" s="226"/>
      <c r="J50" s="228"/>
      <c r="K50" s="230"/>
      <c r="L50" s="231"/>
      <c r="M50" s="231"/>
      <c r="N50" s="232"/>
      <c r="U50" s="11"/>
      <c r="V50" s="11"/>
    </row>
    <row r="51" spans="1:22" ht="21" customHeight="1">
      <c r="A51" s="235" t="s">
        <v>75</v>
      </c>
      <c r="B51" s="236"/>
      <c r="C51" s="237"/>
      <c r="D51" s="101">
        <f>D49/C8</f>
        <v>721.90464529914527</v>
      </c>
      <c r="E51" s="354">
        <f>E49/C8</f>
        <v>16.203940170940172</v>
      </c>
      <c r="F51" s="106">
        <f>F49/C8</f>
        <v>13.837912393162391</v>
      </c>
      <c r="G51" s="354">
        <f>G49/C8</f>
        <v>15.31305299145299</v>
      </c>
      <c r="H51" s="107">
        <f>H49/C8</f>
        <v>6.392028205128204</v>
      </c>
      <c r="I51" s="241">
        <f>I49/C8</f>
        <v>98.346497435897447</v>
      </c>
      <c r="J51" s="293">
        <f>J49/C8</f>
        <v>211.64548290598287</v>
      </c>
      <c r="K51" s="243">
        <f>K49/C8</f>
        <v>0.54482811965811961</v>
      </c>
      <c r="L51" s="231"/>
      <c r="M51" s="231"/>
      <c r="N51" s="232"/>
      <c r="U51" s="11"/>
      <c r="V51" s="11"/>
    </row>
    <row r="52" spans="1:22" ht="21" customHeight="1">
      <c r="A52" s="238"/>
      <c r="B52" s="239"/>
      <c r="C52" s="240"/>
      <c r="D52" s="98"/>
      <c r="E52" s="304">
        <f>E51+F51</f>
        <v>30.041852564102562</v>
      </c>
      <c r="F52" s="303"/>
      <c r="G52" s="304">
        <f>G51+H51</f>
        <v>21.705081196581194</v>
      </c>
      <c r="H52" s="303"/>
      <c r="I52" s="242"/>
      <c r="J52" s="280"/>
      <c r="K52" s="244"/>
      <c r="L52" s="231"/>
      <c r="M52" s="231"/>
      <c r="N52" s="232"/>
      <c r="P52" s="337"/>
      <c r="Q52" s="338"/>
      <c r="R52" s="338"/>
      <c r="S52" s="338"/>
      <c r="T52" s="338"/>
      <c r="U52" s="339"/>
      <c r="V52" s="339"/>
    </row>
    <row r="53" spans="1:22" ht="21" customHeight="1">
      <c r="A53" s="327" t="s">
        <v>76</v>
      </c>
      <c r="B53" s="328"/>
      <c r="C53" s="329"/>
      <c r="D53" s="330" t="s">
        <v>27</v>
      </c>
      <c r="E53" s="186" t="s">
        <v>21</v>
      </c>
      <c r="F53" s="186"/>
      <c r="G53" s="186" t="s">
        <v>22</v>
      </c>
      <c r="H53" s="186"/>
      <c r="I53" s="167" t="s">
        <v>23</v>
      </c>
      <c r="J53" s="351">
        <v>600</v>
      </c>
      <c r="K53" s="351">
        <v>0.74</v>
      </c>
      <c r="L53" s="231"/>
      <c r="M53" s="231"/>
      <c r="N53" s="232"/>
      <c r="O53" s="158"/>
      <c r="P53" s="340"/>
      <c r="Q53" s="338"/>
      <c r="R53" s="338"/>
      <c r="S53" s="338"/>
      <c r="T53" s="338"/>
      <c r="U53" s="338"/>
      <c r="V53" s="338"/>
    </row>
    <row r="54" spans="1:22" ht="21" customHeight="1">
      <c r="A54" s="248" t="s">
        <v>69</v>
      </c>
      <c r="B54" s="249"/>
      <c r="C54" s="250"/>
      <c r="D54" s="19"/>
      <c r="E54" s="251">
        <f>E52*4.1</f>
        <v>123.17159551282049</v>
      </c>
      <c r="F54" s="252"/>
      <c r="G54" s="251">
        <f>G52*9</f>
        <v>195.34573076923076</v>
      </c>
      <c r="H54" s="252"/>
      <c r="I54" s="68">
        <f>I51*4.1</f>
        <v>403.22063948717948</v>
      </c>
      <c r="J54" s="253"/>
      <c r="K54" s="253"/>
      <c r="L54" s="231"/>
      <c r="M54" s="231"/>
      <c r="N54" s="232"/>
      <c r="O54" s="158"/>
      <c r="P54" s="341"/>
      <c r="Q54" s="342"/>
      <c r="R54" s="342"/>
      <c r="S54" s="342"/>
      <c r="T54" s="337"/>
      <c r="U54" s="337"/>
      <c r="V54" s="337"/>
    </row>
    <row r="55" spans="1:22" ht="21" customHeight="1">
      <c r="A55" s="256" t="s">
        <v>70</v>
      </c>
      <c r="B55" s="257"/>
      <c r="C55" s="248" t="s">
        <v>58</v>
      </c>
      <c r="D55" s="250"/>
      <c r="E55" s="260">
        <f>E54*100/D51</f>
        <v>17.062031158115104</v>
      </c>
      <c r="F55" s="261"/>
      <c r="G55" s="260">
        <f>G54*100/D51</f>
        <v>27.059769187145587</v>
      </c>
      <c r="H55" s="261"/>
      <c r="I55" s="86">
        <f>I54*100/D51</f>
        <v>55.855110797921462</v>
      </c>
      <c r="J55" s="254"/>
      <c r="K55" s="254"/>
      <c r="L55" s="231"/>
      <c r="M55" s="231"/>
      <c r="N55" s="232"/>
      <c r="O55" s="352"/>
      <c r="P55" s="337"/>
      <c r="Q55" s="343"/>
      <c r="R55" s="337"/>
      <c r="S55" s="337"/>
      <c r="T55" s="337"/>
      <c r="U55" s="337"/>
      <c r="V55" s="337"/>
    </row>
    <row r="56" spans="1:22" ht="21" customHeight="1">
      <c r="A56" s="258"/>
      <c r="B56" s="259"/>
      <c r="C56" s="248" t="s">
        <v>71</v>
      </c>
      <c r="D56" s="250"/>
      <c r="E56" s="248" t="s">
        <v>72</v>
      </c>
      <c r="F56" s="250"/>
      <c r="G56" s="248" t="s">
        <v>73</v>
      </c>
      <c r="H56" s="250"/>
      <c r="I56" s="330" t="s">
        <v>74</v>
      </c>
      <c r="J56" s="255"/>
      <c r="K56" s="255"/>
      <c r="L56" s="231"/>
      <c r="M56" s="231"/>
      <c r="N56" s="232"/>
      <c r="O56" s="158"/>
      <c r="P56" s="84"/>
    </row>
    <row r="57" spans="1:22" ht="21" customHeight="1">
      <c r="A57" s="70"/>
      <c r="B57" s="71"/>
      <c r="C57" s="70"/>
      <c r="D57" s="70"/>
      <c r="E57" s="70"/>
      <c r="F57" s="70"/>
      <c r="G57" s="70"/>
      <c r="H57" s="70"/>
      <c r="I57" s="70"/>
      <c r="J57" s="70"/>
      <c r="K57" s="70"/>
      <c r="L57" s="72"/>
      <c r="M57" s="72"/>
      <c r="N57" s="73"/>
      <c r="O57" s="158"/>
    </row>
    <row r="58" spans="1:22" ht="21" customHeight="1">
      <c r="A58" s="245" t="s">
        <v>100</v>
      </c>
      <c r="B58" s="245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158"/>
    </row>
    <row r="59" spans="1:22" ht="21" customHeight="1">
      <c r="A59" s="87" t="s">
        <v>101</v>
      </c>
      <c r="B59" s="246" t="s">
        <v>102</v>
      </c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158"/>
    </row>
    <row r="60" spans="1:22" ht="21" customHeight="1">
      <c r="A60" s="88"/>
      <c r="B60" s="247" t="s">
        <v>181</v>
      </c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158"/>
    </row>
    <row r="61" spans="1:22" ht="21" customHeight="1">
      <c r="A61" s="88"/>
      <c r="B61" s="247" t="s">
        <v>182</v>
      </c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158"/>
    </row>
    <row r="62" spans="1:22" ht="21" customHeight="1">
      <c r="A62" s="88"/>
      <c r="B62" s="247" t="s">
        <v>183</v>
      </c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158"/>
    </row>
    <row r="63" spans="1:22" ht="21" customHeight="1">
      <c r="A63" s="70"/>
      <c r="B63" s="262" t="s">
        <v>107</v>
      </c>
      <c r="C63" s="262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158"/>
    </row>
    <row r="64" spans="1:22" ht="21" customHeigh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89"/>
      <c r="M64" s="89"/>
      <c r="N64" s="90"/>
      <c r="O64" s="158"/>
    </row>
    <row r="65" spans="1:20" ht="21" customHeight="1">
      <c r="A65" s="263" t="s">
        <v>60</v>
      </c>
      <c r="B65" s="263"/>
      <c r="C65" s="263"/>
      <c r="D65" s="263"/>
      <c r="E65" s="332"/>
      <c r="F65" s="332"/>
      <c r="G65" s="332"/>
      <c r="H65" s="332"/>
      <c r="I65" s="332"/>
      <c r="J65" s="333" t="s">
        <v>36</v>
      </c>
      <c r="K65" s="333"/>
      <c r="L65" s="333"/>
      <c r="M65" s="333"/>
      <c r="N65" s="333"/>
      <c r="O65" s="158"/>
    </row>
    <row r="66" spans="1:20" ht="21" customHeight="1">
      <c r="A66" s="163"/>
      <c r="B66" s="163"/>
      <c r="C66" s="163"/>
      <c r="D66" s="332"/>
      <c r="E66" s="332"/>
      <c r="F66" s="332"/>
      <c r="G66" s="332"/>
      <c r="H66" s="334"/>
      <c r="I66" s="334"/>
      <c r="J66" s="334"/>
      <c r="K66" s="334"/>
      <c r="L66" s="334"/>
      <c r="M66" s="334"/>
      <c r="N66" s="334"/>
      <c r="O66" s="158"/>
    </row>
    <row r="67" spans="1:20" ht="21" customHeight="1">
      <c r="A67" s="163"/>
      <c r="B67" s="163"/>
      <c r="C67" s="163"/>
      <c r="D67" s="332"/>
      <c r="E67" s="332"/>
      <c r="F67" s="332"/>
      <c r="G67" s="332"/>
      <c r="H67" s="334"/>
      <c r="I67" s="334"/>
      <c r="J67" s="334"/>
      <c r="K67" s="334"/>
      <c r="L67" s="334"/>
      <c r="M67" s="334"/>
      <c r="N67" s="334"/>
      <c r="O67" s="158"/>
    </row>
    <row r="68" spans="1:20" ht="21" customHeight="1">
      <c r="A68" s="163"/>
      <c r="B68" s="163"/>
      <c r="C68" s="163"/>
      <c r="D68" s="332"/>
      <c r="E68" s="332"/>
      <c r="F68" s="332"/>
      <c r="G68" s="332"/>
      <c r="H68" s="334"/>
      <c r="I68" s="334"/>
      <c r="J68" s="335" t="s">
        <v>103</v>
      </c>
      <c r="K68" s="335"/>
      <c r="L68" s="335"/>
      <c r="M68" s="335"/>
      <c r="N68" s="335"/>
      <c r="O68" s="158"/>
    </row>
    <row r="69" spans="1:20" ht="21" customHeight="1">
      <c r="A69" s="264" t="s">
        <v>84</v>
      </c>
      <c r="B69" s="264"/>
      <c r="C69" s="264"/>
      <c r="D69" s="264"/>
      <c r="E69" s="332"/>
      <c r="F69" s="332"/>
      <c r="G69" s="332"/>
      <c r="H69" s="334"/>
      <c r="I69" s="334"/>
      <c r="O69" s="158"/>
    </row>
    <row r="70" spans="1:20" ht="21" customHeight="1">
      <c r="A70" s="163"/>
      <c r="B70" s="163"/>
      <c r="C70" s="163"/>
      <c r="D70" s="332"/>
      <c r="E70" s="332"/>
      <c r="F70" s="332"/>
      <c r="G70" s="332"/>
      <c r="H70" s="334"/>
      <c r="I70" s="334"/>
      <c r="J70" s="334"/>
      <c r="K70" s="334"/>
      <c r="L70" s="334"/>
      <c r="M70" s="334"/>
      <c r="N70" s="334"/>
      <c r="O70" s="158"/>
    </row>
    <row r="71" spans="1:20" ht="21" customHeight="1">
      <c r="A71" s="163"/>
      <c r="B71" s="163"/>
      <c r="C71" s="163"/>
      <c r="D71" s="332"/>
      <c r="E71" s="332"/>
      <c r="F71" s="332"/>
      <c r="G71" s="332"/>
      <c r="H71" s="334"/>
      <c r="I71" s="334"/>
      <c r="J71" s="335" t="s">
        <v>114</v>
      </c>
      <c r="K71" s="335"/>
      <c r="L71" s="335"/>
      <c r="M71" s="335"/>
      <c r="N71" s="335"/>
      <c r="O71" s="158"/>
    </row>
    <row r="72" spans="1:20" ht="21" customHeight="1">
      <c r="A72" s="163"/>
      <c r="B72" s="163"/>
      <c r="C72" s="163"/>
      <c r="D72" s="332"/>
      <c r="E72" s="332"/>
      <c r="F72" s="332"/>
      <c r="G72" s="332"/>
      <c r="H72" s="334"/>
      <c r="I72" s="334"/>
      <c r="J72" s="334"/>
      <c r="K72" s="334"/>
      <c r="L72" s="334"/>
      <c r="M72" s="334"/>
      <c r="N72" s="334"/>
      <c r="O72" s="158"/>
    </row>
    <row r="73" spans="1:20" ht="21" customHeight="1">
      <c r="A73" s="163"/>
      <c r="B73" s="163"/>
      <c r="C73" s="163"/>
      <c r="D73" s="332"/>
      <c r="E73" s="332"/>
      <c r="F73" s="332"/>
      <c r="G73" s="332"/>
      <c r="H73" s="334"/>
      <c r="I73" s="334"/>
      <c r="J73" s="334"/>
      <c r="K73" s="334"/>
      <c r="L73" s="334"/>
      <c r="M73" s="334"/>
      <c r="N73" s="334"/>
      <c r="O73" s="158"/>
    </row>
    <row r="74" spans="1:20" ht="21" customHeight="1">
      <c r="A74" s="163"/>
      <c r="B74" s="163"/>
      <c r="C74" s="163"/>
      <c r="D74" s="332"/>
      <c r="E74" s="332"/>
      <c r="F74" s="332"/>
      <c r="G74" s="332"/>
      <c r="H74" s="334"/>
      <c r="I74" s="334"/>
      <c r="J74" s="334"/>
      <c r="K74" s="334"/>
      <c r="L74" s="334"/>
      <c r="M74" s="334"/>
      <c r="N74" s="334"/>
      <c r="O74" s="158"/>
    </row>
    <row r="75" spans="1:20" ht="21" customHeight="1">
      <c r="A75" s="163"/>
      <c r="B75" s="163"/>
      <c r="C75" s="163"/>
      <c r="D75" s="332"/>
      <c r="E75" s="332"/>
      <c r="F75" s="332"/>
      <c r="G75" s="332"/>
      <c r="H75" s="334"/>
      <c r="I75" s="334"/>
      <c r="J75" s="334"/>
      <c r="K75" s="334"/>
      <c r="L75" s="334"/>
      <c r="M75" s="334"/>
      <c r="N75" s="334"/>
      <c r="O75" s="158"/>
    </row>
    <row r="76" spans="1:20" ht="21" customHeight="1">
      <c r="A76" s="163"/>
      <c r="B76" s="163"/>
      <c r="C76" s="163"/>
      <c r="D76" s="332"/>
      <c r="E76" s="332"/>
      <c r="F76" s="332"/>
      <c r="G76" s="332"/>
      <c r="H76" s="334"/>
      <c r="I76" s="334"/>
      <c r="J76" s="334"/>
      <c r="K76" s="334"/>
      <c r="L76" s="334"/>
      <c r="M76" s="334"/>
      <c r="N76" s="334"/>
      <c r="O76" s="158"/>
    </row>
    <row r="77" spans="1:20" ht="21" customHeight="1">
      <c r="A77" s="163"/>
      <c r="B77" s="163"/>
      <c r="C77" s="163"/>
      <c r="D77" s="332"/>
      <c r="E77" s="332"/>
      <c r="F77" s="332"/>
      <c r="G77" s="332"/>
      <c r="H77" s="334"/>
      <c r="I77" s="334"/>
      <c r="J77" s="334"/>
      <c r="K77" s="334"/>
      <c r="L77" s="334"/>
      <c r="M77" s="334"/>
      <c r="N77" s="334"/>
      <c r="O77" s="158"/>
    </row>
    <row r="78" spans="1:20" ht="21" customHeight="1">
      <c r="A78" s="163"/>
      <c r="B78" s="163"/>
      <c r="C78" s="163"/>
      <c r="D78" s="332"/>
      <c r="E78" s="332"/>
      <c r="F78" s="332"/>
      <c r="G78" s="332"/>
      <c r="H78" s="334"/>
      <c r="I78" s="334"/>
      <c r="J78" s="334"/>
      <c r="K78" s="334"/>
      <c r="L78" s="334"/>
      <c r="M78" s="334"/>
      <c r="N78" s="334"/>
      <c r="O78" s="158"/>
    </row>
    <row r="79" spans="1:20" ht="21" customHeight="1">
      <c r="A79" s="163"/>
      <c r="B79" s="163"/>
      <c r="C79" s="163"/>
      <c r="D79" s="332"/>
      <c r="E79" s="332"/>
      <c r="F79" s="332"/>
      <c r="G79" s="332"/>
      <c r="H79" s="334"/>
      <c r="I79" s="334"/>
      <c r="J79" s="334"/>
      <c r="K79" s="334"/>
      <c r="L79" s="334"/>
      <c r="M79" s="334"/>
      <c r="N79" s="334"/>
      <c r="O79" s="158"/>
    </row>
    <row r="80" spans="1:20" ht="19.2" customHeight="1">
      <c r="A80" s="10" t="s">
        <v>59</v>
      </c>
      <c r="B80" s="7"/>
      <c r="C80" s="7"/>
      <c r="D80" s="7"/>
      <c r="E80" s="7"/>
      <c r="F80" s="185" t="s">
        <v>31</v>
      </c>
      <c r="G80" s="185"/>
      <c r="H80" s="185"/>
      <c r="I80" s="185"/>
      <c r="J80" s="185"/>
      <c r="K80" s="185"/>
      <c r="L80" s="185"/>
      <c r="M80" s="185"/>
      <c r="N80" s="185"/>
      <c r="O80" s="152"/>
      <c r="P80" s="152"/>
      <c r="T80" s="2"/>
    </row>
    <row r="81" spans="1:20" ht="19.2" customHeight="1">
      <c r="A81" s="7" t="s">
        <v>175</v>
      </c>
      <c r="B81" s="7"/>
      <c r="C81" s="7"/>
      <c r="D81" s="7"/>
      <c r="E81" s="7"/>
      <c r="F81" s="166"/>
      <c r="G81" s="166"/>
      <c r="H81" s="166"/>
      <c r="I81" s="166"/>
      <c r="J81" s="166"/>
      <c r="K81" s="166"/>
      <c r="L81" s="166"/>
      <c r="M81" s="166"/>
      <c r="N81" s="166"/>
      <c r="O81" s="152"/>
      <c r="P81" s="152"/>
      <c r="T81" s="2"/>
    </row>
    <row r="82" spans="1:20" s="2" customFormat="1" ht="19.2" customHeight="1">
      <c r="A82" s="186" t="s">
        <v>95</v>
      </c>
      <c r="B82" s="186"/>
      <c r="C82" s="186"/>
      <c r="D82" s="186"/>
      <c r="E82" s="186" t="s">
        <v>82</v>
      </c>
      <c r="F82" s="186"/>
      <c r="G82" s="186"/>
      <c r="H82" s="186"/>
      <c r="I82" s="186"/>
      <c r="J82" s="186"/>
      <c r="K82" s="186"/>
      <c r="L82" s="186"/>
      <c r="M82" s="186"/>
      <c r="N82" s="186"/>
      <c r="O82" s="153"/>
    </row>
    <row r="83" spans="1:20" s="2" customFormat="1" ht="19.2" customHeight="1">
      <c r="A83" s="186"/>
      <c r="B83" s="186"/>
      <c r="C83" s="186"/>
      <c r="D83" s="186"/>
      <c r="E83" s="186" t="s">
        <v>94</v>
      </c>
      <c r="F83" s="186"/>
      <c r="G83" s="186"/>
      <c r="H83" s="186"/>
      <c r="I83" s="186"/>
      <c r="J83" s="186" t="s">
        <v>96</v>
      </c>
      <c r="K83" s="186"/>
      <c r="L83" s="186"/>
      <c r="M83" s="186"/>
      <c r="N83" s="186"/>
      <c r="O83" s="153"/>
    </row>
    <row r="84" spans="1:20" s="2" customFormat="1" ht="19.2" customHeight="1">
      <c r="A84" s="187" t="s">
        <v>83</v>
      </c>
      <c r="B84" s="187"/>
      <c r="C84" s="187"/>
      <c r="D84" s="187"/>
      <c r="E84" s="188" t="s">
        <v>132</v>
      </c>
      <c r="F84" s="188"/>
      <c r="G84" s="188"/>
      <c r="H84" s="188"/>
      <c r="I84" s="188"/>
      <c r="J84" s="265" t="s">
        <v>83</v>
      </c>
      <c r="K84" s="266"/>
      <c r="L84" s="266"/>
      <c r="M84" s="266"/>
      <c r="N84" s="267"/>
      <c r="O84" s="153"/>
    </row>
    <row r="85" spans="1:20" s="2" customFormat="1" ht="19.2" customHeight="1">
      <c r="A85" s="291" t="s">
        <v>137</v>
      </c>
      <c r="B85" s="291"/>
      <c r="C85" s="291"/>
      <c r="D85" s="291"/>
      <c r="E85" s="188"/>
      <c r="F85" s="188"/>
      <c r="G85" s="188"/>
      <c r="H85" s="188"/>
      <c r="I85" s="188"/>
      <c r="J85" s="202" t="s">
        <v>115</v>
      </c>
      <c r="K85" s="203"/>
      <c r="L85" s="203"/>
      <c r="M85" s="203"/>
      <c r="N85" s="204"/>
      <c r="O85" s="153"/>
    </row>
    <row r="86" spans="1:20" s="2" customFormat="1" ht="19.2" customHeight="1">
      <c r="A86" s="199" t="s">
        <v>152</v>
      </c>
      <c r="B86" s="199"/>
      <c r="C86" s="199"/>
      <c r="D86" s="199"/>
      <c r="E86" s="188"/>
      <c r="F86" s="188"/>
      <c r="G86" s="188"/>
      <c r="H86" s="188"/>
      <c r="I86" s="188"/>
      <c r="J86" s="268" t="s">
        <v>159</v>
      </c>
      <c r="K86" s="269"/>
      <c r="L86" s="269"/>
      <c r="M86" s="269"/>
      <c r="N86" s="270"/>
      <c r="O86" s="153"/>
    </row>
    <row r="87" spans="1:20" ht="19.2" customHeight="1">
      <c r="A87" s="292" t="s">
        <v>110</v>
      </c>
      <c r="B87" s="292"/>
      <c r="C87" s="290">
        <v>59</v>
      </c>
      <c r="D87" s="290"/>
      <c r="E87" s="7"/>
      <c r="F87" s="166"/>
      <c r="G87" s="166"/>
      <c r="H87" s="166"/>
      <c r="I87" s="166"/>
      <c r="J87" s="166"/>
      <c r="K87" s="166"/>
      <c r="L87" s="166"/>
      <c r="M87" s="166"/>
      <c r="N87" s="166"/>
      <c r="O87" s="152"/>
      <c r="P87" s="152"/>
      <c r="T87" s="2"/>
    </row>
    <row r="88" spans="1:20" ht="19.2" customHeight="1">
      <c r="A88" s="172" t="s">
        <v>0</v>
      </c>
      <c r="B88" s="175" t="s">
        <v>19</v>
      </c>
      <c r="C88" s="178" t="s">
        <v>8</v>
      </c>
      <c r="D88" s="178" t="s">
        <v>9</v>
      </c>
      <c r="E88" s="286" t="s">
        <v>11</v>
      </c>
      <c r="F88" s="287"/>
      <c r="G88" s="286" t="s">
        <v>13</v>
      </c>
      <c r="H88" s="287"/>
      <c r="I88" s="200" t="s">
        <v>16</v>
      </c>
      <c r="J88" s="200" t="s">
        <v>32</v>
      </c>
      <c r="K88" s="200" t="s">
        <v>33</v>
      </c>
      <c r="L88" s="200" t="s">
        <v>17</v>
      </c>
      <c r="M88" s="200" t="s">
        <v>34</v>
      </c>
      <c r="N88" s="172" t="s">
        <v>18</v>
      </c>
      <c r="O88" s="154"/>
    </row>
    <row r="89" spans="1:20" ht="19.2" customHeight="1">
      <c r="A89" s="173"/>
      <c r="B89" s="176"/>
      <c r="C89" s="179"/>
      <c r="D89" s="179"/>
      <c r="E89" s="288"/>
      <c r="F89" s="289"/>
      <c r="G89" s="288"/>
      <c r="H89" s="289"/>
      <c r="I89" s="208"/>
      <c r="J89" s="208"/>
      <c r="K89" s="208"/>
      <c r="L89" s="208"/>
      <c r="M89" s="208"/>
      <c r="N89" s="173"/>
      <c r="O89" s="163"/>
    </row>
    <row r="90" spans="1:20" ht="19.2" customHeight="1">
      <c r="A90" s="173"/>
      <c r="B90" s="176"/>
      <c r="C90" s="179"/>
      <c r="D90" s="179"/>
      <c r="E90" s="200" t="s">
        <v>10</v>
      </c>
      <c r="F90" s="200" t="s">
        <v>12</v>
      </c>
      <c r="G90" s="200" t="s">
        <v>14</v>
      </c>
      <c r="H90" s="200" t="s">
        <v>15</v>
      </c>
      <c r="I90" s="208"/>
      <c r="J90" s="208"/>
      <c r="K90" s="208"/>
      <c r="L90" s="208"/>
      <c r="M90" s="208"/>
      <c r="N90" s="173"/>
      <c r="O90" s="163"/>
    </row>
    <row r="91" spans="1:20" ht="19.2" customHeight="1">
      <c r="A91" s="174"/>
      <c r="B91" s="177"/>
      <c r="C91" s="180"/>
      <c r="D91" s="180"/>
      <c r="E91" s="201"/>
      <c r="F91" s="201"/>
      <c r="G91" s="201"/>
      <c r="H91" s="201"/>
      <c r="I91" s="201"/>
      <c r="J91" s="201"/>
      <c r="K91" s="201"/>
      <c r="L91" s="201"/>
      <c r="M91" s="201"/>
      <c r="N91" s="174"/>
      <c r="O91" s="163"/>
    </row>
    <row r="92" spans="1:20" ht="18" customHeight="1">
      <c r="A92" s="205" t="s">
        <v>42</v>
      </c>
      <c r="B92" s="206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7"/>
      <c r="O92" s="163"/>
    </row>
    <row r="93" spans="1:20" s="2" customFormat="1" ht="18" customHeight="1">
      <c r="A93" s="8">
        <v>1</v>
      </c>
      <c r="B93" s="9" t="s">
        <v>2</v>
      </c>
      <c r="C93" s="12">
        <f>L93/100*100</f>
        <v>80</v>
      </c>
      <c r="D93" s="13">
        <f>C93/100*60</f>
        <v>48</v>
      </c>
      <c r="E93" s="14">
        <f>C93/100*15</f>
        <v>12</v>
      </c>
      <c r="F93" s="14"/>
      <c r="G93" s="14"/>
      <c r="H93" s="14"/>
      <c r="I93" s="14"/>
      <c r="J93" s="64">
        <f>C93/100*387</f>
        <v>309.60000000000002</v>
      </c>
      <c r="K93" s="22">
        <f>C93/100*0.09</f>
        <v>7.1999999999999995E-2</v>
      </c>
      <c r="L93" s="111">
        <v>80</v>
      </c>
      <c r="M93" s="20">
        <v>20</v>
      </c>
      <c r="N93" s="16">
        <f>L93*M93</f>
        <v>1600</v>
      </c>
      <c r="O93" s="155"/>
    </row>
    <row r="94" spans="1:20" s="2" customFormat="1" ht="18" customHeight="1">
      <c r="A94" s="8">
        <v>2</v>
      </c>
      <c r="B94" s="9" t="s">
        <v>121</v>
      </c>
      <c r="C94" s="12">
        <f>L94/100*100</f>
        <v>150</v>
      </c>
      <c r="D94" s="13">
        <f>C94/100*899</f>
        <v>1348.5</v>
      </c>
      <c r="E94" s="14"/>
      <c r="F94" s="14"/>
      <c r="G94" s="14">
        <f>C94/100*100</f>
        <v>150</v>
      </c>
      <c r="H94" s="14"/>
      <c r="I94" s="14"/>
      <c r="J94" s="14"/>
      <c r="K94" s="14"/>
      <c r="L94" s="111">
        <v>150</v>
      </c>
      <c r="M94" s="65">
        <v>69</v>
      </c>
      <c r="N94" s="16">
        <f t="shared" ref="N94:N95" si="4">L94*M94</f>
        <v>10350</v>
      </c>
      <c r="O94" s="157"/>
    </row>
    <row r="95" spans="1:20" s="2" customFormat="1" ht="18" customHeight="1">
      <c r="A95" s="8">
        <v>3</v>
      </c>
      <c r="B95" s="9" t="s">
        <v>126</v>
      </c>
      <c r="C95" s="12">
        <f>L95/100*100</f>
        <v>150</v>
      </c>
      <c r="D95" s="65">
        <f>C95/100*900</f>
        <v>1350</v>
      </c>
      <c r="E95" s="14"/>
      <c r="F95" s="14"/>
      <c r="G95" s="91"/>
      <c r="H95" s="14">
        <f>C95/100*100</f>
        <v>150</v>
      </c>
      <c r="I95" s="14"/>
      <c r="J95" s="14"/>
      <c r="K95" s="14"/>
      <c r="L95" s="111">
        <v>150</v>
      </c>
      <c r="M95" s="65">
        <v>65</v>
      </c>
      <c r="N95" s="93">
        <f t="shared" si="4"/>
        <v>9750</v>
      </c>
      <c r="O95" s="157"/>
    </row>
    <row r="96" spans="1:20" s="2" customFormat="1" ht="18" customHeight="1">
      <c r="A96" s="8">
        <v>4</v>
      </c>
      <c r="B96" s="5" t="s">
        <v>1</v>
      </c>
      <c r="C96" s="12">
        <f>L96/100*100</f>
        <v>2537</v>
      </c>
      <c r="D96" s="13">
        <f>C96/100*344</f>
        <v>8727.2800000000007</v>
      </c>
      <c r="E96" s="14"/>
      <c r="F96" s="14">
        <f>C96/100*7.9</f>
        <v>200.42300000000003</v>
      </c>
      <c r="G96" s="14"/>
      <c r="H96" s="14">
        <f>C96/100*1</f>
        <v>25.37</v>
      </c>
      <c r="I96" s="14">
        <f>C96/100*74</f>
        <v>1877.38</v>
      </c>
      <c r="J96" s="64">
        <f>C96/100*30</f>
        <v>761.1</v>
      </c>
      <c r="K96" s="22">
        <f>C96/100*0.1</f>
        <v>2.5370000000000004</v>
      </c>
      <c r="L96" s="111">
        <v>2537</v>
      </c>
      <c r="M96" s="20">
        <v>18</v>
      </c>
      <c r="N96" s="16">
        <f t="shared" ref="N96:N102" si="5">L96*M96</f>
        <v>45666</v>
      </c>
      <c r="O96" s="155"/>
    </row>
    <row r="97" spans="1:23" s="2" customFormat="1" ht="18" customHeight="1">
      <c r="A97" s="8">
        <v>5</v>
      </c>
      <c r="B97" s="5" t="s">
        <v>4</v>
      </c>
      <c r="C97" s="12">
        <f>L97/100*98</f>
        <v>725.2</v>
      </c>
      <c r="D97" s="13">
        <f>C97/100*118</f>
        <v>855.7360000000001</v>
      </c>
      <c r="E97" s="14">
        <f>C97/100*21</f>
        <v>152.292</v>
      </c>
      <c r="F97" s="14"/>
      <c r="G97" s="14">
        <f>C97/100*3.8</f>
        <v>27.557600000000001</v>
      </c>
      <c r="H97" s="14"/>
      <c r="I97" s="14">
        <f>C97/100*2.5</f>
        <v>18.130000000000003</v>
      </c>
      <c r="J97" s="21">
        <f>C97/100*12</f>
        <v>87.024000000000001</v>
      </c>
      <c r="K97" s="21">
        <f>C97/100*0.1</f>
        <v>0.72520000000000007</v>
      </c>
      <c r="L97" s="324">
        <v>740</v>
      </c>
      <c r="M97" s="43">
        <v>270</v>
      </c>
      <c r="N97" s="93">
        <f t="shared" si="5"/>
        <v>199800</v>
      </c>
      <c r="O97" s="156"/>
      <c r="Q97" s="3"/>
      <c r="R97" s="3"/>
    </row>
    <row r="98" spans="1:23" s="2" customFormat="1" ht="18" customHeight="1">
      <c r="A98" s="8">
        <v>6</v>
      </c>
      <c r="B98" s="9" t="s">
        <v>66</v>
      </c>
      <c r="C98" s="12">
        <f>L98/100*98</f>
        <v>735</v>
      </c>
      <c r="D98" s="13">
        <f>C98/100*139</f>
        <v>1021.65</v>
      </c>
      <c r="E98" s="14">
        <f>C98/100*19</f>
        <v>139.65</v>
      </c>
      <c r="F98" s="14"/>
      <c r="G98" s="14">
        <f>C98/100*7</f>
        <v>51.449999999999996</v>
      </c>
      <c r="H98" s="14"/>
      <c r="I98" s="14"/>
      <c r="J98" s="22">
        <f>C98/100*7</f>
        <v>51.449999999999996</v>
      </c>
      <c r="K98" s="22">
        <f>C98/100*0.9</f>
        <v>6.6150000000000002</v>
      </c>
      <c r="L98" s="111">
        <v>750</v>
      </c>
      <c r="M98" s="15">
        <v>133</v>
      </c>
      <c r="N98" s="93">
        <f t="shared" si="5"/>
        <v>99750</v>
      </c>
      <c r="O98" s="155"/>
    </row>
    <row r="99" spans="1:23" s="2" customFormat="1" ht="18" customHeight="1">
      <c r="A99" s="8">
        <v>7</v>
      </c>
      <c r="B99" s="5" t="s">
        <v>117</v>
      </c>
      <c r="C99" s="12">
        <f>L99/100*100</f>
        <v>50</v>
      </c>
      <c r="D99" s="13">
        <f>C99/100*247</f>
        <v>123.5</v>
      </c>
      <c r="E99" s="17"/>
      <c r="F99" s="17">
        <f>C99/100*17.5</f>
        <v>8.75</v>
      </c>
      <c r="G99" s="17"/>
      <c r="H99" s="17">
        <f>C99/100*1.6</f>
        <v>0.8</v>
      </c>
      <c r="I99" s="17">
        <f>C99/100*39.2</f>
        <v>19.600000000000001</v>
      </c>
      <c r="J99" s="21"/>
      <c r="K99" s="21"/>
      <c r="L99" s="324">
        <v>50</v>
      </c>
      <c r="M99" s="20">
        <v>50</v>
      </c>
      <c r="N99" s="16">
        <f t="shared" si="5"/>
        <v>2500</v>
      </c>
      <c r="O99" s="155"/>
      <c r="Q99" s="3"/>
      <c r="R99" s="3"/>
      <c r="S99" s="4"/>
      <c r="T99" s="3"/>
    </row>
    <row r="100" spans="1:23" s="2" customFormat="1" ht="18" customHeight="1">
      <c r="A100" s="8">
        <v>8</v>
      </c>
      <c r="B100" s="67" t="s">
        <v>62</v>
      </c>
      <c r="C100" s="12">
        <f>L100/100*89</f>
        <v>1842.3</v>
      </c>
      <c r="D100" s="13">
        <f>C100/100*154</f>
        <v>2837.1419999999998</v>
      </c>
      <c r="E100" s="14">
        <f>C100/100*13.1</f>
        <v>241.34129999999996</v>
      </c>
      <c r="F100" s="14"/>
      <c r="G100" s="14">
        <f>C100/100*11.1</f>
        <v>204.49529999999999</v>
      </c>
      <c r="H100" s="14"/>
      <c r="I100" s="14">
        <f>C100/100*0.4</f>
        <v>7.3691999999999993</v>
      </c>
      <c r="J100" s="64">
        <f>C100/100*64</f>
        <v>1179.0719999999999</v>
      </c>
      <c r="K100" s="22">
        <f>C100/100*0.13</f>
        <v>2.39499</v>
      </c>
      <c r="L100" s="111">
        <v>2070</v>
      </c>
      <c r="M100" s="42">
        <v>77</v>
      </c>
      <c r="N100" s="92">
        <f t="shared" si="5"/>
        <v>159390</v>
      </c>
      <c r="O100" s="155"/>
    </row>
    <row r="101" spans="1:23" s="2" customFormat="1" ht="18" customHeight="1">
      <c r="A101" s="8">
        <v>9</v>
      </c>
      <c r="B101" s="5" t="s">
        <v>20</v>
      </c>
      <c r="C101" s="12">
        <f>L101/100*95</f>
        <v>845.5</v>
      </c>
      <c r="D101" s="13">
        <f>C101/100*20</f>
        <v>169.1</v>
      </c>
      <c r="E101" s="14"/>
      <c r="F101" s="14">
        <f>C101/100*0.6</f>
        <v>5.0729999999999995</v>
      </c>
      <c r="G101" s="14"/>
      <c r="H101" s="14">
        <f>C101/100*0.2</f>
        <v>1.6910000000000001</v>
      </c>
      <c r="I101" s="14">
        <f>C101/100*4</f>
        <v>33.82</v>
      </c>
      <c r="J101" s="63">
        <f>C101/100*12</f>
        <v>101.46000000000001</v>
      </c>
      <c r="K101" s="21">
        <f>C101/100*0.04</f>
        <v>0.3382</v>
      </c>
      <c r="L101" s="324">
        <v>890</v>
      </c>
      <c r="M101" s="15">
        <v>22</v>
      </c>
      <c r="N101" s="16">
        <f t="shared" si="5"/>
        <v>19580</v>
      </c>
      <c r="O101" s="155"/>
    </row>
    <row r="102" spans="1:23" s="2" customFormat="1" ht="20.399999999999999" customHeight="1">
      <c r="A102" s="8">
        <v>10</v>
      </c>
      <c r="B102" s="5" t="s">
        <v>151</v>
      </c>
      <c r="C102" s="12">
        <f>L102/100*90</f>
        <v>1485</v>
      </c>
      <c r="D102" s="13">
        <f>C102/100*29</f>
        <v>430.65</v>
      </c>
      <c r="E102" s="17"/>
      <c r="F102" s="17">
        <f>C102/100*1.8</f>
        <v>26.73</v>
      </c>
      <c r="G102" s="17"/>
      <c r="H102" s="17">
        <f>C102/100*0.1</f>
        <v>1.4850000000000001</v>
      </c>
      <c r="I102" s="17">
        <f>C102/100*5.3</f>
        <v>78.704999999999998</v>
      </c>
      <c r="J102" s="63">
        <f>C102/100*48</f>
        <v>712.8</v>
      </c>
      <c r="K102" s="21">
        <f>C102/100*0.05</f>
        <v>0.74250000000000005</v>
      </c>
      <c r="L102" s="323">
        <v>1650</v>
      </c>
      <c r="M102" s="15">
        <v>13</v>
      </c>
      <c r="N102" s="16">
        <f t="shared" si="5"/>
        <v>21450</v>
      </c>
      <c r="O102" s="155"/>
      <c r="Q102" s="3"/>
      <c r="R102" s="3"/>
      <c r="S102" s="4"/>
    </row>
    <row r="103" spans="1:23" s="2" customFormat="1" ht="18" customHeight="1">
      <c r="A103" s="8">
        <v>11</v>
      </c>
      <c r="B103" s="9" t="s">
        <v>111</v>
      </c>
      <c r="C103" s="12"/>
      <c r="D103" s="135"/>
      <c r="E103" s="14"/>
      <c r="F103" s="14"/>
      <c r="G103" s="14"/>
      <c r="H103" s="14"/>
      <c r="I103" s="14"/>
      <c r="J103" s="14"/>
      <c r="K103" s="14"/>
      <c r="L103" s="15"/>
      <c r="M103" s="15"/>
      <c r="N103" s="16">
        <v>4000</v>
      </c>
      <c r="O103" s="155"/>
    </row>
    <row r="104" spans="1:23" s="2" customFormat="1" ht="18" customHeight="1">
      <c r="A104" s="23" t="s">
        <v>104</v>
      </c>
      <c r="B104" s="24"/>
      <c r="C104" s="25"/>
      <c r="D104" s="94">
        <f>SUM(D93:D103)</f>
        <v>16911.558000000001</v>
      </c>
      <c r="E104" s="31"/>
      <c r="F104" s="31"/>
      <c r="G104" s="31"/>
      <c r="H104" s="31"/>
      <c r="I104" s="31"/>
      <c r="J104" s="31"/>
      <c r="K104" s="31"/>
      <c r="L104" s="32"/>
      <c r="M104" s="32"/>
      <c r="N104" s="271">
        <f>SUM(N93:N103)</f>
        <v>573836</v>
      </c>
      <c r="O104" s="155"/>
    </row>
    <row r="105" spans="1:23" ht="18" customHeight="1">
      <c r="A105" s="23" t="s">
        <v>43</v>
      </c>
      <c r="B105" s="24"/>
      <c r="C105" s="33"/>
      <c r="D105" s="34">
        <f>D104/C87</f>
        <v>286.63657627118647</v>
      </c>
      <c r="E105" s="34"/>
      <c r="F105" s="34"/>
      <c r="G105" s="34"/>
      <c r="H105" s="34"/>
      <c r="I105" s="34"/>
      <c r="J105" s="34"/>
      <c r="K105" s="34"/>
      <c r="L105" s="35"/>
      <c r="M105" s="35"/>
      <c r="N105" s="272"/>
      <c r="O105" s="160"/>
      <c r="P105" s="2"/>
      <c r="Q105" s="2"/>
      <c r="R105" s="2"/>
      <c r="S105" s="2"/>
      <c r="T105" s="2"/>
      <c r="U105" s="2"/>
      <c r="V105" s="2"/>
      <c r="W105" s="2"/>
    </row>
    <row r="106" spans="1:23" ht="18" customHeight="1">
      <c r="A106" s="211" t="s">
        <v>44</v>
      </c>
      <c r="B106" s="212"/>
      <c r="C106" s="325" t="s">
        <v>133</v>
      </c>
      <c r="D106" s="29" t="s">
        <v>38</v>
      </c>
      <c r="E106" s="34"/>
      <c r="F106" s="34"/>
      <c r="G106" s="34"/>
      <c r="H106" s="34"/>
      <c r="I106" s="34"/>
      <c r="J106" s="36"/>
      <c r="K106" s="36"/>
      <c r="L106" s="35"/>
      <c r="M106" s="35"/>
      <c r="N106" s="168"/>
      <c r="O106" s="4"/>
      <c r="P106" s="2"/>
      <c r="Q106" s="2"/>
      <c r="R106" s="2"/>
      <c r="S106" s="2"/>
      <c r="T106" s="2"/>
      <c r="U106" s="2"/>
      <c r="V106" s="2"/>
      <c r="W106" s="2"/>
    </row>
    <row r="107" spans="1:23" ht="18" customHeight="1">
      <c r="A107" s="213"/>
      <c r="B107" s="214"/>
      <c r="C107" s="62" t="s">
        <v>58</v>
      </c>
      <c r="D107" s="29">
        <f>D105*100/930</f>
        <v>30.821137233460909</v>
      </c>
      <c r="E107" s="34"/>
      <c r="F107" s="34"/>
      <c r="G107" s="34"/>
      <c r="H107" s="34"/>
      <c r="I107" s="34"/>
      <c r="J107" s="36"/>
      <c r="K107" s="36"/>
      <c r="L107" s="35"/>
      <c r="M107" s="35"/>
      <c r="N107" s="168"/>
      <c r="O107" s="4"/>
      <c r="P107" s="2"/>
      <c r="Q107" s="2"/>
      <c r="R107" s="2"/>
      <c r="S107" s="2"/>
      <c r="T107" s="2"/>
      <c r="U107" s="2"/>
      <c r="V107" s="2"/>
      <c r="W107" s="2"/>
    </row>
    <row r="108" spans="1:23" s="2" customFormat="1" ht="18" customHeight="1">
      <c r="A108" s="215" t="s">
        <v>45</v>
      </c>
      <c r="B108" s="215"/>
      <c r="C108" s="45"/>
      <c r="D108" s="46"/>
      <c r="E108" s="47"/>
      <c r="F108" s="47"/>
      <c r="G108" s="47"/>
      <c r="H108" s="47"/>
      <c r="I108" s="47"/>
      <c r="J108" s="47"/>
      <c r="K108" s="47"/>
      <c r="L108" s="48"/>
      <c r="M108" s="48"/>
      <c r="N108" s="51"/>
      <c r="O108" s="155"/>
    </row>
    <row r="109" spans="1:23" s="2" customFormat="1" ht="18" customHeight="1">
      <c r="A109" s="8">
        <v>1</v>
      </c>
      <c r="B109" s="9" t="s">
        <v>2</v>
      </c>
      <c r="C109" s="12">
        <f>L109/100*100</f>
        <v>70</v>
      </c>
      <c r="D109" s="13">
        <f>C109/100*60</f>
        <v>42</v>
      </c>
      <c r="E109" s="14">
        <f>C109/100*15</f>
        <v>10.5</v>
      </c>
      <c r="F109" s="14"/>
      <c r="G109" s="14"/>
      <c r="H109" s="14"/>
      <c r="I109" s="14"/>
      <c r="J109" s="64">
        <f>C109/100*387</f>
        <v>270.89999999999998</v>
      </c>
      <c r="K109" s="22">
        <f>C109/100*0.09</f>
        <v>6.3E-2</v>
      </c>
      <c r="L109" s="111">
        <v>70</v>
      </c>
      <c r="M109" s="20">
        <v>20</v>
      </c>
      <c r="N109" s="16">
        <f>L109*M109</f>
        <v>1400</v>
      </c>
      <c r="O109" s="155"/>
    </row>
    <row r="110" spans="1:23" s="2" customFormat="1" ht="18" customHeight="1">
      <c r="A110" s="8">
        <v>2</v>
      </c>
      <c r="B110" s="9" t="s">
        <v>121</v>
      </c>
      <c r="C110" s="12">
        <f>L110/100*100</f>
        <v>120</v>
      </c>
      <c r="D110" s="13">
        <f>C110/100*899</f>
        <v>1078.8</v>
      </c>
      <c r="E110" s="14"/>
      <c r="F110" s="14"/>
      <c r="G110" s="14">
        <f>C110/100*100</f>
        <v>120</v>
      </c>
      <c r="H110" s="14"/>
      <c r="I110" s="14"/>
      <c r="J110" s="14"/>
      <c r="K110" s="14"/>
      <c r="L110" s="15">
        <v>120</v>
      </c>
      <c r="M110" s="65">
        <v>69</v>
      </c>
      <c r="N110" s="16">
        <f t="shared" ref="N110" si="6">L110*M110</f>
        <v>8280</v>
      </c>
      <c r="O110" s="157"/>
    </row>
    <row r="111" spans="1:23" s="2" customFormat="1" ht="18" customHeight="1">
      <c r="A111" s="8">
        <v>3</v>
      </c>
      <c r="B111" s="9" t="s">
        <v>29</v>
      </c>
      <c r="C111" s="12">
        <f>L111/100*100</f>
        <v>60</v>
      </c>
      <c r="D111" s="13">
        <f>C111/100*390</f>
        <v>234</v>
      </c>
      <c r="E111" s="14"/>
      <c r="F111" s="14"/>
      <c r="G111" s="14"/>
      <c r="H111" s="14"/>
      <c r="I111" s="14">
        <f>C111/100*97.4</f>
        <v>58.44</v>
      </c>
      <c r="J111" s="64">
        <f>C111/100*178</f>
        <v>106.8</v>
      </c>
      <c r="K111" s="22">
        <f>C111/100*0.05</f>
        <v>0.03</v>
      </c>
      <c r="L111" s="111">
        <v>60</v>
      </c>
      <c r="M111" s="20">
        <v>25</v>
      </c>
      <c r="N111" s="16">
        <f t="shared" ref="N111:N117" si="7">L111*M111</f>
        <v>1500</v>
      </c>
      <c r="O111" s="156"/>
    </row>
    <row r="112" spans="1:23" s="2" customFormat="1" ht="18" customHeight="1">
      <c r="A112" s="8">
        <v>4</v>
      </c>
      <c r="B112" s="5" t="s">
        <v>1</v>
      </c>
      <c r="C112" s="12">
        <f>L112/100*100</f>
        <v>2478</v>
      </c>
      <c r="D112" s="13">
        <f>C112/100*344</f>
        <v>8524.32</v>
      </c>
      <c r="E112" s="14"/>
      <c r="F112" s="14">
        <f>C112/100*7.9</f>
        <v>195.76200000000003</v>
      </c>
      <c r="G112" s="14"/>
      <c r="H112" s="14">
        <f>C112/100*1</f>
        <v>24.78</v>
      </c>
      <c r="I112" s="14">
        <f>C112/100*74</f>
        <v>1833.72</v>
      </c>
      <c r="J112" s="64">
        <f>C112/100*30</f>
        <v>743.40000000000009</v>
      </c>
      <c r="K112" s="22">
        <f>C112/100*0.1</f>
        <v>2.4780000000000002</v>
      </c>
      <c r="L112" s="111">
        <v>2478</v>
      </c>
      <c r="M112" s="20">
        <v>18</v>
      </c>
      <c r="N112" s="16">
        <f t="shared" si="7"/>
        <v>44604</v>
      </c>
      <c r="O112" s="155"/>
    </row>
    <row r="113" spans="1:23" s="2" customFormat="1" ht="18" customHeight="1">
      <c r="A113" s="8">
        <v>5</v>
      </c>
      <c r="B113" s="5" t="s">
        <v>117</v>
      </c>
      <c r="C113" s="12">
        <f>L113/100*100</f>
        <v>50</v>
      </c>
      <c r="D113" s="13">
        <f>C113/100*247</f>
        <v>123.5</v>
      </c>
      <c r="E113" s="17"/>
      <c r="F113" s="17">
        <f>C113/100*17.5</f>
        <v>8.75</v>
      </c>
      <c r="G113" s="17"/>
      <c r="H113" s="17">
        <f>C113/100*1.6</f>
        <v>0.8</v>
      </c>
      <c r="I113" s="17">
        <f>C113/100*39.2</f>
        <v>19.600000000000001</v>
      </c>
      <c r="J113" s="21"/>
      <c r="K113" s="21"/>
      <c r="L113" s="324">
        <v>50</v>
      </c>
      <c r="M113" s="20">
        <v>50</v>
      </c>
      <c r="N113" s="16">
        <f t="shared" si="7"/>
        <v>2500</v>
      </c>
      <c r="O113" s="155"/>
      <c r="Q113" s="3"/>
      <c r="R113" s="3"/>
      <c r="S113" s="4"/>
      <c r="T113" s="3"/>
    </row>
    <row r="114" spans="1:23" s="2" customFormat="1" ht="18" customHeight="1">
      <c r="A114" s="8">
        <v>6</v>
      </c>
      <c r="B114" s="5" t="s">
        <v>20</v>
      </c>
      <c r="C114" s="12">
        <f>L114/100*95</f>
        <v>845.5</v>
      </c>
      <c r="D114" s="13">
        <f>C114/100*20</f>
        <v>169.1</v>
      </c>
      <c r="E114" s="14"/>
      <c r="F114" s="14">
        <f>C114/100*0.6</f>
        <v>5.0729999999999995</v>
      </c>
      <c r="G114" s="14"/>
      <c r="H114" s="14">
        <f>C114/100*0.2</f>
        <v>1.6910000000000001</v>
      </c>
      <c r="I114" s="14">
        <f>C114/100*4</f>
        <v>33.82</v>
      </c>
      <c r="J114" s="63">
        <f>C114/100*12</f>
        <v>101.46000000000001</v>
      </c>
      <c r="K114" s="21">
        <f>C114/100*0.04</f>
        <v>0.3382</v>
      </c>
      <c r="L114" s="324">
        <v>890</v>
      </c>
      <c r="M114" s="15">
        <v>22</v>
      </c>
      <c r="N114" s="16">
        <f t="shared" si="7"/>
        <v>19580</v>
      </c>
      <c r="O114" s="155"/>
    </row>
    <row r="115" spans="1:23" s="2" customFormat="1" ht="18" customHeight="1">
      <c r="A115" s="8">
        <v>7</v>
      </c>
      <c r="B115" s="5" t="s">
        <v>5</v>
      </c>
      <c r="C115" s="12">
        <f>L115/100*98.5</f>
        <v>581.15000000000009</v>
      </c>
      <c r="D115" s="13">
        <f>C115/100*39</f>
        <v>226.64850000000001</v>
      </c>
      <c r="E115" s="17"/>
      <c r="F115" s="17">
        <f>C115/100*1.5</f>
        <v>8.7172499999999999</v>
      </c>
      <c r="G115" s="17"/>
      <c r="H115" s="17">
        <f>C115/100*0.2</f>
        <v>1.1623000000000001</v>
      </c>
      <c r="I115" s="17">
        <f>C115/100*7.8</f>
        <v>45.329700000000003</v>
      </c>
      <c r="J115" s="17">
        <f>C115/100*43</f>
        <v>249.89450000000002</v>
      </c>
      <c r="K115" s="17">
        <f>C115/100*0.06</f>
        <v>0.34869</v>
      </c>
      <c r="L115" s="324">
        <v>590</v>
      </c>
      <c r="M115" s="15">
        <v>17</v>
      </c>
      <c r="N115" s="16">
        <f t="shared" si="7"/>
        <v>10030</v>
      </c>
      <c r="O115" s="155"/>
      <c r="Q115" s="3"/>
      <c r="R115" s="3"/>
      <c r="S115" s="4"/>
    </row>
    <row r="116" spans="1:23" s="2" customFormat="1" ht="17.399999999999999" customHeight="1">
      <c r="A116" s="8">
        <v>8</v>
      </c>
      <c r="B116" s="5" t="s">
        <v>80</v>
      </c>
      <c r="C116" s="12">
        <f>L116/100*82</f>
        <v>1066</v>
      </c>
      <c r="D116" s="13">
        <f>C116/100*27</f>
        <v>287.82</v>
      </c>
      <c r="E116" s="17"/>
      <c r="F116" s="17">
        <f>C116/100*0.3</f>
        <v>3.198</v>
      </c>
      <c r="G116" s="17"/>
      <c r="H116" s="17">
        <f>C116/100*0.1</f>
        <v>1.0660000000000001</v>
      </c>
      <c r="I116" s="17">
        <f>C116/100*6.1</f>
        <v>65.025999999999996</v>
      </c>
      <c r="J116" s="63">
        <f>C116/100*24</f>
        <v>255.84</v>
      </c>
      <c r="K116" s="21">
        <f>C116/100*0.03</f>
        <v>0.31979999999999997</v>
      </c>
      <c r="L116" s="323">
        <v>1300</v>
      </c>
      <c r="M116" s="15">
        <v>22</v>
      </c>
      <c r="N116" s="113">
        <f t="shared" si="7"/>
        <v>28600</v>
      </c>
      <c r="O116" s="155"/>
      <c r="Q116" s="3"/>
      <c r="R116" s="3"/>
      <c r="S116" s="4"/>
    </row>
    <row r="117" spans="1:23" s="2" customFormat="1" ht="18" customHeight="1">
      <c r="A117" s="8">
        <v>9</v>
      </c>
      <c r="B117" s="9" t="s">
        <v>64</v>
      </c>
      <c r="C117" s="12">
        <f>L117/100*40</f>
        <v>2160</v>
      </c>
      <c r="D117" s="13">
        <f>C117/100*276</f>
        <v>5961.6</v>
      </c>
      <c r="E117" s="14">
        <f>C117/100*17.8</f>
        <v>384.48</v>
      </c>
      <c r="F117" s="14"/>
      <c r="G117" s="14">
        <f>C117/100*21.8</f>
        <v>470.88000000000005</v>
      </c>
      <c r="H117" s="14"/>
      <c r="I117" s="14"/>
      <c r="J117" s="64">
        <f>C117/100*13</f>
        <v>280.8</v>
      </c>
      <c r="K117" s="22">
        <f>C117/100*0.07</f>
        <v>1.5120000000000002</v>
      </c>
      <c r="L117" s="111">
        <v>5400</v>
      </c>
      <c r="M117" s="20">
        <v>63</v>
      </c>
      <c r="N117" s="93">
        <f t="shared" si="7"/>
        <v>340200</v>
      </c>
      <c r="O117" s="155"/>
    </row>
    <row r="118" spans="1:23" s="2" customFormat="1" ht="18" customHeight="1">
      <c r="A118" s="8">
        <v>10</v>
      </c>
      <c r="B118" s="9" t="s">
        <v>111</v>
      </c>
      <c r="C118" s="12"/>
      <c r="D118" s="13"/>
      <c r="E118" s="14"/>
      <c r="F118" s="14"/>
      <c r="G118" s="104"/>
      <c r="H118" s="104"/>
      <c r="I118" s="14"/>
      <c r="J118" s="14"/>
      <c r="K118" s="14"/>
      <c r="L118" s="15"/>
      <c r="M118" s="15"/>
      <c r="N118" s="16">
        <v>4000</v>
      </c>
      <c r="O118" s="155"/>
    </row>
    <row r="119" spans="1:23" s="2" customFormat="1" ht="18" customHeight="1">
      <c r="A119" s="23" t="s">
        <v>105</v>
      </c>
      <c r="B119" s="24"/>
      <c r="C119" s="25"/>
      <c r="D119" s="94">
        <f>SUM(D109:D118)</f>
        <v>16647.788499999999</v>
      </c>
      <c r="E119" s="31"/>
      <c r="F119" s="31"/>
      <c r="G119" s="31"/>
      <c r="H119" s="31"/>
      <c r="I119" s="31"/>
      <c r="J119" s="31"/>
      <c r="K119" s="31"/>
      <c r="L119" s="32"/>
      <c r="M119" s="32"/>
      <c r="N119" s="271">
        <f>SUM(N109:N118)</f>
        <v>460694</v>
      </c>
      <c r="O119" s="155"/>
    </row>
    <row r="120" spans="1:23" ht="18" customHeight="1">
      <c r="A120" s="23" t="s">
        <v>46</v>
      </c>
      <c r="B120" s="24"/>
      <c r="C120" s="52"/>
      <c r="D120" s="36">
        <f>D119/C87</f>
        <v>282.16590677966099</v>
      </c>
      <c r="E120" s="36"/>
      <c r="F120" s="36"/>
      <c r="G120" s="36"/>
      <c r="H120" s="36"/>
      <c r="I120" s="36"/>
      <c r="J120" s="36"/>
      <c r="K120" s="36"/>
      <c r="L120" s="53"/>
      <c r="M120" s="35"/>
      <c r="N120" s="272"/>
      <c r="O120" s="160"/>
      <c r="P120" s="2"/>
      <c r="Q120" s="2"/>
      <c r="R120" s="2"/>
      <c r="S120" s="2"/>
      <c r="T120" s="2"/>
      <c r="U120" s="2"/>
      <c r="V120" s="2"/>
      <c r="W120" s="2"/>
    </row>
    <row r="121" spans="1:23" ht="18" customHeight="1">
      <c r="A121" s="211" t="s">
        <v>47</v>
      </c>
      <c r="B121" s="212"/>
      <c r="C121" s="325" t="s">
        <v>133</v>
      </c>
      <c r="D121" s="29" t="s">
        <v>48</v>
      </c>
      <c r="E121" s="34"/>
      <c r="F121" s="34"/>
      <c r="G121" s="34"/>
      <c r="H121" s="34"/>
      <c r="I121" s="34"/>
      <c r="J121" s="36"/>
      <c r="K121" s="36"/>
      <c r="L121" s="35"/>
      <c r="M121" s="35"/>
      <c r="N121" s="168"/>
      <c r="O121" s="160"/>
      <c r="P121" s="2"/>
      <c r="Q121" s="2"/>
      <c r="R121" s="2"/>
      <c r="S121" s="2"/>
      <c r="T121" s="2"/>
      <c r="U121" s="2"/>
      <c r="V121" s="2"/>
      <c r="W121" s="2"/>
    </row>
    <row r="122" spans="1:23" ht="18" customHeight="1">
      <c r="A122" s="213"/>
      <c r="B122" s="214"/>
      <c r="C122" s="62" t="s">
        <v>58</v>
      </c>
      <c r="D122" s="29">
        <f>D120*100/930</f>
        <v>30.340420083834513</v>
      </c>
      <c r="E122" s="34"/>
      <c r="F122" s="34"/>
      <c r="G122" s="34"/>
      <c r="H122" s="34"/>
      <c r="I122" s="34"/>
      <c r="J122" s="36"/>
      <c r="K122" s="36"/>
      <c r="L122" s="35"/>
      <c r="M122" s="35"/>
      <c r="N122" s="168"/>
      <c r="O122" s="160"/>
      <c r="P122" s="2"/>
      <c r="Q122" s="2"/>
      <c r="R122" s="2"/>
      <c r="S122" s="2"/>
      <c r="T122" s="2"/>
      <c r="U122" s="2"/>
      <c r="V122" s="2"/>
      <c r="W122" s="2"/>
    </row>
    <row r="123" spans="1:23" ht="18" customHeight="1">
      <c r="A123" s="215" t="s">
        <v>39</v>
      </c>
      <c r="B123" s="215"/>
      <c r="C123" s="54"/>
      <c r="D123" s="55"/>
      <c r="E123" s="55"/>
      <c r="F123" s="55"/>
      <c r="G123" s="55"/>
      <c r="H123" s="55"/>
      <c r="I123" s="55"/>
      <c r="J123" s="55"/>
      <c r="K123" s="55"/>
      <c r="L123" s="56"/>
      <c r="M123" s="56"/>
      <c r="N123" s="57"/>
      <c r="O123" s="160"/>
      <c r="P123" s="2"/>
      <c r="Q123" s="2"/>
      <c r="R123" s="2"/>
      <c r="S123" s="2"/>
      <c r="T123" s="2"/>
      <c r="U123" s="2"/>
      <c r="V123" s="2"/>
      <c r="W123" s="2"/>
    </row>
    <row r="124" spans="1:23" s="2" customFormat="1" ht="18" customHeight="1">
      <c r="A124" s="119">
        <v>1</v>
      </c>
      <c r="B124" s="140" t="s">
        <v>131</v>
      </c>
      <c r="C124" s="25">
        <f>L124/100*100</f>
        <v>1010</v>
      </c>
      <c r="D124" s="120">
        <f>C124/100*487</f>
        <v>4918.7</v>
      </c>
      <c r="E124" s="27"/>
      <c r="F124" s="27">
        <f>C124/100*19.5</f>
        <v>196.95</v>
      </c>
      <c r="G124" s="27"/>
      <c r="H124" s="27">
        <f>C124/100*23.2</f>
        <v>234.32</v>
      </c>
      <c r="I124" s="27">
        <f>C124/100*46</f>
        <v>464.59999999999997</v>
      </c>
      <c r="J124" s="121">
        <f>C124/100*680</f>
        <v>6868</v>
      </c>
      <c r="K124" s="27">
        <f>C124/100*0.55</f>
        <v>5.5550000000000006</v>
      </c>
      <c r="L124" s="28">
        <v>1010</v>
      </c>
      <c r="M124" s="141">
        <v>260</v>
      </c>
      <c r="N124" s="149">
        <f t="shared" ref="N124" si="8">L124*M124</f>
        <v>262600</v>
      </c>
      <c r="O124" s="155"/>
      <c r="P124" s="3"/>
    </row>
    <row r="125" spans="1:23" ht="19.8" customHeight="1">
      <c r="A125" s="172" t="s">
        <v>0</v>
      </c>
      <c r="B125" s="175" t="s">
        <v>19</v>
      </c>
      <c r="C125" s="178" t="s">
        <v>8</v>
      </c>
      <c r="D125" s="178" t="s">
        <v>9</v>
      </c>
      <c r="E125" s="286" t="s">
        <v>11</v>
      </c>
      <c r="F125" s="287"/>
      <c r="G125" s="286" t="s">
        <v>13</v>
      </c>
      <c r="H125" s="287"/>
      <c r="I125" s="200" t="s">
        <v>16</v>
      </c>
      <c r="J125" s="200" t="s">
        <v>32</v>
      </c>
      <c r="K125" s="200" t="s">
        <v>33</v>
      </c>
      <c r="L125" s="200" t="s">
        <v>17</v>
      </c>
      <c r="M125" s="200" t="s">
        <v>34</v>
      </c>
      <c r="N125" s="172" t="s">
        <v>18</v>
      </c>
      <c r="O125" s="154"/>
    </row>
    <row r="126" spans="1:23" ht="19.8" customHeight="1">
      <c r="A126" s="173"/>
      <c r="B126" s="176"/>
      <c r="C126" s="179"/>
      <c r="D126" s="179"/>
      <c r="E126" s="288"/>
      <c r="F126" s="289"/>
      <c r="G126" s="288"/>
      <c r="H126" s="289"/>
      <c r="I126" s="208"/>
      <c r="J126" s="208"/>
      <c r="K126" s="208"/>
      <c r="L126" s="208"/>
      <c r="M126" s="208"/>
      <c r="N126" s="173"/>
      <c r="O126" s="163"/>
    </row>
    <row r="127" spans="1:23" ht="21" customHeight="1">
      <c r="A127" s="173"/>
      <c r="B127" s="176"/>
      <c r="C127" s="179"/>
      <c r="D127" s="179"/>
      <c r="E127" s="200" t="s">
        <v>10</v>
      </c>
      <c r="F127" s="200" t="s">
        <v>12</v>
      </c>
      <c r="G127" s="200" t="s">
        <v>14</v>
      </c>
      <c r="H127" s="200" t="s">
        <v>15</v>
      </c>
      <c r="I127" s="208"/>
      <c r="J127" s="208"/>
      <c r="K127" s="208"/>
      <c r="L127" s="208"/>
      <c r="M127" s="208"/>
      <c r="N127" s="173"/>
      <c r="O127" s="163"/>
    </row>
    <row r="128" spans="1:23" ht="21" customHeight="1">
      <c r="A128" s="174"/>
      <c r="B128" s="177"/>
      <c r="C128" s="180"/>
      <c r="D128" s="180"/>
      <c r="E128" s="201"/>
      <c r="F128" s="201"/>
      <c r="G128" s="201"/>
      <c r="H128" s="201"/>
      <c r="I128" s="201"/>
      <c r="J128" s="201"/>
      <c r="K128" s="201"/>
      <c r="L128" s="201"/>
      <c r="M128" s="201"/>
      <c r="N128" s="174"/>
      <c r="O128" s="163"/>
    </row>
    <row r="129" spans="1:23" s="2" customFormat="1" ht="21" customHeight="1">
      <c r="A129" s="216" t="s">
        <v>98</v>
      </c>
      <c r="B129" s="216"/>
      <c r="C129" s="25"/>
      <c r="D129" s="26">
        <f>SUM(D123:D124)</f>
        <v>4918.7</v>
      </c>
      <c r="E129" s="31"/>
      <c r="F129" s="31"/>
      <c r="G129" s="31"/>
      <c r="H129" s="31"/>
      <c r="I129" s="31"/>
      <c r="J129" s="31"/>
      <c r="K129" s="31"/>
      <c r="L129" s="32"/>
      <c r="M129" s="58"/>
      <c r="N129" s="271">
        <f>SUM(N123:N124)</f>
        <v>262600</v>
      </c>
      <c r="O129" s="155"/>
    </row>
    <row r="130" spans="1:23" ht="21" customHeight="1">
      <c r="A130" s="216" t="s">
        <v>7</v>
      </c>
      <c r="B130" s="216"/>
      <c r="C130" s="33"/>
      <c r="D130" s="34">
        <f>D129/C87</f>
        <v>83.367796610169492</v>
      </c>
      <c r="E130" s="34"/>
      <c r="F130" s="34"/>
      <c r="G130" s="34"/>
      <c r="H130" s="34"/>
      <c r="I130" s="34"/>
      <c r="J130" s="34"/>
      <c r="K130" s="34"/>
      <c r="L130" s="35"/>
      <c r="M130" s="18"/>
      <c r="N130" s="272"/>
      <c r="O130" s="160"/>
      <c r="P130" s="2"/>
      <c r="Q130" s="2"/>
      <c r="R130" s="2"/>
      <c r="S130" s="2"/>
      <c r="T130" s="2"/>
      <c r="U130" s="2"/>
      <c r="V130" s="2"/>
      <c r="W130" s="2"/>
    </row>
    <row r="131" spans="1:23" ht="21" customHeight="1">
      <c r="A131" s="211" t="s">
        <v>40</v>
      </c>
      <c r="B131" s="212"/>
      <c r="C131" s="325" t="s">
        <v>133</v>
      </c>
      <c r="D131" s="29" t="s">
        <v>49</v>
      </c>
      <c r="E131" s="34"/>
      <c r="F131" s="34"/>
      <c r="G131" s="34"/>
      <c r="H131" s="34"/>
      <c r="I131" s="34"/>
      <c r="J131" s="36"/>
      <c r="K131" s="36"/>
      <c r="L131" s="35"/>
      <c r="M131" s="35"/>
      <c r="N131" s="168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21" customHeight="1">
      <c r="A132" s="213"/>
      <c r="B132" s="214"/>
      <c r="C132" s="62" t="s">
        <v>58</v>
      </c>
      <c r="D132" s="29">
        <f>D130*100/930</f>
        <v>8.9642792053945701</v>
      </c>
      <c r="E132" s="34"/>
      <c r="F132" s="34"/>
      <c r="G132" s="34"/>
      <c r="H132" s="34"/>
      <c r="I132" s="34"/>
      <c r="J132" s="36"/>
      <c r="K132" s="36"/>
      <c r="L132" s="35"/>
      <c r="M132" s="35"/>
      <c r="N132" s="168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21" customHeight="1">
      <c r="A133" s="217" t="s">
        <v>99</v>
      </c>
      <c r="B133" s="218"/>
      <c r="C133" s="221"/>
      <c r="D133" s="282">
        <f>D104+D119+D129</f>
        <v>38478.046499999997</v>
      </c>
      <c r="E133" s="6">
        <f>SUM(E93:E131)</f>
        <v>940.26329999999996</v>
      </c>
      <c r="F133" s="6">
        <f t="shared" ref="F133:H133" si="9">SUM(F93:F131)</f>
        <v>659.42624999999998</v>
      </c>
      <c r="G133" s="95">
        <f t="shared" si="9"/>
        <v>1024.3829000000001</v>
      </c>
      <c r="H133" s="6">
        <f t="shared" si="9"/>
        <v>443.1653</v>
      </c>
      <c r="I133" s="229">
        <f>SUM(I93:I131)</f>
        <v>4555.5399000000007</v>
      </c>
      <c r="J133" s="227">
        <f>SUM(J93:J124)</f>
        <v>12079.6005</v>
      </c>
      <c r="K133" s="229">
        <f>SUM(K93:K124)</f>
        <v>24.069580000000002</v>
      </c>
      <c r="L133" s="231"/>
      <c r="M133" s="231"/>
      <c r="N133" s="232">
        <f>N104+N119+N129</f>
        <v>1297130</v>
      </c>
      <c r="U133" s="11"/>
      <c r="V133" s="11"/>
    </row>
    <row r="134" spans="1:23" ht="21" customHeight="1">
      <c r="A134" s="219"/>
      <c r="B134" s="220"/>
      <c r="C134" s="222"/>
      <c r="D134" s="283"/>
      <c r="E134" s="233">
        <f>E133+F133</f>
        <v>1599.6895500000001</v>
      </c>
      <c r="F134" s="234"/>
      <c r="G134" s="233">
        <f>G133+H133</f>
        <v>1467.5482000000002</v>
      </c>
      <c r="H134" s="234"/>
      <c r="I134" s="230"/>
      <c r="J134" s="228"/>
      <c r="K134" s="230"/>
      <c r="L134" s="231"/>
      <c r="M134" s="231"/>
      <c r="N134" s="232"/>
      <c r="U134" s="11"/>
      <c r="V134" s="11"/>
    </row>
    <row r="135" spans="1:23" ht="21" customHeight="1">
      <c r="A135" s="273" t="s">
        <v>75</v>
      </c>
      <c r="B135" s="274"/>
      <c r="C135" s="275"/>
      <c r="D135" s="131">
        <f>D133/C87</f>
        <v>652.17027966101693</v>
      </c>
      <c r="E135" s="108">
        <f>E133/C87</f>
        <v>15.936666101694914</v>
      </c>
      <c r="F135" s="107">
        <f>F133/C87</f>
        <v>11.176716101694915</v>
      </c>
      <c r="G135" s="108">
        <f>G133/C87</f>
        <v>17.362422033898305</v>
      </c>
      <c r="H135" s="107">
        <f>H133/C87</f>
        <v>7.5112762711864409</v>
      </c>
      <c r="I135" s="243">
        <f>I133/C87</f>
        <v>77.212540677966118</v>
      </c>
      <c r="J135" s="241">
        <f>J133/C87</f>
        <v>204.73899152542373</v>
      </c>
      <c r="K135" s="243">
        <f>K133/C87</f>
        <v>0.40795898305084749</v>
      </c>
      <c r="L135" s="231"/>
      <c r="M135" s="231"/>
      <c r="N135" s="232"/>
      <c r="P135" s="337"/>
      <c r="Q135" s="338"/>
      <c r="R135" s="338"/>
      <c r="S135" s="338"/>
      <c r="T135" s="338"/>
      <c r="U135" s="339"/>
      <c r="V135" s="339"/>
    </row>
    <row r="136" spans="1:23" ht="21" customHeight="1">
      <c r="A136" s="276"/>
      <c r="B136" s="277"/>
      <c r="C136" s="278"/>
      <c r="D136" s="98"/>
      <c r="E136" s="304">
        <f>E135+F135</f>
        <v>27.113382203389829</v>
      </c>
      <c r="F136" s="303"/>
      <c r="G136" s="304">
        <f>G135+H135</f>
        <v>24.873698305084744</v>
      </c>
      <c r="H136" s="303"/>
      <c r="I136" s="244"/>
      <c r="J136" s="242"/>
      <c r="K136" s="244"/>
      <c r="L136" s="231"/>
      <c r="M136" s="231"/>
      <c r="N136" s="232"/>
      <c r="P136" s="340"/>
      <c r="Q136" s="338"/>
      <c r="R136" s="338"/>
      <c r="S136" s="344"/>
      <c r="T136" s="344"/>
      <c r="U136" s="338"/>
      <c r="V136" s="338"/>
    </row>
    <row r="137" spans="1:23" ht="21" customHeight="1">
      <c r="A137" s="327" t="s">
        <v>76</v>
      </c>
      <c r="B137" s="328"/>
      <c r="C137" s="329"/>
      <c r="D137" s="330" t="s">
        <v>28</v>
      </c>
      <c r="E137" s="336" t="s">
        <v>24</v>
      </c>
      <c r="F137" s="336"/>
      <c r="G137" s="336" t="s">
        <v>25</v>
      </c>
      <c r="H137" s="336"/>
      <c r="I137" s="330" t="s">
        <v>26</v>
      </c>
      <c r="J137" s="164">
        <v>500</v>
      </c>
      <c r="K137" s="164">
        <v>0.59</v>
      </c>
      <c r="L137" s="231"/>
      <c r="M137" s="231"/>
      <c r="N137" s="232"/>
      <c r="O137" s="158"/>
      <c r="P137" s="337"/>
      <c r="Q137" s="337"/>
      <c r="R137" s="337"/>
      <c r="S137" s="337"/>
      <c r="T137" s="337"/>
      <c r="U137" s="337"/>
      <c r="V137" s="337"/>
    </row>
    <row r="138" spans="1:23" ht="21" customHeight="1">
      <c r="A138" s="248" t="s">
        <v>69</v>
      </c>
      <c r="B138" s="249"/>
      <c r="C138" s="250"/>
      <c r="D138" s="19"/>
      <c r="E138" s="251">
        <f>E136*4.1</f>
        <v>111.16486703389829</v>
      </c>
      <c r="F138" s="252"/>
      <c r="G138" s="251">
        <f>G136*9</f>
        <v>223.86328474576271</v>
      </c>
      <c r="H138" s="252"/>
      <c r="I138" s="68">
        <f>I135*4.1</f>
        <v>316.57141677966104</v>
      </c>
      <c r="J138" s="253"/>
      <c r="K138" s="253"/>
      <c r="L138" s="231"/>
      <c r="M138" s="231"/>
      <c r="N138" s="232"/>
      <c r="O138" s="158"/>
      <c r="P138" s="341"/>
      <c r="Q138" s="342"/>
      <c r="R138" s="342"/>
      <c r="S138" s="342"/>
      <c r="T138" s="337"/>
      <c r="U138" s="337"/>
      <c r="V138" s="337"/>
    </row>
    <row r="139" spans="1:23" ht="21" customHeight="1">
      <c r="A139" s="256" t="s">
        <v>77</v>
      </c>
      <c r="B139" s="257"/>
      <c r="C139" s="248" t="s">
        <v>58</v>
      </c>
      <c r="D139" s="250"/>
      <c r="E139" s="260">
        <f>E138*100/D135</f>
        <v>17.045374574824113</v>
      </c>
      <c r="F139" s="261"/>
      <c r="G139" s="260">
        <f>G138*100/D135</f>
        <v>34.325894896977168</v>
      </c>
      <c r="H139" s="261"/>
      <c r="I139" s="86">
        <f>I138*100/D135</f>
        <v>48.541221005073638</v>
      </c>
      <c r="J139" s="254"/>
      <c r="K139" s="254"/>
      <c r="L139" s="231"/>
      <c r="M139" s="231"/>
      <c r="N139" s="232"/>
      <c r="O139" s="158"/>
      <c r="P139" s="337"/>
      <c r="Q139" s="343"/>
      <c r="R139" s="337"/>
      <c r="S139" s="337"/>
      <c r="T139" s="337"/>
      <c r="U139" s="337"/>
      <c r="V139" s="337"/>
    </row>
    <row r="140" spans="1:23" ht="21" customHeight="1">
      <c r="A140" s="258"/>
      <c r="B140" s="259"/>
      <c r="C140" s="248" t="s">
        <v>71</v>
      </c>
      <c r="D140" s="250"/>
      <c r="E140" s="248" t="s">
        <v>72</v>
      </c>
      <c r="F140" s="250"/>
      <c r="G140" s="248" t="s">
        <v>78</v>
      </c>
      <c r="H140" s="250"/>
      <c r="I140" s="330" t="s">
        <v>79</v>
      </c>
      <c r="J140" s="255"/>
      <c r="K140" s="255"/>
      <c r="L140" s="231"/>
      <c r="M140" s="231"/>
      <c r="N140" s="232"/>
      <c r="O140" s="158"/>
      <c r="P140" s="84"/>
    </row>
    <row r="141" spans="1:23" ht="21" customHeight="1">
      <c r="A141" s="70"/>
      <c r="B141" s="71"/>
      <c r="C141" s="70"/>
      <c r="D141" s="70"/>
      <c r="E141" s="70"/>
      <c r="F141" s="70"/>
      <c r="G141" s="70"/>
      <c r="H141" s="70"/>
      <c r="I141" s="70"/>
      <c r="J141" s="70"/>
      <c r="K141" s="70"/>
      <c r="L141" s="72"/>
      <c r="M141" s="72"/>
      <c r="N141" s="73"/>
      <c r="O141" s="158"/>
    </row>
    <row r="142" spans="1:23" ht="21" customHeight="1">
      <c r="A142" s="245" t="s">
        <v>100</v>
      </c>
      <c r="B142" s="245"/>
      <c r="C142" s="245"/>
      <c r="D142" s="245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158"/>
    </row>
    <row r="143" spans="1:23" ht="21" customHeight="1">
      <c r="A143" s="87" t="s">
        <v>101</v>
      </c>
      <c r="B143" s="246" t="s">
        <v>102</v>
      </c>
      <c r="C143" s="246"/>
      <c r="D143" s="246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158"/>
    </row>
    <row r="144" spans="1:23" ht="21" customHeight="1">
      <c r="A144" s="88"/>
      <c r="B144" s="247" t="s">
        <v>184</v>
      </c>
      <c r="C144" s="247"/>
      <c r="D144" s="247"/>
      <c r="E144" s="247"/>
      <c r="F144" s="247"/>
      <c r="G144" s="247"/>
      <c r="H144" s="247"/>
      <c r="I144" s="247"/>
      <c r="J144" s="247"/>
      <c r="K144" s="247"/>
      <c r="L144" s="247"/>
      <c r="M144" s="247"/>
      <c r="N144" s="247"/>
      <c r="O144" s="158"/>
    </row>
    <row r="145" spans="1:15" ht="21" customHeight="1">
      <c r="A145" s="88"/>
      <c r="B145" s="247" t="s">
        <v>185</v>
      </c>
      <c r="C145" s="247"/>
      <c r="D145" s="247"/>
      <c r="E145" s="247"/>
      <c r="F145" s="247"/>
      <c r="G145" s="247"/>
      <c r="H145" s="247"/>
      <c r="I145" s="247"/>
      <c r="J145" s="247"/>
      <c r="K145" s="247"/>
      <c r="L145" s="247"/>
      <c r="M145" s="247"/>
      <c r="N145" s="247"/>
      <c r="O145" s="158"/>
    </row>
    <row r="146" spans="1:15" ht="21" customHeight="1">
      <c r="A146" s="88"/>
      <c r="B146" s="247" t="s">
        <v>186</v>
      </c>
      <c r="C146" s="247"/>
      <c r="D146" s="247"/>
      <c r="E146" s="247"/>
      <c r="F146" s="247"/>
      <c r="G146" s="247"/>
      <c r="H146" s="247"/>
      <c r="I146" s="247"/>
      <c r="J146" s="247"/>
      <c r="K146" s="247"/>
      <c r="L146" s="247"/>
      <c r="M146" s="247"/>
      <c r="N146" s="247"/>
      <c r="O146" s="158"/>
    </row>
    <row r="147" spans="1:15" ht="21" customHeight="1">
      <c r="A147" s="70"/>
      <c r="B147" s="262" t="s">
        <v>107</v>
      </c>
      <c r="C147" s="262"/>
      <c r="D147" s="262"/>
      <c r="E147" s="262"/>
      <c r="F147" s="262"/>
      <c r="G147" s="262"/>
      <c r="H147" s="262"/>
      <c r="I147" s="262"/>
      <c r="J147" s="262"/>
      <c r="K147" s="262"/>
      <c r="L147" s="262"/>
      <c r="M147" s="262"/>
      <c r="N147" s="262"/>
      <c r="O147" s="158"/>
    </row>
    <row r="148" spans="1:15" ht="21" customHeight="1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89"/>
      <c r="M148" s="89"/>
      <c r="N148" s="90"/>
      <c r="O148" s="158"/>
    </row>
    <row r="149" spans="1:15" ht="21" customHeight="1">
      <c r="A149" s="263" t="s">
        <v>60</v>
      </c>
      <c r="B149" s="263"/>
      <c r="C149" s="263"/>
      <c r="D149" s="263"/>
      <c r="E149" s="332"/>
      <c r="F149" s="332"/>
      <c r="G149" s="332"/>
      <c r="H149" s="332"/>
      <c r="I149" s="332"/>
      <c r="J149" s="333" t="s">
        <v>36</v>
      </c>
      <c r="K149" s="333"/>
      <c r="L149" s="333"/>
      <c r="M149" s="333"/>
      <c r="N149" s="333"/>
      <c r="O149" s="158"/>
    </row>
    <row r="150" spans="1:15" ht="21" customHeight="1">
      <c r="A150" s="163"/>
      <c r="B150" s="163"/>
      <c r="C150" s="163"/>
      <c r="D150" s="332"/>
      <c r="E150" s="332"/>
      <c r="F150" s="332"/>
      <c r="G150" s="332"/>
      <c r="H150" s="334"/>
      <c r="I150" s="334"/>
      <c r="J150" s="334"/>
      <c r="K150" s="334"/>
      <c r="L150" s="334"/>
      <c r="M150" s="334"/>
      <c r="N150" s="334"/>
      <c r="O150" s="158"/>
    </row>
    <row r="151" spans="1:15" ht="21" customHeight="1">
      <c r="A151" s="163"/>
      <c r="B151" s="163"/>
      <c r="C151" s="163"/>
      <c r="D151" s="332"/>
      <c r="E151" s="332"/>
      <c r="F151" s="332"/>
      <c r="G151" s="332"/>
      <c r="H151" s="334"/>
      <c r="I151" s="334"/>
      <c r="J151" s="334"/>
      <c r="K151" s="334"/>
      <c r="L151" s="334"/>
      <c r="M151" s="334"/>
      <c r="N151" s="334"/>
      <c r="O151" s="158"/>
    </row>
    <row r="152" spans="1:15" ht="21" customHeight="1">
      <c r="A152" s="264" t="s">
        <v>84</v>
      </c>
      <c r="B152" s="264"/>
      <c r="C152" s="264"/>
      <c r="D152" s="264"/>
      <c r="E152" s="332"/>
      <c r="F152" s="332"/>
      <c r="G152" s="332"/>
      <c r="H152" s="334"/>
      <c r="I152" s="334"/>
      <c r="J152" s="335" t="s">
        <v>103</v>
      </c>
      <c r="K152" s="335"/>
      <c r="L152" s="335"/>
      <c r="M152" s="335"/>
      <c r="N152" s="335"/>
      <c r="O152" s="158"/>
    </row>
    <row r="155" spans="1:15" ht="21" customHeight="1">
      <c r="J155" s="335" t="s">
        <v>114</v>
      </c>
      <c r="K155" s="335"/>
      <c r="L155" s="335"/>
      <c r="M155" s="335"/>
      <c r="N155" s="335"/>
    </row>
  </sheetData>
  <mergeCells count="206">
    <mergeCell ref="A6:D6"/>
    <mergeCell ref="B147:N147"/>
    <mergeCell ref="A149:D149"/>
    <mergeCell ref="J149:N149"/>
    <mergeCell ref="N88:N91"/>
    <mergeCell ref="E90:E91"/>
    <mergeCell ref="F90:F91"/>
    <mergeCell ref="G90:G91"/>
    <mergeCell ref="E53:F53"/>
    <mergeCell ref="E88:F89"/>
    <mergeCell ref="I88:I91"/>
    <mergeCell ref="J84:N84"/>
    <mergeCell ref="J85:N85"/>
    <mergeCell ref="J86:N86"/>
    <mergeCell ref="A92:N92"/>
    <mergeCell ref="L88:L91"/>
    <mergeCell ref="E82:N82"/>
    <mergeCell ref="K133:K134"/>
    <mergeCell ref="J133:J134"/>
    <mergeCell ref="A131:B132"/>
    <mergeCell ref="A129:B129"/>
    <mergeCell ref="A58:N58"/>
    <mergeCell ref="B59:N59"/>
    <mergeCell ref="B60:N60"/>
    <mergeCell ref="N49:N56"/>
    <mergeCell ref="N45:N46"/>
    <mergeCell ref="A54:C54"/>
    <mergeCell ref="E54:F54"/>
    <mergeCell ref="G54:H54"/>
    <mergeCell ref="J54:J56"/>
    <mergeCell ref="K54:K56"/>
    <mergeCell ref="A55:B56"/>
    <mergeCell ref="C55:D55"/>
    <mergeCell ref="M9:M12"/>
    <mergeCell ref="J49:J50"/>
    <mergeCell ref="I9:I12"/>
    <mergeCell ref="E11:E12"/>
    <mergeCell ref="B9:B12"/>
    <mergeCell ref="J51:J52"/>
    <mergeCell ref="K51:K52"/>
    <mergeCell ref="I51:I52"/>
    <mergeCell ref="E52:F52"/>
    <mergeCell ref="G52:H52"/>
    <mergeCell ref="K49:K50"/>
    <mergeCell ref="M49:M56"/>
    <mergeCell ref="F1:N1"/>
    <mergeCell ref="F80:N80"/>
    <mergeCell ref="J41:J44"/>
    <mergeCell ref="A29:B30"/>
    <mergeCell ref="A31:B31"/>
    <mergeCell ref="A45:B45"/>
    <mergeCell ref="A47:B48"/>
    <mergeCell ref="A106:B107"/>
    <mergeCell ref="A108:B108"/>
    <mergeCell ref="K41:K44"/>
    <mergeCell ref="A86:D86"/>
    <mergeCell ref="A9:A12"/>
    <mergeCell ref="L9:L12"/>
    <mergeCell ref="N9:N12"/>
    <mergeCell ref="N104:N105"/>
    <mergeCell ref="A13:N13"/>
    <mergeCell ref="I49:I50"/>
    <mergeCell ref="E50:F50"/>
    <mergeCell ref="G50:H50"/>
    <mergeCell ref="A49:B50"/>
    <mergeCell ref="C49:C50"/>
    <mergeCell ref="D49:D50"/>
    <mergeCell ref="N27:N28"/>
    <mergeCell ref="A8:B8"/>
    <mergeCell ref="Q52:R52"/>
    <mergeCell ref="G88:H89"/>
    <mergeCell ref="J68:N68"/>
    <mergeCell ref="A3:D3"/>
    <mergeCell ref="E3:N3"/>
    <mergeCell ref="A4:D4"/>
    <mergeCell ref="E4:I7"/>
    <mergeCell ref="J4:N7"/>
    <mergeCell ref="A5:D5"/>
    <mergeCell ref="A7:D7"/>
    <mergeCell ref="C9:C12"/>
    <mergeCell ref="E41:F42"/>
    <mergeCell ref="G41:H42"/>
    <mergeCell ref="D9:D12"/>
    <mergeCell ref="M41:M44"/>
    <mergeCell ref="F11:F12"/>
    <mergeCell ref="G11:G12"/>
    <mergeCell ref="H11:H12"/>
    <mergeCell ref="E9:F10"/>
    <mergeCell ref="G9:H10"/>
    <mergeCell ref="I41:I44"/>
    <mergeCell ref="N41:N44"/>
    <mergeCell ref="E43:E44"/>
    <mergeCell ref="K9:K12"/>
    <mergeCell ref="C8:D8"/>
    <mergeCell ref="J9:J12"/>
    <mergeCell ref="U52:V52"/>
    <mergeCell ref="U53:V53"/>
    <mergeCell ref="S52:T52"/>
    <mergeCell ref="Q53:R53"/>
    <mergeCell ref="S53:T53"/>
    <mergeCell ref="A88:A91"/>
    <mergeCell ref="B88:B91"/>
    <mergeCell ref="C88:C91"/>
    <mergeCell ref="H90:H91"/>
    <mergeCell ref="J88:J91"/>
    <mergeCell ref="K88:K91"/>
    <mergeCell ref="M88:M91"/>
    <mergeCell ref="D88:D91"/>
    <mergeCell ref="E83:I83"/>
    <mergeCell ref="G56:H56"/>
    <mergeCell ref="A85:D85"/>
    <mergeCell ref="A51:C52"/>
    <mergeCell ref="E55:F55"/>
    <mergeCell ref="G55:H55"/>
    <mergeCell ref="C56:D56"/>
    <mergeCell ref="E56:F56"/>
    <mergeCell ref="A87:B87"/>
    <mergeCell ref="C87:D87"/>
    <mergeCell ref="L41:L44"/>
    <mergeCell ref="A53:C53"/>
    <mergeCell ref="A46:B46"/>
    <mergeCell ref="F43:F44"/>
    <mergeCell ref="G43:G44"/>
    <mergeCell ref="H43:H44"/>
    <mergeCell ref="L49:L56"/>
    <mergeCell ref="A82:D83"/>
    <mergeCell ref="E84:I86"/>
    <mergeCell ref="A41:A44"/>
    <mergeCell ref="B41:B44"/>
    <mergeCell ref="C41:C44"/>
    <mergeCell ref="D41:D44"/>
    <mergeCell ref="G53:H53"/>
    <mergeCell ref="B62:N62"/>
    <mergeCell ref="B63:N63"/>
    <mergeCell ref="A65:D65"/>
    <mergeCell ref="J65:N65"/>
    <mergeCell ref="A69:D69"/>
    <mergeCell ref="J71:N71"/>
    <mergeCell ref="J83:N83"/>
    <mergeCell ref="A84:D84"/>
    <mergeCell ref="B61:N61"/>
    <mergeCell ref="N119:N120"/>
    <mergeCell ref="A121:B122"/>
    <mergeCell ref="A123:B123"/>
    <mergeCell ref="A125:A128"/>
    <mergeCell ref="B125:B128"/>
    <mergeCell ref="C125:C128"/>
    <mergeCell ref="D125:D128"/>
    <mergeCell ref="E125:F126"/>
    <mergeCell ref="G125:H126"/>
    <mergeCell ref="I125:I128"/>
    <mergeCell ref="J125:J128"/>
    <mergeCell ref="K125:K128"/>
    <mergeCell ref="L125:L128"/>
    <mergeCell ref="M125:M128"/>
    <mergeCell ref="N125:N128"/>
    <mergeCell ref="E127:E128"/>
    <mergeCell ref="F127:F128"/>
    <mergeCell ref="G127:G128"/>
    <mergeCell ref="H127:H128"/>
    <mergeCell ref="B146:N146"/>
    <mergeCell ref="N129:N130"/>
    <mergeCell ref="A130:B130"/>
    <mergeCell ref="A133:B134"/>
    <mergeCell ref="C133:C134"/>
    <mergeCell ref="D133:D134"/>
    <mergeCell ref="L133:L140"/>
    <mergeCell ref="M133:M140"/>
    <mergeCell ref="N133:N140"/>
    <mergeCell ref="A135:C136"/>
    <mergeCell ref="I135:I136"/>
    <mergeCell ref="J135:J136"/>
    <mergeCell ref="K135:K136"/>
    <mergeCell ref="G136:H136"/>
    <mergeCell ref="E136:F136"/>
    <mergeCell ref="E137:F137"/>
    <mergeCell ref="G137:H137"/>
    <mergeCell ref="E138:F138"/>
    <mergeCell ref="G138:H138"/>
    <mergeCell ref="I133:I134"/>
    <mergeCell ref="E134:F134"/>
    <mergeCell ref="G134:H134"/>
    <mergeCell ref="J155:N155"/>
    <mergeCell ref="A152:D152"/>
    <mergeCell ref="J152:N152"/>
    <mergeCell ref="Q135:R135"/>
    <mergeCell ref="S135:T135"/>
    <mergeCell ref="U135:V135"/>
    <mergeCell ref="Q136:R136"/>
    <mergeCell ref="S136:T136"/>
    <mergeCell ref="U136:V136"/>
    <mergeCell ref="A137:C137"/>
    <mergeCell ref="A138:C138"/>
    <mergeCell ref="J138:J140"/>
    <mergeCell ref="K138:K140"/>
    <mergeCell ref="A139:B140"/>
    <mergeCell ref="C139:D139"/>
    <mergeCell ref="E139:F139"/>
    <mergeCell ref="G139:H139"/>
    <mergeCell ref="C140:D140"/>
    <mergeCell ref="E140:F140"/>
    <mergeCell ref="G140:H140"/>
    <mergeCell ref="B143:N143"/>
    <mergeCell ref="B144:N144"/>
    <mergeCell ref="B145:N145"/>
    <mergeCell ref="A142:N142"/>
  </mergeCells>
  <pageMargins left="0.23333333333333334" right="0.15625" top="0.42708333333333331" bottom="0.39583333333333331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58"/>
  <sheetViews>
    <sheetView workbookViewId="0">
      <selection activeCell="P1" sqref="P1"/>
    </sheetView>
  </sheetViews>
  <sheetFormatPr defaultColWidth="9.109375" defaultRowHeight="21" customHeight="1"/>
  <cols>
    <col min="1" max="1" width="4" style="1" customWidth="1"/>
    <col min="2" max="2" width="11" style="1" customWidth="1"/>
    <col min="3" max="3" width="7.109375" style="1" customWidth="1"/>
    <col min="4" max="4" width="7.33203125" style="1" customWidth="1"/>
    <col min="5" max="8" width="6.88671875" style="1" customWidth="1"/>
    <col min="9" max="10" width="7.5546875" style="1" customWidth="1"/>
    <col min="11" max="11" width="7.33203125" style="1" customWidth="1"/>
    <col min="12" max="12" width="6.33203125" style="1" customWidth="1"/>
    <col min="13" max="13" width="6.6640625" style="1" customWidth="1"/>
    <col min="14" max="14" width="8.44140625" style="1" customWidth="1"/>
    <col min="15" max="15" width="11.88671875" style="1" customWidth="1"/>
    <col min="16" max="16" width="9.109375" style="1"/>
    <col min="17" max="22" width="8.88671875" style="1" customWidth="1"/>
    <col min="23" max="16384" width="9.109375" style="1"/>
  </cols>
  <sheetData>
    <row r="1" spans="1:20" ht="19.2" customHeight="1">
      <c r="A1" s="10" t="s">
        <v>59</v>
      </c>
      <c r="B1" s="7"/>
      <c r="C1" s="7"/>
      <c r="D1" s="7"/>
      <c r="E1" s="7"/>
      <c r="F1" s="185" t="s">
        <v>30</v>
      </c>
      <c r="G1" s="185"/>
      <c r="H1" s="185"/>
      <c r="I1" s="185"/>
      <c r="J1" s="185"/>
      <c r="K1" s="185"/>
      <c r="L1" s="185"/>
      <c r="M1" s="185"/>
      <c r="N1" s="185"/>
      <c r="O1" s="152"/>
      <c r="P1" s="152"/>
      <c r="T1" s="2"/>
    </row>
    <row r="2" spans="1:20" ht="19.2" customHeight="1">
      <c r="A2" s="7" t="s">
        <v>187</v>
      </c>
      <c r="B2" s="7"/>
      <c r="C2" s="7"/>
      <c r="D2" s="7"/>
      <c r="E2" s="7"/>
      <c r="F2" s="166"/>
      <c r="G2" s="166"/>
      <c r="H2" s="166"/>
      <c r="I2" s="166"/>
      <c r="J2" s="166"/>
      <c r="K2" s="166"/>
      <c r="L2" s="166"/>
      <c r="M2" s="166"/>
      <c r="N2" s="166"/>
      <c r="O2" s="152"/>
      <c r="P2" s="152"/>
      <c r="T2" s="2"/>
    </row>
    <row r="3" spans="1:20" s="2" customFormat="1" ht="20.399999999999999" customHeight="1">
      <c r="A3" s="186" t="s">
        <v>81</v>
      </c>
      <c r="B3" s="186"/>
      <c r="C3" s="186"/>
      <c r="D3" s="186"/>
      <c r="E3" s="186" t="s">
        <v>93</v>
      </c>
      <c r="F3" s="186"/>
      <c r="G3" s="186"/>
      <c r="H3" s="186"/>
      <c r="I3" s="186"/>
      <c r="J3" s="186"/>
      <c r="K3" s="186"/>
      <c r="L3" s="186"/>
      <c r="M3" s="186"/>
      <c r="N3" s="186"/>
      <c r="O3" s="153"/>
    </row>
    <row r="4" spans="1:20" s="2" customFormat="1" ht="20.399999999999999" customHeight="1">
      <c r="A4" s="187" t="s">
        <v>83</v>
      </c>
      <c r="B4" s="187"/>
      <c r="C4" s="187"/>
      <c r="D4" s="187"/>
      <c r="E4" s="188" t="s">
        <v>127</v>
      </c>
      <c r="F4" s="188"/>
      <c r="G4" s="188"/>
      <c r="H4" s="188"/>
      <c r="I4" s="188"/>
      <c r="J4" s="189" t="s">
        <v>161</v>
      </c>
      <c r="K4" s="190"/>
      <c r="L4" s="190"/>
      <c r="M4" s="190"/>
      <c r="N4" s="191"/>
      <c r="O4" s="153"/>
    </row>
    <row r="5" spans="1:20" s="2" customFormat="1" ht="20.399999999999999" customHeight="1">
      <c r="A5" s="305" t="s">
        <v>138</v>
      </c>
      <c r="B5" s="306"/>
      <c r="C5" s="306"/>
      <c r="D5" s="307"/>
      <c r="E5" s="188"/>
      <c r="F5" s="188"/>
      <c r="G5" s="188"/>
      <c r="H5" s="188"/>
      <c r="I5" s="188"/>
      <c r="J5" s="192"/>
      <c r="K5" s="193"/>
      <c r="L5" s="193"/>
      <c r="M5" s="193"/>
      <c r="N5" s="194"/>
      <c r="O5" s="153"/>
    </row>
    <row r="6" spans="1:20" s="2" customFormat="1" ht="20.399999999999999" customHeight="1">
      <c r="A6" s="198" t="s">
        <v>87</v>
      </c>
      <c r="B6" s="198"/>
      <c r="C6" s="198"/>
      <c r="D6" s="198"/>
      <c r="E6" s="188"/>
      <c r="F6" s="188"/>
      <c r="G6" s="188"/>
      <c r="H6" s="188"/>
      <c r="I6" s="188"/>
      <c r="J6" s="192"/>
      <c r="K6" s="193"/>
      <c r="L6" s="193"/>
      <c r="M6" s="193"/>
      <c r="N6" s="194"/>
      <c r="O6" s="153"/>
    </row>
    <row r="7" spans="1:20" s="2" customFormat="1" ht="20.399999999999999" customHeight="1">
      <c r="A7" s="308" t="s">
        <v>160</v>
      </c>
      <c r="B7" s="308"/>
      <c r="C7" s="308"/>
      <c r="D7" s="308"/>
      <c r="E7" s="188"/>
      <c r="F7" s="188"/>
      <c r="G7" s="188"/>
      <c r="H7" s="188"/>
      <c r="I7" s="188"/>
      <c r="J7" s="195"/>
      <c r="K7" s="196"/>
      <c r="L7" s="196"/>
      <c r="M7" s="196"/>
      <c r="N7" s="197"/>
      <c r="O7" s="153"/>
    </row>
    <row r="8" spans="1:20" s="2" customFormat="1" ht="20.399999999999999" customHeight="1">
      <c r="A8" s="292" t="s">
        <v>110</v>
      </c>
      <c r="B8" s="292"/>
      <c r="C8" s="290">
        <v>227</v>
      </c>
      <c r="D8" s="290"/>
      <c r="E8" s="69"/>
      <c r="F8" s="69"/>
      <c r="G8" s="69"/>
      <c r="H8" s="69"/>
      <c r="I8" s="69"/>
      <c r="J8" s="69"/>
      <c r="K8" s="69"/>
      <c r="L8" s="69"/>
      <c r="M8" s="69"/>
      <c r="N8" s="69"/>
      <c r="O8" s="153"/>
    </row>
    <row r="9" spans="1:20" ht="20.399999999999999" customHeight="1">
      <c r="A9" s="172" t="s">
        <v>0</v>
      </c>
      <c r="B9" s="175" t="s">
        <v>19</v>
      </c>
      <c r="C9" s="178" t="s">
        <v>8</v>
      </c>
      <c r="D9" s="178" t="s">
        <v>9</v>
      </c>
      <c r="E9" s="181" t="s">
        <v>11</v>
      </c>
      <c r="F9" s="182"/>
      <c r="G9" s="181" t="s">
        <v>13</v>
      </c>
      <c r="H9" s="182"/>
      <c r="I9" s="200" t="s">
        <v>16</v>
      </c>
      <c r="J9" s="200" t="s">
        <v>32</v>
      </c>
      <c r="K9" s="200" t="s">
        <v>33</v>
      </c>
      <c r="L9" s="200" t="s">
        <v>17</v>
      </c>
      <c r="M9" s="200" t="s">
        <v>54</v>
      </c>
      <c r="N9" s="172" t="s">
        <v>18</v>
      </c>
      <c r="O9" s="154"/>
    </row>
    <row r="10" spans="1:20" ht="20.399999999999999" customHeight="1">
      <c r="A10" s="173"/>
      <c r="B10" s="176"/>
      <c r="C10" s="179"/>
      <c r="D10" s="179"/>
      <c r="E10" s="183"/>
      <c r="F10" s="184"/>
      <c r="G10" s="183"/>
      <c r="H10" s="184"/>
      <c r="I10" s="208"/>
      <c r="J10" s="208"/>
      <c r="K10" s="208"/>
      <c r="L10" s="208"/>
      <c r="M10" s="208"/>
      <c r="N10" s="173"/>
      <c r="O10" s="163"/>
    </row>
    <row r="11" spans="1:20" ht="20.399999999999999" customHeight="1">
      <c r="A11" s="173"/>
      <c r="B11" s="176"/>
      <c r="C11" s="179"/>
      <c r="D11" s="179"/>
      <c r="E11" s="200" t="s">
        <v>10</v>
      </c>
      <c r="F11" s="200" t="s">
        <v>12</v>
      </c>
      <c r="G11" s="200" t="s">
        <v>14</v>
      </c>
      <c r="H11" s="200" t="s">
        <v>15</v>
      </c>
      <c r="I11" s="208"/>
      <c r="J11" s="208"/>
      <c r="K11" s="208"/>
      <c r="L11" s="208"/>
      <c r="M11" s="208"/>
      <c r="N11" s="173"/>
      <c r="O11" s="163"/>
    </row>
    <row r="12" spans="1:20" ht="20.399999999999999" customHeight="1">
      <c r="A12" s="174"/>
      <c r="B12" s="177"/>
      <c r="C12" s="180"/>
      <c r="D12" s="180"/>
      <c r="E12" s="201"/>
      <c r="F12" s="201"/>
      <c r="G12" s="201"/>
      <c r="H12" s="201"/>
      <c r="I12" s="201"/>
      <c r="J12" s="201"/>
      <c r="K12" s="201"/>
      <c r="L12" s="201"/>
      <c r="M12" s="201"/>
      <c r="N12" s="174"/>
      <c r="O12" s="163"/>
    </row>
    <row r="13" spans="1:20" ht="20.399999999999999" customHeight="1">
      <c r="A13" s="205" t="s">
        <v>35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7"/>
      <c r="O13" s="163"/>
    </row>
    <row r="14" spans="1:20" s="2" customFormat="1" ht="20.399999999999999" customHeight="1">
      <c r="A14" s="8">
        <v>1</v>
      </c>
      <c r="B14" s="9" t="s">
        <v>2</v>
      </c>
      <c r="C14" s="12">
        <f>L14/100*100</f>
        <v>110.00000000000001</v>
      </c>
      <c r="D14" s="13">
        <f>C14/100*60</f>
        <v>66</v>
      </c>
      <c r="E14" s="14">
        <f>C14/100*15</f>
        <v>16.5</v>
      </c>
      <c r="F14" s="14"/>
      <c r="G14" s="14"/>
      <c r="H14" s="14"/>
      <c r="I14" s="14"/>
      <c r="J14" s="22">
        <f>C14/100*387</f>
        <v>425.70000000000005</v>
      </c>
      <c r="K14" s="22">
        <f>C14/100*0.09</f>
        <v>9.9000000000000005E-2</v>
      </c>
      <c r="L14" s="111">
        <v>110</v>
      </c>
      <c r="M14" s="20">
        <v>20</v>
      </c>
      <c r="N14" s="16">
        <f>L14*M14</f>
        <v>2200</v>
      </c>
      <c r="O14" s="155"/>
    </row>
    <row r="15" spans="1:20" s="2" customFormat="1" ht="20.399999999999999" customHeight="1">
      <c r="A15" s="8">
        <v>2</v>
      </c>
      <c r="B15" s="9" t="s">
        <v>119</v>
      </c>
      <c r="C15" s="12">
        <f>L15/100*100</f>
        <v>1590</v>
      </c>
      <c r="D15" s="13">
        <f>C15/100*53</f>
        <v>842.7</v>
      </c>
      <c r="E15" s="14"/>
      <c r="F15" s="14">
        <f>C15/100*6.3</f>
        <v>100.17</v>
      </c>
      <c r="G15" s="14"/>
      <c r="H15" s="14">
        <f>C15/100*0.04</f>
        <v>0.63600000000000001</v>
      </c>
      <c r="I15" s="14">
        <f>C15/100*6.8</f>
        <v>108.12</v>
      </c>
      <c r="J15" s="22">
        <f>C15/100*19</f>
        <v>302.10000000000002</v>
      </c>
      <c r="K15" s="22">
        <f>C15/100*0.03</f>
        <v>0.47699999999999998</v>
      </c>
      <c r="L15" s="111">
        <v>1590</v>
      </c>
      <c r="M15" s="20">
        <v>45</v>
      </c>
      <c r="N15" s="16">
        <f t="shared" ref="N15:N25" si="0">L15*M15</f>
        <v>71550</v>
      </c>
      <c r="O15" s="156"/>
    </row>
    <row r="16" spans="1:20" s="2" customFormat="1" ht="20.399999999999999" customHeight="1">
      <c r="A16" s="8">
        <v>3</v>
      </c>
      <c r="B16" s="115" t="s">
        <v>121</v>
      </c>
      <c r="C16" s="12">
        <f>L16/100*100</f>
        <v>690</v>
      </c>
      <c r="D16" s="13">
        <f>C16/100*899</f>
        <v>6203.1</v>
      </c>
      <c r="E16" s="14"/>
      <c r="F16" s="14"/>
      <c r="G16" s="14">
        <f>C16/100*100</f>
        <v>690</v>
      </c>
      <c r="H16" s="14"/>
      <c r="I16" s="14"/>
      <c r="J16" s="14"/>
      <c r="K16" s="14"/>
      <c r="L16" s="15">
        <v>690</v>
      </c>
      <c r="M16" s="65">
        <v>69</v>
      </c>
      <c r="N16" s="16">
        <f t="shared" si="0"/>
        <v>47610</v>
      </c>
      <c r="O16" s="157"/>
    </row>
    <row r="17" spans="1:20" s="2" customFormat="1" ht="20.399999999999999" customHeight="1">
      <c r="A17" s="8">
        <v>4</v>
      </c>
      <c r="B17" s="9" t="s">
        <v>129</v>
      </c>
      <c r="C17" s="12">
        <f>L17/100*90</f>
        <v>206.99999999999997</v>
      </c>
      <c r="D17" s="13">
        <f>C17/100*281</f>
        <v>581.66999999999996</v>
      </c>
      <c r="E17" s="14"/>
      <c r="F17" s="14">
        <f>C17/100*9.5</f>
        <v>19.664999999999999</v>
      </c>
      <c r="G17" s="14"/>
      <c r="H17" s="14">
        <f>C17/100*0.2</f>
        <v>0.41399999999999998</v>
      </c>
      <c r="I17" s="14">
        <f>D17/100*58.5</f>
        <v>340.27695</v>
      </c>
      <c r="J17" s="22">
        <f>C17/100*321</f>
        <v>664.46999999999991</v>
      </c>
      <c r="K17" s="22">
        <f>C17/100*0.14</f>
        <v>0.2898</v>
      </c>
      <c r="L17" s="111">
        <v>230</v>
      </c>
      <c r="M17" s="43">
        <v>120</v>
      </c>
      <c r="N17" s="16">
        <f t="shared" si="0"/>
        <v>27600</v>
      </c>
      <c r="O17" s="156"/>
    </row>
    <row r="18" spans="1:20" s="2" customFormat="1" ht="20.399999999999999" customHeight="1">
      <c r="A18" s="8">
        <v>5</v>
      </c>
      <c r="B18" s="5" t="s">
        <v>1</v>
      </c>
      <c r="C18" s="12">
        <f>L18/100*100</f>
        <v>21565</v>
      </c>
      <c r="D18" s="65">
        <f>C18/100*325.4</f>
        <v>70172.509999999995</v>
      </c>
      <c r="E18" s="14"/>
      <c r="F18" s="91">
        <f>C18/100*7.9</f>
        <v>1703.6350000000002</v>
      </c>
      <c r="G18" s="14"/>
      <c r="H18" s="14">
        <f>C18/100*1</f>
        <v>215.65</v>
      </c>
      <c r="I18" s="91">
        <f>C18/100*67</f>
        <v>14448.550000000001</v>
      </c>
      <c r="J18" s="64">
        <f>C18/100*30</f>
        <v>6469.5</v>
      </c>
      <c r="K18" s="22">
        <f>C18/100*0.1</f>
        <v>21.565000000000001</v>
      </c>
      <c r="L18" s="111">
        <v>21565</v>
      </c>
      <c r="M18" s="20">
        <v>18</v>
      </c>
      <c r="N18" s="16">
        <f t="shared" si="0"/>
        <v>388170</v>
      </c>
      <c r="O18" s="155"/>
    </row>
    <row r="19" spans="1:20" s="2" customFormat="1" ht="20.399999999999999" customHeight="1">
      <c r="A19" s="8">
        <v>6</v>
      </c>
      <c r="B19" s="5" t="s">
        <v>3</v>
      </c>
      <c r="C19" s="12">
        <f>L19/100*48</f>
        <v>3902.3999999999996</v>
      </c>
      <c r="D19" s="13">
        <f>C19/100*199</f>
        <v>7765.7759999999989</v>
      </c>
      <c r="E19" s="14">
        <f>C19/100*20.3</f>
        <v>792.18719999999985</v>
      </c>
      <c r="F19" s="14"/>
      <c r="G19" s="14">
        <f>C19/100*13.1</f>
        <v>511.2143999999999</v>
      </c>
      <c r="H19" s="14"/>
      <c r="I19" s="14"/>
      <c r="J19" s="22">
        <f>C19/100*12</f>
        <v>468.2879999999999</v>
      </c>
      <c r="K19" s="22">
        <f>C19/100*0.15</f>
        <v>5.8535999999999992</v>
      </c>
      <c r="L19" s="111">
        <v>8130</v>
      </c>
      <c r="M19" s="15">
        <v>84</v>
      </c>
      <c r="N19" s="16">
        <f t="shared" si="0"/>
        <v>682920</v>
      </c>
      <c r="O19" s="155"/>
      <c r="Q19" s="3"/>
      <c r="R19" s="3"/>
      <c r="S19" s="4"/>
    </row>
    <row r="20" spans="1:20" s="2" customFormat="1" ht="20.399999999999999" customHeight="1">
      <c r="A20" s="8">
        <v>7</v>
      </c>
      <c r="B20" s="9" t="s">
        <v>66</v>
      </c>
      <c r="C20" s="12">
        <f>L20/100*98</f>
        <v>7791</v>
      </c>
      <c r="D20" s="65">
        <f>C20/100*139</f>
        <v>10829.49</v>
      </c>
      <c r="E20" s="91">
        <f>C20/100*19</f>
        <v>1480.29</v>
      </c>
      <c r="F20" s="14"/>
      <c r="G20" s="14">
        <f>C20/100*7</f>
        <v>545.37</v>
      </c>
      <c r="H20" s="14"/>
      <c r="I20" s="14"/>
      <c r="J20" s="22">
        <f>C20/100*7</f>
        <v>545.37</v>
      </c>
      <c r="K20" s="22">
        <f>C20/100*0.9</f>
        <v>70.119</v>
      </c>
      <c r="L20" s="111">
        <v>7950</v>
      </c>
      <c r="M20" s="15">
        <v>133</v>
      </c>
      <c r="N20" s="93">
        <f t="shared" si="0"/>
        <v>1057350</v>
      </c>
      <c r="O20" s="155"/>
    </row>
    <row r="21" spans="1:20" s="2" customFormat="1" ht="20.399999999999999" customHeight="1">
      <c r="A21" s="8">
        <v>8</v>
      </c>
      <c r="B21" s="5" t="s">
        <v>63</v>
      </c>
      <c r="C21" s="12">
        <f>L21/100*86</f>
        <v>1952.2</v>
      </c>
      <c r="D21" s="13">
        <f>C21/100*166</f>
        <v>3240.6520000000005</v>
      </c>
      <c r="E21" s="14">
        <f>C21/100*14.8</f>
        <v>288.92560000000003</v>
      </c>
      <c r="F21" s="14"/>
      <c r="G21" s="14">
        <f>C21/100*11.6</f>
        <v>226.45520000000002</v>
      </c>
      <c r="H21" s="14"/>
      <c r="I21" s="14">
        <f>C21/100*0.5</f>
        <v>9.761000000000001</v>
      </c>
      <c r="J21" s="64">
        <f>C21/100*55</f>
        <v>1073.71</v>
      </c>
      <c r="K21" s="22">
        <f>C21/100*0.16</f>
        <v>3.1235200000000005</v>
      </c>
      <c r="L21" s="111">
        <v>2270</v>
      </c>
      <c r="M21" s="20">
        <v>57</v>
      </c>
      <c r="N21" s="16">
        <f t="shared" si="0"/>
        <v>129390</v>
      </c>
      <c r="O21" s="155"/>
      <c r="Q21" s="3"/>
      <c r="R21" s="3"/>
      <c r="S21" s="4"/>
    </row>
    <row r="22" spans="1:20" s="2" customFormat="1" ht="20.399999999999999" customHeight="1">
      <c r="A22" s="8">
        <v>9</v>
      </c>
      <c r="B22" s="5" t="s">
        <v>139</v>
      </c>
      <c r="C22" s="12">
        <f>L22/100*31</f>
        <v>703.69999999999993</v>
      </c>
      <c r="D22" s="13">
        <f>C22/100*87</f>
        <v>612.21899999999994</v>
      </c>
      <c r="E22" s="14">
        <f>C22/100*12.3</f>
        <v>86.555099999999996</v>
      </c>
      <c r="F22" s="14"/>
      <c r="G22" s="14">
        <f>C22/100*3.3</f>
        <v>23.222099999999994</v>
      </c>
      <c r="H22" s="14"/>
      <c r="I22" s="14">
        <f>C22/100*2</f>
        <v>14.073999999999998</v>
      </c>
      <c r="J22" s="64">
        <f>C22/100*1120</f>
        <v>7881.4399999999987</v>
      </c>
      <c r="K22" s="22">
        <f>C22/100*0.01</f>
        <v>7.0369999999999988E-2</v>
      </c>
      <c r="L22" s="111">
        <v>2270</v>
      </c>
      <c r="M22" s="20">
        <v>160</v>
      </c>
      <c r="N22" s="93">
        <f t="shared" si="0"/>
        <v>363200</v>
      </c>
      <c r="O22" s="155"/>
      <c r="Q22" s="3"/>
      <c r="R22" s="3"/>
      <c r="S22" s="4"/>
    </row>
    <row r="23" spans="1:20" s="2" customFormat="1" ht="20.399999999999999" customHeight="1">
      <c r="A23" s="8">
        <v>10</v>
      </c>
      <c r="B23" s="5" t="s">
        <v>68</v>
      </c>
      <c r="C23" s="12">
        <f>L23/100*75</f>
        <v>3405</v>
      </c>
      <c r="D23" s="13">
        <f>C23/100*12</f>
        <v>408.59999999999997</v>
      </c>
      <c r="E23" s="17"/>
      <c r="F23" s="17">
        <f>C23/100*0.6</f>
        <v>20.429999999999996</v>
      </c>
      <c r="G23" s="17"/>
      <c r="H23" s="17"/>
      <c r="I23" s="17">
        <f>C23/100*2.4</f>
        <v>81.719999999999985</v>
      </c>
      <c r="J23" s="91">
        <f>C23/100*120</f>
        <v>4085.9999999999995</v>
      </c>
      <c r="K23" s="22">
        <f>C23/100*0.02</f>
        <v>0.68099999999999994</v>
      </c>
      <c r="L23" s="324">
        <v>4540</v>
      </c>
      <c r="M23" s="20">
        <v>22</v>
      </c>
      <c r="N23" s="16">
        <f t="shared" si="0"/>
        <v>99880</v>
      </c>
      <c r="O23" s="155"/>
      <c r="P23" s="3"/>
    </row>
    <row r="24" spans="1:20" s="2" customFormat="1" ht="19.8" customHeight="1">
      <c r="A24" s="8">
        <v>11</v>
      </c>
      <c r="B24" s="142" t="s">
        <v>162</v>
      </c>
      <c r="C24" s="12">
        <f>L24/100*83</f>
        <v>6623.4</v>
      </c>
      <c r="D24" s="13">
        <f>C24/100*14</f>
        <v>927.27599999999995</v>
      </c>
      <c r="E24" s="17"/>
      <c r="F24" s="17">
        <f>C24/100*2</f>
        <v>132.46799999999999</v>
      </c>
      <c r="G24" s="17"/>
      <c r="H24" s="17"/>
      <c r="I24" s="17">
        <f>C24/100*1.4</f>
        <v>92.727599999999981</v>
      </c>
      <c r="J24" s="123">
        <f>C24/100*176</f>
        <v>11657.183999999999</v>
      </c>
      <c r="K24" s="17">
        <f>C24/100*0.06</f>
        <v>3.9740399999999996</v>
      </c>
      <c r="L24" s="324">
        <v>7980</v>
      </c>
      <c r="M24" s="15">
        <v>28</v>
      </c>
      <c r="N24" s="113">
        <f t="shared" si="0"/>
        <v>223440</v>
      </c>
      <c r="O24" s="155"/>
      <c r="Q24" s="3"/>
      <c r="R24" s="3"/>
      <c r="S24" s="4"/>
    </row>
    <row r="25" spans="1:20" s="2" customFormat="1" ht="20.399999999999999" customHeight="1">
      <c r="A25" s="8">
        <v>12</v>
      </c>
      <c r="B25" s="5" t="s">
        <v>117</v>
      </c>
      <c r="C25" s="12">
        <f>L25/100*100</f>
        <v>229.99999999999997</v>
      </c>
      <c r="D25" s="13">
        <f>C25/100*247</f>
        <v>568.09999999999991</v>
      </c>
      <c r="E25" s="17"/>
      <c r="F25" s="17">
        <f>C25/100*17.5</f>
        <v>40.25</v>
      </c>
      <c r="G25" s="17"/>
      <c r="H25" s="17">
        <f>C25/100*1.6</f>
        <v>3.6799999999999997</v>
      </c>
      <c r="I25" s="17">
        <f>C25/100*39.2</f>
        <v>90.16</v>
      </c>
      <c r="J25" s="21"/>
      <c r="K25" s="21"/>
      <c r="L25" s="323">
        <v>230</v>
      </c>
      <c r="M25" s="20">
        <v>50</v>
      </c>
      <c r="N25" s="16">
        <f t="shared" si="0"/>
        <v>11500</v>
      </c>
      <c r="O25" s="155"/>
      <c r="Q25" s="3"/>
      <c r="R25" s="3"/>
      <c r="S25" s="4"/>
      <c r="T25" s="3"/>
    </row>
    <row r="26" spans="1:20" s="2" customFormat="1" ht="20.399999999999999" customHeight="1">
      <c r="A26" s="8">
        <v>13</v>
      </c>
      <c r="B26" s="9" t="s">
        <v>111</v>
      </c>
      <c r="C26" s="12"/>
      <c r="D26" s="13"/>
      <c r="E26" s="14"/>
      <c r="F26" s="14"/>
      <c r="G26" s="14"/>
      <c r="H26" s="14"/>
      <c r="I26" s="14"/>
      <c r="J26" s="14"/>
      <c r="K26" s="14"/>
      <c r="L26" s="15"/>
      <c r="M26" s="15"/>
      <c r="N26" s="16">
        <v>17480</v>
      </c>
      <c r="O26" s="155"/>
    </row>
    <row r="27" spans="1:20" s="2" customFormat="1" ht="20.399999999999999" customHeight="1">
      <c r="A27" s="23" t="s">
        <v>97</v>
      </c>
      <c r="B27" s="24"/>
      <c r="C27" s="25"/>
      <c r="D27" s="148">
        <f>SUM(D14:D26)</f>
        <v>102218.09300000001</v>
      </c>
      <c r="E27" s="27"/>
      <c r="F27" s="27"/>
      <c r="G27" s="27"/>
      <c r="H27" s="27"/>
      <c r="I27" s="27"/>
      <c r="J27" s="27"/>
      <c r="K27" s="27"/>
      <c r="L27" s="28"/>
      <c r="M27" s="28"/>
      <c r="N27" s="271">
        <f>SUM(N14:N26)</f>
        <v>3122290</v>
      </c>
      <c r="O27" s="155"/>
    </row>
    <row r="28" spans="1:20" s="2" customFormat="1" ht="20.399999999999999" customHeight="1">
      <c r="A28" s="23" t="s">
        <v>6</v>
      </c>
      <c r="B28" s="24"/>
      <c r="C28" s="25"/>
      <c r="D28" s="26">
        <f>D27/C8</f>
        <v>450.29996916299564</v>
      </c>
      <c r="E28" s="27"/>
      <c r="F28" s="27"/>
      <c r="G28" s="27"/>
      <c r="H28" s="27"/>
      <c r="I28" s="27"/>
      <c r="J28" s="27"/>
      <c r="K28" s="27"/>
      <c r="L28" s="28"/>
      <c r="M28" s="28"/>
      <c r="N28" s="272"/>
      <c r="O28" s="155"/>
    </row>
    <row r="29" spans="1:20" s="2" customFormat="1" ht="20.399999999999999" customHeight="1">
      <c r="A29" s="300" t="s">
        <v>50</v>
      </c>
      <c r="B29" s="212"/>
      <c r="C29" s="325" t="s">
        <v>133</v>
      </c>
      <c r="D29" s="29" t="s">
        <v>38</v>
      </c>
      <c r="E29" s="27"/>
      <c r="F29" s="27"/>
      <c r="G29" s="27"/>
      <c r="H29" s="27"/>
      <c r="I29" s="27"/>
      <c r="J29" s="27"/>
      <c r="K29" s="27"/>
      <c r="L29" s="28"/>
      <c r="M29" s="28"/>
      <c r="N29" s="30"/>
      <c r="O29" s="155"/>
    </row>
    <row r="30" spans="1:20" s="2" customFormat="1" ht="20.399999999999999" customHeight="1">
      <c r="A30" s="213"/>
      <c r="B30" s="214"/>
      <c r="C30" s="62" t="s">
        <v>58</v>
      </c>
      <c r="D30" s="29">
        <f>D28*100/1320</f>
        <v>34.113634027499671</v>
      </c>
      <c r="E30" s="27"/>
      <c r="F30" s="27"/>
      <c r="G30" s="27"/>
      <c r="H30" s="27"/>
      <c r="I30" s="27"/>
      <c r="J30" s="27"/>
      <c r="K30" s="27"/>
      <c r="L30" s="28"/>
      <c r="M30" s="28"/>
      <c r="N30" s="30"/>
      <c r="O30" s="155"/>
    </row>
    <row r="31" spans="1:20" s="2" customFormat="1" ht="20.399999999999999" customHeight="1">
      <c r="A31" s="215" t="s">
        <v>39</v>
      </c>
      <c r="B31" s="215"/>
      <c r="C31" s="45"/>
      <c r="D31" s="46"/>
      <c r="E31" s="47"/>
      <c r="F31" s="47"/>
      <c r="G31" s="47"/>
      <c r="H31" s="47"/>
      <c r="I31" s="47"/>
      <c r="J31" s="47"/>
      <c r="K31" s="47"/>
      <c r="L31" s="48"/>
      <c r="M31" s="48"/>
      <c r="N31" s="49"/>
      <c r="O31" s="155"/>
    </row>
    <row r="32" spans="1:20" s="2" customFormat="1" ht="20.399999999999999" customHeight="1">
      <c r="A32" s="8">
        <v>1</v>
      </c>
      <c r="B32" s="9" t="s">
        <v>2</v>
      </c>
      <c r="C32" s="12">
        <f>L32/100*100</f>
        <v>229.99999999999997</v>
      </c>
      <c r="D32" s="13">
        <f>C32/100*60</f>
        <v>138</v>
      </c>
      <c r="E32" s="14">
        <f>C32/100*15</f>
        <v>34.5</v>
      </c>
      <c r="F32" s="14"/>
      <c r="G32" s="14"/>
      <c r="H32" s="14"/>
      <c r="I32" s="14"/>
      <c r="J32" s="22">
        <f>C32/100*387</f>
        <v>890.09999999999991</v>
      </c>
      <c r="K32" s="22">
        <f>C32/100*0.09</f>
        <v>0.20699999999999999</v>
      </c>
      <c r="L32" s="111">
        <v>230</v>
      </c>
      <c r="M32" s="20">
        <v>20</v>
      </c>
      <c r="N32" s="16">
        <f>L32*M32</f>
        <v>4600</v>
      </c>
      <c r="O32" s="155"/>
    </row>
    <row r="33" spans="1:23" s="2" customFormat="1" ht="20.399999999999999" customHeight="1">
      <c r="A33" s="8">
        <v>2</v>
      </c>
      <c r="B33" s="115" t="s">
        <v>121</v>
      </c>
      <c r="C33" s="12">
        <f>L33/100*100</f>
        <v>750</v>
      </c>
      <c r="D33" s="13">
        <f>C33/100*899</f>
        <v>6742.5</v>
      </c>
      <c r="E33" s="14"/>
      <c r="F33" s="14"/>
      <c r="G33" s="14">
        <f>C33/100*100</f>
        <v>750</v>
      </c>
      <c r="H33" s="14"/>
      <c r="I33" s="14"/>
      <c r="J33" s="14"/>
      <c r="K33" s="14"/>
      <c r="L33" s="15">
        <v>750</v>
      </c>
      <c r="M33" s="65">
        <v>69</v>
      </c>
      <c r="N33" s="16">
        <f t="shared" ref="N33:N38" si="1">L33*M33</f>
        <v>51750</v>
      </c>
      <c r="O33" s="157"/>
    </row>
    <row r="34" spans="1:23" s="2" customFormat="1" ht="20.399999999999999" customHeight="1">
      <c r="A34" s="8">
        <v>3</v>
      </c>
      <c r="B34" s="9" t="s">
        <v>126</v>
      </c>
      <c r="C34" s="12">
        <f>L34/100*100</f>
        <v>1070</v>
      </c>
      <c r="D34" s="65">
        <f>C34/100*900</f>
        <v>9630</v>
      </c>
      <c r="E34" s="14"/>
      <c r="F34" s="14"/>
      <c r="G34" s="91"/>
      <c r="H34" s="91">
        <f>C34/100*100</f>
        <v>1070</v>
      </c>
      <c r="I34" s="14"/>
      <c r="J34" s="14"/>
      <c r="K34" s="14"/>
      <c r="L34" s="111">
        <v>1070</v>
      </c>
      <c r="M34" s="65">
        <v>65</v>
      </c>
      <c r="N34" s="93">
        <f t="shared" si="1"/>
        <v>69550</v>
      </c>
      <c r="O34" s="157"/>
    </row>
    <row r="35" spans="1:23" s="2" customFormat="1" ht="20.399999999999999" customHeight="1">
      <c r="A35" s="8">
        <v>4</v>
      </c>
      <c r="B35" s="9" t="s">
        <v>66</v>
      </c>
      <c r="C35" s="12">
        <f>L35/100*98</f>
        <v>5782</v>
      </c>
      <c r="D35" s="13">
        <f>C35/100*139</f>
        <v>8036.9800000000005</v>
      </c>
      <c r="E35" s="91">
        <f>C35/100*19</f>
        <v>1098.58</v>
      </c>
      <c r="F35" s="14"/>
      <c r="G35" s="14">
        <f>C35/100*7</f>
        <v>404.74</v>
      </c>
      <c r="H35" s="14"/>
      <c r="I35" s="14"/>
      <c r="J35" s="22">
        <f>C35/100*7</f>
        <v>404.74</v>
      </c>
      <c r="K35" s="22">
        <f>C35/100*0.9</f>
        <v>52.038000000000004</v>
      </c>
      <c r="L35" s="111">
        <v>5900</v>
      </c>
      <c r="M35" s="15">
        <v>133</v>
      </c>
      <c r="N35" s="16">
        <f t="shared" si="1"/>
        <v>784700</v>
      </c>
      <c r="O35" s="155"/>
    </row>
    <row r="36" spans="1:23" s="2" customFormat="1" ht="19.8" customHeight="1">
      <c r="A36" s="8">
        <v>5</v>
      </c>
      <c r="B36" s="142" t="s">
        <v>163</v>
      </c>
      <c r="C36" s="12">
        <f>L36/100*100</f>
        <v>19300</v>
      </c>
      <c r="D36" s="65">
        <f>C36/100*110</f>
        <v>21230</v>
      </c>
      <c r="E36" s="17"/>
      <c r="F36" s="17">
        <f>C36/100*1.7</f>
        <v>328.09999999999997</v>
      </c>
      <c r="G36" s="17"/>
      <c r="H36" s="17"/>
      <c r="I36" s="123">
        <f>C36/100*25.7</f>
        <v>4960.0999999999995</v>
      </c>
      <c r="J36" s="63">
        <f>C36/100*12</f>
        <v>2316</v>
      </c>
      <c r="K36" s="21">
        <f>C36/100*0.04</f>
        <v>7.72</v>
      </c>
      <c r="L36" s="324">
        <v>19300</v>
      </c>
      <c r="M36" s="20">
        <v>14</v>
      </c>
      <c r="N36" s="16">
        <f t="shared" si="1"/>
        <v>270200</v>
      </c>
      <c r="O36" s="155"/>
      <c r="Q36" s="3"/>
      <c r="R36" s="3"/>
      <c r="S36" s="4"/>
      <c r="T36" s="3"/>
    </row>
    <row r="37" spans="1:23" s="2" customFormat="1" ht="19.8" customHeight="1">
      <c r="A37" s="8">
        <v>7</v>
      </c>
      <c r="B37" s="128" t="s">
        <v>5</v>
      </c>
      <c r="C37" s="12">
        <f>L37/100*98.5</f>
        <v>1122.9000000000001</v>
      </c>
      <c r="D37" s="13">
        <f>C37/100*39</f>
        <v>437.93100000000004</v>
      </c>
      <c r="E37" s="17"/>
      <c r="F37" s="17">
        <f>C37/100*1.5</f>
        <v>16.843500000000002</v>
      </c>
      <c r="G37" s="17"/>
      <c r="H37" s="17">
        <f>C37/100*0.2</f>
        <v>2.2458000000000005</v>
      </c>
      <c r="I37" s="17">
        <f>C37/100*7.8</f>
        <v>87.586200000000005</v>
      </c>
      <c r="J37" s="21">
        <f>C37/100*43</f>
        <v>482.84700000000004</v>
      </c>
      <c r="K37" s="21">
        <f>C37/100*0.06</f>
        <v>0.67374000000000001</v>
      </c>
      <c r="L37" s="324">
        <v>1140</v>
      </c>
      <c r="M37" s="20">
        <v>17</v>
      </c>
      <c r="N37" s="16">
        <f t="shared" si="1"/>
        <v>19380</v>
      </c>
      <c r="O37" s="155"/>
    </row>
    <row r="38" spans="1:23" s="2" customFormat="1" ht="19.8" customHeight="1">
      <c r="A38" s="8">
        <v>8</v>
      </c>
      <c r="B38" s="128" t="s">
        <v>20</v>
      </c>
      <c r="C38" s="12">
        <f>L38/100*95</f>
        <v>3239.5</v>
      </c>
      <c r="D38" s="13">
        <f>C38/100*20</f>
        <v>647.90000000000009</v>
      </c>
      <c r="E38" s="17"/>
      <c r="F38" s="17">
        <f>C38/100*0.6</f>
        <v>19.437000000000001</v>
      </c>
      <c r="G38" s="17"/>
      <c r="H38" s="17">
        <f>C38/100*0.2</f>
        <v>6.479000000000001</v>
      </c>
      <c r="I38" s="17">
        <f>C38/100*4</f>
        <v>129.58000000000001</v>
      </c>
      <c r="J38" s="21">
        <f>C38/100*12</f>
        <v>388.74</v>
      </c>
      <c r="K38" s="21">
        <f>C38/100*0.04</f>
        <v>1.2958000000000001</v>
      </c>
      <c r="L38" s="324">
        <v>3410</v>
      </c>
      <c r="M38" s="20">
        <v>22</v>
      </c>
      <c r="N38" s="16">
        <f t="shared" si="1"/>
        <v>75020</v>
      </c>
      <c r="O38" s="155"/>
    </row>
    <row r="39" spans="1:23" s="2" customFormat="1" ht="20.399999999999999" customHeight="1">
      <c r="A39" s="8">
        <v>7</v>
      </c>
      <c r="B39" s="5" t="s">
        <v>117</v>
      </c>
      <c r="C39" s="12">
        <f>L39/100*100</f>
        <v>140</v>
      </c>
      <c r="D39" s="13">
        <f>C39/100*247</f>
        <v>345.79999999999995</v>
      </c>
      <c r="E39" s="17"/>
      <c r="F39" s="17">
        <f>C39/100*17.5</f>
        <v>24.5</v>
      </c>
      <c r="G39" s="17"/>
      <c r="H39" s="17">
        <f>C39/100*1.6</f>
        <v>2.2399999999999998</v>
      </c>
      <c r="I39" s="17">
        <f>C39/100*39.2</f>
        <v>54.88</v>
      </c>
      <c r="J39" s="21"/>
      <c r="K39" s="21"/>
      <c r="L39" s="324">
        <v>140</v>
      </c>
      <c r="M39" s="20">
        <v>50</v>
      </c>
      <c r="N39" s="16">
        <f t="shared" ref="N39:N40" si="2">L39*M39</f>
        <v>7000</v>
      </c>
      <c r="O39" s="155"/>
      <c r="Q39" s="3"/>
      <c r="R39" s="3"/>
      <c r="S39" s="4"/>
      <c r="T39" s="3"/>
    </row>
    <row r="40" spans="1:23" s="2" customFormat="1" ht="20.399999999999999" customHeight="1">
      <c r="A40" s="8">
        <v>8</v>
      </c>
      <c r="B40" s="145" t="s">
        <v>127</v>
      </c>
      <c r="C40" s="12">
        <f>L40/100*73.5</f>
        <v>18352.95</v>
      </c>
      <c r="D40" s="65">
        <f>C40/100*56</f>
        <v>10277.652</v>
      </c>
      <c r="E40" s="17"/>
      <c r="F40" s="17">
        <f>C40/100*0.9</f>
        <v>165.17655000000002</v>
      </c>
      <c r="G40" s="17"/>
      <c r="H40" s="17">
        <f>C40/100*0.3</f>
        <v>55.05885</v>
      </c>
      <c r="I40" s="123">
        <f>C40/100*12.4</f>
        <v>2275.7658000000001</v>
      </c>
      <c r="J40" s="63">
        <f>C40/100*12</f>
        <v>2202.3540000000003</v>
      </c>
      <c r="K40" s="21">
        <f>C40/100*0.04</f>
        <v>7.3411800000000005</v>
      </c>
      <c r="L40" s="323">
        <v>24970</v>
      </c>
      <c r="M40" s="20">
        <v>23</v>
      </c>
      <c r="N40" s="16">
        <f t="shared" si="2"/>
        <v>574310</v>
      </c>
      <c r="O40" s="155"/>
    </row>
    <row r="41" spans="1:23" s="2" customFormat="1" ht="20.399999999999999" customHeight="1">
      <c r="A41" s="77">
        <v>9</v>
      </c>
      <c r="B41" s="78" t="s">
        <v>111</v>
      </c>
      <c r="C41" s="79"/>
      <c r="D41" s="353"/>
      <c r="E41" s="105"/>
      <c r="F41" s="105"/>
      <c r="G41" s="105"/>
      <c r="H41" s="81"/>
      <c r="I41" s="81"/>
      <c r="J41" s="81"/>
      <c r="K41" s="81"/>
      <c r="L41" s="82"/>
      <c r="M41" s="82"/>
      <c r="N41" s="83">
        <v>14680</v>
      </c>
      <c r="O41" s="155"/>
    </row>
    <row r="42" spans="1:23" ht="19.2" customHeight="1">
      <c r="A42" s="172" t="s">
        <v>0</v>
      </c>
      <c r="B42" s="175" t="s">
        <v>19</v>
      </c>
      <c r="C42" s="178" t="s">
        <v>8</v>
      </c>
      <c r="D42" s="178" t="s">
        <v>9</v>
      </c>
      <c r="E42" s="181" t="s">
        <v>11</v>
      </c>
      <c r="F42" s="182"/>
      <c r="G42" s="181" t="s">
        <v>13</v>
      </c>
      <c r="H42" s="182"/>
      <c r="I42" s="200" t="s">
        <v>16</v>
      </c>
      <c r="J42" s="200" t="s">
        <v>32</v>
      </c>
      <c r="K42" s="200" t="s">
        <v>33</v>
      </c>
      <c r="L42" s="200" t="s">
        <v>17</v>
      </c>
      <c r="M42" s="200" t="s">
        <v>54</v>
      </c>
      <c r="N42" s="172" t="s">
        <v>18</v>
      </c>
      <c r="O42" s="154"/>
    </row>
    <row r="43" spans="1:23" ht="19.2" customHeight="1">
      <c r="A43" s="173"/>
      <c r="B43" s="176"/>
      <c r="C43" s="179"/>
      <c r="D43" s="179"/>
      <c r="E43" s="183"/>
      <c r="F43" s="184"/>
      <c r="G43" s="183"/>
      <c r="H43" s="184"/>
      <c r="I43" s="208"/>
      <c r="J43" s="208"/>
      <c r="K43" s="208"/>
      <c r="L43" s="208"/>
      <c r="M43" s="208"/>
      <c r="N43" s="173"/>
      <c r="O43" s="163"/>
    </row>
    <row r="44" spans="1:23" ht="19.2" customHeight="1">
      <c r="A44" s="173"/>
      <c r="B44" s="176"/>
      <c r="C44" s="179"/>
      <c r="D44" s="179"/>
      <c r="E44" s="200" t="s">
        <v>10</v>
      </c>
      <c r="F44" s="200" t="s">
        <v>12</v>
      </c>
      <c r="G44" s="200" t="s">
        <v>14</v>
      </c>
      <c r="H44" s="200" t="s">
        <v>15</v>
      </c>
      <c r="I44" s="208"/>
      <c r="J44" s="208"/>
      <c r="K44" s="208"/>
      <c r="L44" s="208"/>
      <c r="M44" s="208"/>
      <c r="N44" s="173"/>
      <c r="O44" s="163"/>
    </row>
    <row r="45" spans="1:23" ht="19.2" customHeight="1">
      <c r="A45" s="174"/>
      <c r="B45" s="177"/>
      <c r="C45" s="180"/>
      <c r="D45" s="180"/>
      <c r="E45" s="201"/>
      <c r="F45" s="201"/>
      <c r="G45" s="201"/>
      <c r="H45" s="201"/>
      <c r="I45" s="201"/>
      <c r="J45" s="201"/>
      <c r="K45" s="201"/>
      <c r="L45" s="201"/>
      <c r="M45" s="201"/>
      <c r="N45" s="174"/>
      <c r="O45" s="163"/>
    </row>
    <row r="46" spans="1:23" s="2" customFormat="1" ht="21" customHeight="1">
      <c r="A46" s="23" t="s">
        <v>98</v>
      </c>
      <c r="B46" s="24"/>
      <c r="C46" s="25"/>
      <c r="D46" s="94">
        <f>SUM(D32:D41)</f>
        <v>57486.762999999999</v>
      </c>
      <c r="E46" s="31"/>
      <c r="F46" s="31"/>
      <c r="G46" s="31"/>
      <c r="H46" s="31"/>
      <c r="I46" s="31"/>
      <c r="J46" s="31"/>
      <c r="K46" s="31"/>
      <c r="L46" s="32"/>
      <c r="M46" s="32"/>
      <c r="N46" s="271">
        <f>SUM(N32:N41)</f>
        <v>1871190</v>
      </c>
      <c r="O46" s="155"/>
    </row>
    <row r="47" spans="1:23" ht="21" customHeight="1">
      <c r="A47" s="23" t="s">
        <v>7</v>
      </c>
      <c r="B47" s="24"/>
      <c r="C47" s="33"/>
      <c r="D47" s="34">
        <f>D46/C8</f>
        <v>253.24565198237886</v>
      </c>
      <c r="E47" s="34"/>
      <c r="F47" s="34"/>
      <c r="G47" s="34"/>
      <c r="H47" s="34"/>
      <c r="I47" s="34"/>
      <c r="J47" s="34"/>
      <c r="K47" s="34"/>
      <c r="L47" s="35"/>
      <c r="M47" s="35"/>
      <c r="N47" s="272"/>
      <c r="O47" s="4"/>
      <c r="P47" s="2"/>
      <c r="Q47" s="2"/>
      <c r="R47" s="2"/>
      <c r="S47" s="2"/>
      <c r="T47" s="2"/>
      <c r="U47" s="2"/>
      <c r="V47" s="2"/>
      <c r="W47" s="2"/>
    </row>
    <row r="48" spans="1:23" ht="21" customHeight="1">
      <c r="A48" s="300" t="s">
        <v>51</v>
      </c>
      <c r="B48" s="212"/>
      <c r="C48" s="325" t="s">
        <v>133</v>
      </c>
      <c r="D48" s="29" t="s">
        <v>41</v>
      </c>
      <c r="E48" s="34"/>
      <c r="F48" s="34"/>
      <c r="G48" s="34"/>
      <c r="H48" s="34"/>
      <c r="I48" s="34"/>
      <c r="J48" s="36"/>
      <c r="K48" s="36"/>
      <c r="L48" s="35"/>
      <c r="M48" s="35"/>
      <c r="N48" s="168"/>
      <c r="O48" s="4"/>
      <c r="P48" s="2"/>
      <c r="Q48" s="2"/>
      <c r="R48" s="2"/>
      <c r="S48" s="2"/>
      <c r="T48" s="2"/>
      <c r="U48" s="2"/>
      <c r="V48" s="2"/>
      <c r="W48" s="2"/>
    </row>
    <row r="49" spans="1:23" ht="21" customHeight="1">
      <c r="A49" s="213"/>
      <c r="B49" s="214"/>
      <c r="C49" s="62" t="s">
        <v>58</v>
      </c>
      <c r="D49" s="29">
        <f>D47*100/1320</f>
        <v>19.185276665331735</v>
      </c>
      <c r="E49" s="34"/>
      <c r="F49" s="34"/>
      <c r="G49" s="34"/>
      <c r="H49" s="34"/>
      <c r="I49" s="34"/>
      <c r="J49" s="36"/>
      <c r="K49" s="36"/>
      <c r="L49" s="35"/>
      <c r="M49" s="35"/>
      <c r="N49" s="168"/>
      <c r="O49" s="4"/>
      <c r="P49" s="2"/>
      <c r="Q49" s="2"/>
      <c r="R49" s="2"/>
      <c r="S49" s="2"/>
      <c r="T49" s="2"/>
      <c r="U49" s="2"/>
      <c r="V49" s="2"/>
      <c r="W49" s="2"/>
    </row>
    <row r="50" spans="1:23" ht="21" customHeight="1">
      <c r="A50" s="217" t="s">
        <v>99</v>
      </c>
      <c r="B50" s="218"/>
      <c r="C50" s="221"/>
      <c r="D50" s="223">
        <f>D27+D46</f>
        <v>159704.856</v>
      </c>
      <c r="E50" s="95">
        <f>SUM(E14:E41)</f>
        <v>3797.5378999999998</v>
      </c>
      <c r="F50" s="95">
        <f t="shared" ref="F50:H50" si="3">SUM(F14:F41)</f>
        <v>2570.6750500000003</v>
      </c>
      <c r="G50" s="95">
        <f t="shared" si="3"/>
        <v>3151.0016999999998</v>
      </c>
      <c r="H50" s="95">
        <f t="shared" si="3"/>
        <v>1356.40365</v>
      </c>
      <c r="I50" s="227">
        <f>SUM(I14:I41)</f>
        <v>22693.301550000007</v>
      </c>
      <c r="J50" s="227">
        <f>SUM(J14:J41)</f>
        <v>40258.542999999998</v>
      </c>
      <c r="K50" s="229">
        <f>SUM(K14:K41)</f>
        <v>175.52805000000004</v>
      </c>
      <c r="L50" s="231"/>
      <c r="M50" s="231"/>
      <c r="N50" s="299">
        <f>N27+N46</f>
        <v>4993480</v>
      </c>
      <c r="P50" s="2"/>
      <c r="Q50" s="2"/>
      <c r="R50" s="2"/>
      <c r="S50" s="2"/>
      <c r="T50" s="2"/>
      <c r="U50" s="2"/>
      <c r="V50" s="2"/>
    </row>
    <row r="51" spans="1:23" ht="21" customHeight="1">
      <c r="A51" s="219"/>
      <c r="B51" s="220"/>
      <c r="C51" s="222"/>
      <c r="D51" s="224"/>
      <c r="E51" s="233">
        <f>E50+F50</f>
        <v>6368.2129500000001</v>
      </c>
      <c r="F51" s="234"/>
      <c r="G51" s="233">
        <f>G50+H50</f>
        <v>4507.40535</v>
      </c>
      <c r="H51" s="234"/>
      <c r="I51" s="228"/>
      <c r="J51" s="228"/>
      <c r="K51" s="230"/>
      <c r="L51" s="231"/>
      <c r="M51" s="231"/>
      <c r="N51" s="299"/>
      <c r="U51" s="11"/>
      <c r="V51" s="11"/>
    </row>
    <row r="52" spans="1:23" ht="21" customHeight="1">
      <c r="A52" s="235" t="s">
        <v>75</v>
      </c>
      <c r="B52" s="236"/>
      <c r="C52" s="237"/>
      <c r="D52" s="101">
        <f>D50/C8</f>
        <v>703.54562114537441</v>
      </c>
      <c r="E52" s="354">
        <f>E50/C8</f>
        <v>16.729241850220262</v>
      </c>
      <c r="F52" s="106">
        <f>F50/C8</f>
        <v>11.324559691629958</v>
      </c>
      <c r="G52" s="354">
        <f>G50/C8</f>
        <v>13.88106475770925</v>
      </c>
      <c r="H52" s="107">
        <f>H50/C8</f>
        <v>5.9753464757709249</v>
      </c>
      <c r="I52" s="293">
        <f>I50/C8</f>
        <v>99.970491409691661</v>
      </c>
      <c r="J52" s="293">
        <f>J50/C8</f>
        <v>177.35040969162995</v>
      </c>
      <c r="K52" s="243">
        <f>K50/C8</f>
        <v>0.77325132158590326</v>
      </c>
      <c r="L52" s="231"/>
      <c r="M52" s="231"/>
      <c r="N52" s="299"/>
      <c r="U52" s="11"/>
      <c r="V52" s="11"/>
    </row>
    <row r="53" spans="1:23" ht="21" customHeight="1">
      <c r="A53" s="238"/>
      <c r="B53" s="239"/>
      <c r="C53" s="240"/>
      <c r="D53" s="98"/>
      <c r="E53" s="304">
        <f>E52+F52</f>
        <v>28.05380154185022</v>
      </c>
      <c r="F53" s="303"/>
      <c r="G53" s="304">
        <f>G52+H52</f>
        <v>19.856411233480173</v>
      </c>
      <c r="H53" s="303"/>
      <c r="I53" s="280"/>
      <c r="J53" s="280"/>
      <c r="K53" s="244"/>
      <c r="L53" s="231"/>
      <c r="M53" s="231"/>
      <c r="N53" s="299"/>
      <c r="P53" s="337"/>
      <c r="Q53" s="338"/>
      <c r="R53" s="338"/>
      <c r="S53" s="338"/>
      <c r="T53" s="338"/>
      <c r="U53" s="339"/>
      <c r="V53" s="339"/>
    </row>
    <row r="54" spans="1:23" ht="21" customHeight="1">
      <c r="A54" s="327" t="s">
        <v>76</v>
      </c>
      <c r="B54" s="328"/>
      <c r="C54" s="329"/>
      <c r="D54" s="330" t="s">
        <v>27</v>
      </c>
      <c r="E54" s="186" t="s">
        <v>21</v>
      </c>
      <c r="F54" s="186"/>
      <c r="G54" s="186" t="s">
        <v>22</v>
      </c>
      <c r="H54" s="186"/>
      <c r="I54" s="167" t="s">
        <v>23</v>
      </c>
      <c r="J54" s="351">
        <v>600</v>
      </c>
      <c r="K54" s="351">
        <v>0.74</v>
      </c>
      <c r="L54" s="231"/>
      <c r="M54" s="231"/>
      <c r="N54" s="299"/>
      <c r="O54" s="158"/>
      <c r="P54" s="340"/>
      <c r="Q54" s="338"/>
      <c r="R54" s="338"/>
      <c r="S54" s="338"/>
      <c r="T54" s="338"/>
      <c r="U54" s="338"/>
      <c r="V54" s="338"/>
    </row>
    <row r="55" spans="1:23" ht="21" customHeight="1">
      <c r="A55" s="248" t="s">
        <v>69</v>
      </c>
      <c r="B55" s="249"/>
      <c r="C55" s="250"/>
      <c r="D55" s="19"/>
      <c r="E55" s="251">
        <f>E53*4.1</f>
        <v>115.0205863215859</v>
      </c>
      <c r="F55" s="252"/>
      <c r="G55" s="251">
        <f>G53*9</f>
        <v>178.70770110132156</v>
      </c>
      <c r="H55" s="252"/>
      <c r="I55" s="68">
        <f>I52*4.1</f>
        <v>409.87901477973577</v>
      </c>
      <c r="J55" s="253"/>
      <c r="K55" s="253"/>
      <c r="L55" s="231"/>
      <c r="M55" s="231"/>
      <c r="N55" s="299"/>
      <c r="O55" s="158"/>
      <c r="P55" s="341"/>
      <c r="Q55" s="342"/>
      <c r="R55" s="342"/>
      <c r="S55" s="342"/>
      <c r="T55" s="337"/>
      <c r="U55" s="337"/>
      <c r="V55" s="337"/>
    </row>
    <row r="56" spans="1:23" ht="21" customHeight="1">
      <c r="A56" s="256" t="s">
        <v>70</v>
      </c>
      <c r="B56" s="257"/>
      <c r="C56" s="248" t="s">
        <v>58</v>
      </c>
      <c r="D56" s="250"/>
      <c r="E56" s="310">
        <f>E55*100/D52</f>
        <v>16.348703319954151</v>
      </c>
      <c r="F56" s="311"/>
      <c r="G56" s="310">
        <f>G55*100/D52</f>
        <v>25.401011068818089</v>
      </c>
      <c r="H56" s="311"/>
      <c r="I56" s="146">
        <f>I55*100/D52</f>
        <v>58.259052783592267</v>
      </c>
      <c r="J56" s="254"/>
      <c r="K56" s="254"/>
      <c r="L56" s="231"/>
      <c r="M56" s="231"/>
      <c r="N56" s="299"/>
      <c r="O56" s="158"/>
      <c r="P56" s="337"/>
      <c r="Q56" s="343"/>
      <c r="R56" s="337"/>
      <c r="S56" s="337"/>
      <c r="T56" s="337"/>
      <c r="U56" s="337"/>
      <c r="V56" s="337"/>
    </row>
    <row r="57" spans="1:23" ht="21" customHeight="1">
      <c r="A57" s="258"/>
      <c r="B57" s="259"/>
      <c r="C57" s="248" t="s">
        <v>71</v>
      </c>
      <c r="D57" s="250"/>
      <c r="E57" s="248" t="s">
        <v>72</v>
      </c>
      <c r="F57" s="250"/>
      <c r="G57" s="248" t="s">
        <v>73</v>
      </c>
      <c r="H57" s="250"/>
      <c r="I57" s="330" t="s">
        <v>74</v>
      </c>
      <c r="J57" s="255"/>
      <c r="K57" s="255"/>
      <c r="L57" s="231"/>
      <c r="M57" s="231"/>
      <c r="N57" s="299"/>
      <c r="O57" s="158"/>
      <c r="P57" s="84"/>
    </row>
    <row r="58" spans="1:23" ht="21" customHeight="1">
      <c r="A58" s="70"/>
      <c r="B58" s="71"/>
      <c r="C58" s="70"/>
      <c r="D58" s="70"/>
      <c r="E58" s="70"/>
      <c r="F58" s="70"/>
      <c r="G58" s="70"/>
      <c r="H58" s="70"/>
      <c r="I58" s="70"/>
      <c r="J58" s="70"/>
      <c r="K58" s="70"/>
      <c r="L58" s="72"/>
      <c r="M58" s="72"/>
      <c r="N58" s="73"/>
      <c r="O58" s="158"/>
    </row>
    <row r="59" spans="1:23" ht="21" customHeight="1">
      <c r="A59" s="245" t="s">
        <v>100</v>
      </c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158"/>
    </row>
    <row r="60" spans="1:23" ht="21" customHeight="1">
      <c r="A60" s="87" t="s">
        <v>101</v>
      </c>
      <c r="B60" s="246" t="s">
        <v>116</v>
      </c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158"/>
    </row>
    <row r="61" spans="1:23" ht="21" customHeight="1">
      <c r="A61" s="88"/>
      <c r="B61" s="247" t="s">
        <v>188</v>
      </c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158"/>
    </row>
    <row r="62" spans="1:23" ht="21" customHeight="1">
      <c r="A62" s="88"/>
      <c r="B62" s="247" t="s">
        <v>189</v>
      </c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158"/>
    </row>
    <row r="63" spans="1:23" ht="21" customHeight="1">
      <c r="A63" s="88"/>
      <c r="B63" s="247" t="s">
        <v>164</v>
      </c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158"/>
    </row>
    <row r="64" spans="1:23" ht="21" customHeight="1">
      <c r="A64" s="70"/>
      <c r="B64" s="262" t="s">
        <v>107</v>
      </c>
      <c r="C64" s="262"/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262"/>
      <c r="O64" s="158"/>
    </row>
    <row r="65" spans="1:15" ht="21" customHeight="1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89"/>
      <c r="M65" s="89"/>
      <c r="N65" s="90"/>
      <c r="O65" s="158"/>
    </row>
    <row r="66" spans="1:15" ht="21" customHeight="1">
      <c r="A66" s="263" t="s">
        <v>60</v>
      </c>
      <c r="B66" s="263"/>
      <c r="C66" s="263"/>
      <c r="D66" s="263"/>
      <c r="E66" s="332"/>
      <c r="F66" s="332"/>
      <c r="G66" s="332"/>
      <c r="H66" s="332"/>
      <c r="I66" s="332"/>
      <c r="J66" s="333" t="s">
        <v>36</v>
      </c>
      <c r="K66" s="333"/>
      <c r="L66" s="333"/>
      <c r="M66" s="333"/>
      <c r="N66" s="333"/>
      <c r="O66" s="158"/>
    </row>
    <row r="67" spans="1:15" ht="21" customHeight="1">
      <c r="A67" s="163"/>
      <c r="B67" s="163"/>
      <c r="C67" s="163"/>
      <c r="D67" s="332"/>
      <c r="E67" s="332"/>
      <c r="F67" s="332"/>
      <c r="G67" s="332"/>
      <c r="H67" s="334"/>
      <c r="I67" s="334"/>
      <c r="J67" s="334"/>
      <c r="K67" s="334"/>
      <c r="L67" s="334"/>
      <c r="M67" s="334"/>
      <c r="N67" s="334"/>
      <c r="O67" s="158"/>
    </row>
    <row r="68" spans="1:15" ht="21" customHeight="1">
      <c r="A68" s="163"/>
      <c r="B68" s="163"/>
      <c r="C68" s="163"/>
      <c r="D68" s="332"/>
      <c r="E68" s="332"/>
      <c r="F68" s="332"/>
      <c r="G68" s="332"/>
      <c r="H68" s="334"/>
      <c r="I68" s="334"/>
      <c r="J68" s="334"/>
      <c r="K68" s="334"/>
      <c r="L68" s="334"/>
      <c r="M68" s="334"/>
      <c r="N68" s="334"/>
      <c r="O68" s="158"/>
    </row>
    <row r="69" spans="1:15" ht="21" customHeight="1">
      <c r="A69" s="163"/>
      <c r="B69" s="163"/>
      <c r="C69" s="163"/>
      <c r="D69" s="332"/>
      <c r="E69" s="332"/>
      <c r="F69" s="332"/>
      <c r="G69" s="332"/>
      <c r="H69" s="334"/>
      <c r="I69" s="334"/>
      <c r="J69" s="335" t="s">
        <v>103</v>
      </c>
      <c r="K69" s="335"/>
      <c r="L69" s="335"/>
      <c r="M69" s="335"/>
      <c r="N69" s="335"/>
      <c r="O69" s="158"/>
    </row>
    <row r="70" spans="1:15" ht="21" customHeight="1">
      <c r="A70" s="264" t="s">
        <v>84</v>
      </c>
      <c r="B70" s="264"/>
      <c r="C70" s="264"/>
      <c r="D70" s="264"/>
      <c r="E70" s="332"/>
      <c r="F70" s="332"/>
      <c r="G70" s="332"/>
      <c r="H70" s="334"/>
      <c r="I70" s="334"/>
      <c r="J70" s="335"/>
      <c r="K70" s="335"/>
      <c r="L70" s="335"/>
      <c r="M70" s="335"/>
      <c r="N70" s="335"/>
      <c r="O70" s="158"/>
    </row>
    <row r="71" spans="1:15" ht="21" customHeight="1">
      <c r="A71" s="163"/>
      <c r="B71" s="163"/>
      <c r="C71" s="163"/>
      <c r="D71" s="332"/>
      <c r="E71" s="332"/>
      <c r="F71" s="332"/>
      <c r="G71" s="332"/>
      <c r="H71" s="334"/>
      <c r="I71" s="334"/>
      <c r="J71" s="334"/>
      <c r="K71" s="334"/>
      <c r="L71" s="334"/>
      <c r="M71" s="334"/>
      <c r="N71" s="334"/>
      <c r="O71" s="158"/>
    </row>
    <row r="72" spans="1:15" ht="21" customHeight="1">
      <c r="A72" s="163"/>
      <c r="B72" s="163"/>
      <c r="C72" s="163"/>
      <c r="D72" s="332"/>
      <c r="E72" s="332"/>
      <c r="F72" s="332"/>
      <c r="G72" s="332"/>
      <c r="H72" s="334"/>
      <c r="I72" s="334"/>
      <c r="J72" s="335" t="s">
        <v>114</v>
      </c>
      <c r="K72" s="335"/>
      <c r="L72" s="335"/>
      <c r="M72" s="335"/>
      <c r="N72" s="335"/>
      <c r="O72" s="158"/>
    </row>
    <row r="73" spans="1:15" ht="21" customHeight="1">
      <c r="A73" s="163"/>
      <c r="B73" s="163"/>
      <c r="C73" s="163"/>
      <c r="D73" s="332"/>
      <c r="E73" s="332"/>
      <c r="F73" s="332"/>
      <c r="G73" s="332"/>
      <c r="H73" s="334"/>
      <c r="I73" s="334"/>
      <c r="J73" s="334"/>
      <c r="K73" s="334"/>
      <c r="L73" s="334"/>
      <c r="M73" s="334"/>
      <c r="N73" s="334"/>
      <c r="O73" s="158"/>
    </row>
    <row r="74" spans="1:15" ht="21" customHeight="1">
      <c r="A74" s="163"/>
      <c r="B74" s="163"/>
      <c r="C74" s="163"/>
      <c r="D74" s="332"/>
      <c r="E74" s="332"/>
      <c r="F74" s="332"/>
      <c r="G74" s="332"/>
      <c r="H74" s="334"/>
      <c r="I74" s="334"/>
      <c r="J74" s="334"/>
      <c r="K74" s="334"/>
      <c r="L74" s="334"/>
      <c r="M74" s="334"/>
      <c r="N74" s="334"/>
      <c r="O74" s="158"/>
    </row>
    <row r="75" spans="1:15" ht="21" customHeight="1">
      <c r="A75" s="163"/>
      <c r="B75" s="163"/>
      <c r="C75" s="163"/>
      <c r="D75" s="332"/>
      <c r="E75" s="332"/>
      <c r="F75" s="332"/>
      <c r="G75" s="332"/>
      <c r="H75" s="334"/>
      <c r="I75" s="334"/>
      <c r="J75" s="334"/>
      <c r="K75" s="334"/>
      <c r="L75" s="334"/>
      <c r="M75" s="334"/>
      <c r="N75" s="334"/>
      <c r="O75" s="158"/>
    </row>
    <row r="76" spans="1:15" ht="21" customHeight="1">
      <c r="A76" s="163"/>
      <c r="B76" s="163"/>
      <c r="C76" s="163"/>
      <c r="D76" s="332"/>
      <c r="E76" s="332"/>
      <c r="F76" s="332"/>
      <c r="G76" s="332"/>
      <c r="H76" s="334"/>
      <c r="I76" s="334"/>
      <c r="J76" s="334"/>
      <c r="K76" s="334"/>
      <c r="L76" s="334"/>
      <c r="M76" s="334"/>
      <c r="N76" s="334"/>
      <c r="O76" s="158"/>
    </row>
    <row r="77" spans="1:15" ht="21" customHeight="1">
      <c r="A77" s="163"/>
      <c r="B77" s="163"/>
      <c r="C77" s="163"/>
      <c r="D77" s="332"/>
      <c r="E77" s="332"/>
      <c r="F77" s="332"/>
      <c r="G77" s="332"/>
      <c r="H77" s="334"/>
      <c r="I77" s="334"/>
      <c r="J77" s="334"/>
      <c r="K77" s="334"/>
      <c r="L77" s="334"/>
      <c r="M77" s="334"/>
      <c r="N77" s="334"/>
      <c r="O77" s="158"/>
    </row>
    <row r="78" spans="1:15" ht="21" customHeight="1">
      <c r="A78" s="163"/>
      <c r="B78" s="163"/>
      <c r="C78" s="163"/>
      <c r="D78" s="332"/>
      <c r="E78" s="332"/>
      <c r="F78" s="332"/>
      <c r="G78" s="332"/>
      <c r="H78" s="334"/>
      <c r="I78" s="334"/>
      <c r="J78" s="334"/>
      <c r="K78" s="334"/>
      <c r="L78" s="334"/>
      <c r="M78" s="334"/>
      <c r="N78" s="334"/>
      <c r="O78" s="158"/>
    </row>
    <row r="79" spans="1:15" ht="21" customHeight="1">
      <c r="A79" s="163"/>
      <c r="B79" s="163"/>
      <c r="C79" s="163"/>
      <c r="D79" s="332"/>
      <c r="E79" s="332"/>
      <c r="F79" s="332"/>
      <c r="G79" s="332"/>
      <c r="H79" s="334"/>
      <c r="I79" s="334"/>
      <c r="J79" s="334"/>
      <c r="K79" s="334"/>
      <c r="L79" s="334"/>
      <c r="M79" s="334"/>
      <c r="N79" s="334"/>
      <c r="O79" s="158"/>
    </row>
    <row r="80" spans="1:15" ht="21" customHeight="1">
      <c r="A80" s="163"/>
      <c r="B80" s="163"/>
      <c r="C80" s="163"/>
      <c r="D80" s="332"/>
      <c r="E80" s="332"/>
      <c r="F80" s="332"/>
      <c r="G80" s="332"/>
      <c r="H80" s="334"/>
      <c r="I80" s="334"/>
      <c r="J80" s="334"/>
      <c r="K80" s="334"/>
      <c r="L80" s="334"/>
      <c r="M80" s="334"/>
      <c r="N80" s="334"/>
      <c r="O80" s="158"/>
    </row>
    <row r="81" spans="1:20" ht="21" customHeight="1">
      <c r="A81" s="163"/>
      <c r="B81" s="163"/>
      <c r="C81" s="163"/>
      <c r="D81" s="332"/>
      <c r="E81" s="332"/>
      <c r="F81" s="332"/>
      <c r="G81" s="332"/>
      <c r="H81" s="334"/>
      <c r="I81" s="334"/>
      <c r="J81" s="334"/>
      <c r="K81" s="334"/>
      <c r="L81" s="334"/>
      <c r="M81" s="334"/>
      <c r="N81" s="334"/>
      <c r="O81" s="158"/>
    </row>
    <row r="82" spans="1:20" s="118" customFormat="1" ht="18" customHeight="1">
      <c r="A82" s="116" t="s">
        <v>59</v>
      </c>
      <c r="B82" s="117"/>
      <c r="C82" s="117"/>
      <c r="D82" s="117"/>
      <c r="E82" s="117"/>
      <c r="F82" s="312" t="s">
        <v>31</v>
      </c>
      <c r="G82" s="312"/>
      <c r="H82" s="312"/>
      <c r="I82" s="312"/>
      <c r="J82" s="312"/>
      <c r="K82" s="312"/>
      <c r="L82" s="312"/>
      <c r="M82" s="312"/>
      <c r="N82" s="312"/>
      <c r="O82" s="159"/>
      <c r="P82" s="159"/>
    </row>
    <row r="83" spans="1:20" ht="18" customHeight="1">
      <c r="A83" s="7" t="s">
        <v>187</v>
      </c>
      <c r="B83" s="7"/>
      <c r="C83" s="7"/>
      <c r="D83" s="7"/>
      <c r="E83" s="7"/>
      <c r="F83" s="166"/>
      <c r="G83" s="166"/>
      <c r="H83" s="166"/>
      <c r="I83" s="166"/>
      <c r="J83" s="166"/>
      <c r="K83" s="166"/>
      <c r="L83" s="166"/>
      <c r="M83" s="166"/>
      <c r="N83" s="166"/>
      <c r="O83" s="152"/>
      <c r="P83" s="152"/>
      <c r="T83" s="2"/>
    </row>
    <row r="84" spans="1:20" s="2" customFormat="1" ht="13.2" customHeight="1">
      <c r="A84" s="186" t="s">
        <v>95</v>
      </c>
      <c r="B84" s="186"/>
      <c r="C84" s="186"/>
      <c r="D84" s="186"/>
      <c r="E84" s="186" t="s">
        <v>82</v>
      </c>
      <c r="F84" s="186"/>
      <c r="G84" s="186"/>
      <c r="H84" s="186"/>
      <c r="I84" s="186"/>
      <c r="J84" s="186"/>
      <c r="K84" s="186"/>
      <c r="L84" s="186"/>
      <c r="M84" s="186"/>
      <c r="N84" s="186"/>
      <c r="O84" s="153"/>
    </row>
    <row r="85" spans="1:20" s="2" customFormat="1" ht="18" customHeight="1">
      <c r="A85" s="186"/>
      <c r="B85" s="186"/>
      <c r="C85" s="186"/>
      <c r="D85" s="186"/>
      <c r="E85" s="186" t="s">
        <v>94</v>
      </c>
      <c r="F85" s="186"/>
      <c r="G85" s="186"/>
      <c r="H85" s="186"/>
      <c r="I85" s="186"/>
      <c r="J85" s="186" t="s">
        <v>96</v>
      </c>
      <c r="K85" s="186"/>
      <c r="L85" s="186"/>
      <c r="M85" s="186"/>
      <c r="N85" s="186"/>
      <c r="O85" s="153"/>
    </row>
    <row r="86" spans="1:20" s="2" customFormat="1" ht="18" customHeight="1">
      <c r="A86" s="187" t="s">
        <v>83</v>
      </c>
      <c r="B86" s="187"/>
      <c r="C86" s="187"/>
      <c r="D86" s="187"/>
      <c r="E86" s="188" t="s">
        <v>127</v>
      </c>
      <c r="F86" s="188"/>
      <c r="G86" s="188"/>
      <c r="H86" s="188"/>
      <c r="I86" s="188"/>
      <c r="J86" s="265" t="s">
        <v>83</v>
      </c>
      <c r="K86" s="266"/>
      <c r="L86" s="266"/>
      <c r="M86" s="266"/>
      <c r="N86" s="267"/>
      <c r="O86" s="153"/>
    </row>
    <row r="87" spans="1:20" s="2" customFormat="1" ht="18" customHeight="1">
      <c r="A87" s="305" t="s">
        <v>138</v>
      </c>
      <c r="B87" s="306"/>
      <c r="C87" s="306"/>
      <c r="D87" s="307"/>
      <c r="E87" s="188"/>
      <c r="F87" s="188"/>
      <c r="G87" s="188"/>
      <c r="H87" s="188"/>
      <c r="I87" s="188"/>
      <c r="J87" s="294" t="s">
        <v>88</v>
      </c>
      <c r="K87" s="295"/>
      <c r="L87" s="295"/>
      <c r="M87" s="295"/>
      <c r="N87" s="295"/>
      <c r="O87" s="153"/>
    </row>
    <row r="88" spans="1:20" s="2" customFormat="1" ht="18" customHeight="1">
      <c r="A88" s="308" t="s">
        <v>160</v>
      </c>
      <c r="B88" s="308"/>
      <c r="C88" s="308"/>
      <c r="D88" s="308"/>
      <c r="E88" s="188"/>
      <c r="F88" s="188"/>
      <c r="G88" s="188"/>
      <c r="H88" s="188"/>
      <c r="I88" s="188"/>
      <c r="J88" s="268" t="s">
        <v>89</v>
      </c>
      <c r="K88" s="269"/>
      <c r="L88" s="269"/>
      <c r="M88" s="269"/>
      <c r="N88" s="270"/>
      <c r="O88" s="153"/>
    </row>
    <row r="89" spans="1:20" ht="18" customHeight="1">
      <c r="A89" s="292" t="s">
        <v>110</v>
      </c>
      <c r="B89" s="292"/>
      <c r="C89" s="290">
        <v>53</v>
      </c>
      <c r="D89" s="290"/>
      <c r="E89" s="7"/>
      <c r="F89" s="166"/>
      <c r="G89" s="166"/>
      <c r="H89" s="166"/>
      <c r="I89" s="166"/>
      <c r="J89" s="166"/>
      <c r="K89" s="166"/>
      <c r="L89" s="166"/>
      <c r="M89" s="166"/>
      <c r="N89" s="166"/>
      <c r="O89" s="152"/>
      <c r="P89" s="152"/>
      <c r="T89" s="2"/>
    </row>
    <row r="90" spans="1:20" ht="18" customHeight="1">
      <c r="A90" s="172" t="s">
        <v>0</v>
      </c>
      <c r="B90" s="175" t="s">
        <v>19</v>
      </c>
      <c r="C90" s="178" t="s">
        <v>8</v>
      </c>
      <c r="D90" s="178" t="s">
        <v>9</v>
      </c>
      <c r="E90" s="181" t="s">
        <v>11</v>
      </c>
      <c r="F90" s="182"/>
      <c r="G90" s="181" t="s">
        <v>13</v>
      </c>
      <c r="H90" s="182"/>
      <c r="I90" s="200" t="s">
        <v>16</v>
      </c>
      <c r="J90" s="200" t="s">
        <v>32</v>
      </c>
      <c r="K90" s="200" t="s">
        <v>33</v>
      </c>
      <c r="L90" s="200" t="s">
        <v>17</v>
      </c>
      <c r="M90" s="200" t="s">
        <v>34</v>
      </c>
      <c r="N90" s="172" t="s">
        <v>18</v>
      </c>
      <c r="O90" s="154"/>
    </row>
    <row r="91" spans="1:20" ht="18" customHeight="1">
      <c r="A91" s="173"/>
      <c r="B91" s="176"/>
      <c r="C91" s="179"/>
      <c r="D91" s="179"/>
      <c r="E91" s="183"/>
      <c r="F91" s="184"/>
      <c r="G91" s="183"/>
      <c r="H91" s="184"/>
      <c r="I91" s="208"/>
      <c r="J91" s="208"/>
      <c r="K91" s="208"/>
      <c r="L91" s="208"/>
      <c r="M91" s="208"/>
      <c r="N91" s="173"/>
      <c r="O91" s="163"/>
    </row>
    <row r="92" spans="1:20" ht="18" customHeight="1">
      <c r="A92" s="173"/>
      <c r="B92" s="176"/>
      <c r="C92" s="179"/>
      <c r="D92" s="179"/>
      <c r="E92" s="200" t="s">
        <v>10</v>
      </c>
      <c r="F92" s="200" t="s">
        <v>12</v>
      </c>
      <c r="G92" s="200" t="s">
        <v>14</v>
      </c>
      <c r="H92" s="200" t="s">
        <v>15</v>
      </c>
      <c r="I92" s="208"/>
      <c r="J92" s="208"/>
      <c r="K92" s="208"/>
      <c r="L92" s="208"/>
      <c r="M92" s="208"/>
      <c r="N92" s="173"/>
      <c r="O92" s="163"/>
    </row>
    <row r="93" spans="1:20" ht="18" customHeight="1">
      <c r="A93" s="174"/>
      <c r="B93" s="177"/>
      <c r="C93" s="180"/>
      <c r="D93" s="180"/>
      <c r="E93" s="201"/>
      <c r="F93" s="201"/>
      <c r="G93" s="201"/>
      <c r="H93" s="201"/>
      <c r="I93" s="201"/>
      <c r="J93" s="201"/>
      <c r="K93" s="201"/>
      <c r="L93" s="201"/>
      <c r="M93" s="201"/>
      <c r="N93" s="174"/>
      <c r="O93" s="163"/>
    </row>
    <row r="94" spans="1:20" ht="18" customHeight="1">
      <c r="A94" s="205" t="s">
        <v>42</v>
      </c>
      <c r="B94" s="206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7"/>
      <c r="O94" s="163"/>
    </row>
    <row r="95" spans="1:20" s="2" customFormat="1" ht="18" customHeight="1">
      <c r="A95" s="8">
        <v>1</v>
      </c>
      <c r="B95" s="9" t="s">
        <v>2</v>
      </c>
      <c r="C95" s="12">
        <f t="shared" ref="C95:C98" si="4">L95/100*100</f>
        <v>110.00000000000001</v>
      </c>
      <c r="D95" s="13">
        <f>C95/100*60</f>
        <v>66</v>
      </c>
      <c r="E95" s="14">
        <f>C95/100*15</f>
        <v>16.5</v>
      </c>
      <c r="F95" s="14"/>
      <c r="G95" s="14"/>
      <c r="H95" s="14"/>
      <c r="I95" s="14"/>
      <c r="J95" s="22">
        <f>C95/100*387</f>
        <v>425.70000000000005</v>
      </c>
      <c r="K95" s="22">
        <f>C95/100*0.09</f>
        <v>9.9000000000000005E-2</v>
      </c>
      <c r="L95" s="111">
        <v>110</v>
      </c>
      <c r="M95" s="20">
        <v>20</v>
      </c>
      <c r="N95" s="16">
        <f>L95*M95</f>
        <v>2200</v>
      </c>
      <c r="O95" s="155"/>
    </row>
    <row r="96" spans="1:20" s="2" customFormat="1" ht="18" customHeight="1">
      <c r="A96" s="8">
        <v>2</v>
      </c>
      <c r="B96" s="9" t="s">
        <v>119</v>
      </c>
      <c r="C96" s="12">
        <f t="shared" si="4"/>
        <v>320</v>
      </c>
      <c r="D96" s="13">
        <f>C96/100*53</f>
        <v>169.60000000000002</v>
      </c>
      <c r="E96" s="14"/>
      <c r="F96" s="14">
        <f>C96/100*6.3</f>
        <v>20.16</v>
      </c>
      <c r="G96" s="14"/>
      <c r="H96" s="14">
        <f>C96/100*0.04</f>
        <v>0.128</v>
      </c>
      <c r="I96" s="14">
        <f>C96/100*6.8</f>
        <v>21.76</v>
      </c>
      <c r="J96" s="22">
        <f>C96/100*19</f>
        <v>60.800000000000004</v>
      </c>
      <c r="K96" s="22">
        <f>C96/100*0.03</f>
        <v>9.6000000000000002E-2</v>
      </c>
      <c r="L96" s="111">
        <v>320</v>
      </c>
      <c r="M96" s="20">
        <v>45</v>
      </c>
      <c r="N96" s="16">
        <f t="shared" ref="N96:N104" si="5">L96*M96</f>
        <v>14400</v>
      </c>
      <c r="O96" s="156"/>
    </row>
    <row r="97" spans="1:23" s="2" customFormat="1" ht="18" customHeight="1">
      <c r="A97" s="8">
        <v>3</v>
      </c>
      <c r="B97" s="9" t="s">
        <v>126</v>
      </c>
      <c r="C97" s="12">
        <f t="shared" si="4"/>
        <v>290</v>
      </c>
      <c r="D97" s="65">
        <f>C97/100*900</f>
        <v>2610</v>
      </c>
      <c r="E97" s="14"/>
      <c r="F97" s="14"/>
      <c r="G97" s="91"/>
      <c r="H97" s="14">
        <f>C97/100*100</f>
        <v>290</v>
      </c>
      <c r="I97" s="14"/>
      <c r="J97" s="14"/>
      <c r="K97" s="14"/>
      <c r="L97" s="111">
        <v>290</v>
      </c>
      <c r="M97" s="65">
        <v>65</v>
      </c>
      <c r="N97" s="93">
        <f t="shared" si="5"/>
        <v>18850</v>
      </c>
      <c r="O97" s="157"/>
    </row>
    <row r="98" spans="1:23" s="2" customFormat="1" ht="18" customHeight="1">
      <c r="A98" s="8">
        <v>4</v>
      </c>
      <c r="B98" s="5" t="s">
        <v>1</v>
      </c>
      <c r="C98" s="12">
        <f t="shared" si="4"/>
        <v>2279</v>
      </c>
      <c r="D98" s="13">
        <f>C98/100*344</f>
        <v>7839.7599999999993</v>
      </c>
      <c r="E98" s="14"/>
      <c r="F98" s="14">
        <f>C98/100*7.9</f>
        <v>180.041</v>
      </c>
      <c r="G98" s="14"/>
      <c r="H98" s="14">
        <f>C98/100*1</f>
        <v>22.79</v>
      </c>
      <c r="I98" s="91">
        <f>C98/100*71.7</f>
        <v>1634.0429999999999</v>
      </c>
      <c r="J98" s="22">
        <f>C98/100*30</f>
        <v>683.69999999999993</v>
      </c>
      <c r="K98" s="22">
        <f>C98/100*0.1</f>
        <v>2.2789999999999999</v>
      </c>
      <c r="L98" s="111">
        <v>2279</v>
      </c>
      <c r="M98" s="20">
        <v>18</v>
      </c>
      <c r="N98" s="16">
        <f t="shared" si="5"/>
        <v>41022</v>
      </c>
      <c r="O98" s="155"/>
    </row>
    <row r="99" spans="1:23" s="2" customFormat="1" ht="18" customHeight="1">
      <c r="A99" s="8">
        <v>5</v>
      </c>
      <c r="B99" s="9" t="s">
        <v>129</v>
      </c>
      <c r="C99" s="12">
        <f>L99/100*90</f>
        <v>54</v>
      </c>
      <c r="D99" s="13">
        <f>C99/100*281</f>
        <v>151.74</v>
      </c>
      <c r="E99" s="14"/>
      <c r="F99" s="14">
        <f>C99/100*9.5</f>
        <v>5.1300000000000008</v>
      </c>
      <c r="G99" s="14"/>
      <c r="H99" s="14">
        <f>C99/100*0.2</f>
        <v>0.10800000000000001</v>
      </c>
      <c r="I99" s="14">
        <f>D99/100*58.5</f>
        <v>88.767900000000012</v>
      </c>
      <c r="J99" s="22">
        <f>C99/100*321</f>
        <v>173.34</v>
      </c>
      <c r="K99" s="22">
        <f>C99/100*0.14</f>
        <v>7.5600000000000014E-2</v>
      </c>
      <c r="L99" s="111">
        <v>60</v>
      </c>
      <c r="M99" s="43">
        <v>120</v>
      </c>
      <c r="N99" s="16">
        <f t="shared" si="5"/>
        <v>7200</v>
      </c>
      <c r="O99" s="156"/>
    </row>
    <row r="100" spans="1:23" s="2" customFormat="1" ht="18" customHeight="1">
      <c r="A100" s="8">
        <v>6</v>
      </c>
      <c r="B100" s="5" t="s">
        <v>139</v>
      </c>
      <c r="C100" s="12">
        <f>L100/100*31</f>
        <v>248</v>
      </c>
      <c r="D100" s="13">
        <f>C100/100*87</f>
        <v>215.76</v>
      </c>
      <c r="E100" s="14">
        <f>C100/100*12.3</f>
        <v>30.504000000000001</v>
      </c>
      <c r="F100" s="14"/>
      <c r="G100" s="14">
        <f>C100/100*3.3</f>
        <v>8.1839999999999993</v>
      </c>
      <c r="H100" s="14"/>
      <c r="I100" s="14">
        <f>C100/100*2</f>
        <v>4.96</v>
      </c>
      <c r="J100" s="64">
        <f>C100/100*1120</f>
        <v>2777.6</v>
      </c>
      <c r="K100" s="22">
        <f>C100/100*0.01</f>
        <v>2.4799999999999999E-2</v>
      </c>
      <c r="L100" s="111">
        <v>800</v>
      </c>
      <c r="M100" s="20">
        <v>160</v>
      </c>
      <c r="N100" s="93">
        <f t="shared" si="5"/>
        <v>128000</v>
      </c>
      <c r="O100" s="155"/>
      <c r="Q100" s="3"/>
      <c r="R100" s="3"/>
      <c r="S100" s="4"/>
    </row>
    <row r="101" spans="1:23" s="2" customFormat="1" ht="18" customHeight="1">
      <c r="A101" s="8">
        <v>7</v>
      </c>
      <c r="B101" s="5" t="s">
        <v>3</v>
      </c>
      <c r="C101" s="12">
        <f>L101/100*48</f>
        <v>873.59999999999991</v>
      </c>
      <c r="D101" s="13">
        <f>C101/100*199</f>
        <v>1738.4639999999997</v>
      </c>
      <c r="E101" s="14">
        <f>C101/100*20.3</f>
        <v>177.34079999999997</v>
      </c>
      <c r="F101" s="14"/>
      <c r="G101" s="14">
        <f>C101/100*13.1</f>
        <v>114.44159999999998</v>
      </c>
      <c r="H101" s="14"/>
      <c r="I101" s="14"/>
      <c r="J101" s="22">
        <f>C101/100*12</f>
        <v>104.83199999999999</v>
      </c>
      <c r="K101" s="22">
        <f>C101/100*0.15</f>
        <v>1.3103999999999998</v>
      </c>
      <c r="L101" s="111">
        <v>1820</v>
      </c>
      <c r="M101" s="15">
        <v>84</v>
      </c>
      <c r="N101" s="16">
        <f t="shared" si="5"/>
        <v>152880</v>
      </c>
      <c r="O101" s="155"/>
      <c r="Q101" s="3"/>
      <c r="R101" s="3"/>
      <c r="S101" s="4"/>
    </row>
    <row r="102" spans="1:23" s="2" customFormat="1" ht="18" customHeight="1">
      <c r="A102" s="8">
        <v>8</v>
      </c>
      <c r="B102" s="9" t="s">
        <v>66</v>
      </c>
      <c r="C102" s="12">
        <f>L102/100*98</f>
        <v>1715</v>
      </c>
      <c r="D102" s="13">
        <f>C102/100*139</f>
        <v>2383.85</v>
      </c>
      <c r="E102" s="14">
        <f>C102/100*19</f>
        <v>325.84999999999997</v>
      </c>
      <c r="F102" s="14"/>
      <c r="G102" s="14">
        <f>C102/100*7</f>
        <v>120.04999999999998</v>
      </c>
      <c r="H102" s="14"/>
      <c r="I102" s="14"/>
      <c r="J102" s="22">
        <f>C102/100*7</f>
        <v>120.04999999999998</v>
      </c>
      <c r="K102" s="22">
        <f>C102/100*0.9</f>
        <v>15.434999999999999</v>
      </c>
      <c r="L102" s="111">
        <v>1750</v>
      </c>
      <c r="M102" s="15">
        <v>133</v>
      </c>
      <c r="N102" s="16">
        <f t="shared" si="5"/>
        <v>232750</v>
      </c>
      <c r="O102" s="155"/>
    </row>
    <row r="103" spans="1:23" s="2" customFormat="1" ht="18" customHeight="1">
      <c r="A103" s="8">
        <v>9</v>
      </c>
      <c r="B103" s="5" t="s">
        <v>117</v>
      </c>
      <c r="C103" s="12">
        <f>L103/100*100</f>
        <v>40</v>
      </c>
      <c r="D103" s="13">
        <f>C103/100*247</f>
        <v>98.800000000000011</v>
      </c>
      <c r="E103" s="17"/>
      <c r="F103" s="17">
        <f>C103/100*17.5</f>
        <v>7</v>
      </c>
      <c r="G103" s="17"/>
      <c r="H103" s="17">
        <f>C103/100*1.6</f>
        <v>0.64000000000000012</v>
      </c>
      <c r="I103" s="17">
        <f>C103/100*39.2</f>
        <v>15.680000000000001</v>
      </c>
      <c r="J103" s="21"/>
      <c r="K103" s="21"/>
      <c r="L103" s="324">
        <v>40</v>
      </c>
      <c r="M103" s="20">
        <v>50</v>
      </c>
      <c r="N103" s="16">
        <f t="shared" si="5"/>
        <v>2000</v>
      </c>
      <c r="O103" s="155"/>
      <c r="Q103" s="3"/>
      <c r="R103" s="3"/>
      <c r="S103" s="4"/>
      <c r="T103" s="3"/>
    </row>
    <row r="104" spans="1:23" s="2" customFormat="1" ht="19.8" customHeight="1">
      <c r="A104" s="8">
        <v>10</v>
      </c>
      <c r="B104" s="142" t="s">
        <v>162</v>
      </c>
      <c r="C104" s="12">
        <f>L104/100*83</f>
        <v>1236.7</v>
      </c>
      <c r="D104" s="13">
        <f>C104/100*14</f>
        <v>173.13800000000001</v>
      </c>
      <c r="E104" s="17"/>
      <c r="F104" s="17">
        <f>C104/100*2</f>
        <v>24.734000000000002</v>
      </c>
      <c r="G104" s="17"/>
      <c r="H104" s="17"/>
      <c r="I104" s="17">
        <f>C104/100*1.4</f>
        <v>17.313800000000001</v>
      </c>
      <c r="J104" s="123">
        <f>C104/100*176</f>
        <v>2176.5920000000001</v>
      </c>
      <c r="K104" s="17">
        <f>C104/100*0.06</f>
        <v>0.74202000000000001</v>
      </c>
      <c r="L104" s="324">
        <v>1490</v>
      </c>
      <c r="M104" s="15">
        <v>28</v>
      </c>
      <c r="N104" s="113">
        <f t="shared" si="5"/>
        <v>41720</v>
      </c>
      <c r="O104" s="155"/>
      <c r="Q104" s="3"/>
      <c r="R104" s="3"/>
      <c r="S104" s="4"/>
    </row>
    <row r="105" spans="1:23" s="2" customFormat="1" ht="18" customHeight="1">
      <c r="A105" s="8">
        <v>11</v>
      </c>
      <c r="B105" s="9" t="s">
        <v>111</v>
      </c>
      <c r="C105" s="12"/>
      <c r="D105" s="135"/>
      <c r="E105" s="14"/>
      <c r="F105" s="14"/>
      <c r="G105" s="14"/>
      <c r="H105" s="14"/>
      <c r="I105" s="14"/>
      <c r="J105" s="14"/>
      <c r="K105" s="14"/>
      <c r="L105" s="15"/>
      <c r="M105" s="15"/>
      <c r="N105" s="16">
        <v>3440</v>
      </c>
      <c r="O105" s="155"/>
    </row>
    <row r="106" spans="1:23" s="2" customFormat="1" ht="18" customHeight="1">
      <c r="A106" s="23" t="s">
        <v>104</v>
      </c>
      <c r="B106" s="24"/>
      <c r="C106" s="25"/>
      <c r="D106" s="94">
        <f>SUM(D95:D105)</f>
        <v>15447.111999999999</v>
      </c>
      <c r="E106" s="31"/>
      <c r="F106" s="31"/>
      <c r="G106" s="31"/>
      <c r="H106" s="31"/>
      <c r="I106" s="31"/>
      <c r="J106" s="31"/>
      <c r="K106" s="31"/>
      <c r="L106" s="32"/>
      <c r="M106" s="32"/>
      <c r="N106" s="297">
        <f>SUM(N95:N105)</f>
        <v>644462</v>
      </c>
      <c r="O106" s="155"/>
    </row>
    <row r="107" spans="1:23" ht="18" customHeight="1">
      <c r="A107" s="23" t="s">
        <v>43</v>
      </c>
      <c r="B107" s="24"/>
      <c r="C107" s="33"/>
      <c r="D107" s="34">
        <f>D106/C89</f>
        <v>291.45494339622638</v>
      </c>
      <c r="E107" s="34"/>
      <c r="F107" s="34"/>
      <c r="G107" s="34"/>
      <c r="H107" s="34"/>
      <c r="I107" s="34"/>
      <c r="J107" s="34"/>
      <c r="K107" s="34"/>
      <c r="L107" s="35"/>
      <c r="M107" s="35"/>
      <c r="N107" s="298"/>
      <c r="O107" s="160"/>
      <c r="P107" s="2"/>
      <c r="Q107" s="2"/>
      <c r="R107" s="2"/>
      <c r="S107" s="2"/>
      <c r="T107" s="2"/>
      <c r="U107" s="2"/>
      <c r="V107" s="2"/>
      <c r="W107" s="2"/>
    </row>
    <row r="108" spans="1:23" ht="18" customHeight="1">
      <c r="A108" s="300" t="s">
        <v>52</v>
      </c>
      <c r="B108" s="212"/>
      <c r="C108" s="325" t="s">
        <v>133</v>
      </c>
      <c r="D108" s="29" t="s">
        <v>38</v>
      </c>
      <c r="E108" s="34"/>
      <c r="F108" s="34"/>
      <c r="G108" s="34"/>
      <c r="H108" s="34"/>
      <c r="I108" s="34"/>
      <c r="J108" s="36"/>
      <c r="K108" s="36"/>
      <c r="L108" s="35"/>
      <c r="M108" s="35"/>
      <c r="N108" s="168"/>
      <c r="O108" s="4"/>
      <c r="P108" s="2"/>
      <c r="Q108" s="2"/>
      <c r="R108" s="2"/>
      <c r="S108" s="2"/>
      <c r="T108" s="2"/>
      <c r="U108" s="2"/>
      <c r="V108" s="2"/>
      <c r="W108" s="2"/>
    </row>
    <row r="109" spans="1:23" ht="18" customHeight="1">
      <c r="A109" s="213"/>
      <c r="B109" s="214"/>
      <c r="C109" s="62" t="s">
        <v>58</v>
      </c>
      <c r="D109" s="29">
        <f>D107*100/930</f>
        <v>31.339241225400684</v>
      </c>
      <c r="E109" s="34"/>
      <c r="F109" s="34"/>
      <c r="G109" s="34"/>
      <c r="H109" s="34"/>
      <c r="I109" s="34"/>
      <c r="J109" s="36"/>
      <c r="K109" s="36"/>
      <c r="L109" s="35"/>
      <c r="M109" s="35"/>
      <c r="N109" s="168"/>
      <c r="O109" s="4"/>
      <c r="P109" s="2"/>
      <c r="Q109" s="2"/>
      <c r="R109" s="2"/>
      <c r="S109" s="2"/>
      <c r="T109" s="2"/>
      <c r="U109" s="2"/>
      <c r="V109" s="2"/>
      <c r="W109" s="2"/>
    </row>
    <row r="110" spans="1:23" s="2" customFormat="1" ht="18" customHeight="1">
      <c r="A110" s="215" t="s">
        <v>45</v>
      </c>
      <c r="B110" s="215"/>
      <c r="C110" s="45"/>
      <c r="D110" s="46"/>
      <c r="E110" s="47"/>
      <c r="F110" s="47"/>
      <c r="G110" s="47"/>
      <c r="H110" s="47"/>
      <c r="I110" s="47"/>
      <c r="J110" s="47"/>
      <c r="K110" s="47"/>
      <c r="L110" s="48"/>
      <c r="M110" s="48"/>
      <c r="N110" s="51"/>
      <c r="O110" s="155"/>
    </row>
    <row r="111" spans="1:23" s="2" customFormat="1" ht="18" customHeight="1">
      <c r="A111" s="8">
        <v>1</v>
      </c>
      <c r="B111" s="9" t="s">
        <v>2</v>
      </c>
      <c r="C111" s="12">
        <f>L111/100*100</f>
        <v>60</v>
      </c>
      <c r="D111" s="13">
        <f>C111/100*60</f>
        <v>36</v>
      </c>
      <c r="E111" s="14">
        <f>C111/100*15</f>
        <v>9</v>
      </c>
      <c r="F111" s="14"/>
      <c r="G111" s="14"/>
      <c r="H111" s="14"/>
      <c r="I111" s="14"/>
      <c r="J111" s="22">
        <f>C111/100*387</f>
        <v>232.2</v>
      </c>
      <c r="K111" s="22">
        <f>C111/100*0.09</f>
        <v>5.3999999999999999E-2</v>
      </c>
      <c r="L111" s="111">
        <v>60</v>
      </c>
      <c r="M111" s="20">
        <v>20</v>
      </c>
      <c r="N111" s="16">
        <f>L111*M111</f>
        <v>1200</v>
      </c>
      <c r="O111" s="155"/>
    </row>
    <row r="112" spans="1:23" s="2" customFormat="1" ht="18" customHeight="1">
      <c r="A112" s="8">
        <v>2</v>
      </c>
      <c r="B112" s="9" t="s">
        <v>29</v>
      </c>
      <c r="C112" s="12">
        <f>L112/100*100</f>
        <v>56.000000000000007</v>
      </c>
      <c r="D112" s="13">
        <f>C112/100*390</f>
        <v>218.40000000000003</v>
      </c>
      <c r="E112" s="14"/>
      <c r="F112" s="14"/>
      <c r="G112" s="14"/>
      <c r="H112" s="14"/>
      <c r="I112" s="14">
        <f>C112/100*97.4</f>
        <v>54.544000000000011</v>
      </c>
      <c r="J112" s="22">
        <f>C112/100*178</f>
        <v>99.68</v>
      </c>
      <c r="K112" s="22">
        <f>C112/100*0.05</f>
        <v>2.8000000000000004E-2</v>
      </c>
      <c r="L112" s="111">
        <v>56</v>
      </c>
      <c r="M112" s="20">
        <v>25</v>
      </c>
      <c r="N112" s="16">
        <f t="shared" ref="N112:N120" si="6">L112*M112</f>
        <v>1400</v>
      </c>
      <c r="O112" s="156"/>
    </row>
    <row r="113" spans="1:23" s="2" customFormat="1" ht="18" customHeight="1">
      <c r="A113" s="8">
        <v>3</v>
      </c>
      <c r="B113" s="115" t="s">
        <v>121</v>
      </c>
      <c r="C113" s="12">
        <f>L113/100*100</f>
        <v>260</v>
      </c>
      <c r="D113" s="13">
        <f>C113/100*899</f>
        <v>2337.4</v>
      </c>
      <c r="E113" s="14"/>
      <c r="F113" s="14"/>
      <c r="G113" s="14">
        <f>C113/100*100</f>
        <v>260</v>
      </c>
      <c r="H113" s="14"/>
      <c r="I113" s="14"/>
      <c r="J113" s="14"/>
      <c r="K113" s="14"/>
      <c r="L113" s="111">
        <v>260</v>
      </c>
      <c r="M113" s="65">
        <v>69</v>
      </c>
      <c r="N113" s="16">
        <f t="shared" si="6"/>
        <v>17940</v>
      </c>
      <c r="O113" s="157"/>
    </row>
    <row r="114" spans="1:23" s="2" customFormat="1" ht="18" customHeight="1">
      <c r="A114" s="8">
        <v>4</v>
      </c>
      <c r="B114" s="5" t="s">
        <v>1</v>
      </c>
      <c r="C114" s="12">
        <f>L114/100*100</f>
        <v>2226</v>
      </c>
      <c r="D114" s="13">
        <f>C114/100*344</f>
        <v>7657.4400000000005</v>
      </c>
      <c r="E114" s="14"/>
      <c r="F114" s="14">
        <f>C114/100*7.9</f>
        <v>175.85400000000001</v>
      </c>
      <c r="G114" s="14"/>
      <c r="H114" s="14">
        <f>C114/100*1</f>
        <v>22.26</v>
      </c>
      <c r="I114" s="91">
        <f>C114/100*71.7</f>
        <v>1596.0420000000001</v>
      </c>
      <c r="J114" s="22">
        <f>C114/100*30</f>
        <v>667.80000000000007</v>
      </c>
      <c r="K114" s="22">
        <f>C114/100*0.1</f>
        <v>2.2260000000000004</v>
      </c>
      <c r="L114" s="111">
        <v>2226</v>
      </c>
      <c r="M114" s="20">
        <v>18</v>
      </c>
      <c r="N114" s="16">
        <f t="shared" si="6"/>
        <v>40068</v>
      </c>
      <c r="O114" s="155"/>
    </row>
    <row r="115" spans="1:23" s="2" customFormat="1" ht="18" customHeight="1">
      <c r="A115" s="8">
        <v>5</v>
      </c>
      <c r="B115" s="66" t="s">
        <v>62</v>
      </c>
      <c r="C115" s="12">
        <f>L115/100*89</f>
        <v>2358.5</v>
      </c>
      <c r="D115" s="13">
        <f>C115/100*154</f>
        <v>3632.09</v>
      </c>
      <c r="E115" s="14">
        <f>C115/100*13.1</f>
        <v>308.96350000000001</v>
      </c>
      <c r="F115" s="14"/>
      <c r="G115" s="14">
        <f>C115/100*11.1</f>
        <v>261.79349999999999</v>
      </c>
      <c r="H115" s="14"/>
      <c r="I115" s="14">
        <f>C115/100*0.4</f>
        <v>9.4340000000000011</v>
      </c>
      <c r="J115" s="64">
        <f>C115/100*64</f>
        <v>1509.44</v>
      </c>
      <c r="K115" s="22">
        <f>C115/100*0.13</f>
        <v>3.0660500000000002</v>
      </c>
      <c r="L115" s="111">
        <v>2650</v>
      </c>
      <c r="M115" s="42">
        <v>77</v>
      </c>
      <c r="N115" s="44">
        <f t="shared" si="6"/>
        <v>204050</v>
      </c>
      <c r="O115" s="155"/>
    </row>
    <row r="116" spans="1:23" s="2" customFormat="1" ht="18" customHeight="1">
      <c r="A116" s="8">
        <v>6</v>
      </c>
      <c r="B116" s="9" t="s">
        <v>66</v>
      </c>
      <c r="C116" s="12">
        <f>L116/100*98</f>
        <v>421.4</v>
      </c>
      <c r="D116" s="13">
        <f>C116/100*232</f>
        <v>977.64799999999991</v>
      </c>
      <c r="E116" s="14">
        <f>C116/100*17.6</f>
        <v>74.166399999999996</v>
      </c>
      <c r="F116" s="14"/>
      <c r="G116" s="14">
        <f>C116/100*17.2</f>
        <v>72.480799999999988</v>
      </c>
      <c r="H116" s="14"/>
      <c r="I116" s="14"/>
      <c r="J116" s="22">
        <f>C116/100*7</f>
        <v>29.497999999999998</v>
      </c>
      <c r="K116" s="22">
        <f>C116/100*0.9</f>
        <v>3.7925999999999997</v>
      </c>
      <c r="L116" s="111">
        <v>430</v>
      </c>
      <c r="M116" s="15">
        <v>133</v>
      </c>
      <c r="N116" s="16">
        <f t="shared" si="6"/>
        <v>57190</v>
      </c>
      <c r="O116" s="155"/>
    </row>
    <row r="117" spans="1:23" s="2" customFormat="1" ht="18" customHeight="1">
      <c r="A117" s="8">
        <v>7</v>
      </c>
      <c r="B117" s="5" t="s">
        <v>117</v>
      </c>
      <c r="C117" s="12">
        <f>L117/100*100</f>
        <v>40</v>
      </c>
      <c r="D117" s="13">
        <f>C117/100*247</f>
        <v>98.800000000000011</v>
      </c>
      <c r="E117" s="17"/>
      <c r="F117" s="17">
        <f>C117/100*17.5</f>
        <v>7</v>
      </c>
      <c r="G117" s="17"/>
      <c r="H117" s="17">
        <f>C117/100*1.6</f>
        <v>0.64000000000000012</v>
      </c>
      <c r="I117" s="17">
        <f>C117/100*39.2</f>
        <v>15.680000000000001</v>
      </c>
      <c r="J117" s="21"/>
      <c r="K117" s="21"/>
      <c r="L117" s="324">
        <v>40</v>
      </c>
      <c r="M117" s="20">
        <v>50</v>
      </c>
      <c r="N117" s="16">
        <f t="shared" si="6"/>
        <v>2000</v>
      </c>
      <c r="O117" s="155"/>
      <c r="Q117" s="3"/>
      <c r="R117" s="3"/>
      <c r="S117" s="4"/>
      <c r="T117" s="3"/>
    </row>
    <row r="118" spans="1:23" s="2" customFormat="1" ht="18" customHeight="1">
      <c r="A118" s="8">
        <v>8</v>
      </c>
      <c r="B118" s="5" t="s">
        <v>68</v>
      </c>
      <c r="C118" s="12">
        <f>L118/100*75</f>
        <v>795</v>
      </c>
      <c r="D118" s="13">
        <f>C118/100*12</f>
        <v>95.4</v>
      </c>
      <c r="E118" s="14">
        <f>C118/100*0.6</f>
        <v>4.7699999999999996</v>
      </c>
      <c r="F118" s="14"/>
      <c r="G118" s="14"/>
      <c r="H118" s="14"/>
      <c r="I118" s="14">
        <f>C118/100*2.4</f>
        <v>19.079999999999998</v>
      </c>
      <c r="J118" s="22">
        <f>C118/100*26</f>
        <v>206.70000000000002</v>
      </c>
      <c r="K118" s="22">
        <f>C118/100*0.02</f>
        <v>0.159</v>
      </c>
      <c r="L118" s="111">
        <v>1060</v>
      </c>
      <c r="M118" s="15">
        <v>22</v>
      </c>
      <c r="N118" s="16">
        <f t="shared" si="6"/>
        <v>23320</v>
      </c>
      <c r="O118" s="155"/>
    </row>
    <row r="119" spans="1:23" s="2" customFormat="1" ht="18" customHeight="1">
      <c r="A119" s="8">
        <v>9</v>
      </c>
      <c r="B119" s="5" t="s">
        <v>5</v>
      </c>
      <c r="C119" s="12">
        <f>L119/100*98.5</f>
        <v>797.84999999999991</v>
      </c>
      <c r="D119" s="13">
        <f>C119/100*39</f>
        <v>311.16149999999999</v>
      </c>
      <c r="E119" s="17"/>
      <c r="F119" s="17">
        <f>C119/100*1.5</f>
        <v>11.967749999999999</v>
      </c>
      <c r="G119" s="17"/>
      <c r="H119" s="17">
        <f>C119/100*0.2</f>
        <v>1.5956999999999999</v>
      </c>
      <c r="I119" s="17">
        <f>C119/100*7.8</f>
        <v>62.232299999999995</v>
      </c>
      <c r="J119" s="17">
        <f>C119/100*43</f>
        <v>343.07549999999998</v>
      </c>
      <c r="K119" s="17">
        <f>C119/100*0.06</f>
        <v>0.47870999999999997</v>
      </c>
      <c r="L119" s="324">
        <v>810</v>
      </c>
      <c r="M119" s="20">
        <v>17</v>
      </c>
      <c r="N119" s="16">
        <f t="shared" si="6"/>
        <v>13770</v>
      </c>
      <c r="O119" s="155"/>
      <c r="Q119" s="3"/>
      <c r="R119" s="3"/>
      <c r="S119" s="4"/>
    </row>
    <row r="120" spans="1:23" s="2" customFormat="1" ht="18" customHeight="1">
      <c r="A120" s="8">
        <v>10</v>
      </c>
      <c r="B120" s="5" t="s">
        <v>20</v>
      </c>
      <c r="C120" s="12">
        <f>L120/100*95</f>
        <v>1007</v>
      </c>
      <c r="D120" s="13">
        <f>C120/100*20</f>
        <v>201.4</v>
      </c>
      <c r="E120" s="14"/>
      <c r="F120" s="14">
        <f>C120/100*0.6</f>
        <v>6.0419999999999998</v>
      </c>
      <c r="G120" s="14"/>
      <c r="H120" s="14">
        <f>C120/100*0.2</f>
        <v>2.0140000000000002</v>
      </c>
      <c r="I120" s="14">
        <f>C120/100*4</f>
        <v>40.28</v>
      </c>
      <c r="J120" s="21">
        <f>C120/100*12</f>
        <v>120.84</v>
      </c>
      <c r="K120" s="21">
        <f>C120/100*0.04</f>
        <v>0.40280000000000005</v>
      </c>
      <c r="L120" s="323">
        <v>1060</v>
      </c>
      <c r="M120" s="15">
        <v>22</v>
      </c>
      <c r="N120" s="16">
        <f t="shared" si="6"/>
        <v>23320</v>
      </c>
      <c r="O120" s="155"/>
      <c r="Q120" s="3"/>
      <c r="R120" s="3"/>
    </row>
    <row r="121" spans="1:23" s="2" customFormat="1" ht="18" customHeight="1">
      <c r="A121" s="8">
        <v>11</v>
      </c>
      <c r="B121" s="9" t="s">
        <v>111</v>
      </c>
      <c r="C121" s="12"/>
      <c r="D121" s="13"/>
      <c r="E121" s="14"/>
      <c r="F121" s="14"/>
      <c r="G121" s="104"/>
      <c r="H121" s="104"/>
      <c r="I121" s="14"/>
      <c r="J121" s="14"/>
      <c r="K121" s="14"/>
      <c r="L121" s="15"/>
      <c r="M121" s="15"/>
      <c r="N121" s="16">
        <v>3440</v>
      </c>
      <c r="O121" s="155"/>
    </row>
    <row r="122" spans="1:23" s="2" customFormat="1" ht="18" customHeight="1">
      <c r="A122" s="23" t="s">
        <v>105</v>
      </c>
      <c r="B122" s="24"/>
      <c r="C122" s="25"/>
      <c r="D122" s="94">
        <f>SUM(D111:D121)</f>
        <v>15565.7395</v>
      </c>
      <c r="E122" s="31"/>
      <c r="F122" s="31"/>
      <c r="G122" s="31"/>
      <c r="H122" s="31"/>
      <c r="I122" s="31"/>
      <c r="J122" s="31"/>
      <c r="K122" s="31"/>
      <c r="L122" s="32"/>
      <c r="M122" s="32"/>
      <c r="N122" s="297">
        <f>SUM(N111:N121)</f>
        <v>387698</v>
      </c>
      <c r="O122" s="155"/>
    </row>
    <row r="123" spans="1:23" ht="18" customHeight="1">
      <c r="A123" s="23" t="s">
        <v>46</v>
      </c>
      <c r="B123" s="24"/>
      <c r="C123" s="52"/>
      <c r="D123" s="36">
        <f>D122/C89</f>
        <v>293.69319811320753</v>
      </c>
      <c r="E123" s="36"/>
      <c r="F123" s="36"/>
      <c r="G123" s="36"/>
      <c r="H123" s="36"/>
      <c r="I123" s="36"/>
      <c r="J123" s="36"/>
      <c r="K123" s="36"/>
      <c r="L123" s="53"/>
      <c r="M123" s="35"/>
      <c r="N123" s="298"/>
      <c r="O123" s="4"/>
      <c r="P123" s="2"/>
      <c r="Q123" s="2"/>
      <c r="R123" s="2"/>
      <c r="S123" s="2"/>
      <c r="T123" s="2"/>
      <c r="U123" s="2"/>
      <c r="V123" s="2"/>
      <c r="W123" s="2"/>
    </row>
    <row r="124" spans="1:23" ht="18" customHeight="1">
      <c r="A124" s="300" t="s">
        <v>53</v>
      </c>
      <c r="B124" s="212"/>
      <c r="C124" s="325" t="s">
        <v>133</v>
      </c>
      <c r="D124" s="29" t="s">
        <v>48</v>
      </c>
      <c r="E124" s="34"/>
      <c r="F124" s="34"/>
      <c r="G124" s="34"/>
      <c r="H124" s="34"/>
      <c r="I124" s="34"/>
      <c r="J124" s="36"/>
      <c r="K124" s="36"/>
      <c r="L124" s="35"/>
      <c r="M124" s="35"/>
      <c r="N124" s="168"/>
      <c r="O124" s="4"/>
      <c r="P124" s="2"/>
      <c r="Q124" s="2"/>
      <c r="R124" s="2"/>
      <c r="S124" s="2"/>
      <c r="T124" s="2"/>
      <c r="U124" s="2"/>
      <c r="V124" s="2"/>
      <c r="W124" s="2"/>
    </row>
    <row r="125" spans="1:23" ht="18" customHeight="1">
      <c r="A125" s="213"/>
      <c r="B125" s="214"/>
      <c r="C125" s="62" t="s">
        <v>58</v>
      </c>
      <c r="D125" s="29">
        <f>D123*100/930</f>
        <v>31.579913775613715</v>
      </c>
      <c r="E125" s="34"/>
      <c r="F125" s="34"/>
      <c r="G125" s="34"/>
      <c r="H125" s="34"/>
      <c r="I125" s="34"/>
      <c r="J125" s="36"/>
      <c r="K125" s="36"/>
      <c r="L125" s="35"/>
      <c r="M125" s="35"/>
      <c r="N125" s="168"/>
      <c r="O125" s="4"/>
      <c r="P125" s="2"/>
      <c r="Q125" s="2"/>
      <c r="R125" s="2"/>
      <c r="S125" s="2"/>
      <c r="T125" s="2"/>
      <c r="U125" s="2"/>
      <c r="V125" s="2"/>
      <c r="W125" s="2"/>
    </row>
    <row r="126" spans="1:23" ht="18" customHeight="1">
      <c r="A126" s="309" t="s">
        <v>39</v>
      </c>
      <c r="B126" s="215"/>
      <c r="C126" s="54"/>
      <c r="D126" s="55"/>
      <c r="E126" s="55"/>
      <c r="F126" s="55"/>
      <c r="G126" s="55"/>
      <c r="H126" s="55"/>
      <c r="I126" s="55"/>
      <c r="J126" s="55"/>
      <c r="K126" s="55"/>
      <c r="L126" s="56"/>
      <c r="M126" s="56"/>
      <c r="N126" s="60"/>
      <c r="O126" s="4"/>
      <c r="P126" s="2"/>
      <c r="Q126" s="2"/>
      <c r="R126" s="2"/>
      <c r="S126" s="2"/>
      <c r="T126" s="2"/>
      <c r="U126" s="2"/>
      <c r="V126" s="2"/>
      <c r="W126" s="2"/>
    </row>
    <row r="127" spans="1:23" s="2" customFormat="1" ht="18" customHeight="1">
      <c r="A127" s="119">
        <v>1</v>
      </c>
      <c r="B127" s="124" t="s">
        <v>127</v>
      </c>
      <c r="C127" s="25">
        <f>L127/100*73.5</f>
        <v>4285.05</v>
      </c>
      <c r="D127" s="120">
        <f>C127/100*56</f>
        <v>2399.6280000000002</v>
      </c>
      <c r="E127" s="27"/>
      <c r="F127" s="27">
        <f>C127/100*0.9</f>
        <v>38.565450000000006</v>
      </c>
      <c r="G127" s="27"/>
      <c r="H127" s="27">
        <f>C127/100*0.3</f>
        <v>12.85515</v>
      </c>
      <c r="I127" s="121">
        <f>C127/100*12.4</f>
        <v>531.34620000000007</v>
      </c>
      <c r="J127" s="125">
        <f>C127/100*12</f>
        <v>514.20600000000002</v>
      </c>
      <c r="K127" s="126">
        <f>C127/100*0.04</f>
        <v>1.7140200000000001</v>
      </c>
      <c r="L127" s="28">
        <v>5830</v>
      </c>
      <c r="M127" s="127">
        <v>23</v>
      </c>
      <c r="N127" s="122">
        <f t="shared" ref="N127" si="7">L127*M127</f>
        <v>134090</v>
      </c>
      <c r="O127" s="155"/>
    </row>
    <row r="128" spans="1:23" ht="18" customHeight="1">
      <c r="A128" s="172" t="s">
        <v>0</v>
      </c>
      <c r="B128" s="175" t="s">
        <v>19</v>
      </c>
      <c r="C128" s="178" t="s">
        <v>8</v>
      </c>
      <c r="D128" s="178" t="s">
        <v>9</v>
      </c>
      <c r="E128" s="181" t="s">
        <v>11</v>
      </c>
      <c r="F128" s="182"/>
      <c r="G128" s="181" t="s">
        <v>13</v>
      </c>
      <c r="H128" s="182"/>
      <c r="I128" s="200" t="s">
        <v>16</v>
      </c>
      <c r="J128" s="200" t="s">
        <v>32</v>
      </c>
      <c r="K128" s="200" t="s">
        <v>33</v>
      </c>
      <c r="L128" s="200" t="s">
        <v>17</v>
      </c>
      <c r="M128" s="200" t="s">
        <v>34</v>
      </c>
      <c r="N128" s="172" t="s">
        <v>18</v>
      </c>
      <c r="O128" s="154"/>
    </row>
    <row r="129" spans="1:23" ht="18" customHeight="1">
      <c r="A129" s="173"/>
      <c r="B129" s="176"/>
      <c r="C129" s="179"/>
      <c r="D129" s="179"/>
      <c r="E129" s="183"/>
      <c r="F129" s="184"/>
      <c r="G129" s="183"/>
      <c r="H129" s="184"/>
      <c r="I129" s="208"/>
      <c r="J129" s="208"/>
      <c r="K129" s="208"/>
      <c r="L129" s="208"/>
      <c r="M129" s="208"/>
      <c r="N129" s="173"/>
      <c r="O129" s="163"/>
    </row>
    <row r="130" spans="1:23" ht="18" customHeight="1">
      <c r="A130" s="173"/>
      <c r="B130" s="176"/>
      <c r="C130" s="179"/>
      <c r="D130" s="179"/>
      <c r="E130" s="200" t="s">
        <v>10</v>
      </c>
      <c r="F130" s="200" t="s">
        <v>12</v>
      </c>
      <c r="G130" s="200" t="s">
        <v>14</v>
      </c>
      <c r="H130" s="200" t="s">
        <v>15</v>
      </c>
      <c r="I130" s="208"/>
      <c r="J130" s="208"/>
      <c r="K130" s="208"/>
      <c r="L130" s="208"/>
      <c r="M130" s="208"/>
      <c r="N130" s="173"/>
      <c r="O130" s="163"/>
    </row>
    <row r="131" spans="1:23" ht="18" customHeight="1">
      <c r="A131" s="174"/>
      <c r="B131" s="177"/>
      <c r="C131" s="180"/>
      <c r="D131" s="180"/>
      <c r="E131" s="201"/>
      <c r="F131" s="201"/>
      <c r="G131" s="201"/>
      <c r="H131" s="201"/>
      <c r="I131" s="201"/>
      <c r="J131" s="201"/>
      <c r="K131" s="201"/>
      <c r="L131" s="201"/>
      <c r="M131" s="201"/>
      <c r="N131" s="174"/>
      <c r="O131" s="163"/>
    </row>
    <row r="132" spans="1:23" s="2" customFormat="1" ht="21" customHeight="1">
      <c r="A132" s="23" t="s">
        <v>98</v>
      </c>
      <c r="B132" s="24"/>
      <c r="C132" s="25"/>
      <c r="D132" s="26">
        <f>SUM(D126:D127)</f>
        <v>2399.6280000000002</v>
      </c>
      <c r="E132" s="31"/>
      <c r="F132" s="31"/>
      <c r="G132" s="31"/>
      <c r="H132" s="31"/>
      <c r="I132" s="31"/>
      <c r="J132" s="31"/>
      <c r="K132" s="31"/>
      <c r="L132" s="32"/>
      <c r="M132" s="58"/>
      <c r="N132" s="297">
        <f>SUM(N126:N127)</f>
        <v>134090</v>
      </c>
      <c r="O132" s="155"/>
    </row>
    <row r="133" spans="1:23" ht="21" customHeight="1">
      <c r="A133" s="23" t="s">
        <v>7</v>
      </c>
      <c r="B133" s="24"/>
      <c r="C133" s="33"/>
      <c r="D133" s="34">
        <f>D132/C89</f>
        <v>45.276000000000003</v>
      </c>
      <c r="E133" s="34"/>
      <c r="F133" s="34"/>
      <c r="G133" s="34"/>
      <c r="H133" s="34"/>
      <c r="I133" s="34"/>
      <c r="J133" s="34"/>
      <c r="K133" s="34"/>
      <c r="L133" s="35"/>
      <c r="M133" s="18"/>
      <c r="N133" s="298"/>
      <c r="O133" s="4"/>
      <c r="P133" s="2"/>
      <c r="Q133" s="2"/>
      <c r="R133" s="2"/>
      <c r="S133" s="2"/>
      <c r="T133" s="2"/>
      <c r="U133" s="2"/>
      <c r="V133" s="2"/>
      <c r="W133" s="2"/>
    </row>
    <row r="134" spans="1:23" ht="21" customHeight="1">
      <c r="A134" s="300" t="s">
        <v>51</v>
      </c>
      <c r="B134" s="212"/>
      <c r="C134" s="325" t="s">
        <v>133</v>
      </c>
      <c r="D134" s="29" t="s">
        <v>49</v>
      </c>
      <c r="E134" s="34"/>
      <c r="F134" s="34"/>
      <c r="G134" s="34"/>
      <c r="H134" s="34"/>
      <c r="I134" s="34"/>
      <c r="J134" s="36"/>
      <c r="K134" s="36"/>
      <c r="L134" s="35"/>
      <c r="M134" s="35"/>
      <c r="N134" s="168"/>
      <c r="O134" s="4"/>
      <c r="P134" s="2"/>
      <c r="Q134" s="2"/>
      <c r="R134" s="2"/>
      <c r="S134" s="2"/>
      <c r="T134" s="2"/>
      <c r="U134" s="2"/>
      <c r="V134" s="2"/>
      <c r="W134" s="2"/>
    </row>
    <row r="135" spans="1:23" ht="21" customHeight="1">
      <c r="A135" s="213"/>
      <c r="B135" s="214"/>
      <c r="C135" s="62" t="s">
        <v>58</v>
      </c>
      <c r="D135" s="29">
        <f>D133*100/930</f>
        <v>4.8683870967741942</v>
      </c>
      <c r="E135" s="34"/>
      <c r="F135" s="34"/>
      <c r="G135" s="34"/>
      <c r="H135" s="34"/>
      <c r="I135" s="34"/>
      <c r="J135" s="36"/>
      <c r="K135" s="36"/>
      <c r="L135" s="35"/>
      <c r="M135" s="35"/>
      <c r="N135" s="168"/>
      <c r="O135" s="4"/>
      <c r="P135" s="2"/>
      <c r="Q135" s="2"/>
      <c r="R135" s="2"/>
      <c r="S135" s="2"/>
      <c r="T135" s="2"/>
      <c r="U135" s="2"/>
      <c r="V135" s="2"/>
      <c r="W135" s="2"/>
    </row>
    <row r="136" spans="1:23" ht="21" customHeight="1">
      <c r="A136" s="217" t="s">
        <v>99</v>
      </c>
      <c r="B136" s="218"/>
      <c r="C136" s="221"/>
      <c r="D136" s="282">
        <f>D106+D122+D132</f>
        <v>33412.479499999994</v>
      </c>
      <c r="E136" s="6">
        <f>SUM(E95:E135)</f>
        <v>947.09469999999999</v>
      </c>
      <c r="F136" s="6">
        <f>SUM(F95:F135)</f>
        <v>476.49419999999998</v>
      </c>
      <c r="G136" s="6">
        <f>SUM(G95:G135)</f>
        <v>836.94990000000007</v>
      </c>
      <c r="H136" s="6">
        <f>SUM(H95:H135)</f>
        <v>353.03084999999999</v>
      </c>
      <c r="I136" s="225">
        <f>SUM(I95:I135)</f>
        <v>4111.1632000000009</v>
      </c>
      <c r="J136" s="227">
        <f>SUM(J95:J127)</f>
        <v>10246.053500000002</v>
      </c>
      <c r="K136" s="229">
        <f>SUM(K95:K127)</f>
        <v>31.982999999999993</v>
      </c>
      <c r="L136" s="231"/>
      <c r="M136" s="231"/>
      <c r="N136" s="299">
        <f>N106+N122+N132</f>
        <v>1166250</v>
      </c>
      <c r="P136" s="2"/>
      <c r="Q136" s="2"/>
      <c r="R136" s="2"/>
      <c r="S136" s="2"/>
      <c r="T136" s="2"/>
      <c r="U136" s="2"/>
      <c r="V136" s="2"/>
    </row>
    <row r="137" spans="1:23" ht="21" customHeight="1">
      <c r="A137" s="219"/>
      <c r="B137" s="220"/>
      <c r="C137" s="222"/>
      <c r="D137" s="301"/>
      <c r="E137" s="233">
        <f>E136+F136</f>
        <v>1423.5889</v>
      </c>
      <c r="F137" s="234"/>
      <c r="G137" s="233">
        <f>G136+H136</f>
        <v>1189.9807500000002</v>
      </c>
      <c r="H137" s="234"/>
      <c r="I137" s="226"/>
      <c r="J137" s="228"/>
      <c r="K137" s="230"/>
      <c r="L137" s="231"/>
      <c r="M137" s="231"/>
      <c r="N137" s="299"/>
      <c r="P137" s="2"/>
      <c r="Q137" s="2"/>
      <c r="R137" s="2"/>
      <c r="S137" s="2"/>
      <c r="T137" s="2"/>
      <c r="U137" s="2"/>
      <c r="V137" s="2"/>
    </row>
    <row r="138" spans="1:23" ht="21" customHeight="1">
      <c r="A138" s="273" t="s">
        <v>75</v>
      </c>
      <c r="B138" s="274"/>
      <c r="C138" s="274"/>
      <c r="D138" s="132">
        <f>D136/C89</f>
        <v>630.42414150943387</v>
      </c>
      <c r="E138" s="107">
        <f>E136/C89</f>
        <v>17.869711320754718</v>
      </c>
      <c r="F138" s="106">
        <f>F136/C89</f>
        <v>8.990456603773584</v>
      </c>
      <c r="G138" s="108">
        <f>G136/C89</f>
        <v>15.791507547169813</v>
      </c>
      <c r="H138" s="107">
        <f>H136/C89</f>
        <v>6.6609594339622635</v>
      </c>
      <c r="I138" s="243">
        <f>I136/C89</f>
        <v>77.569116981132098</v>
      </c>
      <c r="J138" s="243">
        <f>J136/C89</f>
        <v>193.32176415094344</v>
      </c>
      <c r="K138" s="243">
        <f>K136/C89</f>
        <v>0.60345283018867912</v>
      </c>
      <c r="L138" s="231"/>
      <c r="M138" s="231"/>
      <c r="N138" s="299"/>
      <c r="P138" s="2"/>
      <c r="Q138" s="2"/>
      <c r="R138" s="2"/>
      <c r="S138" s="2"/>
      <c r="T138" s="2"/>
      <c r="U138" s="2"/>
      <c r="V138" s="2"/>
    </row>
    <row r="139" spans="1:23" ht="21" customHeight="1">
      <c r="A139" s="276"/>
      <c r="B139" s="277"/>
      <c r="C139" s="277"/>
      <c r="D139" s="100"/>
      <c r="E139" s="302">
        <f>E138+F138</f>
        <v>26.860167924528302</v>
      </c>
      <c r="F139" s="303"/>
      <c r="G139" s="304">
        <f>G138+H138</f>
        <v>22.452466981132076</v>
      </c>
      <c r="H139" s="303"/>
      <c r="I139" s="244"/>
      <c r="J139" s="244"/>
      <c r="K139" s="244"/>
      <c r="L139" s="231"/>
      <c r="M139" s="231"/>
      <c r="N139" s="299"/>
      <c r="P139" s="337"/>
      <c r="Q139" s="337"/>
      <c r="R139" s="338"/>
      <c r="S139" s="338"/>
      <c r="T139" s="338"/>
      <c r="U139" s="338"/>
      <c r="V139" s="339"/>
      <c r="W139" s="339"/>
    </row>
    <row r="140" spans="1:23" ht="21" customHeight="1">
      <c r="A140" s="327" t="s">
        <v>76</v>
      </c>
      <c r="B140" s="328"/>
      <c r="C140" s="329"/>
      <c r="D140" s="164" t="s">
        <v>28</v>
      </c>
      <c r="E140" s="336" t="s">
        <v>24</v>
      </c>
      <c r="F140" s="336"/>
      <c r="G140" s="336" t="s">
        <v>25</v>
      </c>
      <c r="H140" s="336"/>
      <c r="I140" s="330" t="s">
        <v>26</v>
      </c>
      <c r="J140" s="164">
        <v>500</v>
      </c>
      <c r="K140" s="164">
        <v>0.59</v>
      </c>
      <c r="L140" s="231"/>
      <c r="M140" s="231"/>
      <c r="N140" s="299"/>
      <c r="O140" s="158"/>
      <c r="P140" s="337"/>
      <c r="Q140" s="340"/>
      <c r="R140" s="338"/>
      <c r="S140" s="338"/>
      <c r="T140" s="338"/>
      <c r="U140" s="338"/>
      <c r="V140" s="338"/>
      <c r="W140" s="338"/>
    </row>
    <row r="141" spans="1:23" ht="21" customHeight="1">
      <c r="A141" s="248" t="s">
        <v>69</v>
      </c>
      <c r="B141" s="249"/>
      <c r="C141" s="250"/>
      <c r="D141" s="19"/>
      <c r="E141" s="251">
        <f>E139*4.1</f>
        <v>110.12668849056602</v>
      </c>
      <c r="F141" s="252"/>
      <c r="G141" s="251">
        <f>G139*9</f>
        <v>202.0722028301887</v>
      </c>
      <c r="H141" s="252"/>
      <c r="I141" s="68">
        <f>I138*4.1</f>
        <v>318.03337962264158</v>
      </c>
      <c r="J141" s="253"/>
      <c r="K141" s="253"/>
      <c r="L141" s="231"/>
      <c r="M141" s="231"/>
      <c r="N141" s="299"/>
      <c r="O141" s="158"/>
      <c r="P141" s="341"/>
      <c r="Q141" s="341"/>
      <c r="R141" s="342"/>
      <c r="S141" s="342"/>
      <c r="T141" s="342"/>
      <c r="U141" s="337"/>
      <c r="V141" s="337"/>
      <c r="W141" s="337"/>
    </row>
    <row r="142" spans="1:23" ht="21" customHeight="1">
      <c r="A142" s="256" t="s">
        <v>77</v>
      </c>
      <c r="B142" s="257"/>
      <c r="C142" s="248" t="s">
        <v>58</v>
      </c>
      <c r="D142" s="250"/>
      <c r="E142" s="284">
        <f>E141*100/D138</f>
        <v>17.468666131168149</v>
      </c>
      <c r="F142" s="285"/>
      <c r="G142" s="284">
        <f>G141*100/D138</f>
        <v>32.053373201471032</v>
      </c>
      <c r="H142" s="285"/>
      <c r="I142" s="85">
        <f>I141*100/D138</f>
        <v>50.447525512136885</v>
      </c>
      <c r="J142" s="254"/>
      <c r="K142" s="254"/>
      <c r="L142" s="231"/>
      <c r="M142" s="231"/>
      <c r="N142" s="299"/>
      <c r="O142" s="158"/>
      <c r="P142" s="337"/>
      <c r="Q142" s="337"/>
      <c r="R142" s="343"/>
      <c r="S142" s="337"/>
      <c r="T142" s="337"/>
      <c r="U142" s="337"/>
      <c r="V142" s="337"/>
      <c r="W142" s="337"/>
    </row>
    <row r="143" spans="1:23" ht="21" customHeight="1">
      <c r="A143" s="258"/>
      <c r="B143" s="259"/>
      <c r="C143" s="248" t="s">
        <v>71</v>
      </c>
      <c r="D143" s="250"/>
      <c r="E143" s="248" t="s">
        <v>72</v>
      </c>
      <c r="F143" s="250"/>
      <c r="G143" s="248" t="s">
        <v>78</v>
      </c>
      <c r="H143" s="250"/>
      <c r="I143" s="330" t="s">
        <v>79</v>
      </c>
      <c r="J143" s="255"/>
      <c r="K143" s="255"/>
      <c r="L143" s="231"/>
      <c r="M143" s="231"/>
      <c r="N143" s="299"/>
      <c r="O143" s="158"/>
      <c r="P143" s="84"/>
    </row>
    <row r="144" spans="1:23" ht="21" customHeight="1">
      <c r="A144" s="70"/>
      <c r="B144" s="71"/>
      <c r="C144" s="70"/>
      <c r="D144" s="70"/>
      <c r="E144" s="70"/>
      <c r="F144" s="70"/>
      <c r="G144" s="70"/>
      <c r="H144" s="70"/>
      <c r="I144" s="70"/>
      <c r="J144" s="70"/>
      <c r="K144" s="70"/>
      <c r="L144" s="72"/>
      <c r="M144" s="72"/>
      <c r="N144" s="73"/>
      <c r="O144" s="158"/>
    </row>
    <row r="145" spans="1:15" ht="21" customHeight="1">
      <c r="A145" s="245" t="s">
        <v>100</v>
      </c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158"/>
    </row>
    <row r="146" spans="1:15" ht="21" customHeight="1">
      <c r="A146" s="87" t="s">
        <v>101</v>
      </c>
      <c r="B146" s="246" t="s">
        <v>102</v>
      </c>
      <c r="C146" s="246"/>
      <c r="D146" s="246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158"/>
    </row>
    <row r="147" spans="1:15" ht="21" customHeight="1">
      <c r="A147" s="88"/>
      <c r="B147" s="247" t="s">
        <v>190</v>
      </c>
      <c r="C147" s="247"/>
      <c r="D147" s="247"/>
      <c r="E147" s="247"/>
      <c r="F147" s="247"/>
      <c r="G147" s="247"/>
      <c r="H147" s="247"/>
      <c r="I147" s="247"/>
      <c r="J147" s="247"/>
      <c r="K147" s="247"/>
      <c r="L147" s="247"/>
      <c r="M147" s="247"/>
      <c r="N147" s="247"/>
      <c r="O147" s="158"/>
    </row>
    <row r="148" spans="1:15" ht="21" customHeight="1">
      <c r="A148" s="88"/>
      <c r="B148" s="247" t="s">
        <v>191</v>
      </c>
      <c r="C148" s="247"/>
      <c r="D148" s="247"/>
      <c r="E148" s="247"/>
      <c r="F148" s="247"/>
      <c r="G148" s="247"/>
      <c r="H148" s="247"/>
      <c r="I148" s="247"/>
      <c r="J148" s="247"/>
      <c r="K148" s="247"/>
      <c r="L148" s="247"/>
      <c r="M148" s="247"/>
      <c r="N148" s="247"/>
      <c r="O148" s="158"/>
    </row>
    <row r="149" spans="1:15" ht="21" customHeight="1">
      <c r="A149" s="88"/>
      <c r="B149" s="247" t="s">
        <v>134</v>
      </c>
      <c r="C149" s="247"/>
      <c r="D149" s="247"/>
      <c r="E149" s="247"/>
      <c r="F149" s="247"/>
      <c r="G149" s="247"/>
      <c r="H149" s="247"/>
      <c r="I149" s="247"/>
      <c r="J149" s="247"/>
      <c r="K149" s="247"/>
      <c r="L149" s="247"/>
      <c r="M149" s="247"/>
      <c r="N149" s="247"/>
      <c r="O149" s="158"/>
    </row>
    <row r="150" spans="1:15" ht="21" customHeight="1">
      <c r="A150" s="70"/>
      <c r="B150" s="262" t="s">
        <v>109</v>
      </c>
      <c r="C150" s="262"/>
      <c r="D150" s="262"/>
      <c r="E150" s="262"/>
      <c r="F150" s="262"/>
      <c r="G150" s="262"/>
      <c r="H150" s="262"/>
      <c r="I150" s="262"/>
      <c r="J150" s="262"/>
      <c r="K150" s="262"/>
      <c r="L150" s="262"/>
      <c r="M150" s="262"/>
      <c r="N150" s="262"/>
      <c r="O150" s="158"/>
    </row>
    <row r="151" spans="1:15" ht="21" customHeight="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89"/>
      <c r="M151" s="89"/>
      <c r="N151" s="90"/>
      <c r="O151" s="158"/>
    </row>
    <row r="152" spans="1:15" ht="21" customHeight="1">
      <c r="A152" s="263" t="s">
        <v>60</v>
      </c>
      <c r="B152" s="263"/>
      <c r="C152" s="263"/>
      <c r="D152" s="263"/>
      <c r="E152" s="332"/>
      <c r="F152" s="332"/>
      <c r="G152" s="332"/>
      <c r="H152" s="332"/>
      <c r="I152" s="332"/>
      <c r="J152" s="333" t="s">
        <v>36</v>
      </c>
      <c r="K152" s="333"/>
      <c r="L152" s="333"/>
      <c r="M152" s="333"/>
      <c r="N152" s="333"/>
      <c r="O152" s="158"/>
    </row>
    <row r="153" spans="1:15" ht="21" customHeight="1">
      <c r="A153" s="163"/>
      <c r="B153" s="163"/>
      <c r="C153" s="163"/>
      <c r="D153" s="332"/>
      <c r="E153" s="332"/>
      <c r="F153" s="332"/>
      <c r="G153" s="332"/>
      <c r="H153" s="334"/>
      <c r="I153" s="334"/>
      <c r="J153" s="334"/>
      <c r="K153" s="334"/>
      <c r="L153" s="334"/>
      <c r="M153" s="334"/>
      <c r="N153" s="334"/>
      <c r="O153" s="158"/>
    </row>
    <row r="154" spans="1:15" ht="21" customHeight="1">
      <c r="A154" s="163"/>
      <c r="B154" s="163"/>
      <c r="C154" s="163"/>
      <c r="D154" s="332"/>
      <c r="E154" s="332"/>
      <c r="F154" s="332"/>
      <c r="G154" s="332"/>
      <c r="H154" s="334"/>
      <c r="I154" s="334"/>
      <c r="J154" s="334"/>
      <c r="K154" s="334"/>
      <c r="L154" s="334"/>
      <c r="M154" s="334"/>
      <c r="N154" s="334"/>
      <c r="O154" s="158"/>
    </row>
    <row r="155" spans="1:15" ht="21" customHeight="1">
      <c r="A155" s="163"/>
      <c r="B155" s="163"/>
      <c r="C155" s="163"/>
      <c r="D155" s="332"/>
      <c r="E155" s="332"/>
      <c r="F155" s="332"/>
      <c r="G155" s="332"/>
      <c r="H155" s="334"/>
      <c r="I155" s="334"/>
      <c r="J155" s="335" t="s">
        <v>103</v>
      </c>
      <c r="K155" s="335"/>
      <c r="L155" s="335"/>
      <c r="M155" s="335"/>
      <c r="N155" s="335"/>
      <c r="O155" s="158"/>
    </row>
    <row r="156" spans="1:15" ht="21" customHeight="1">
      <c r="A156" s="264" t="s">
        <v>84</v>
      </c>
      <c r="B156" s="264"/>
      <c r="C156" s="264"/>
      <c r="D156" s="264"/>
      <c r="E156" s="332"/>
      <c r="F156" s="332"/>
      <c r="G156" s="332"/>
      <c r="H156" s="334"/>
      <c r="I156" s="334"/>
      <c r="J156" s="335"/>
      <c r="K156" s="335"/>
      <c r="L156" s="335"/>
      <c r="M156" s="335"/>
      <c r="N156" s="335"/>
      <c r="O156" s="158"/>
    </row>
    <row r="157" spans="1:15" ht="21" customHeight="1">
      <c r="J157" s="334"/>
      <c r="K157" s="334"/>
      <c r="L157" s="334"/>
      <c r="M157" s="334"/>
      <c r="N157" s="334"/>
    </row>
    <row r="158" spans="1:15" ht="21" customHeight="1">
      <c r="J158" s="335" t="s">
        <v>114</v>
      </c>
      <c r="K158" s="335"/>
      <c r="L158" s="335"/>
      <c r="M158" s="335"/>
      <c r="N158" s="335"/>
    </row>
  </sheetData>
  <mergeCells count="204">
    <mergeCell ref="U53:V53"/>
    <mergeCell ref="U54:V54"/>
    <mergeCell ref="F1:N1"/>
    <mergeCell ref="F82:N82"/>
    <mergeCell ref="Q53:R53"/>
    <mergeCell ref="S53:T53"/>
    <mergeCell ref="Q54:R54"/>
    <mergeCell ref="S54:T54"/>
    <mergeCell ref="A13:N13"/>
    <mergeCell ref="A9:A12"/>
    <mergeCell ref="B9:B12"/>
    <mergeCell ref="C9:C12"/>
    <mergeCell ref="D9:D12"/>
    <mergeCell ref="E9:F10"/>
    <mergeCell ref="G9:H10"/>
    <mergeCell ref="I9:I12"/>
    <mergeCell ref="L9:L12"/>
    <mergeCell ref="I50:I51"/>
    <mergeCell ref="E51:F51"/>
    <mergeCell ref="G51:H51"/>
    <mergeCell ref="A29:B30"/>
    <mergeCell ref="A31:B31"/>
    <mergeCell ref="N46:N47"/>
    <mergeCell ref="E54:F54"/>
    <mergeCell ref="A3:D3"/>
    <mergeCell ref="E3:N3"/>
    <mergeCell ref="A4:D4"/>
    <mergeCell ref="E4:I7"/>
    <mergeCell ref="J4:N7"/>
    <mergeCell ref="B42:B45"/>
    <mergeCell ref="C42:C45"/>
    <mergeCell ref="D42:D45"/>
    <mergeCell ref="E42:F43"/>
    <mergeCell ref="G42:H43"/>
    <mergeCell ref="I42:I45"/>
    <mergeCell ref="J42:J45"/>
    <mergeCell ref="K42:K45"/>
    <mergeCell ref="N9:N12"/>
    <mergeCell ref="E11:E12"/>
    <mergeCell ref="F11:F12"/>
    <mergeCell ref="G11:G12"/>
    <mergeCell ref="H11:H12"/>
    <mergeCell ref="J9:J12"/>
    <mergeCell ref="K9:K12"/>
    <mergeCell ref="A8:B8"/>
    <mergeCell ref="C8:D8"/>
    <mergeCell ref="N42:N45"/>
    <mergeCell ref="E44:E45"/>
    <mergeCell ref="B60:N60"/>
    <mergeCell ref="B61:N61"/>
    <mergeCell ref="B62:N62"/>
    <mergeCell ref="A84:D85"/>
    <mergeCell ref="E84:N84"/>
    <mergeCell ref="N90:N93"/>
    <mergeCell ref="A5:D5"/>
    <mergeCell ref="A6:D6"/>
    <mergeCell ref="C50:C51"/>
    <mergeCell ref="A7:D7"/>
    <mergeCell ref="A56:B57"/>
    <mergeCell ref="A48:B49"/>
    <mergeCell ref="A54:C54"/>
    <mergeCell ref="L50:L57"/>
    <mergeCell ref="A50:B51"/>
    <mergeCell ref="F44:F45"/>
    <mergeCell ref="G44:G45"/>
    <mergeCell ref="H44:H45"/>
    <mergeCell ref="A42:A45"/>
    <mergeCell ref="L42:L45"/>
    <mergeCell ref="G56:H56"/>
    <mergeCell ref="E57:F57"/>
    <mergeCell ref="G57:H57"/>
    <mergeCell ref="A52:C53"/>
    <mergeCell ref="M9:M12"/>
    <mergeCell ref="N27:N28"/>
    <mergeCell ref="M42:M45"/>
    <mergeCell ref="M50:M57"/>
    <mergeCell ref="N50:N57"/>
    <mergeCell ref="A55:C55"/>
    <mergeCell ref="C56:D56"/>
    <mergeCell ref="C57:D57"/>
    <mergeCell ref="E55:F55"/>
    <mergeCell ref="G55:H55"/>
    <mergeCell ref="I52:I53"/>
    <mergeCell ref="E53:F53"/>
    <mergeCell ref="G53:H53"/>
    <mergeCell ref="K55:K57"/>
    <mergeCell ref="D50:D51"/>
    <mergeCell ref="E56:F56"/>
    <mergeCell ref="A124:B125"/>
    <mergeCell ref="A126:B126"/>
    <mergeCell ref="A128:A131"/>
    <mergeCell ref="B128:B131"/>
    <mergeCell ref="J50:J51"/>
    <mergeCell ref="K50:K51"/>
    <mergeCell ref="J52:J53"/>
    <mergeCell ref="K52:K53"/>
    <mergeCell ref="G54:H54"/>
    <mergeCell ref="J55:J57"/>
    <mergeCell ref="J69:N69"/>
    <mergeCell ref="J72:N72"/>
    <mergeCell ref="A59:N59"/>
    <mergeCell ref="B63:N63"/>
    <mergeCell ref="B64:N64"/>
    <mergeCell ref="A66:D66"/>
    <mergeCell ref="J66:N66"/>
    <mergeCell ref="A70:D70"/>
    <mergeCell ref="J70:N70"/>
    <mergeCell ref="E85:I85"/>
    <mergeCell ref="J85:N85"/>
    <mergeCell ref="E86:I88"/>
    <mergeCell ref="A89:B89"/>
    <mergeCell ref="C89:D89"/>
    <mergeCell ref="G90:H91"/>
    <mergeCell ref="I90:I93"/>
    <mergeCell ref="J90:J93"/>
    <mergeCell ref="K90:K93"/>
    <mergeCell ref="L90:L93"/>
    <mergeCell ref="M90:M93"/>
    <mergeCell ref="A108:B109"/>
    <mergeCell ref="A110:B110"/>
    <mergeCell ref="N122:N123"/>
    <mergeCell ref="A90:A93"/>
    <mergeCell ref="B90:B93"/>
    <mergeCell ref="J86:N86"/>
    <mergeCell ref="A87:D87"/>
    <mergeCell ref="A88:D88"/>
    <mergeCell ref="J87:N87"/>
    <mergeCell ref="J88:N88"/>
    <mergeCell ref="A86:D86"/>
    <mergeCell ref="C128:C131"/>
    <mergeCell ref="D128:D131"/>
    <mergeCell ref="E128:F129"/>
    <mergeCell ref="G128:H129"/>
    <mergeCell ref="I128:I131"/>
    <mergeCell ref="J128:J131"/>
    <mergeCell ref="K128:K131"/>
    <mergeCell ref="L128:L131"/>
    <mergeCell ref="M128:M131"/>
    <mergeCell ref="E92:E93"/>
    <mergeCell ref="F92:F93"/>
    <mergeCell ref="G92:G93"/>
    <mergeCell ref="H92:H93"/>
    <mergeCell ref="A94:N94"/>
    <mergeCell ref="N106:N107"/>
    <mergeCell ref="C90:C93"/>
    <mergeCell ref="D90:D93"/>
    <mergeCell ref="E90:F91"/>
    <mergeCell ref="E137:F137"/>
    <mergeCell ref="G137:H137"/>
    <mergeCell ref="A138:C139"/>
    <mergeCell ref="I138:I139"/>
    <mergeCell ref="J138:J139"/>
    <mergeCell ref="K138:K139"/>
    <mergeCell ref="E139:F139"/>
    <mergeCell ref="G139:H139"/>
    <mergeCell ref="E143:F143"/>
    <mergeCell ref="G143:H143"/>
    <mergeCell ref="A141:C141"/>
    <mergeCell ref="E140:F140"/>
    <mergeCell ref="G140:H140"/>
    <mergeCell ref="E142:F142"/>
    <mergeCell ref="G142:H142"/>
    <mergeCell ref="J158:N158"/>
    <mergeCell ref="R139:S139"/>
    <mergeCell ref="T139:U139"/>
    <mergeCell ref="N128:N131"/>
    <mergeCell ref="E130:E131"/>
    <mergeCell ref="F130:F131"/>
    <mergeCell ref="G130:G131"/>
    <mergeCell ref="H130:H131"/>
    <mergeCell ref="N132:N133"/>
    <mergeCell ref="N136:N143"/>
    <mergeCell ref="B147:N147"/>
    <mergeCell ref="B148:N148"/>
    <mergeCell ref="B149:N149"/>
    <mergeCell ref="E141:F141"/>
    <mergeCell ref="G141:H141"/>
    <mergeCell ref="A134:B135"/>
    <mergeCell ref="A136:B137"/>
    <mergeCell ref="C136:C137"/>
    <mergeCell ref="D136:D137"/>
    <mergeCell ref="I136:I137"/>
    <mergeCell ref="J136:J137"/>
    <mergeCell ref="K136:K137"/>
    <mergeCell ref="L136:L143"/>
    <mergeCell ref="M136:M143"/>
    <mergeCell ref="V139:W139"/>
    <mergeCell ref="A140:C140"/>
    <mergeCell ref="J141:J143"/>
    <mergeCell ref="K141:K143"/>
    <mergeCell ref="A142:B143"/>
    <mergeCell ref="C142:D142"/>
    <mergeCell ref="A145:N145"/>
    <mergeCell ref="J156:N156"/>
    <mergeCell ref="B150:N150"/>
    <mergeCell ref="C143:D143"/>
    <mergeCell ref="B146:N146"/>
    <mergeCell ref="A152:D152"/>
    <mergeCell ref="J152:N152"/>
    <mergeCell ref="J155:N155"/>
    <mergeCell ref="A156:D156"/>
    <mergeCell ref="R140:S140"/>
    <mergeCell ref="T140:U140"/>
    <mergeCell ref="V140:W140"/>
  </mergeCells>
  <pageMargins left="0.26666666666666666" right="0.16666666666666666" top="0.44791666666666669" bottom="0.4062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58"/>
  <sheetViews>
    <sheetView workbookViewId="0">
      <selection activeCell="O1" sqref="O1"/>
    </sheetView>
  </sheetViews>
  <sheetFormatPr defaultColWidth="9.109375" defaultRowHeight="21" customHeight="1"/>
  <cols>
    <col min="1" max="1" width="4" style="1" customWidth="1"/>
    <col min="2" max="2" width="13.109375" style="1" customWidth="1"/>
    <col min="3" max="3" width="7.44140625" style="1" customWidth="1"/>
    <col min="4" max="4" width="7.33203125" style="1" customWidth="1"/>
    <col min="5" max="8" width="6.6640625" style="1" customWidth="1"/>
    <col min="9" max="9" width="7.5546875" style="1" customWidth="1"/>
    <col min="10" max="10" width="8.109375" style="1" customWidth="1"/>
    <col min="11" max="11" width="7.33203125" style="1" customWidth="1"/>
    <col min="12" max="12" width="6.5546875" style="1" customWidth="1"/>
    <col min="13" max="13" width="5.44140625" style="1" customWidth="1"/>
    <col min="14" max="14" width="7.6640625" style="1" customWidth="1"/>
    <col min="15" max="15" width="11.88671875" style="1" customWidth="1"/>
    <col min="16" max="16" width="9.109375" style="1"/>
    <col min="17" max="22" width="8.5546875" style="1" customWidth="1"/>
    <col min="23" max="16384" width="9.109375" style="1"/>
  </cols>
  <sheetData>
    <row r="1" spans="1:20" ht="22.2" customHeight="1">
      <c r="A1" s="10" t="s">
        <v>59</v>
      </c>
      <c r="B1" s="7"/>
      <c r="C1" s="7"/>
      <c r="D1" s="7"/>
      <c r="E1" s="7"/>
      <c r="F1" s="185" t="s">
        <v>30</v>
      </c>
      <c r="G1" s="185"/>
      <c r="H1" s="185"/>
      <c r="I1" s="185"/>
      <c r="J1" s="185"/>
      <c r="K1" s="185"/>
      <c r="L1" s="185"/>
      <c r="M1" s="185"/>
      <c r="N1" s="185"/>
      <c r="O1" s="152"/>
      <c r="P1" s="152"/>
      <c r="T1" s="2"/>
    </row>
    <row r="2" spans="1:20" ht="19.8" customHeight="1">
      <c r="A2" s="7" t="s">
        <v>192</v>
      </c>
      <c r="B2" s="7"/>
      <c r="C2" s="7"/>
      <c r="D2" s="7"/>
      <c r="E2" s="7"/>
      <c r="F2" s="166"/>
      <c r="G2" s="166"/>
      <c r="H2" s="166"/>
      <c r="I2" s="166"/>
      <c r="J2" s="166"/>
      <c r="K2" s="166"/>
      <c r="L2" s="166"/>
      <c r="M2" s="166"/>
      <c r="N2" s="166"/>
      <c r="O2" s="152"/>
      <c r="P2" s="152"/>
      <c r="T2" s="2"/>
    </row>
    <row r="3" spans="1:20" s="2" customFormat="1" ht="19.8" customHeight="1">
      <c r="A3" s="186" t="s">
        <v>95</v>
      </c>
      <c r="B3" s="186"/>
      <c r="C3" s="186"/>
      <c r="D3" s="186"/>
      <c r="E3" s="186" t="s">
        <v>93</v>
      </c>
      <c r="F3" s="186"/>
      <c r="G3" s="186"/>
      <c r="H3" s="186"/>
      <c r="I3" s="186"/>
      <c r="J3" s="186"/>
      <c r="K3" s="186"/>
      <c r="L3" s="186"/>
      <c r="M3" s="186"/>
      <c r="N3" s="186"/>
      <c r="O3" s="153"/>
    </row>
    <row r="4" spans="1:20" s="2" customFormat="1" ht="19.8" customHeight="1">
      <c r="A4" s="187" t="s">
        <v>83</v>
      </c>
      <c r="B4" s="187"/>
      <c r="C4" s="187"/>
      <c r="D4" s="187"/>
      <c r="E4" s="188" t="s">
        <v>132</v>
      </c>
      <c r="F4" s="188"/>
      <c r="G4" s="188"/>
      <c r="H4" s="188"/>
      <c r="I4" s="188"/>
      <c r="J4" s="189" t="s">
        <v>120</v>
      </c>
      <c r="K4" s="190"/>
      <c r="L4" s="190"/>
      <c r="M4" s="190"/>
      <c r="N4" s="191"/>
      <c r="O4" s="153"/>
    </row>
    <row r="5" spans="1:20" s="2" customFormat="1" ht="19.8" customHeight="1">
      <c r="A5" s="202" t="s">
        <v>140</v>
      </c>
      <c r="B5" s="203"/>
      <c r="C5" s="203"/>
      <c r="D5" s="204"/>
      <c r="E5" s="188"/>
      <c r="F5" s="188"/>
      <c r="G5" s="188"/>
      <c r="H5" s="188"/>
      <c r="I5" s="188"/>
      <c r="J5" s="192"/>
      <c r="K5" s="193"/>
      <c r="L5" s="193"/>
      <c r="M5" s="193"/>
      <c r="N5" s="194"/>
      <c r="O5" s="153"/>
    </row>
    <row r="6" spans="1:20" s="2" customFormat="1" ht="19.8" customHeight="1">
      <c r="A6" s="198" t="s">
        <v>141</v>
      </c>
      <c r="B6" s="198"/>
      <c r="C6" s="198"/>
      <c r="D6" s="198"/>
      <c r="E6" s="188"/>
      <c r="F6" s="188"/>
      <c r="G6" s="188"/>
      <c r="H6" s="188"/>
      <c r="I6" s="188"/>
      <c r="J6" s="192"/>
      <c r="K6" s="193"/>
      <c r="L6" s="193"/>
      <c r="M6" s="193"/>
      <c r="N6" s="194"/>
      <c r="O6" s="153"/>
    </row>
    <row r="7" spans="1:20" s="2" customFormat="1" ht="19.8" customHeight="1">
      <c r="A7" s="199" t="s">
        <v>165</v>
      </c>
      <c r="B7" s="199"/>
      <c r="C7" s="199"/>
      <c r="D7" s="199"/>
      <c r="E7" s="188"/>
      <c r="F7" s="188"/>
      <c r="G7" s="188"/>
      <c r="H7" s="188"/>
      <c r="I7" s="188"/>
      <c r="J7" s="195"/>
      <c r="K7" s="196"/>
      <c r="L7" s="196"/>
      <c r="M7" s="196"/>
      <c r="N7" s="197"/>
      <c r="O7" s="153"/>
    </row>
    <row r="8" spans="1:20" s="2" customFormat="1" ht="19.8" customHeight="1">
      <c r="A8" s="292" t="s">
        <v>110</v>
      </c>
      <c r="B8" s="292"/>
      <c r="C8" s="290">
        <v>219</v>
      </c>
      <c r="D8" s="290"/>
      <c r="E8" s="74"/>
      <c r="F8" s="74"/>
      <c r="G8" s="74"/>
      <c r="H8" s="74"/>
      <c r="I8" s="74"/>
      <c r="J8" s="74"/>
      <c r="K8" s="74"/>
      <c r="L8" s="74"/>
      <c r="M8" s="74"/>
      <c r="N8" s="75"/>
      <c r="O8" s="153"/>
    </row>
    <row r="9" spans="1:20" ht="19.8" customHeight="1">
      <c r="A9" s="172" t="s">
        <v>0</v>
      </c>
      <c r="B9" s="175" t="s">
        <v>19</v>
      </c>
      <c r="C9" s="178" t="s">
        <v>8</v>
      </c>
      <c r="D9" s="178" t="s">
        <v>9</v>
      </c>
      <c r="E9" s="317" t="s">
        <v>11</v>
      </c>
      <c r="F9" s="318"/>
      <c r="G9" s="317" t="s">
        <v>13</v>
      </c>
      <c r="H9" s="318"/>
      <c r="I9" s="200" t="s">
        <v>16</v>
      </c>
      <c r="J9" s="200" t="s">
        <v>32</v>
      </c>
      <c r="K9" s="200" t="s">
        <v>33</v>
      </c>
      <c r="L9" s="200" t="s">
        <v>55</v>
      </c>
      <c r="M9" s="200" t="s">
        <v>56</v>
      </c>
      <c r="N9" s="172" t="s">
        <v>18</v>
      </c>
      <c r="O9" s="154"/>
    </row>
    <row r="10" spans="1:20" ht="19.8" customHeight="1">
      <c r="A10" s="173"/>
      <c r="B10" s="176"/>
      <c r="C10" s="179"/>
      <c r="D10" s="179"/>
      <c r="E10" s="319"/>
      <c r="F10" s="320"/>
      <c r="G10" s="319"/>
      <c r="H10" s="320"/>
      <c r="I10" s="208"/>
      <c r="J10" s="208"/>
      <c r="K10" s="208"/>
      <c r="L10" s="208"/>
      <c r="M10" s="208"/>
      <c r="N10" s="173"/>
      <c r="O10" s="163"/>
    </row>
    <row r="11" spans="1:20" ht="19.8" customHeight="1">
      <c r="A11" s="173"/>
      <c r="B11" s="176"/>
      <c r="C11" s="179"/>
      <c r="D11" s="179"/>
      <c r="E11" s="200" t="s">
        <v>10</v>
      </c>
      <c r="F11" s="200" t="s">
        <v>12</v>
      </c>
      <c r="G11" s="200" t="s">
        <v>14</v>
      </c>
      <c r="H11" s="200" t="s">
        <v>15</v>
      </c>
      <c r="I11" s="208"/>
      <c r="J11" s="208"/>
      <c r="K11" s="208"/>
      <c r="L11" s="208"/>
      <c r="M11" s="208"/>
      <c r="N11" s="173"/>
      <c r="O11" s="163"/>
    </row>
    <row r="12" spans="1:20" ht="19.8" customHeight="1">
      <c r="A12" s="174"/>
      <c r="B12" s="177"/>
      <c r="C12" s="180"/>
      <c r="D12" s="180"/>
      <c r="E12" s="201"/>
      <c r="F12" s="201"/>
      <c r="G12" s="201"/>
      <c r="H12" s="201"/>
      <c r="I12" s="201"/>
      <c r="J12" s="201"/>
      <c r="K12" s="201"/>
      <c r="L12" s="201"/>
      <c r="M12" s="201"/>
      <c r="N12" s="174"/>
      <c r="O12" s="163"/>
    </row>
    <row r="13" spans="1:20" ht="21" customHeight="1">
      <c r="A13" s="205" t="s">
        <v>35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7"/>
      <c r="O13" s="163"/>
    </row>
    <row r="14" spans="1:20" s="2" customFormat="1" ht="21" customHeight="1">
      <c r="A14" s="37">
        <v>1</v>
      </c>
      <c r="B14" s="38" t="s">
        <v>2</v>
      </c>
      <c r="C14" s="39">
        <f>L14/100*100</f>
        <v>280</v>
      </c>
      <c r="D14" s="40">
        <f>C14/100*60</f>
        <v>168</v>
      </c>
      <c r="E14" s="41">
        <f>C14/100*15</f>
        <v>42</v>
      </c>
      <c r="F14" s="41"/>
      <c r="G14" s="41"/>
      <c r="H14" s="41"/>
      <c r="I14" s="41"/>
      <c r="J14" s="161">
        <f>C14/100*387</f>
        <v>1083.5999999999999</v>
      </c>
      <c r="K14" s="59">
        <f>C14/100*0.09</f>
        <v>0.252</v>
      </c>
      <c r="L14" s="137">
        <v>280</v>
      </c>
      <c r="M14" s="109">
        <v>20</v>
      </c>
      <c r="N14" s="44">
        <f>L14*M14</f>
        <v>5600</v>
      </c>
      <c r="O14" s="155"/>
    </row>
    <row r="15" spans="1:20" s="2" customFormat="1" ht="21" customHeight="1">
      <c r="A15" s="8">
        <v>2</v>
      </c>
      <c r="B15" s="9" t="s">
        <v>121</v>
      </c>
      <c r="C15" s="12">
        <f>L15/100*100</f>
        <v>1270</v>
      </c>
      <c r="D15" s="65">
        <f>C15/100*899</f>
        <v>11417.3</v>
      </c>
      <c r="E15" s="14"/>
      <c r="F15" s="14"/>
      <c r="G15" s="91">
        <f>C15/100*100</f>
        <v>1270</v>
      </c>
      <c r="H15" s="14"/>
      <c r="I15" s="14"/>
      <c r="J15" s="22"/>
      <c r="K15" s="22"/>
      <c r="L15" s="111">
        <v>1270</v>
      </c>
      <c r="M15" s="110">
        <v>69</v>
      </c>
      <c r="N15" s="44">
        <f t="shared" ref="N15:N25" si="0">L15*M15</f>
        <v>87630</v>
      </c>
      <c r="O15" s="155"/>
    </row>
    <row r="16" spans="1:20" s="2" customFormat="1" ht="21" customHeight="1">
      <c r="A16" s="8">
        <v>3</v>
      </c>
      <c r="B16" s="128" t="s">
        <v>126</v>
      </c>
      <c r="C16" s="12">
        <f t="shared" ref="C16" si="1">L16/100*100</f>
        <v>310</v>
      </c>
      <c r="D16" s="65">
        <f>C16/100*900</f>
        <v>2790</v>
      </c>
      <c r="E16" s="14"/>
      <c r="F16" s="14"/>
      <c r="G16" s="91"/>
      <c r="H16" s="14">
        <f>C16/100*100</f>
        <v>310</v>
      </c>
      <c r="I16" s="14"/>
      <c r="J16" s="14"/>
      <c r="K16" s="14"/>
      <c r="L16" s="111">
        <v>310</v>
      </c>
      <c r="M16" s="65">
        <v>65</v>
      </c>
      <c r="N16" s="44">
        <f t="shared" si="0"/>
        <v>20150</v>
      </c>
      <c r="O16" s="157"/>
    </row>
    <row r="17" spans="1:20" s="2" customFormat="1" ht="21" customHeight="1">
      <c r="A17" s="8">
        <v>4</v>
      </c>
      <c r="B17" s="5" t="s">
        <v>1</v>
      </c>
      <c r="C17" s="12">
        <f>L17/100*100</f>
        <v>20805</v>
      </c>
      <c r="D17" s="65">
        <f>C17/100*344</f>
        <v>71569.2</v>
      </c>
      <c r="E17" s="14"/>
      <c r="F17" s="91">
        <f>C17/100*7.9</f>
        <v>1643.5950000000003</v>
      </c>
      <c r="G17" s="14"/>
      <c r="H17" s="14">
        <f>C17/100*1</f>
        <v>208.05</v>
      </c>
      <c r="I17" s="91">
        <f>C17/100*72.1</f>
        <v>15000.404999999999</v>
      </c>
      <c r="J17" s="64">
        <f>C17/100*30</f>
        <v>6241.5</v>
      </c>
      <c r="K17" s="22">
        <f>C17/100*0.1</f>
        <v>20.805000000000003</v>
      </c>
      <c r="L17" s="111">
        <v>20805</v>
      </c>
      <c r="M17" s="109">
        <v>18</v>
      </c>
      <c r="N17" s="44">
        <f t="shared" si="0"/>
        <v>374490</v>
      </c>
      <c r="O17" s="155"/>
    </row>
    <row r="18" spans="1:20" s="2" customFormat="1" ht="21" customHeight="1">
      <c r="A18" s="8">
        <v>5</v>
      </c>
      <c r="B18" s="9" t="s">
        <v>29</v>
      </c>
      <c r="C18" s="12">
        <f>L18/100*100</f>
        <v>170</v>
      </c>
      <c r="D18" s="13">
        <f>C18/100*390</f>
        <v>663</v>
      </c>
      <c r="E18" s="14"/>
      <c r="F18" s="14"/>
      <c r="G18" s="14"/>
      <c r="H18" s="14"/>
      <c r="I18" s="14">
        <f>C18/100*97.4</f>
        <v>165.58</v>
      </c>
      <c r="J18" s="22">
        <f>C18/100*178</f>
        <v>302.59999999999997</v>
      </c>
      <c r="K18" s="22">
        <f>C18/100*0.05</f>
        <v>8.5000000000000006E-2</v>
      </c>
      <c r="L18" s="111">
        <v>170</v>
      </c>
      <c r="M18" s="20">
        <v>25</v>
      </c>
      <c r="N18" s="16">
        <f t="shared" si="0"/>
        <v>4250</v>
      </c>
      <c r="O18" s="156"/>
    </row>
    <row r="19" spans="1:20" s="2" customFormat="1" ht="21" customHeight="1">
      <c r="A19" s="8">
        <v>6</v>
      </c>
      <c r="B19" s="9" t="s">
        <v>142</v>
      </c>
      <c r="C19" s="12">
        <f>L19/100*60</f>
        <v>9858</v>
      </c>
      <c r="D19" s="13">
        <f>C19/100*97</f>
        <v>9562.26</v>
      </c>
      <c r="E19" s="91">
        <f>C19/100*22</f>
        <v>2168.7599999999998</v>
      </c>
      <c r="F19" s="14"/>
      <c r="G19" s="14">
        <f>C19/100*2.7</f>
        <v>266.166</v>
      </c>
      <c r="H19" s="14"/>
      <c r="I19" s="14"/>
      <c r="J19" s="64">
        <f>C19/100*90</f>
        <v>8872.2000000000007</v>
      </c>
      <c r="K19" s="22">
        <f>C19/100*0.04</f>
        <v>3.9432</v>
      </c>
      <c r="L19" s="111">
        <v>16430</v>
      </c>
      <c r="M19" s="20">
        <v>95</v>
      </c>
      <c r="N19" s="93">
        <f t="shared" si="0"/>
        <v>1560850</v>
      </c>
      <c r="O19" s="155"/>
    </row>
    <row r="20" spans="1:20" s="2" customFormat="1" ht="21" customHeight="1">
      <c r="A20" s="8">
        <v>7</v>
      </c>
      <c r="B20" s="128" t="s">
        <v>66</v>
      </c>
      <c r="C20" s="12">
        <f>L20/100*98</f>
        <v>2146.1999999999998</v>
      </c>
      <c r="D20" s="13">
        <f>C20/100*139</f>
        <v>2983.2179999999998</v>
      </c>
      <c r="E20" s="14">
        <f>C20/100*19</f>
        <v>407.77800000000002</v>
      </c>
      <c r="F20" s="14"/>
      <c r="G20" s="14">
        <f>C20/100*7</f>
        <v>150.23400000000001</v>
      </c>
      <c r="H20" s="14"/>
      <c r="I20" s="14"/>
      <c r="J20" s="22">
        <f>C20/100*7</f>
        <v>150.23400000000001</v>
      </c>
      <c r="K20" s="22">
        <f>C20/100*0.9</f>
        <v>19.315799999999999</v>
      </c>
      <c r="L20" s="111">
        <v>2190</v>
      </c>
      <c r="M20" s="111">
        <v>133</v>
      </c>
      <c r="N20" s="16">
        <f t="shared" si="0"/>
        <v>291270</v>
      </c>
      <c r="O20" s="155"/>
    </row>
    <row r="21" spans="1:20" s="2" customFormat="1" ht="21" customHeight="1">
      <c r="A21" s="8">
        <v>8</v>
      </c>
      <c r="B21" s="5" t="s">
        <v>3</v>
      </c>
      <c r="C21" s="12">
        <f>L21/100*48</f>
        <v>2616</v>
      </c>
      <c r="D21" s="13">
        <f>C21/100*199</f>
        <v>5205.84</v>
      </c>
      <c r="E21" s="14">
        <f>C21/100*20.3</f>
        <v>531.048</v>
      </c>
      <c r="F21" s="14"/>
      <c r="G21" s="14">
        <f>C21/100*13.1</f>
        <v>342.69599999999997</v>
      </c>
      <c r="H21" s="14"/>
      <c r="I21" s="14"/>
      <c r="J21" s="22">
        <f>C21/100*12</f>
        <v>313.92</v>
      </c>
      <c r="K21" s="22">
        <f>C21/100*0.15</f>
        <v>3.9239999999999999</v>
      </c>
      <c r="L21" s="111">
        <v>5450</v>
      </c>
      <c r="M21" s="15">
        <v>84</v>
      </c>
      <c r="N21" s="16">
        <f t="shared" si="0"/>
        <v>457800</v>
      </c>
      <c r="O21" s="155"/>
      <c r="Q21" s="3"/>
      <c r="R21" s="3"/>
      <c r="S21" s="4"/>
    </row>
    <row r="22" spans="1:20" s="2" customFormat="1" ht="21" customHeight="1">
      <c r="A22" s="8">
        <v>9</v>
      </c>
      <c r="B22" s="5" t="s">
        <v>117</v>
      </c>
      <c r="C22" s="12">
        <f>L22/100*100</f>
        <v>220.00000000000003</v>
      </c>
      <c r="D22" s="13">
        <f>C22/100*247</f>
        <v>543.40000000000009</v>
      </c>
      <c r="E22" s="17"/>
      <c r="F22" s="17">
        <f>C22/100*17.5</f>
        <v>38.5</v>
      </c>
      <c r="G22" s="17"/>
      <c r="H22" s="17">
        <f>C22/100*1.6</f>
        <v>3.5200000000000005</v>
      </c>
      <c r="I22" s="17">
        <f>C22/100*39.2</f>
        <v>86.240000000000009</v>
      </c>
      <c r="J22" s="21"/>
      <c r="K22" s="21"/>
      <c r="L22" s="323">
        <v>220</v>
      </c>
      <c r="M22" s="20">
        <v>50</v>
      </c>
      <c r="N22" s="16">
        <f t="shared" si="0"/>
        <v>11000</v>
      </c>
      <c r="O22" s="155"/>
      <c r="Q22" s="3"/>
      <c r="R22" s="3"/>
      <c r="S22" s="4"/>
      <c r="T22" s="3"/>
    </row>
    <row r="23" spans="1:20" s="2" customFormat="1" ht="19.8" customHeight="1">
      <c r="A23" s="8">
        <v>10</v>
      </c>
      <c r="B23" s="5" t="s">
        <v>166</v>
      </c>
      <c r="C23" s="12">
        <f>L23/100*77</f>
        <v>4219.5999999999995</v>
      </c>
      <c r="D23" s="13">
        <f>C23/100*35</f>
        <v>1476.86</v>
      </c>
      <c r="E23" s="17"/>
      <c r="F23" s="17">
        <f>C23/100*5.3</f>
        <v>223.63879999999997</v>
      </c>
      <c r="G23" s="17"/>
      <c r="H23" s="17"/>
      <c r="I23" s="17">
        <f>C23/100*3.4</f>
        <v>143.46639999999999</v>
      </c>
      <c r="J23" s="17">
        <f>C23/100*169</f>
        <v>7131.1239999999998</v>
      </c>
      <c r="K23" s="17">
        <f>C23/100*0.07</f>
        <v>2.9537200000000001</v>
      </c>
      <c r="L23" s="324">
        <v>5480</v>
      </c>
      <c r="M23" s="15">
        <v>35</v>
      </c>
      <c r="N23" s="16">
        <f t="shared" si="0"/>
        <v>191800</v>
      </c>
      <c r="O23" s="155"/>
      <c r="Q23" s="3"/>
      <c r="R23" s="3"/>
      <c r="S23" s="4"/>
    </row>
    <row r="24" spans="1:20" s="2" customFormat="1" ht="18.600000000000001" customHeight="1">
      <c r="A24" s="133">
        <v>11</v>
      </c>
      <c r="B24" s="5" t="s">
        <v>157</v>
      </c>
      <c r="C24" s="12">
        <f>L24/100*81</f>
        <v>907.19999999999993</v>
      </c>
      <c r="D24" s="13">
        <f>C24/100*17</f>
        <v>154.22399999999999</v>
      </c>
      <c r="E24" s="14"/>
      <c r="F24" s="14">
        <f>C24/100*0.9</f>
        <v>8.1647999999999996</v>
      </c>
      <c r="G24" s="14"/>
      <c r="H24" s="14">
        <f>C24/100*0.2</f>
        <v>1.8144</v>
      </c>
      <c r="I24" s="14">
        <f>C24/100*2.8</f>
        <v>25.401599999999995</v>
      </c>
      <c r="J24" s="64">
        <f>C24/100*28</f>
        <v>254.01599999999996</v>
      </c>
      <c r="K24" s="22">
        <f>C24/100*0.04</f>
        <v>0.36287999999999998</v>
      </c>
      <c r="L24" s="111">
        <v>1120</v>
      </c>
      <c r="M24" s="15">
        <v>25</v>
      </c>
      <c r="N24" s="113">
        <f t="shared" si="0"/>
        <v>28000</v>
      </c>
      <c r="O24" s="155"/>
    </row>
    <row r="25" spans="1:20" s="2" customFormat="1" ht="21" customHeight="1">
      <c r="A25" s="8">
        <v>12</v>
      </c>
      <c r="B25" s="5" t="s">
        <v>135</v>
      </c>
      <c r="C25" s="12">
        <f>L25/100*81</f>
        <v>3904.2000000000003</v>
      </c>
      <c r="D25" s="13">
        <f>C25/100*17</f>
        <v>663.71400000000006</v>
      </c>
      <c r="E25" s="17"/>
      <c r="F25" s="17">
        <f>C25/100*0.9</f>
        <v>35.137800000000006</v>
      </c>
      <c r="G25" s="17"/>
      <c r="H25" s="17">
        <f>C25/100*0.2</f>
        <v>7.8084000000000007</v>
      </c>
      <c r="I25" s="17">
        <f>C25/100*2.8</f>
        <v>109.3176</v>
      </c>
      <c r="J25" s="14">
        <f>C25/100*28</f>
        <v>1093.1759999999999</v>
      </c>
      <c r="K25" s="22">
        <f>C25/100*0.04</f>
        <v>1.5616800000000002</v>
      </c>
      <c r="L25" s="324">
        <v>4820</v>
      </c>
      <c r="M25" s="20">
        <v>20</v>
      </c>
      <c r="N25" s="16">
        <f t="shared" si="0"/>
        <v>96400</v>
      </c>
      <c r="O25" s="155"/>
      <c r="P25" s="3"/>
    </row>
    <row r="26" spans="1:20" s="2" customFormat="1" ht="21" customHeight="1">
      <c r="A26" s="8">
        <v>13</v>
      </c>
      <c r="B26" s="9" t="s">
        <v>111</v>
      </c>
      <c r="C26" s="12"/>
      <c r="D26" s="13"/>
      <c r="E26" s="14"/>
      <c r="F26" s="14"/>
      <c r="G26" s="14"/>
      <c r="H26" s="14"/>
      <c r="I26" s="14"/>
      <c r="J26" s="14"/>
      <c r="K26" s="14"/>
      <c r="L26" s="15"/>
      <c r="M26" s="15"/>
      <c r="N26" s="16">
        <v>16720</v>
      </c>
      <c r="O26" s="155"/>
    </row>
    <row r="27" spans="1:20" s="2" customFormat="1" ht="21" customHeight="1">
      <c r="A27" s="23" t="s">
        <v>97</v>
      </c>
      <c r="B27" s="24"/>
      <c r="C27" s="25"/>
      <c r="D27" s="148">
        <f>SUM(D14:D26)</f>
        <v>107197.01599999999</v>
      </c>
      <c r="E27" s="27"/>
      <c r="F27" s="27"/>
      <c r="G27" s="27"/>
      <c r="H27" s="27"/>
      <c r="I27" s="27"/>
      <c r="J27" s="27"/>
      <c r="K27" s="27"/>
      <c r="L27" s="28"/>
      <c r="M27" s="28"/>
      <c r="N27" s="271">
        <f>SUM(N14:N26)</f>
        <v>3145960</v>
      </c>
      <c r="O27" s="155"/>
    </row>
    <row r="28" spans="1:20" s="2" customFormat="1" ht="21" customHeight="1">
      <c r="A28" s="23" t="s">
        <v>6</v>
      </c>
      <c r="B28" s="24"/>
      <c r="C28" s="25"/>
      <c r="D28" s="26">
        <f>D27/C8</f>
        <v>489.48409132420085</v>
      </c>
      <c r="E28" s="27"/>
      <c r="F28" s="27"/>
      <c r="G28" s="27"/>
      <c r="H28" s="27"/>
      <c r="I28" s="27"/>
      <c r="J28" s="27"/>
      <c r="K28" s="27"/>
      <c r="L28" s="28"/>
      <c r="M28" s="28"/>
      <c r="N28" s="272"/>
      <c r="O28" s="155"/>
    </row>
    <row r="29" spans="1:20" s="2" customFormat="1" ht="21" customHeight="1">
      <c r="A29" s="300" t="s">
        <v>50</v>
      </c>
      <c r="B29" s="212"/>
      <c r="C29" s="325" t="s">
        <v>133</v>
      </c>
      <c r="D29" s="29" t="s">
        <v>38</v>
      </c>
      <c r="E29" s="27"/>
      <c r="F29" s="27"/>
      <c r="G29" s="27"/>
      <c r="H29" s="27"/>
      <c r="I29" s="27"/>
      <c r="J29" s="27"/>
      <c r="K29" s="27"/>
      <c r="L29" s="28"/>
      <c r="M29" s="28"/>
      <c r="N29" s="30"/>
      <c r="O29" s="155"/>
    </row>
    <row r="30" spans="1:20" s="2" customFormat="1" ht="21" customHeight="1">
      <c r="A30" s="213"/>
      <c r="B30" s="214"/>
      <c r="C30" s="62" t="s">
        <v>58</v>
      </c>
      <c r="D30" s="29">
        <f>D28*100/1320</f>
        <v>37.082128130621278</v>
      </c>
      <c r="E30" s="27"/>
      <c r="F30" s="27"/>
      <c r="G30" s="27"/>
      <c r="H30" s="27"/>
      <c r="I30" s="27"/>
      <c r="J30" s="27"/>
      <c r="K30" s="27"/>
      <c r="L30" s="28"/>
      <c r="M30" s="28"/>
      <c r="N30" s="30"/>
      <c r="O30" s="155"/>
    </row>
    <row r="31" spans="1:20" s="2" customFormat="1" ht="21" customHeight="1">
      <c r="A31" s="215" t="s">
        <v>39</v>
      </c>
      <c r="B31" s="215"/>
      <c r="C31" s="45"/>
      <c r="D31" s="46"/>
      <c r="E31" s="47"/>
      <c r="F31" s="47"/>
      <c r="G31" s="47"/>
      <c r="H31" s="47"/>
      <c r="I31" s="47"/>
      <c r="J31" s="47"/>
      <c r="K31" s="47"/>
      <c r="L31" s="48"/>
      <c r="M31" s="48"/>
      <c r="N31" s="49"/>
      <c r="O31" s="155"/>
    </row>
    <row r="32" spans="1:20" s="2" customFormat="1" ht="21" customHeight="1">
      <c r="A32" s="37">
        <v>1</v>
      </c>
      <c r="B32" s="38" t="s">
        <v>2</v>
      </c>
      <c r="C32" s="39">
        <f>L32/100*100</f>
        <v>270</v>
      </c>
      <c r="D32" s="40">
        <f>C32/100*60</f>
        <v>162</v>
      </c>
      <c r="E32" s="41">
        <f>C32/100*15</f>
        <v>40.5</v>
      </c>
      <c r="F32" s="41"/>
      <c r="G32" s="41"/>
      <c r="H32" s="41"/>
      <c r="I32" s="41"/>
      <c r="J32" s="161">
        <f>C32/100*387</f>
        <v>1044.9000000000001</v>
      </c>
      <c r="K32" s="59">
        <f>C32/100*0.09</f>
        <v>0.24299999999999999</v>
      </c>
      <c r="L32" s="137">
        <v>270</v>
      </c>
      <c r="M32" s="43">
        <v>20</v>
      </c>
      <c r="N32" s="44">
        <f>L32*M32</f>
        <v>5400</v>
      </c>
      <c r="O32" s="155"/>
    </row>
    <row r="33" spans="1:23" s="2" customFormat="1" ht="21" customHeight="1">
      <c r="A33" s="8">
        <v>2</v>
      </c>
      <c r="B33" s="9" t="s">
        <v>121</v>
      </c>
      <c r="C33" s="12">
        <f>L33/100*100</f>
        <v>980.00000000000011</v>
      </c>
      <c r="D33" s="13">
        <f>C33/100*899</f>
        <v>8810.2000000000007</v>
      </c>
      <c r="E33" s="14"/>
      <c r="F33" s="14"/>
      <c r="G33" s="14">
        <f>C33/100*100</f>
        <v>980.00000000000011</v>
      </c>
      <c r="H33" s="14"/>
      <c r="I33" s="14"/>
      <c r="J33" s="22"/>
      <c r="K33" s="22"/>
      <c r="L33" s="111">
        <v>980</v>
      </c>
      <c r="M33" s="110">
        <v>69</v>
      </c>
      <c r="N33" s="16">
        <v>40020</v>
      </c>
      <c r="O33" s="155"/>
    </row>
    <row r="34" spans="1:23" s="2" customFormat="1" ht="21" customHeight="1">
      <c r="A34" s="8">
        <v>3</v>
      </c>
      <c r="B34" s="5" t="s">
        <v>65</v>
      </c>
      <c r="C34" s="12">
        <f>L34/100*100</f>
        <v>2190</v>
      </c>
      <c r="D34" s="13">
        <f>C34/100*344</f>
        <v>7533.5999999999995</v>
      </c>
      <c r="E34" s="14"/>
      <c r="F34" s="14">
        <f>C34/100*8.6</f>
        <v>188.33999999999997</v>
      </c>
      <c r="G34" s="14"/>
      <c r="H34" s="14">
        <f>C34/100*1.5</f>
        <v>32.849999999999994</v>
      </c>
      <c r="I34" s="91">
        <f>C34/100*74.5</f>
        <v>1631.55</v>
      </c>
      <c r="J34" s="14">
        <f>C34/100*32</f>
        <v>700.8</v>
      </c>
      <c r="K34" s="14">
        <f>C34/100*0.14</f>
        <v>3.0660000000000003</v>
      </c>
      <c r="L34" s="111">
        <v>2190</v>
      </c>
      <c r="M34" s="20">
        <v>30</v>
      </c>
      <c r="N34" s="16">
        <f t="shared" ref="N34:N37" si="2">L34*M34</f>
        <v>65700</v>
      </c>
      <c r="O34" s="155"/>
      <c r="P34" s="326"/>
    </row>
    <row r="35" spans="1:23" s="2" customFormat="1" ht="21" customHeight="1">
      <c r="A35" s="8">
        <v>4</v>
      </c>
      <c r="B35" s="5" t="s">
        <v>1</v>
      </c>
      <c r="C35" s="12">
        <f>L35/100*100</f>
        <v>3285</v>
      </c>
      <c r="D35" s="65">
        <f>C35/100*344</f>
        <v>11300.4</v>
      </c>
      <c r="E35" s="14"/>
      <c r="F35" s="14">
        <f>C35/100*7.9</f>
        <v>259.51500000000004</v>
      </c>
      <c r="G35" s="14"/>
      <c r="H35" s="14">
        <f>C35/100*1</f>
        <v>32.85</v>
      </c>
      <c r="I35" s="91">
        <f>C35/100*72.1</f>
        <v>2368.4850000000001</v>
      </c>
      <c r="J35" s="22">
        <f>C35/100*30</f>
        <v>985.5</v>
      </c>
      <c r="K35" s="22">
        <f>C35/100*0.1</f>
        <v>3.2850000000000001</v>
      </c>
      <c r="L35" s="111">
        <v>3285</v>
      </c>
      <c r="M35" s="20">
        <v>18</v>
      </c>
      <c r="N35" s="16">
        <f t="shared" si="2"/>
        <v>59130</v>
      </c>
      <c r="O35" s="155"/>
    </row>
    <row r="36" spans="1:23" s="2" customFormat="1" ht="21" customHeight="1">
      <c r="A36" s="8">
        <v>5</v>
      </c>
      <c r="B36" s="5" t="s">
        <v>117</v>
      </c>
      <c r="C36" s="12">
        <f>L36/100*100</f>
        <v>130</v>
      </c>
      <c r="D36" s="13">
        <f>C36/100*247</f>
        <v>321.10000000000002</v>
      </c>
      <c r="E36" s="17"/>
      <c r="F36" s="17">
        <f>C36/100*17.5</f>
        <v>22.75</v>
      </c>
      <c r="G36" s="17"/>
      <c r="H36" s="17">
        <f>C36/100*1.6</f>
        <v>2.08</v>
      </c>
      <c r="I36" s="17">
        <f>C36/100*39.2</f>
        <v>50.960000000000008</v>
      </c>
      <c r="J36" s="21"/>
      <c r="K36" s="21"/>
      <c r="L36" s="323">
        <v>130</v>
      </c>
      <c r="M36" s="20">
        <v>50</v>
      </c>
      <c r="N36" s="16">
        <f t="shared" si="2"/>
        <v>6500</v>
      </c>
      <c r="O36" s="155"/>
      <c r="Q36" s="3"/>
      <c r="R36" s="3"/>
      <c r="S36" s="4"/>
      <c r="T36" s="3"/>
    </row>
    <row r="37" spans="1:23" s="2" customFormat="1" ht="21" customHeight="1">
      <c r="A37" s="8">
        <v>6</v>
      </c>
      <c r="B37" s="5" t="s">
        <v>80</v>
      </c>
      <c r="C37" s="12">
        <f>L37/100*82</f>
        <v>2697.7999999999997</v>
      </c>
      <c r="D37" s="13">
        <f>C37/100*27</f>
        <v>728.40599999999995</v>
      </c>
      <c r="E37" s="17"/>
      <c r="F37" s="17">
        <f>C37/100*0.3</f>
        <v>8.093399999999999</v>
      </c>
      <c r="G37" s="17"/>
      <c r="H37" s="17">
        <f>C37/100*0.1</f>
        <v>2.6978</v>
      </c>
      <c r="I37" s="17">
        <f>C37/100*6.1</f>
        <v>164.56579999999997</v>
      </c>
      <c r="J37" s="63">
        <f>C37/100*24</f>
        <v>647.47199999999998</v>
      </c>
      <c r="K37" s="21">
        <f>C37/100*0.03</f>
        <v>0.80933999999999995</v>
      </c>
      <c r="L37" s="323">
        <v>3290</v>
      </c>
      <c r="M37" s="15">
        <v>22</v>
      </c>
      <c r="N37" s="16">
        <f t="shared" si="2"/>
        <v>72380</v>
      </c>
      <c r="O37" s="155"/>
      <c r="Q37" s="3"/>
      <c r="R37" s="3"/>
      <c r="S37" s="4"/>
    </row>
    <row r="38" spans="1:23" s="2" customFormat="1" ht="21" customHeight="1">
      <c r="A38" s="8">
        <v>7</v>
      </c>
      <c r="B38" s="9" t="s">
        <v>92</v>
      </c>
      <c r="C38" s="12">
        <f>L38/100*43</f>
        <v>1423.3</v>
      </c>
      <c r="D38" s="13">
        <f>C38/100*83</f>
        <v>1181.3389999999999</v>
      </c>
      <c r="E38" s="14">
        <f>C38/100*7.7</f>
        <v>109.5941</v>
      </c>
      <c r="F38" s="14"/>
      <c r="G38" s="14">
        <f>C38/100*5.5</f>
        <v>78.281499999999994</v>
      </c>
      <c r="H38" s="14"/>
      <c r="I38" s="14"/>
      <c r="J38" s="22"/>
      <c r="K38" s="22"/>
      <c r="L38" s="111">
        <v>3310</v>
      </c>
      <c r="M38" s="20">
        <v>133</v>
      </c>
      <c r="N38" s="16">
        <f>L38*M38</f>
        <v>440230</v>
      </c>
      <c r="O38" s="155"/>
    </row>
    <row r="39" spans="1:23" s="2" customFormat="1" ht="21" customHeight="1">
      <c r="A39" s="8">
        <v>8</v>
      </c>
      <c r="B39" s="139" t="s">
        <v>131</v>
      </c>
      <c r="C39" s="12">
        <f>L39/100*100</f>
        <v>3720.0000000000005</v>
      </c>
      <c r="D39" s="65">
        <f>C39/100*487</f>
        <v>18116.400000000001</v>
      </c>
      <c r="E39" s="14"/>
      <c r="F39" s="14">
        <f>C39/100*19.5</f>
        <v>725.40000000000009</v>
      </c>
      <c r="G39" s="14"/>
      <c r="H39" s="14">
        <f>C39/100*23.2</f>
        <v>863.04000000000008</v>
      </c>
      <c r="I39" s="91">
        <f>C39/100*46</f>
        <v>1711.2</v>
      </c>
      <c r="J39" s="91">
        <f>C39/100*680</f>
        <v>25296.000000000004</v>
      </c>
      <c r="K39" s="14">
        <f>C39/100*0.55</f>
        <v>20.460000000000004</v>
      </c>
      <c r="L39" s="15">
        <v>3720</v>
      </c>
      <c r="M39" s="102">
        <v>260</v>
      </c>
      <c r="N39" s="16">
        <f t="shared" ref="N39" si="3">L39*M39</f>
        <v>967200</v>
      </c>
      <c r="O39" s="155"/>
      <c r="P39" s="3"/>
    </row>
    <row r="40" spans="1:23" s="2" customFormat="1" ht="21" customHeight="1">
      <c r="A40" s="77">
        <v>9</v>
      </c>
      <c r="B40" s="78" t="s">
        <v>111</v>
      </c>
      <c r="C40" s="79"/>
      <c r="D40" s="80"/>
      <c r="E40" s="81"/>
      <c r="F40" s="81"/>
      <c r="G40" s="81"/>
      <c r="H40" s="81"/>
      <c r="I40" s="81"/>
      <c r="J40" s="81"/>
      <c r="K40" s="81"/>
      <c r="L40" s="82"/>
      <c r="M40" s="82"/>
      <c r="N40" s="83">
        <v>15600</v>
      </c>
      <c r="O40" s="155"/>
    </row>
    <row r="41" spans="1:23" ht="21" customHeight="1">
      <c r="A41" s="172" t="s">
        <v>0</v>
      </c>
      <c r="B41" s="175" t="s">
        <v>19</v>
      </c>
      <c r="C41" s="178" t="s">
        <v>8</v>
      </c>
      <c r="D41" s="178" t="s">
        <v>9</v>
      </c>
      <c r="E41" s="317" t="s">
        <v>11</v>
      </c>
      <c r="F41" s="318"/>
      <c r="G41" s="317" t="s">
        <v>13</v>
      </c>
      <c r="H41" s="318"/>
      <c r="I41" s="200" t="s">
        <v>16</v>
      </c>
      <c r="J41" s="200" t="s">
        <v>32</v>
      </c>
      <c r="K41" s="200" t="s">
        <v>33</v>
      </c>
      <c r="L41" s="200" t="s">
        <v>55</v>
      </c>
      <c r="M41" s="200" t="s">
        <v>56</v>
      </c>
      <c r="N41" s="172" t="s">
        <v>18</v>
      </c>
      <c r="O41" s="154"/>
    </row>
    <row r="42" spans="1:23" ht="21" customHeight="1">
      <c r="A42" s="173"/>
      <c r="B42" s="176"/>
      <c r="C42" s="179"/>
      <c r="D42" s="179"/>
      <c r="E42" s="319"/>
      <c r="F42" s="320"/>
      <c r="G42" s="319"/>
      <c r="H42" s="320"/>
      <c r="I42" s="208"/>
      <c r="J42" s="208"/>
      <c r="K42" s="208"/>
      <c r="L42" s="208"/>
      <c r="M42" s="208"/>
      <c r="N42" s="173"/>
      <c r="O42" s="163"/>
    </row>
    <row r="43" spans="1:23" ht="21" customHeight="1">
      <c r="A43" s="173"/>
      <c r="B43" s="176"/>
      <c r="C43" s="179"/>
      <c r="D43" s="179"/>
      <c r="E43" s="200" t="s">
        <v>10</v>
      </c>
      <c r="F43" s="200" t="s">
        <v>12</v>
      </c>
      <c r="G43" s="200" t="s">
        <v>14</v>
      </c>
      <c r="H43" s="200" t="s">
        <v>15</v>
      </c>
      <c r="I43" s="208"/>
      <c r="J43" s="208"/>
      <c r="K43" s="208"/>
      <c r="L43" s="208"/>
      <c r="M43" s="208"/>
      <c r="N43" s="173"/>
      <c r="O43" s="163"/>
    </row>
    <row r="44" spans="1:23" ht="21" customHeight="1">
      <c r="A44" s="174"/>
      <c r="B44" s="177"/>
      <c r="C44" s="180"/>
      <c r="D44" s="180"/>
      <c r="E44" s="201"/>
      <c r="F44" s="201"/>
      <c r="G44" s="201"/>
      <c r="H44" s="201"/>
      <c r="I44" s="201"/>
      <c r="J44" s="201"/>
      <c r="K44" s="201"/>
      <c r="L44" s="201"/>
      <c r="M44" s="201"/>
      <c r="N44" s="174"/>
      <c r="O44" s="163"/>
    </row>
    <row r="45" spans="1:23" s="2" customFormat="1" ht="21" customHeight="1">
      <c r="A45" s="23" t="s">
        <v>108</v>
      </c>
      <c r="B45" s="24"/>
      <c r="C45" s="25"/>
      <c r="D45" s="94">
        <f>SUM(D32:D40)</f>
        <v>48153.444999999992</v>
      </c>
      <c r="E45" s="31"/>
      <c r="F45" s="31"/>
      <c r="G45" s="31"/>
      <c r="H45" s="31"/>
      <c r="I45" s="31"/>
      <c r="J45" s="31"/>
      <c r="K45" s="31"/>
      <c r="L45" s="32"/>
      <c r="M45" s="32"/>
      <c r="N45" s="271">
        <f>SUM(N32:N40)</f>
        <v>1672160</v>
      </c>
      <c r="O45" s="155"/>
    </row>
    <row r="46" spans="1:23" ht="21" customHeight="1">
      <c r="A46" s="23" t="s">
        <v>7</v>
      </c>
      <c r="B46" s="24"/>
      <c r="C46" s="33"/>
      <c r="D46" s="34">
        <f>D45/C8</f>
        <v>219.8787442922374</v>
      </c>
      <c r="E46" s="34"/>
      <c r="F46" s="34"/>
      <c r="G46" s="34"/>
      <c r="H46" s="34"/>
      <c r="I46" s="34"/>
      <c r="J46" s="34"/>
      <c r="K46" s="34"/>
      <c r="L46" s="35"/>
      <c r="M46" s="35"/>
      <c r="N46" s="272"/>
      <c r="O46" s="4"/>
      <c r="P46" s="2"/>
      <c r="Q46" s="2"/>
      <c r="R46" s="2"/>
      <c r="S46" s="2"/>
      <c r="T46" s="2"/>
      <c r="U46" s="2"/>
      <c r="V46" s="2"/>
      <c r="W46" s="2"/>
    </row>
    <row r="47" spans="1:23" ht="21" customHeight="1">
      <c r="A47" s="300" t="s">
        <v>51</v>
      </c>
      <c r="B47" s="212"/>
      <c r="C47" s="325" t="s">
        <v>133</v>
      </c>
      <c r="D47" s="29" t="s">
        <v>41</v>
      </c>
      <c r="E47" s="34"/>
      <c r="F47" s="34"/>
      <c r="G47" s="34"/>
      <c r="H47" s="34"/>
      <c r="I47" s="34"/>
      <c r="J47" s="36"/>
      <c r="K47" s="36"/>
      <c r="L47" s="35"/>
      <c r="M47" s="35"/>
      <c r="N47" s="168"/>
      <c r="O47" s="4"/>
      <c r="P47" s="2"/>
      <c r="Q47" s="2"/>
      <c r="R47" s="2"/>
      <c r="S47" s="2"/>
      <c r="T47" s="2"/>
      <c r="U47" s="2"/>
      <c r="V47" s="2"/>
      <c r="W47" s="2"/>
    </row>
    <row r="48" spans="1:23" ht="21" customHeight="1">
      <c r="A48" s="213"/>
      <c r="B48" s="214"/>
      <c r="C48" s="62" t="s">
        <v>58</v>
      </c>
      <c r="D48" s="29">
        <f>D46*100/1320</f>
        <v>16.657480628199803</v>
      </c>
      <c r="E48" s="34"/>
      <c r="F48" s="34"/>
      <c r="G48" s="34"/>
      <c r="H48" s="34"/>
      <c r="I48" s="34"/>
      <c r="J48" s="36"/>
      <c r="K48" s="36"/>
      <c r="L48" s="35"/>
      <c r="M48" s="35"/>
      <c r="N48" s="168"/>
      <c r="O48" s="4"/>
      <c r="P48" s="2"/>
      <c r="Q48" s="2"/>
      <c r="R48" s="2"/>
      <c r="S48" s="2"/>
      <c r="T48" s="2"/>
      <c r="U48" s="2"/>
      <c r="V48" s="2"/>
      <c r="W48" s="2"/>
    </row>
    <row r="49" spans="1:22" ht="21" customHeight="1">
      <c r="A49" s="217" t="s">
        <v>99</v>
      </c>
      <c r="B49" s="218"/>
      <c r="C49" s="221"/>
      <c r="D49" s="223">
        <f>D27+D45</f>
        <v>155350.46099999998</v>
      </c>
      <c r="E49" s="96">
        <f t="shared" ref="E49:K49" si="4">SUM(E14:E40)</f>
        <v>3299.6800999999991</v>
      </c>
      <c r="F49" s="96">
        <f t="shared" si="4"/>
        <v>3153.1348000000003</v>
      </c>
      <c r="G49" s="96">
        <f t="shared" si="4"/>
        <v>3087.3775000000001</v>
      </c>
      <c r="H49" s="96">
        <f t="shared" si="4"/>
        <v>1464.7106000000001</v>
      </c>
      <c r="I49" s="227">
        <f t="shared" si="4"/>
        <v>21457.171399999999</v>
      </c>
      <c r="J49" s="225">
        <f t="shared" si="4"/>
        <v>54117.042000000001</v>
      </c>
      <c r="K49" s="229">
        <f t="shared" si="4"/>
        <v>81.06662</v>
      </c>
      <c r="L49" s="231"/>
      <c r="M49" s="231"/>
      <c r="N49" s="232">
        <f>N27+N45</f>
        <v>4818120</v>
      </c>
      <c r="P49" s="2"/>
      <c r="Q49" s="2"/>
      <c r="R49" s="2"/>
      <c r="S49" s="2"/>
      <c r="T49" s="2"/>
      <c r="U49" s="2"/>
      <c r="V49" s="2"/>
    </row>
    <row r="50" spans="1:22" ht="21" customHeight="1">
      <c r="A50" s="219"/>
      <c r="B50" s="220"/>
      <c r="C50" s="222"/>
      <c r="D50" s="224"/>
      <c r="E50" s="233">
        <f>E49+F49</f>
        <v>6452.8148999999994</v>
      </c>
      <c r="F50" s="234"/>
      <c r="G50" s="233">
        <f>G49+H49</f>
        <v>4552.0880999999999</v>
      </c>
      <c r="H50" s="234"/>
      <c r="I50" s="228"/>
      <c r="J50" s="226"/>
      <c r="K50" s="230"/>
      <c r="L50" s="231"/>
      <c r="M50" s="231"/>
      <c r="N50" s="232"/>
      <c r="U50" s="11"/>
      <c r="V50" s="11"/>
    </row>
    <row r="51" spans="1:22" ht="21" customHeight="1">
      <c r="A51" s="273" t="s">
        <v>75</v>
      </c>
      <c r="B51" s="274"/>
      <c r="C51" s="275"/>
      <c r="D51" s="138">
        <f>D49/C8</f>
        <v>709.36283561643825</v>
      </c>
      <c r="E51" s="108">
        <f>E49/C8</f>
        <v>15.067032420091321</v>
      </c>
      <c r="F51" s="107">
        <f>F49/C8</f>
        <v>14.397875799086759</v>
      </c>
      <c r="G51" s="108">
        <f>G49/C8</f>
        <v>14.097614155251142</v>
      </c>
      <c r="H51" s="107">
        <f>H49/C8</f>
        <v>6.6881762557077629</v>
      </c>
      <c r="I51" s="243">
        <f>I49/C8</f>
        <v>97.977951598173519</v>
      </c>
      <c r="J51" s="241">
        <f>J49/C8</f>
        <v>247.10978082191781</v>
      </c>
      <c r="K51" s="243">
        <f>K49/C8</f>
        <v>0.37016721461187213</v>
      </c>
      <c r="L51" s="231"/>
      <c r="M51" s="231"/>
      <c r="N51" s="232"/>
      <c r="O51" s="2"/>
      <c r="P51" s="2"/>
      <c r="Q51" s="2"/>
      <c r="U51" s="11"/>
      <c r="V51" s="11"/>
    </row>
    <row r="52" spans="1:22" ht="21" customHeight="1">
      <c r="A52" s="276"/>
      <c r="B52" s="277"/>
      <c r="C52" s="278"/>
      <c r="D52" s="97"/>
      <c r="E52" s="304">
        <f>E51+F51</f>
        <v>29.464908219178078</v>
      </c>
      <c r="F52" s="303"/>
      <c r="G52" s="304">
        <f>G51+H51</f>
        <v>20.785790410958903</v>
      </c>
      <c r="H52" s="303"/>
      <c r="I52" s="244"/>
      <c r="J52" s="242"/>
      <c r="K52" s="244"/>
      <c r="L52" s="231"/>
      <c r="M52" s="231"/>
      <c r="N52" s="232"/>
      <c r="P52" s="337"/>
      <c r="Q52" s="338"/>
      <c r="R52" s="338"/>
      <c r="S52" s="338"/>
      <c r="T52" s="338"/>
      <c r="U52" s="339"/>
      <c r="V52" s="339"/>
    </row>
    <row r="53" spans="1:22" ht="21" customHeight="1">
      <c r="A53" s="327" t="s">
        <v>76</v>
      </c>
      <c r="B53" s="328"/>
      <c r="C53" s="329"/>
      <c r="D53" s="330" t="s">
        <v>27</v>
      </c>
      <c r="E53" s="186" t="s">
        <v>21</v>
      </c>
      <c r="F53" s="186"/>
      <c r="G53" s="186" t="s">
        <v>22</v>
      </c>
      <c r="H53" s="186"/>
      <c r="I53" s="167" t="s">
        <v>23</v>
      </c>
      <c r="J53" s="351">
        <v>600</v>
      </c>
      <c r="K53" s="351">
        <v>0.74</v>
      </c>
      <c r="L53" s="231"/>
      <c r="M53" s="231"/>
      <c r="N53" s="232"/>
      <c r="O53" s="158"/>
      <c r="P53" s="340"/>
      <c r="Q53" s="338"/>
      <c r="R53" s="338"/>
      <c r="S53" s="338"/>
      <c r="T53" s="338"/>
      <c r="U53" s="338"/>
      <c r="V53" s="338"/>
    </row>
    <row r="54" spans="1:22" ht="21" customHeight="1">
      <c r="A54" s="248" t="s">
        <v>69</v>
      </c>
      <c r="B54" s="249"/>
      <c r="C54" s="250"/>
      <c r="D54" s="19"/>
      <c r="E54" s="251">
        <f>E52*4.1</f>
        <v>120.8061236986301</v>
      </c>
      <c r="F54" s="252"/>
      <c r="G54" s="251">
        <f>G52*9</f>
        <v>187.07211369863012</v>
      </c>
      <c r="H54" s="252"/>
      <c r="I54" s="68">
        <f>I51*4.1</f>
        <v>401.7096015525114</v>
      </c>
      <c r="J54" s="253"/>
      <c r="K54" s="253"/>
      <c r="L54" s="231"/>
      <c r="M54" s="231"/>
      <c r="N54" s="232"/>
      <c r="O54" s="158"/>
      <c r="P54" s="341"/>
      <c r="Q54" s="342"/>
      <c r="R54" s="342"/>
      <c r="S54" s="342"/>
      <c r="T54" s="337"/>
      <c r="U54" s="337"/>
      <c r="V54" s="337"/>
    </row>
    <row r="55" spans="1:22" ht="21" customHeight="1">
      <c r="A55" s="256" t="s">
        <v>70</v>
      </c>
      <c r="B55" s="257"/>
      <c r="C55" s="248" t="s">
        <v>58</v>
      </c>
      <c r="D55" s="250"/>
      <c r="E55" s="260">
        <f>E54*100/D51</f>
        <v>17.030230177430884</v>
      </c>
      <c r="F55" s="261"/>
      <c r="G55" s="260">
        <f>G54*100/D51</f>
        <v>26.37185151320536</v>
      </c>
      <c r="H55" s="261"/>
      <c r="I55" s="86">
        <f>I54*100/D51</f>
        <v>56.629637384854625</v>
      </c>
      <c r="J55" s="254"/>
      <c r="K55" s="254"/>
      <c r="L55" s="231"/>
      <c r="M55" s="231"/>
      <c r="N55" s="232"/>
      <c r="O55" s="158"/>
      <c r="P55" s="337"/>
      <c r="Q55" s="343"/>
      <c r="R55" s="337"/>
      <c r="S55" s="337"/>
      <c r="T55" s="337"/>
      <c r="U55" s="337"/>
      <c r="V55" s="337"/>
    </row>
    <row r="56" spans="1:22" ht="21" customHeight="1">
      <c r="A56" s="258"/>
      <c r="B56" s="259"/>
      <c r="C56" s="248" t="s">
        <v>71</v>
      </c>
      <c r="D56" s="250"/>
      <c r="E56" s="248" t="s">
        <v>72</v>
      </c>
      <c r="F56" s="250"/>
      <c r="G56" s="248" t="s">
        <v>73</v>
      </c>
      <c r="H56" s="250"/>
      <c r="I56" s="330" t="s">
        <v>74</v>
      </c>
      <c r="J56" s="255"/>
      <c r="K56" s="255"/>
      <c r="L56" s="231"/>
      <c r="M56" s="231"/>
      <c r="N56" s="232"/>
      <c r="O56" s="352"/>
      <c r="P56" s="84"/>
    </row>
    <row r="57" spans="1:22" ht="21" customHeight="1">
      <c r="A57" s="70"/>
      <c r="B57" s="71"/>
      <c r="C57" s="70"/>
      <c r="D57" s="70"/>
      <c r="E57" s="70"/>
      <c r="F57" s="70"/>
      <c r="G57" s="70"/>
      <c r="H57" s="70"/>
      <c r="I57" s="70"/>
      <c r="J57" s="70"/>
      <c r="K57" s="70"/>
      <c r="L57" s="72"/>
      <c r="M57" s="72"/>
      <c r="N57" s="73"/>
      <c r="O57" s="158"/>
    </row>
    <row r="58" spans="1:22" ht="21" customHeight="1">
      <c r="A58" s="245" t="s">
        <v>100</v>
      </c>
      <c r="B58" s="245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158"/>
    </row>
    <row r="59" spans="1:22" ht="21" customHeight="1">
      <c r="A59" s="87" t="s">
        <v>101</v>
      </c>
      <c r="B59" s="246" t="s">
        <v>102</v>
      </c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158"/>
    </row>
    <row r="60" spans="1:22" ht="21" customHeight="1">
      <c r="A60" s="88"/>
      <c r="B60" s="247" t="s">
        <v>193</v>
      </c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158"/>
    </row>
    <row r="61" spans="1:22" ht="21" customHeight="1">
      <c r="A61" s="88"/>
      <c r="B61" s="247" t="s">
        <v>194</v>
      </c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158"/>
    </row>
    <row r="62" spans="1:22" ht="21" customHeight="1">
      <c r="A62" s="88"/>
      <c r="B62" s="247" t="s">
        <v>195</v>
      </c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158"/>
    </row>
    <row r="63" spans="1:22" ht="21" customHeight="1">
      <c r="A63" s="70"/>
      <c r="B63" s="262" t="s">
        <v>107</v>
      </c>
      <c r="C63" s="262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158"/>
    </row>
    <row r="64" spans="1:22" ht="21" customHeigh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89"/>
      <c r="M64" s="89"/>
      <c r="N64" s="90"/>
      <c r="O64" s="158"/>
    </row>
    <row r="65" spans="1:15" ht="21" customHeight="1">
      <c r="A65" s="263" t="s">
        <v>60</v>
      </c>
      <c r="B65" s="263"/>
      <c r="C65" s="263"/>
      <c r="D65" s="263"/>
      <c r="E65" s="332"/>
      <c r="F65" s="332"/>
      <c r="G65" s="332"/>
      <c r="H65" s="332"/>
      <c r="I65" s="332"/>
      <c r="J65" s="333" t="s">
        <v>36</v>
      </c>
      <c r="K65" s="333"/>
      <c r="L65" s="333"/>
      <c r="M65" s="333"/>
      <c r="N65" s="333"/>
      <c r="O65" s="158"/>
    </row>
    <row r="66" spans="1:15" ht="21" customHeight="1">
      <c r="A66" s="163"/>
      <c r="B66" s="163"/>
      <c r="C66" s="163"/>
      <c r="D66" s="332"/>
      <c r="E66" s="332"/>
      <c r="F66" s="332"/>
      <c r="G66" s="332"/>
      <c r="H66" s="334"/>
      <c r="I66" s="334"/>
      <c r="J66" s="334"/>
      <c r="K66" s="334"/>
      <c r="L66" s="334"/>
      <c r="M66" s="334"/>
      <c r="N66" s="334"/>
      <c r="O66" s="158"/>
    </row>
    <row r="67" spans="1:15" ht="21" customHeight="1">
      <c r="A67" s="163"/>
      <c r="B67" s="163"/>
      <c r="C67" s="163"/>
      <c r="D67" s="332"/>
      <c r="E67" s="332"/>
      <c r="F67" s="332"/>
      <c r="G67" s="332"/>
      <c r="H67" s="334"/>
      <c r="I67" s="334"/>
      <c r="J67" s="334"/>
      <c r="K67" s="334"/>
      <c r="L67" s="334"/>
      <c r="M67" s="334"/>
      <c r="N67" s="334"/>
      <c r="O67" s="158"/>
    </row>
    <row r="68" spans="1:15" ht="21" customHeight="1">
      <c r="A68" s="163"/>
      <c r="B68" s="163"/>
      <c r="C68" s="163"/>
      <c r="D68" s="332"/>
      <c r="E68" s="332"/>
      <c r="F68" s="332"/>
      <c r="G68" s="332"/>
      <c r="H68" s="334"/>
      <c r="I68" s="334"/>
      <c r="J68" s="335" t="s">
        <v>103</v>
      </c>
      <c r="K68" s="335"/>
      <c r="L68" s="335"/>
      <c r="M68" s="335"/>
      <c r="N68" s="335"/>
      <c r="O68" s="158"/>
    </row>
    <row r="69" spans="1:15" ht="21" customHeight="1">
      <c r="A69" s="264" t="s">
        <v>84</v>
      </c>
      <c r="B69" s="264"/>
      <c r="C69" s="264"/>
      <c r="D69" s="264"/>
      <c r="E69" s="332"/>
      <c r="F69" s="332"/>
      <c r="G69" s="332"/>
      <c r="H69" s="334"/>
      <c r="I69" s="334"/>
      <c r="J69" s="335"/>
      <c r="K69" s="335"/>
      <c r="L69" s="335"/>
      <c r="M69" s="335"/>
      <c r="N69" s="335"/>
      <c r="O69" s="158"/>
    </row>
    <row r="70" spans="1:15" ht="21" customHeight="1">
      <c r="A70" s="163"/>
      <c r="B70" s="163"/>
      <c r="C70" s="163"/>
      <c r="D70" s="332"/>
      <c r="E70" s="332"/>
      <c r="F70" s="332"/>
      <c r="G70" s="332"/>
      <c r="H70" s="334"/>
      <c r="I70" s="334"/>
      <c r="J70" s="334"/>
      <c r="K70" s="334"/>
      <c r="L70" s="334"/>
      <c r="M70" s="334"/>
      <c r="N70" s="334"/>
      <c r="O70" s="158"/>
    </row>
    <row r="71" spans="1:15" ht="21" customHeight="1">
      <c r="A71" s="163"/>
      <c r="B71" s="163"/>
      <c r="C71" s="163"/>
      <c r="D71" s="332"/>
      <c r="E71" s="332"/>
      <c r="F71" s="332"/>
      <c r="G71" s="332"/>
      <c r="H71" s="334"/>
      <c r="I71" s="334"/>
      <c r="J71" s="335" t="s">
        <v>114</v>
      </c>
      <c r="K71" s="335"/>
      <c r="L71" s="335"/>
      <c r="M71" s="335"/>
      <c r="N71" s="335"/>
      <c r="O71" s="158"/>
    </row>
    <row r="72" spans="1:15" ht="21" customHeight="1">
      <c r="A72" s="264"/>
      <c r="B72" s="264"/>
      <c r="C72" s="264"/>
      <c r="D72" s="264"/>
      <c r="E72" s="332"/>
      <c r="F72" s="332"/>
      <c r="G72" s="332"/>
      <c r="H72" s="334"/>
      <c r="I72" s="334"/>
      <c r="J72" s="333"/>
      <c r="K72" s="333"/>
      <c r="L72" s="333"/>
      <c r="M72" s="333"/>
      <c r="N72" s="333"/>
      <c r="O72" s="158"/>
    </row>
    <row r="81" spans="1:20" ht="19.8" customHeight="1">
      <c r="A81" s="10" t="s">
        <v>59</v>
      </c>
      <c r="B81" s="7"/>
      <c r="C81" s="7"/>
      <c r="D81" s="7"/>
      <c r="E81" s="7"/>
      <c r="F81" s="185" t="s">
        <v>31</v>
      </c>
      <c r="G81" s="185"/>
      <c r="H81" s="185"/>
      <c r="I81" s="185"/>
      <c r="J81" s="185"/>
      <c r="K81" s="185"/>
      <c r="L81" s="185"/>
      <c r="M81" s="185"/>
      <c r="N81" s="185"/>
      <c r="O81" s="152"/>
      <c r="P81" s="152"/>
      <c r="T81" s="2"/>
    </row>
    <row r="82" spans="1:20" ht="18" customHeight="1">
      <c r="A82" s="7" t="s">
        <v>192</v>
      </c>
      <c r="B82" s="7"/>
      <c r="C82" s="7"/>
      <c r="D82" s="7"/>
      <c r="E82" s="7"/>
      <c r="F82" s="166"/>
      <c r="G82" s="166"/>
      <c r="H82" s="166"/>
      <c r="I82" s="166"/>
      <c r="J82" s="166"/>
      <c r="K82" s="166"/>
      <c r="L82" s="166"/>
      <c r="M82" s="166"/>
      <c r="N82" s="166"/>
      <c r="O82" s="152"/>
      <c r="P82" s="152"/>
      <c r="T82" s="2"/>
    </row>
    <row r="83" spans="1:20" s="2" customFormat="1" ht="18" customHeight="1">
      <c r="A83" s="186" t="s">
        <v>95</v>
      </c>
      <c r="B83" s="186"/>
      <c r="C83" s="186"/>
      <c r="D83" s="186"/>
      <c r="E83" s="186" t="s">
        <v>82</v>
      </c>
      <c r="F83" s="186"/>
      <c r="G83" s="186"/>
      <c r="H83" s="186"/>
      <c r="I83" s="186"/>
      <c r="J83" s="186"/>
      <c r="K83" s="186"/>
      <c r="L83" s="186"/>
      <c r="M83" s="186"/>
      <c r="N83" s="186"/>
      <c r="O83" s="153"/>
    </row>
    <row r="84" spans="1:20" s="2" customFormat="1" ht="18" customHeight="1">
      <c r="A84" s="186"/>
      <c r="B84" s="186"/>
      <c r="C84" s="186"/>
      <c r="D84" s="186"/>
      <c r="E84" s="186" t="s">
        <v>94</v>
      </c>
      <c r="F84" s="186"/>
      <c r="G84" s="186"/>
      <c r="H84" s="186"/>
      <c r="I84" s="186"/>
      <c r="J84" s="186" t="s">
        <v>96</v>
      </c>
      <c r="K84" s="186"/>
      <c r="L84" s="186"/>
      <c r="M84" s="186"/>
      <c r="N84" s="186"/>
      <c r="O84" s="153"/>
    </row>
    <row r="85" spans="1:20" s="2" customFormat="1" ht="18" customHeight="1">
      <c r="A85" s="187" t="s">
        <v>83</v>
      </c>
      <c r="B85" s="187"/>
      <c r="C85" s="187"/>
      <c r="D85" s="187"/>
      <c r="E85" s="188" t="s">
        <v>132</v>
      </c>
      <c r="F85" s="188"/>
      <c r="G85" s="188"/>
      <c r="H85" s="188"/>
      <c r="I85" s="188"/>
      <c r="J85" s="265" t="s">
        <v>83</v>
      </c>
      <c r="K85" s="266"/>
      <c r="L85" s="266"/>
      <c r="M85" s="266"/>
      <c r="N85" s="267"/>
      <c r="O85" s="153"/>
    </row>
    <row r="86" spans="1:20" s="2" customFormat="1" ht="18" customHeight="1">
      <c r="A86" s="202" t="s">
        <v>140</v>
      </c>
      <c r="B86" s="203"/>
      <c r="C86" s="203"/>
      <c r="D86" s="204"/>
      <c r="E86" s="188"/>
      <c r="F86" s="188"/>
      <c r="G86" s="188"/>
      <c r="H86" s="188"/>
      <c r="I86" s="188"/>
      <c r="J86" s="202" t="s">
        <v>90</v>
      </c>
      <c r="K86" s="203"/>
      <c r="L86" s="203"/>
      <c r="M86" s="203"/>
      <c r="N86" s="204"/>
      <c r="O86" s="153"/>
    </row>
    <row r="87" spans="1:20" s="2" customFormat="1" ht="18" customHeight="1">
      <c r="A87" s="198" t="s">
        <v>141</v>
      </c>
      <c r="B87" s="198"/>
      <c r="C87" s="198"/>
      <c r="D87" s="198"/>
      <c r="E87" s="188"/>
      <c r="F87" s="188"/>
      <c r="G87" s="188"/>
      <c r="H87" s="188"/>
      <c r="I87" s="188"/>
      <c r="J87" s="268" t="s">
        <v>124</v>
      </c>
      <c r="K87" s="269"/>
      <c r="L87" s="269"/>
      <c r="M87" s="269"/>
      <c r="N87" s="270"/>
      <c r="O87" s="153"/>
    </row>
    <row r="88" spans="1:20" s="2" customFormat="1" ht="18" customHeight="1">
      <c r="A88" s="199" t="s">
        <v>165</v>
      </c>
      <c r="B88" s="199"/>
      <c r="C88" s="199"/>
      <c r="D88" s="199"/>
      <c r="E88" s="188"/>
      <c r="F88" s="188"/>
      <c r="G88" s="188"/>
      <c r="H88" s="188"/>
      <c r="I88" s="188"/>
      <c r="J88" s="268"/>
      <c r="K88" s="269"/>
      <c r="L88" s="269"/>
      <c r="M88" s="269"/>
      <c r="N88" s="270"/>
      <c r="O88" s="153"/>
    </row>
    <row r="89" spans="1:20" ht="18" customHeight="1">
      <c r="A89" s="292" t="s">
        <v>110</v>
      </c>
      <c r="B89" s="292"/>
      <c r="C89" s="290">
        <v>56</v>
      </c>
      <c r="D89" s="290"/>
      <c r="E89" s="7"/>
      <c r="F89" s="166"/>
      <c r="G89" s="166"/>
      <c r="H89" s="166"/>
      <c r="I89" s="166"/>
      <c r="J89" s="166"/>
      <c r="K89" s="166"/>
      <c r="L89" s="166"/>
      <c r="M89" s="166"/>
      <c r="N89" s="166"/>
      <c r="O89" s="152"/>
      <c r="P89" s="152"/>
      <c r="T89" s="2"/>
    </row>
    <row r="90" spans="1:20" ht="18" customHeight="1">
      <c r="A90" s="172" t="s">
        <v>0</v>
      </c>
      <c r="B90" s="175" t="s">
        <v>19</v>
      </c>
      <c r="C90" s="178" t="s">
        <v>8</v>
      </c>
      <c r="D90" s="178" t="s">
        <v>9</v>
      </c>
      <c r="E90" s="181" t="s">
        <v>11</v>
      </c>
      <c r="F90" s="182"/>
      <c r="G90" s="181" t="s">
        <v>13</v>
      </c>
      <c r="H90" s="182"/>
      <c r="I90" s="200" t="s">
        <v>16</v>
      </c>
      <c r="J90" s="200" t="s">
        <v>32</v>
      </c>
      <c r="K90" s="200" t="s">
        <v>33</v>
      </c>
      <c r="L90" s="200" t="s">
        <v>17</v>
      </c>
      <c r="M90" s="200" t="s">
        <v>34</v>
      </c>
      <c r="N90" s="172" t="s">
        <v>18</v>
      </c>
      <c r="O90" s="154"/>
    </row>
    <row r="91" spans="1:20" ht="18" customHeight="1">
      <c r="A91" s="173"/>
      <c r="B91" s="176"/>
      <c r="C91" s="179"/>
      <c r="D91" s="179"/>
      <c r="E91" s="183"/>
      <c r="F91" s="184"/>
      <c r="G91" s="183"/>
      <c r="H91" s="184"/>
      <c r="I91" s="208"/>
      <c r="J91" s="208"/>
      <c r="K91" s="208"/>
      <c r="L91" s="208"/>
      <c r="M91" s="208"/>
      <c r="N91" s="173"/>
      <c r="O91" s="163"/>
    </row>
    <row r="92" spans="1:20" ht="18" customHeight="1">
      <c r="A92" s="173"/>
      <c r="B92" s="176"/>
      <c r="C92" s="179"/>
      <c r="D92" s="179"/>
      <c r="E92" s="200" t="s">
        <v>10</v>
      </c>
      <c r="F92" s="200" t="s">
        <v>12</v>
      </c>
      <c r="G92" s="200" t="s">
        <v>14</v>
      </c>
      <c r="H92" s="200" t="s">
        <v>15</v>
      </c>
      <c r="I92" s="208"/>
      <c r="J92" s="208"/>
      <c r="K92" s="208"/>
      <c r="L92" s="208"/>
      <c r="M92" s="208"/>
      <c r="N92" s="173"/>
      <c r="O92" s="163"/>
    </row>
    <row r="93" spans="1:20" ht="18" customHeight="1">
      <c r="A93" s="174"/>
      <c r="B93" s="177"/>
      <c r="C93" s="180"/>
      <c r="D93" s="180"/>
      <c r="E93" s="201"/>
      <c r="F93" s="201"/>
      <c r="G93" s="201"/>
      <c r="H93" s="201"/>
      <c r="I93" s="201"/>
      <c r="J93" s="201"/>
      <c r="K93" s="201"/>
      <c r="L93" s="201"/>
      <c r="M93" s="201"/>
      <c r="N93" s="174"/>
      <c r="O93" s="163"/>
    </row>
    <row r="94" spans="1:20" ht="17.399999999999999" customHeight="1">
      <c r="A94" s="205" t="s">
        <v>42</v>
      </c>
      <c r="B94" s="206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7"/>
      <c r="O94" s="163"/>
    </row>
    <row r="95" spans="1:20" s="2" customFormat="1" ht="17.399999999999999" customHeight="1">
      <c r="A95" s="8">
        <v>1</v>
      </c>
      <c r="B95" s="9" t="s">
        <v>2</v>
      </c>
      <c r="C95" s="12">
        <f>L95/100*100</f>
        <v>70</v>
      </c>
      <c r="D95" s="13">
        <f>C95/100*60</f>
        <v>42</v>
      </c>
      <c r="E95" s="14">
        <f>C95/100*15</f>
        <v>10.5</v>
      </c>
      <c r="F95" s="14"/>
      <c r="G95" s="14"/>
      <c r="H95" s="14"/>
      <c r="I95" s="14"/>
      <c r="J95" s="22">
        <f>C95/100*387</f>
        <v>270.89999999999998</v>
      </c>
      <c r="K95" s="22">
        <f>C95/100*0.09</f>
        <v>6.3E-2</v>
      </c>
      <c r="L95" s="111">
        <v>70</v>
      </c>
      <c r="M95" s="20">
        <v>20</v>
      </c>
      <c r="N95" s="16">
        <f>L95*M95</f>
        <v>1400</v>
      </c>
      <c r="O95" s="155"/>
    </row>
    <row r="96" spans="1:20" s="2" customFormat="1" ht="17.399999999999999" customHeight="1">
      <c r="A96" s="8">
        <v>2</v>
      </c>
      <c r="B96" s="9" t="s">
        <v>121</v>
      </c>
      <c r="C96" s="12">
        <f>L96/100*100</f>
        <v>509.99999999999994</v>
      </c>
      <c r="D96" s="13">
        <f>C96/100*899</f>
        <v>4584.8999999999996</v>
      </c>
      <c r="E96" s="14"/>
      <c r="F96" s="14"/>
      <c r="G96" s="14">
        <f>C96/100*100</f>
        <v>509.99999999999994</v>
      </c>
      <c r="H96" s="14"/>
      <c r="I96" s="14"/>
      <c r="J96" s="22"/>
      <c r="K96" s="22"/>
      <c r="L96" s="111">
        <v>510</v>
      </c>
      <c r="M96" s="110">
        <v>69</v>
      </c>
      <c r="N96" s="16">
        <f t="shared" ref="N96" si="5">L96*M96</f>
        <v>35190</v>
      </c>
      <c r="O96" s="155"/>
    </row>
    <row r="97" spans="1:23" s="2" customFormat="1" ht="17.399999999999999" customHeight="1">
      <c r="A97" s="8">
        <v>3</v>
      </c>
      <c r="B97" s="5" t="s">
        <v>1</v>
      </c>
      <c r="C97" s="12">
        <f>L97/100*100</f>
        <v>2408</v>
      </c>
      <c r="D97" s="13">
        <f>C97/100*344</f>
        <v>8283.5199999999986</v>
      </c>
      <c r="E97" s="14"/>
      <c r="F97" s="14">
        <f>C97/100*7.9</f>
        <v>190.232</v>
      </c>
      <c r="G97" s="14"/>
      <c r="H97" s="14">
        <f>C97/100*1</f>
        <v>24.08</v>
      </c>
      <c r="I97" s="91">
        <f>C97/100*73.6</f>
        <v>1772.2879999999998</v>
      </c>
      <c r="J97" s="22">
        <f>C97/100*30</f>
        <v>722.4</v>
      </c>
      <c r="K97" s="22">
        <f>C97/100*0.1</f>
        <v>2.4079999999999999</v>
      </c>
      <c r="L97" s="111">
        <v>2408</v>
      </c>
      <c r="M97" s="20">
        <v>18</v>
      </c>
      <c r="N97" s="16">
        <f t="shared" ref="N97:N105" si="6">L97*M97</f>
        <v>43344</v>
      </c>
      <c r="O97" s="155"/>
    </row>
    <row r="98" spans="1:23" s="2" customFormat="1" ht="17.399999999999999" customHeight="1">
      <c r="A98" s="8">
        <v>4</v>
      </c>
      <c r="B98" s="9" t="s">
        <v>29</v>
      </c>
      <c r="C98" s="12">
        <f>L98/100*100</f>
        <v>40</v>
      </c>
      <c r="D98" s="13">
        <f>C98/100*390</f>
        <v>156</v>
      </c>
      <c r="E98" s="14"/>
      <c r="F98" s="14"/>
      <c r="G98" s="14"/>
      <c r="H98" s="14"/>
      <c r="I98" s="14">
        <f>C98/100*97.4</f>
        <v>38.960000000000008</v>
      </c>
      <c r="J98" s="22">
        <f>C98/100*178</f>
        <v>71.2</v>
      </c>
      <c r="K98" s="22">
        <f>C98/100*0.05</f>
        <v>2.0000000000000004E-2</v>
      </c>
      <c r="L98" s="111">
        <v>40</v>
      </c>
      <c r="M98" s="20">
        <v>25</v>
      </c>
      <c r="N98" s="16">
        <f t="shared" si="6"/>
        <v>1000</v>
      </c>
      <c r="O98" s="156"/>
    </row>
    <row r="99" spans="1:23" s="2" customFormat="1" ht="17.399999999999999" customHeight="1">
      <c r="A99" s="8">
        <v>5</v>
      </c>
      <c r="B99" s="9" t="s">
        <v>142</v>
      </c>
      <c r="C99" s="12">
        <f>L99/100*60</f>
        <v>2016</v>
      </c>
      <c r="D99" s="13">
        <f>C99/100*97</f>
        <v>1955.52</v>
      </c>
      <c r="E99" s="91">
        <f>C99/100*18.2</f>
        <v>366.91199999999998</v>
      </c>
      <c r="F99" s="14"/>
      <c r="G99" s="14">
        <f>C99/100*2.7</f>
        <v>54.432000000000002</v>
      </c>
      <c r="H99" s="14"/>
      <c r="I99" s="14"/>
      <c r="J99" s="64">
        <f>C99/100*90</f>
        <v>1814.4</v>
      </c>
      <c r="K99" s="22">
        <f>C99/100*0.04</f>
        <v>0.80640000000000001</v>
      </c>
      <c r="L99" s="111">
        <v>3360</v>
      </c>
      <c r="M99" s="20">
        <v>95</v>
      </c>
      <c r="N99" s="16">
        <f t="shared" si="6"/>
        <v>319200</v>
      </c>
      <c r="O99" s="155"/>
    </row>
    <row r="100" spans="1:23" s="2" customFormat="1" ht="17.399999999999999" customHeight="1">
      <c r="A100" s="8">
        <v>6</v>
      </c>
      <c r="B100" s="128" t="s">
        <v>66</v>
      </c>
      <c r="C100" s="12">
        <f>L100/100*98</f>
        <v>548.79999999999995</v>
      </c>
      <c r="D100" s="13">
        <f>C100/100*139</f>
        <v>762.83199999999988</v>
      </c>
      <c r="E100" s="14">
        <f>C100/100*19</f>
        <v>104.27199999999999</v>
      </c>
      <c r="F100" s="14"/>
      <c r="G100" s="14">
        <f>C100/100*7</f>
        <v>38.415999999999997</v>
      </c>
      <c r="H100" s="14"/>
      <c r="I100" s="14"/>
      <c r="J100" s="22">
        <f>C100/100*7</f>
        <v>38.415999999999997</v>
      </c>
      <c r="K100" s="22">
        <f>C100/100*0.9</f>
        <v>4.9391999999999996</v>
      </c>
      <c r="L100" s="111">
        <v>560</v>
      </c>
      <c r="M100" s="111">
        <v>133</v>
      </c>
      <c r="N100" s="16">
        <f t="shared" si="6"/>
        <v>74480</v>
      </c>
      <c r="O100" s="155"/>
    </row>
    <row r="101" spans="1:23" s="2" customFormat="1" ht="17.399999999999999" customHeight="1">
      <c r="A101" s="8">
        <v>7</v>
      </c>
      <c r="B101" s="5" t="s">
        <v>3</v>
      </c>
      <c r="C101" s="12">
        <f>L101/100*48</f>
        <v>432</v>
      </c>
      <c r="D101" s="13">
        <f>C101/100*199</f>
        <v>859.68000000000006</v>
      </c>
      <c r="E101" s="14">
        <f>C101/100*20.3</f>
        <v>87.696000000000012</v>
      </c>
      <c r="F101" s="14"/>
      <c r="G101" s="14">
        <f>C101/100*13.1</f>
        <v>56.591999999999999</v>
      </c>
      <c r="H101" s="14"/>
      <c r="I101" s="14"/>
      <c r="J101" s="22">
        <f>C101/100*12</f>
        <v>51.84</v>
      </c>
      <c r="K101" s="22">
        <f>C101/100*0.15</f>
        <v>0.64800000000000002</v>
      </c>
      <c r="L101" s="111">
        <v>900</v>
      </c>
      <c r="M101" s="15">
        <v>84</v>
      </c>
      <c r="N101" s="16">
        <f t="shared" si="6"/>
        <v>75600</v>
      </c>
      <c r="O101" s="155"/>
      <c r="Q101" s="3"/>
      <c r="R101" s="3"/>
      <c r="S101" s="4"/>
    </row>
    <row r="102" spans="1:23" s="2" customFormat="1" ht="17.399999999999999" customHeight="1">
      <c r="A102" s="8">
        <v>8</v>
      </c>
      <c r="B102" s="5" t="s">
        <v>117</v>
      </c>
      <c r="C102" s="12">
        <f>L102/100*100</f>
        <v>40</v>
      </c>
      <c r="D102" s="13">
        <f>C102/100*247</f>
        <v>98.800000000000011</v>
      </c>
      <c r="E102" s="17"/>
      <c r="F102" s="17">
        <f>C102/100*17.5</f>
        <v>7</v>
      </c>
      <c r="G102" s="17"/>
      <c r="H102" s="17">
        <f>C102/100*1.6</f>
        <v>0.64000000000000012</v>
      </c>
      <c r="I102" s="17">
        <f>C102/100*39.2</f>
        <v>15.680000000000001</v>
      </c>
      <c r="J102" s="21"/>
      <c r="K102" s="21"/>
      <c r="L102" s="324">
        <v>40</v>
      </c>
      <c r="M102" s="20">
        <v>50</v>
      </c>
      <c r="N102" s="16">
        <f t="shared" si="6"/>
        <v>2000</v>
      </c>
      <c r="O102" s="155"/>
      <c r="Q102" s="3"/>
      <c r="R102" s="3"/>
      <c r="S102" s="4"/>
      <c r="T102" s="3"/>
    </row>
    <row r="103" spans="1:23" s="2" customFormat="1" ht="18" customHeight="1">
      <c r="A103" s="8">
        <v>9</v>
      </c>
      <c r="B103" s="5" t="s">
        <v>166</v>
      </c>
      <c r="C103" s="12">
        <f>L103/100*77</f>
        <v>862.4</v>
      </c>
      <c r="D103" s="13">
        <f>C103/100*35</f>
        <v>301.84000000000003</v>
      </c>
      <c r="E103" s="17"/>
      <c r="F103" s="17">
        <f>C103/100*5.3</f>
        <v>45.7072</v>
      </c>
      <c r="G103" s="17"/>
      <c r="H103" s="17"/>
      <c r="I103" s="17">
        <f>C103/100*3.4</f>
        <v>29.3216</v>
      </c>
      <c r="J103" s="17">
        <f>C103/100*169</f>
        <v>1457.4560000000001</v>
      </c>
      <c r="K103" s="17">
        <f>C103/100*0.07</f>
        <v>0.60368000000000011</v>
      </c>
      <c r="L103" s="324">
        <v>1120</v>
      </c>
      <c r="M103" s="15">
        <v>35</v>
      </c>
      <c r="N103" s="16">
        <f t="shared" si="6"/>
        <v>39200</v>
      </c>
      <c r="O103" s="155"/>
      <c r="Q103" s="3"/>
      <c r="R103" s="3"/>
      <c r="S103" s="4"/>
    </row>
    <row r="104" spans="1:23" s="2" customFormat="1" ht="18" customHeight="1">
      <c r="A104" s="133">
        <v>10</v>
      </c>
      <c r="B104" s="5" t="s">
        <v>157</v>
      </c>
      <c r="C104" s="12">
        <f>L104/100*81</f>
        <v>178.20000000000002</v>
      </c>
      <c r="D104" s="13">
        <f>C104/100*17</f>
        <v>30.294000000000004</v>
      </c>
      <c r="E104" s="14"/>
      <c r="F104" s="14">
        <f>C104/100*0.9</f>
        <v>1.6038000000000003</v>
      </c>
      <c r="G104" s="14"/>
      <c r="H104" s="14">
        <f>C104/100*0.2</f>
        <v>0.35640000000000005</v>
      </c>
      <c r="I104" s="14">
        <f>C104/100*2.8</f>
        <v>4.9896000000000003</v>
      </c>
      <c r="J104" s="64">
        <f>C104/100*28</f>
        <v>49.896000000000008</v>
      </c>
      <c r="K104" s="22">
        <f>C104/100*0.04</f>
        <v>7.128000000000001E-2</v>
      </c>
      <c r="L104" s="111">
        <v>220</v>
      </c>
      <c r="M104" s="15">
        <v>25</v>
      </c>
      <c r="N104" s="113">
        <f t="shared" si="6"/>
        <v>5500</v>
      </c>
      <c r="O104" s="155"/>
    </row>
    <row r="105" spans="1:23" s="2" customFormat="1" ht="17.399999999999999" customHeight="1">
      <c r="A105" s="8">
        <v>11</v>
      </c>
      <c r="B105" s="5" t="s">
        <v>135</v>
      </c>
      <c r="C105" s="12">
        <f>L105/100*81</f>
        <v>996.30000000000007</v>
      </c>
      <c r="D105" s="13">
        <f>C105/100*17</f>
        <v>169.37100000000001</v>
      </c>
      <c r="E105" s="17"/>
      <c r="F105" s="17">
        <f>C105/100*0.9</f>
        <v>8.9667000000000012</v>
      </c>
      <c r="G105" s="17"/>
      <c r="H105" s="17">
        <f>C105/100*0.2</f>
        <v>1.9926000000000004</v>
      </c>
      <c r="I105" s="17">
        <f>C105/100*2.8</f>
        <v>27.8964</v>
      </c>
      <c r="J105" s="14">
        <f>C105/100*28</f>
        <v>278.96400000000006</v>
      </c>
      <c r="K105" s="22">
        <f>C105/100*0.04</f>
        <v>0.39852000000000004</v>
      </c>
      <c r="L105" s="324">
        <v>1230</v>
      </c>
      <c r="M105" s="20">
        <v>20</v>
      </c>
      <c r="N105" s="16">
        <f t="shared" si="6"/>
        <v>24600</v>
      </c>
      <c r="O105" s="155"/>
      <c r="P105" s="3"/>
    </row>
    <row r="106" spans="1:23" s="2" customFormat="1" ht="17.399999999999999" customHeight="1">
      <c r="A106" s="8">
        <v>12</v>
      </c>
      <c r="B106" s="9" t="s">
        <v>111</v>
      </c>
      <c r="C106" s="12"/>
      <c r="D106" s="13"/>
      <c r="E106" s="14"/>
      <c r="F106" s="14"/>
      <c r="G106" s="14"/>
      <c r="H106" s="14"/>
      <c r="I106" s="14"/>
      <c r="J106" s="14"/>
      <c r="K106" s="14"/>
      <c r="L106" s="15"/>
      <c r="M106" s="15"/>
      <c r="N106" s="16">
        <v>4000</v>
      </c>
      <c r="O106" s="155"/>
    </row>
    <row r="107" spans="1:23" s="2" customFormat="1" ht="17.399999999999999" customHeight="1">
      <c r="A107" s="23" t="s">
        <v>104</v>
      </c>
      <c r="B107" s="24"/>
      <c r="C107" s="25"/>
      <c r="D107" s="94">
        <f>SUM(D96:D106)</f>
        <v>17202.756999999998</v>
      </c>
      <c r="E107" s="31"/>
      <c r="F107" s="31"/>
      <c r="G107" s="31"/>
      <c r="H107" s="31"/>
      <c r="I107" s="31"/>
      <c r="J107" s="31"/>
      <c r="K107" s="31"/>
      <c r="L107" s="32"/>
      <c r="M107" s="32"/>
      <c r="N107" s="297">
        <f>SUM(N95:N106)</f>
        <v>625514</v>
      </c>
      <c r="O107" s="155"/>
    </row>
    <row r="108" spans="1:23" ht="17.399999999999999" customHeight="1">
      <c r="A108" s="23" t="s">
        <v>43</v>
      </c>
      <c r="B108" s="24"/>
      <c r="C108" s="33"/>
      <c r="D108" s="34">
        <f>D107/C89</f>
        <v>307.19208928571425</v>
      </c>
      <c r="E108" s="34"/>
      <c r="F108" s="34"/>
      <c r="G108" s="34"/>
      <c r="H108" s="34"/>
      <c r="I108" s="34"/>
      <c r="J108" s="34"/>
      <c r="K108" s="34"/>
      <c r="L108" s="35"/>
      <c r="M108" s="35"/>
      <c r="N108" s="298"/>
      <c r="O108" s="160"/>
      <c r="P108" s="2"/>
      <c r="Q108" s="2"/>
      <c r="R108" s="2"/>
      <c r="S108" s="2"/>
      <c r="T108" s="2"/>
      <c r="U108" s="2"/>
      <c r="V108" s="2"/>
      <c r="W108" s="2"/>
    </row>
    <row r="109" spans="1:23" ht="17.399999999999999" customHeight="1">
      <c r="A109" s="300" t="s">
        <v>52</v>
      </c>
      <c r="B109" s="212"/>
      <c r="C109" s="325" t="s">
        <v>133</v>
      </c>
      <c r="D109" s="29" t="s">
        <v>38</v>
      </c>
      <c r="E109" s="34"/>
      <c r="F109" s="34"/>
      <c r="G109" s="34"/>
      <c r="H109" s="34"/>
      <c r="I109" s="34"/>
      <c r="J109" s="36"/>
      <c r="K109" s="36"/>
      <c r="L109" s="35"/>
      <c r="M109" s="35"/>
      <c r="N109" s="168"/>
      <c r="O109" s="4"/>
      <c r="P109" s="2"/>
      <c r="Q109" s="2"/>
      <c r="R109" s="2"/>
      <c r="S109" s="2"/>
      <c r="T109" s="2"/>
      <c r="U109" s="2"/>
      <c r="V109" s="2"/>
      <c r="W109" s="2"/>
    </row>
    <row r="110" spans="1:23" ht="17.399999999999999" customHeight="1">
      <c r="A110" s="213"/>
      <c r="B110" s="214"/>
      <c r="C110" s="62" t="s">
        <v>58</v>
      </c>
      <c r="D110" s="29">
        <f>D108*100/930</f>
        <v>33.031407450076799</v>
      </c>
      <c r="E110" s="34"/>
      <c r="F110" s="34"/>
      <c r="G110" s="34"/>
      <c r="H110" s="34"/>
      <c r="I110" s="34"/>
      <c r="J110" s="36"/>
      <c r="K110" s="36"/>
      <c r="L110" s="35"/>
      <c r="M110" s="35"/>
      <c r="N110" s="168"/>
      <c r="O110" s="4"/>
      <c r="P110" s="2"/>
      <c r="Q110" s="2"/>
      <c r="R110" s="2"/>
      <c r="S110" s="2"/>
      <c r="T110" s="2"/>
      <c r="U110" s="2"/>
      <c r="V110" s="2"/>
      <c r="W110" s="2"/>
    </row>
    <row r="111" spans="1:23" s="2" customFormat="1" ht="17.399999999999999" customHeight="1">
      <c r="A111" s="215" t="s">
        <v>45</v>
      </c>
      <c r="B111" s="215"/>
      <c r="C111" s="45"/>
      <c r="D111" s="46"/>
      <c r="E111" s="47"/>
      <c r="F111" s="47"/>
      <c r="G111" s="47"/>
      <c r="H111" s="47"/>
      <c r="I111" s="47"/>
      <c r="J111" s="47"/>
      <c r="K111" s="47"/>
      <c r="L111" s="48"/>
      <c r="M111" s="48"/>
      <c r="N111" s="51"/>
      <c r="O111" s="155"/>
    </row>
    <row r="112" spans="1:23" s="2" customFormat="1" ht="17.399999999999999" customHeight="1">
      <c r="A112" s="8">
        <v>1</v>
      </c>
      <c r="B112" s="9" t="s">
        <v>2</v>
      </c>
      <c r="C112" s="12">
        <f>L112/100*100</f>
        <v>70</v>
      </c>
      <c r="D112" s="13">
        <f>C112/100*60</f>
        <v>42</v>
      </c>
      <c r="E112" s="14">
        <f>C112/100*15</f>
        <v>10.5</v>
      </c>
      <c r="F112" s="14"/>
      <c r="G112" s="14"/>
      <c r="H112" s="14"/>
      <c r="I112" s="14"/>
      <c r="J112" s="22">
        <f>C112/100*387</f>
        <v>270.89999999999998</v>
      </c>
      <c r="K112" s="22">
        <f>C112/100*0.09</f>
        <v>6.3E-2</v>
      </c>
      <c r="L112" s="111">
        <v>70</v>
      </c>
      <c r="M112" s="20">
        <v>20</v>
      </c>
      <c r="N112" s="113">
        <f>L112*M112</f>
        <v>1400</v>
      </c>
      <c r="O112" s="155"/>
    </row>
    <row r="113" spans="1:23" s="2" customFormat="1" ht="17.399999999999999" customHeight="1">
      <c r="A113" s="8">
        <v>2</v>
      </c>
      <c r="B113" s="9" t="s">
        <v>121</v>
      </c>
      <c r="C113" s="12">
        <f>L113/100*100</f>
        <v>180</v>
      </c>
      <c r="D113" s="13">
        <f>C113/100*899</f>
        <v>1618.2</v>
      </c>
      <c r="E113" s="14"/>
      <c r="F113" s="14"/>
      <c r="G113" s="14">
        <f>C113/100*100</f>
        <v>180</v>
      </c>
      <c r="H113" s="14"/>
      <c r="I113" s="14"/>
      <c r="J113" s="22"/>
      <c r="K113" s="22"/>
      <c r="L113" s="111">
        <v>180</v>
      </c>
      <c r="M113" s="110">
        <v>69</v>
      </c>
      <c r="N113" s="113">
        <f t="shared" ref="N113:N114" si="7">L113*M113</f>
        <v>12420</v>
      </c>
      <c r="O113" s="155"/>
    </row>
    <row r="114" spans="1:23" s="2" customFormat="1" ht="17.399999999999999" customHeight="1">
      <c r="A114" s="8">
        <v>3</v>
      </c>
      <c r="B114" s="128" t="s">
        <v>126</v>
      </c>
      <c r="C114" s="12">
        <f t="shared" ref="C114" si="8">L114/100*100</f>
        <v>140</v>
      </c>
      <c r="D114" s="65">
        <f>C114/100*900</f>
        <v>1260</v>
      </c>
      <c r="E114" s="14"/>
      <c r="F114" s="14"/>
      <c r="G114" s="91"/>
      <c r="H114" s="14">
        <f>C114/100*100</f>
        <v>140</v>
      </c>
      <c r="I114" s="14"/>
      <c r="J114" s="14"/>
      <c r="K114" s="14"/>
      <c r="L114" s="111">
        <v>140</v>
      </c>
      <c r="M114" s="65">
        <v>65</v>
      </c>
      <c r="N114" s="93">
        <f t="shared" si="7"/>
        <v>9100</v>
      </c>
      <c r="O114" s="157"/>
    </row>
    <row r="115" spans="1:23" s="2" customFormat="1" ht="17.399999999999999" customHeight="1">
      <c r="A115" s="8">
        <v>4</v>
      </c>
      <c r="B115" s="5" t="s">
        <v>1</v>
      </c>
      <c r="C115" s="12">
        <f>L115/100*100</f>
        <v>2352</v>
      </c>
      <c r="D115" s="13">
        <f>C115/100*344</f>
        <v>8090.88</v>
      </c>
      <c r="E115" s="14"/>
      <c r="F115" s="14">
        <f>C115/100*7.9</f>
        <v>185.80799999999999</v>
      </c>
      <c r="G115" s="14"/>
      <c r="H115" s="14">
        <f>C115/100*1</f>
        <v>23.52</v>
      </c>
      <c r="I115" s="91">
        <f>C115/100*73.6</f>
        <v>1731.0719999999999</v>
      </c>
      <c r="J115" s="22">
        <f>C115/100*30</f>
        <v>705.6</v>
      </c>
      <c r="K115" s="22">
        <f>C115/100*0.1</f>
        <v>2.3519999999999999</v>
      </c>
      <c r="L115" s="111">
        <v>2352</v>
      </c>
      <c r="M115" s="20">
        <v>18</v>
      </c>
      <c r="N115" s="113">
        <f t="shared" ref="N115:N120" si="9">L115*M115</f>
        <v>42336</v>
      </c>
      <c r="O115" s="155"/>
    </row>
    <row r="116" spans="1:23" s="2" customFormat="1" ht="17.399999999999999" customHeight="1">
      <c r="A116" s="8">
        <v>5</v>
      </c>
      <c r="B116" s="9" t="s">
        <v>66</v>
      </c>
      <c r="C116" s="12">
        <f>L116/100*98</f>
        <v>1156.4000000000001</v>
      </c>
      <c r="D116" s="13">
        <f>C116/100*139</f>
        <v>1607.396</v>
      </c>
      <c r="E116" s="14">
        <f>C116/100*19</f>
        <v>219.71600000000001</v>
      </c>
      <c r="F116" s="14"/>
      <c r="G116" s="14">
        <f>C116/100*7</f>
        <v>80.948000000000008</v>
      </c>
      <c r="H116" s="14"/>
      <c r="I116" s="14"/>
      <c r="J116" s="22">
        <f>C116/100*7</f>
        <v>80.948000000000008</v>
      </c>
      <c r="K116" s="22">
        <f>C116/100*0.9</f>
        <v>10.4076</v>
      </c>
      <c r="L116" s="111">
        <v>1180</v>
      </c>
      <c r="M116" s="42">
        <v>133</v>
      </c>
      <c r="N116" s="114">
        <f t="shared" si="9"/>
        <v>156940</v>
      </c>
      <c r="O116" s="155"/>
    </row>
    <row r="117" spans="1:23" s="2" customFormat="1" ht="17.399999999999999" customHeight="1">
      <c r="A117" s="8">
        <v>6</v>
      </c>
      <c r="B117" s="5" t="s">
        <v>63</v>
      </c>
      <c r="C117" s="12">
        <f>L117/100*86</f>
        <v>481.59999999999997</v>
      </c>
      <c r="D117" s="13">
        <f>C117/100*166</f>
        <v>799.45600000000002</v>
      </c>
      <c r="E117" s="14">
        <f>C117/100*14.8</f>
        <v>71.276799999999994</v>
      </c>
      <c r="F117" s="14"/>
      <c r="G117" s="14">
        <f>C117/100*11.6</f>
        <v>55.865599999999993</v>
      </c>
      <c r="H117" s="14"/>
      <c r="I117" s="14">
        <f>C117/100*0.5</f>
        <v>2.4079999999999999</v>
      </c>
      <c r="J117" s="22">
        <f>C117/100*55</f>
        <v>264.88</v>
      </c>
      <c r="K117" s="22">
        <f>C117/100*0.16</f>
        <v>0.77056000000000002</v>
      </c>
      <c r="L117" s="111">
        <v>560</v>
      </c>
      <c r="M117" s="20">
        <v>57</v>
      </c>
      <c r="N117" s="113">
        <f t="shared" si="9"/>
        <v>31920</v>
      </c>
      <c r="O117" s="155"/>
      <c r="Q117" s="3"/>
      <c r="R117" s="3"/>
      <c r="S117" s="4"/>
    </row>
    <row r="118" spans="1:23" s="2" customFormat="1" ht="17.399999999999999" customHeight="1">
      <c r="A118" s="8">
        <v>7</v>
      </c>
      <c r="B118" s="5" t="s">
        <v>80</v>
      </c>
      <c r="C118" s="12">
        <f>L118/100*82</f>
        <v>1377.6000000000001</v>
      </c>
      <c r="D118" s="13">
        <f>C118/100*27</f>
        <v>371.95200000000006</v>
      </c>
      <c r="E118" s="17"/>
      <c r="F118" s="17">
        <f>C118/100*0.3</f>
        <v>4.1328000000000005</v>
      </c>
      <c r="G118" s="17"/>
      <c r="H118" s="17">
        <f>C118/100*0.1</f>
        <v>1.3776000000000002</v>
      </c>
      <c r="I118" s="17">
        <f>C118/100*6.1</f>
        <v>84.033600000000007</v>
      </c>
      <c r="J118" s="63">
        <f>C118/100*24</f>
        <v>330.62400000000002</v>
      </c>
      <c r="K118" s="21">
        <f>C118/100*0.03</f>
        <v>0.41328000000000004</v>
      </c>
      <c r="L118" s="323">
        <v>1680</v>
      </c>
      <c r="M118" s="15">
        <v>22</v>
      </c>
      <c r="N118" s="113">
        <f t="shared" si="9"/>
        <v>36960</v>
      </c>
      <c r="O118" s="155"/>
      <c r="Q118" s="3"/>
      <c r="R118" s="3"/>
      <c r="S118" s="4"/>
    </row>
    <row r="119" spans="1:23" s="2" customFormat="1" ht="17.399999999999999" customHeight="1">
      <c r="A119" s="8">
        <v>8</v>
      </c>
      <c r="B119" s="9" t="s">
        <v>92</v>
      </c>
      <c r="C119" s="12">
        <f>L119/100*43</f>
        <v>193.5</v>
      </c>
      <c r="D119" s="13">
        <f>C119/100*83</f>
        <v>160.60500000000002</v>
      </c>
      <c r="E119" s="14">
        <f>C119/100*7.7</f>
        <v>14.899500000000002</v>
      </c>
      <c r="F119" s="14"/>
      <c r="G119" s="14">
        <f>C119/100*5.5</f>
        <v>10.6425</v>
      </c>
      <c r="H119" s="14"/>
      <c r="I119" s="14"/>
      <c r="J119" s="22"/>
      <c r="K119" s="22"/>
      <c r="L119" s="111">
        <v>450</v>
      </c>
      <c r="M119" s="20">
        <v>133</v>
      </c>
      <c r="N119" s="113">
        <f t="shared" si="9"/>
        <v>59850</v>
      </c>
      <c r="O119" s="155"/>
    </row>
    <row r="120" spans="1:23" s="2" customFormat="1" ht="17.399999999999999" customHeight="1">
      <c r="A120" s="8">
        <v>9</v>
      </c>
      <c r="B120" s="5" t="s">
        <v>117</v>
      </c>
      <c r="C120" s="12">
        <f>L120/100*100</f>
        <v>40</v>
      </c>
      <c r="D120" s="13">
        <f>C120/100*247</f>
        <v>98.800000000000011</v>
      </c>
      <c r="E120" s="17"/>
      <c r="F120" s="17">
        <f>C120/100*17.5</f>
        <v>7</v>
      </c>
      <c r="G120" s="17"/>
      <c r="H120" s="17">
        <f>C120/100*1.6</f>
        <v>0.64000000000000012</v>
      </c>
      <c r="I120" s="17">
        <f>C120/100*39.2</f>
        <v>15.680000000000001</v>
      </c>
      <c r="J120" s="21"/>
      <c r="K120" s="21"/>
      <c r="L120" s="323">
        <v>40</v>
      </c>
      <c r="M120" s="20">
        <v>50</v>
      </c>
      <c r="N120" s="113">
        <f t="shared" si="9"/>
        <v>2000</v>
      </c>
      <c r="O120" s="155"/>
      <c r="Q120" s="3"/>
      <c r="R120" s="3"/>
      <c r="S120" s="4"/>
      <c r="T120" s="3"/>
    </row>
    <row r="121" spans="1:23" s="2" customFormat="1" ht="17.399999999999999" customHeight="1">
      <c r="A121" s="8">
        <v>10</v>
      </c>
      <c r="B121" s="9" t="s">
        <v>111</v>
      </c>
      <c r="C121" s="12"/>
      <c r="D121" s="13"/>
      <c r="E121" s="14"/>
      <c r="F121" s="14"/>
      <c r="G121" s="14"/>
      <c r="H121" s="14"/>
      <c r="I121" s="14"/>
      <c r="J121" s="14"/>
      <c r="K121" s="14"/>
      <c r="L121" s="15"/>
      <c r="M121" s="15"/>
      <c r="N121" s="16">
        <v>4000</v>
      </c>
      <c r="O121" s="155"/>
    </row>
    <row r="122" spans="1:23" s="2" customFormat="1" ht="17.399999999999999" customHeight="1">
      <c r="A122" s="23" t="s">
        <v>105</v>
      </c>
      <c r="B122" s="24"/>
      <c r="C122" s="25"/>
      <c r="D122" s="94">
        <f>SUM(D112:D121)</f>
        <v>14049.288999999999</v>
      </c>
      <c r="E122" s="31"/>
      <c r="F122" s="31"/>
      <c r="G122" s="31"/>
      <c r="H122" s="31"/>
      <c r="I122" s="31"/>
      <c r="J122" s="31"/>
      <c r="K122" s="31"/>
      <c r="L122" s="32"/>
      <c r="M122" s="32"/>
      <c r="N122" s="297">
        <f>SUM(N112:N121)</f>
        <v>356926</v>
      </c>
      <c r="O122" s="155"/>
    </row>
    <row r="123" spans="1:23" ht="17.399999999999999" customHeight="1">
      <c r="A123" s="23" t="s">
        <v>46</v>
      </c>
      <c r="B123" s="24"/>
      <c r="C123" s="52"/>
      <c r="D123" s="36">
        <f>D122/C89</f>
        <v>250.88016071428569</v>
      </c>
      <c r="E123" s="36"/>
      <c r="F123" s="36"/>
      <c r="G123" s="36"/>
      <c r="H123" s="36"/>
      <c r="I123" s="36"/>
      <c r="J123" s="36"/>
      <c r="K123" s="36"/>
      <c r="L123" s="53"/>
      <c r="M123" s="35"/>
      <c r="N123" s="298"/>
      <c r="O123" s="160"/>
      <c r="P123" s="2"/>
      <c r="Q123" s="2"/>
      <c r="R123" s="2"/>
      <c r="S123" s="2"/>
      <c r="T123" s="2"/>
      <c r="U123" s="2"/>
      <c r="V123" s="2"/>
      <c r="W123" s="2"/>
    </row>
    <row r="124" spans="1:23" ht="17.399999999999999" customHeight="1">
      <c r="A124" s="300" t="s">
        <v>53</v>
      </c>
      <c r="B124" s="212"/>
      <c r="C124" s="325" t="s">
        <v>133</v>
      </c>
      <c r="D124" s="29" t="s">
        <v>48</v>
      </c>
      <c r="E124" s="34"/>
      <c r="F124" s="34"/>
      <c r="G124" s="34"/>
      <c r="H124" s="34"/>
      <c r="I124" s="34"/>
      <c r="J124" s="36"/>
      <c r="K124" s="36"/>
      <c r="L124" s="35"/>
      <c r="M124" s="35"/>
      <c r="N124" s="168"/>
      <c r="O124" s="160"/>
      <c r="P124" s="2"/>
      <c r="Q124" s="2"/>
      <c r="R124" s="2"/>
      <c r="S124" s="2"/>
      <c r="T124" s="2"/>
      <c r="U124" s="2"/>
      <c r="V124" s="2"/>
      <c r="W124" s="2"/>
    </row>
    <row r="125" spans="1:23" ht="17.399999999999999" customHeight="1">
      <c r="A125" s="213"/>
      <c r="B125" s="214"/>
      <c r="C125" s="62" t="s">
        <v>58</v>
      </c>
      <c r="D125" s="29">
        <f>D123*100/930</f>
        <v>26.976361367127495</v>
      </c>
      <c r="E125" s="34"/>
      <c r="F125" s="34"/>
      <c r="G125" s="34"/>
      <c r="H125" s="34"/>
      <c r="I125" s="34"/>
      <c r="J125" s="36"/>
      <c r="K125" s="36"/>
      <c r="L125" s="35"/>
      <c r="M125" s="35"/>
      <c r="N125" s="168"/>
      <c r="O125" s="160"/>
      <c r="P125" s="2"/>
      <c r="Q125" s="2"/>
      <c r="R125" s="2"/>
      <c r="S125" s="2"/>
      <c r="T125" s="2"/>
      <c r="U125" s="2"/>
      <c r="V125" s="2"/>
      <c r="W125" s="2"/>
    </row>
    <row r="126" spans="1:23" ht="17.399999999999999" customHeight="1">
      <c r="A126" s="215" t="s">
        <v>39</v>
      </c>
      <c r="B126" s="215"/>
      <c r="C126" s="54"/>
      <c r="D126" s="55"/>
      <c r="E126" s="55"/>
      <c r="F126" s="55"/>
      <c r="G126" s="55"/>
      <c r="H126" s="55"/>
      <c r="I126" s="55"/>
      <c r="J126" s="55"/>
      <c r="K126" s="55"/>
      <c r="L126" s="56"/>
      <c r="M126" s="56"/>
      <c r="N126" s="57"/>
      <c r="O126" s="160"/>
      <c r="P126" s="2"/>
      <c r="Q126" s="2"/>
      <c r="R126" s="2"/>
      <c r="S126" s="2"/>
      <c r="T126" s="2"/>
      <c r="U126" s="2"/>
      <c r="V126" s="2"/>
      <c r="W126" s="2"/>
    </row>
    <row r="127" spans="1:23" s="2" customFormat="1" ht="17.399999999999999" customHeight="1">
      <c r="A127" s="119">
        <v>1</v>
      </c>
      <c r="B127" s="140" t="s">
        <v>131</v>
      </c>
      <c r="C127" s="25">
        <f>L127/100*100</f>
        <v>960</v>
      </c>
      <c r="D127" s="120">
        <f>C127/100*487</f>
        <v>4675.2</v>
      </c>
      <c r="E127" s="27"/>
      <c r="F127" s="27">
        <f>C127/100*19.5</f>
        <v>187.2</v>
      </c>
      <c r="G127" s="27"/>
      <c r="H127" s="27">
        <f>C127/100*23.2</f>
        <v>222.72</v>
      </c>
      <c r="I127" s="27">
        <f>C127/100*46</f>
        <v>441.59999999999997</v>
      </c>
      <c r="J127" s="121">
        <f>C127/100*680</f>
        <v>6528</v>
      </c>
      <c r="K127" s="27">
        <f>C127/100*0.55</f>
        <v>5.28</v>
      </c>
      <c r="L127" s="28">
        <v>960</v>
      </c>
      <c r="M127" s="141">
        <v>260</v>
      </c>
      <c r="N127" s="122">
        <f t="shared" ref="N127" si="10">L127*M127</f>
        <v>249600</v>
      </c>
      <c r="O127" s="155"/>
      <c r="P127" s="3"/>
    </row>
    <row r="128" spans="1:23" ht="19.2" customHeight="1">
      <c r="A128" s="172" t="s">
        <v>0</v>
      </c>
      <c r="B128" s="175" t="s">
        <v>19</v>
      </c>
      <c r="C128" s="178" t="s">
        <v>8</v>
      </c>
      <c r="D128" s="178" t="s">
        <v>9</v>
      </c>
      <c r="E128" s="181" t="s">
        <v>11</v>
      </c>
      <c r="F128" s="182"/>
      <c r="G128" s="181" t="s">
        <v>13</v>
      </c>
      <c r="H128" s="182"/>
      <c r="I128" s="200" t="s">
        <v>16</v>
      </c>
      <c r="J128" s="200" t="s">
        <v>32</v>
      </c>
      <c r="K128" s="200" t="s">
        <v>33</v>
      </c>
      <c r="L128" s="200" t="s">
        <v>17</v>
      </c>
      <c r="M128" s="200" t="s">
        <v>34</v>
      </c>
      <c r="N128" s="172" t="s">
        <v>18</v>
      </c>
      <c r="O128" s="154"/>
    </row>
    <row r="129" spans="1:23" ht="19.2" customHeight="1">
      <c r="A129" s="173"/>
      <c r="B129" s="176"/>
      <c r="C129" s="179"/>
      <c r="D129" s="179"/>
      <c r="E129" s="183"/>
      <c r="F129" s="184"/>
      <c r="G129" s="183"/>
      <c r="H129" s="184"/>
      <c r="I129" s="208"/>
      <c r="J129" s="208"/>
      <c r="K129" s="208"/>
      <c r="L129" s="208"/>
      <c r="M129" s="208"/>
      <c r="N129" s="173"/>
      <c r="O129" s="163"/>
    </row>
    <row r="130" spans="1:23" ht="19.2" customHeight="1">
      <c r="A130" s="173"/>
      <c r="B130" s="176"/>
      <c r="C130" s="179"/>
      <c r="D130" s="179"/>
      <c r="E130" s="200" t="s">
        <v>10</v>
      </c>
      <c r="F130" s="200" t="s">
        <v>12</v>
      </c>
      <c r="G130" s="200" t="s">
        <v>14</v>
      </c>
      <c r="H130" s="200" t="s">
        <v>15</v>
      </c>
      <c r="I130" s="208"/>
      <c r="J130" s="208"/>
      <c r="K130" s="208"/>
      <c r="L130" s="208"/>
      <c r="M130" s="208"/>
      <c r="N130" s="173"/>
      <c r="O130" s="163"/>
    </row>
    <row r="131" spans="1:23" ht="19.2" customHeight="1">
      <c r="A131" s="174"/>
      <c r="B131" s="177"/>
      <c r="C131" s="180"/>
      <c r="D131" s="180"/>
      <c r="E131" s="201"/>
      <c r="F131" s="201"/>
      <c r="G131" s="201"/>
      <c r="H131" s="201"/>
      <c r="I131" s="201"/>
      <c r="J131" s="201"/>
      <c r="K131" s="201"/>
      <c r="L131" s="201"/>
      <c r="M131" s="201"/>
      <c r="N131" s="174"/>
      <c r="O131" s="163"/>
    </row>
    <row r="132" spans="1:23" s="2" customFormat="1" ht="21" customHeight="1">
      <c r="A132" s="23" t="s">
        <v>98</v>
      </c>
      <c r="B132" s="24"/>
      <c r="C132" s="25"/>
      <c r="D132" s="26">
        <f>SUM(D126:D127)</f>
        <v>4675.2</v>
      </c>
      <c r="E132" s="31"/>
      <c r="F132" s="31"/>
      <c r="G132" s="31"/>
      <c r="H132" s="31"/>
      <c r="I132" s="31"/>
      <c r="J132" s="31"/>
      <c r="K132" s="31"/>
      <c r="L132" s="32"/>
      <c r="M132" s="58"/>
      <c r="N132" s="297">
        <f>SUM(N126:N127)</f>
        <v>249600</v>
      </c>
      <c r="O132" s="155"/>
    </row>
    <row r="133" spans="1:23" ht="21" customHeight="1">
      <c r="A133" s="23" t="s">
        <v>7</v>
      </c>
      <c r="B133" s="24"/>
      <c r="C133" s="33"/>
      <c r="D133" s="34">
        <f>D132/C89</f>
        <v>83.48571428571428</v>
      </c>
      <c r="E133" s="34"/>
      <c r="F133" s="34"/>
      <c r="G133" s="34"/>
      <c r="H133" s="34"/>
      <c r="I133" s="34"/>
      <c r="J133" s="34"/>
      <c r="K133" s="34"/>
      <c r="L133" s="35"/>
      <c r="M133" s="18"/>
      <c r="N133" s="298"/>
      <c r="O133" s="160"/>
      <c r="P133" s="2"/>
      <c r="Q133" s="2"/>
      <c r="R133" s="2"/>
      <c r="S133" s="2"/>
      <c r="T133" s="2"/>
      <c r="U133" s="2"/>
      <c r="V133" s="2"/>
      <c r="W133" s="2"/>
    </row>
    <row r="134" spans="1:23" ht="21" customHeight="1">
      <c r="A134" s="300" t="s">
        <v>51</v>
      </c>
      <c r="B134" s="212"/>
      <c r="C134" s="325" t="s">
        <v>133</v>
      </c>
      <c r="D134" s="29" t="s">
        <v>49</v>
      </c>
      <c r="E134" s="34"/>
      <c r="F134" s="34"/>
      <c r="G134" s="34"/>
      <c r="H134" s="34"/>
      <c r="I134" s="34"/>
      <c r="J134" s="36"/>
      <c r="K134" s="36"/>
      <c r="L134" s="35"/>
      <c r="M134" s="35"/>
      <c r="N134" s="168"/>
      <c r="O134" s="4"/>
      <c r="P134" s="2"/>
      <c r="Q134" s="2"/>
      <c r="R134" s="2"/>
      <c r="S134" s="2"/>
      <c r="T134" s="2"/>
      <c r="U134" s="2"/>
      <c r="V134" s="2"/>
      <c r="W134" s="2"/>
    </row>
    <row r="135" spans="1:23" ht="21" customHeight="1">
      <c r="A135" s="213"/>
      <c r="B135" s="214"/>
      <c r="C135" s="62" t="s">
        <v>58</v>
      </c>
      <c r="D135" s="29">
        <f>D133*100/930</f>
        <v>8.976958525345621</v>
      </c>
      <c r="E135" s="34"/>
      <c r="F135" s="34"/>
      <c r="G135" s="34"/>
      <c r="H135" s="34"/>
      <c r="I135" s="34"/>
      <c r="J135" s="36"/>
      <c r="K135" s="36"/>
      <c r="L135" s="35"/>
      <c r="M135" s="35"/>
      <c r="N135" s="168"/>
      <c r="O135" s="4"/>
      <c r="P135" s="2"/>
      <c r="Q135" s="2"/>
      <c r="R135" s="2"/>
      <c r="S135" s="2"/>
      <c r="T135" s="2"/>
      <c r="U135" s="2"/>
      <c r="V135" s="2"/>
      <c r="W135" s="2"/>
    </row>
    <row r="136" spans="1:23" ht="21" customHeight="1">
      <c r="A136" s="217" t="s">
        <v>99</v>
      </c>
      <c r="B136" s="218"/>
      <c r="C136" s="221"/>
      <c r="D136" s="313">
        <f>D107+D122+D132</f>
        <v>35927.245999999992</v>
      </c>
      <c r="E136" s="6">
        <f>SUM(E95:E127)</f>
        <v>885.77229999999997</v>
      </c>
      <c r="F136" s="6">
        <f>SUM(F95:F127)</f>
        <v>637.65049999999997</v>
      </c>
      <c r="G136" s="6">
        <f>SUM(G95:G126)</f>
        <v>986.89609999999993</v>
      </c>
      <c r="H136" s="6">
        <f>SUM(H95:H127)</f>
        <v>415.32659999999998</v>
      </c>
      <c r="I136" s="225">
        <f>SUM(I95:I127)</f>
        <v>4163.9291999999996</v>
      </c>
      <c r="J136" s="225">
        <f>SUM(J95:J127)</f>
        <v>12936.424000000001</v>
      </c>
      <c r="K136" s="229">
        <f>SUM(K95:K127)</f>
        <v>29.244520000000001</v>
      </c>
      <c r="L136" s="231"/>
      <c r="M136" s="231"/>
      <c r="N136" s="232">
        <f>N107+N122+N132</f>
        <v>1232040</v>
      </c>
      <c r="P136" s="2"/>
      <c r="Q136" s="2"/>
      <c r="R136" s="2"/>
      <c r="S136" s="2"/>
      <c r="T136" s="2"/>
      <c r="U136" s="2"/>
      <c r="V136" s="2"/>
    </row>
    <row r="137" spans="1:23" ht="21" customHeight="1">
      <c r="A137" s="219"/>
      <c r="B137" s="220"/>
      <c r="C137" s="222"/>
      <c r="D137" s="314"/>
      <c r="E137" s="233">
        <f>E136+F136</f>
        <v>1523.4227999999998</v>
      </c>
      <c r="F137" s="234"/>
      <c r="G137" s="315">
        <f>G136+H136</f>
        <v>1402.2226999999998</v>
      </c>
      <c r="H137" s="316"/>
      <c r="I137" s="226"/>
      <c r="J137" s="226"/>
      <c r="K137" s="230"/>
      <c r="L137" s="231"/>
      <c r="M137" s="231"/>
      <c r="N137" s="232"/>
      <c r="U137" s="11"/>
      <c r="V137" s="11"/>
    </row>
    <row r="138" spans="1:23" ht="21" customHeight="1">
      <c r="A138" s="273" t="s">
        <v>75</v>
      </c>
      <c r="B138" s="274"/>
      <c r="C138" s="275"/>
      <c r="D138" s="103">
        <f>D136/C89</f>
        <v>641.55796428571409</v>
      </c>
      <c r="E138" s="108">
        <f>E136/C89</f>
        <v>15.8173625</v>
      </c>
      <c r="F138" s="107">
        <f>F136/C89</f>
        <v>11.386616071428572</v>
      </c>
      <c r="G138" s="108">
        <f>G136/C89</f>
        <v>17.623144642857142</v>
      </c>
      <c r="H138" s="107">
        <f>H136/C89</f>
        <v>7.4165464285714284</v>
      </c>
      <c r="I138" s="243">
        <f>I136/C89</f>
        <v>74.355878571428562</v>
      </c>
      <c r="J138" s="243">
        <f>J136/C89</f>
        <v>231.00757142857145</v>
      </c>
      <c r="K138" s="243">
        <f>K136/C89</f>
        <v>0.52222357142857145</v>
      </c>
      <c r="L138" s="231"/>
      <c r="M138" s="231"/>
      <c r="N138" s="232"/>
      <c r="U138" s="11"/>
      <c r="V138" s="11"/>
    </row>
    <row r="139" spans="1:23" ht="21" customHeight="1">
      <c r="A139" s="276"/>
      <c r="B139" s="277"/>
      <c r="C139" s="278"/>
      <c r="D139" s="97"/>
      <c r="E139" s="304">
        <f>E138+F138</f>
        <v>27.203978571428571</v>
      </c>
      <c r="F139" s="303"/>
      <c r="G139" s="304">
        <f>G138+H138</f>
        <v>25.039691071428571</v>
      </c>
      <c r="H139" s="303"/>
      <c r="I139" s="244"/>
      <c r="J139" s="244"/>
      <c r="K139" s="244"/>
      <c r="L139" s="231"/>
      <c r="M139" s="231"/>
      <c r="N139" s="232"/>
      <c r="P139" s="337"/>
      <c r="Q139" s="338"/>
      <c r="R139" s="338"/>
      <c r="S139" s="338"/>
      <c r="T139" s="338"/>
      <c r="U139" s="339"/>
      <c r="V139" s="339"/>
    </row>
    <row r="140" spans="1:23" ht="21" customHeight="1">
      <c r="A140" s="327" t="s">
        <v>76</v>
      </c>
      <c r="B140" s="328"/>
      <c r="C140" s="329"/>
      <c r="D140" s="330" t="s">
        <v>28</v>
      </c>
      <c r="E140" s="336" t="s">
        <v>24</v>
      </c>
      <c r="F140" s="336"/>
      <c r="G140" s="336" t="s">
        <v>25</v>
      </c>
      <c r="H140" s="336"/>
      <c r="I140" s="330" t="s">
        <v>26</v>
      </c>
      <c r="J140" s="164">
        <v>500</v>
      </c>
      <c r="K140" s="164">
        <v>0.59</v>
      </c>
      <c r="L140" s="231"/>
      <c r="M140" s="231"/>
      <c r="N140" s="232"/>
      <c r="O140" s="158"/>
      <c r="P140" s="340"/>
      <c r="Q140" s="338"/>
      <c r="R140" s="338"/>
      <c r="S140" s="344"/>
      <c r="T140" s="344"/>
      <c r="U140" s="338"/>
      <c r="V140" s="338"/>
    </row>
    <row r="141" spans="1:23" ht="21" customHeight="1">
      <c r="A141" s="248" t="s">
        <v>69</v>
      </c>
      <c r="B141" s="249"/>
      <c r="C141" s="250"/>
      <c r="D141" s="19"/>
      <c r="E141" s="251">
        <f>E139*4.1</f>
        <v>111.53631214285713</v>
      </c>
      <c r="F141" s="252"/>
      <c r="G141" s="251">
        <f>G139*9</f>
        <v>225.35721964285713</v>
      </c>
      <c r="H141" s="252"/>
      <c r="I141" s="68">
        <f>I138*4.1</f>
        <v>304.85910214285707</v>
      </c>
      <c r="J141" s="253"/>
      <c r="K141" s="253"/>
      <c r="L141" s="231"/>
      <c r="M141" s="231"/>
      <c r="N141" s="232"/>
      <c r="O141" s="158"/>
      <c r="P141" s="341"/>
      <c r="Q141" s="342"/>
      <c r="R141" s="342"/>
      <c r="S141" s="342"/>
      <c r="T141" s="337"/>
      <c r="U141" s="337"/>
      <c r="V141" s="337"/>
    </row>
    <row r="142" spans="1:23" ht="21" customHeight="1">
      <c r="A142" s="256" t="s">
        <v>77</v>
      </c>
      <c r="B142" s="257"/>
      <c r="C142" s="248" t="s">
        <v>58</v>
      </c>
      <c r="D142" s="250"/>
      <c r="E142" s="260">
        <f>E141*100/D138</f>
        <v>17.385227579091371</v>
      </c>
      <c r="F142" s="261"/>
      <c r="G142" s="260">
        <f>G141*100/D138</f>
        <v>35.12655631884504</v>
      </c>
      <c r="H142" s="261"/>
      <c r="I142" s="86">
        <f>I141*100/D138</f>
        <v>47.518559368563906</v>
      </c>
      <c r="J142" s="254"/>
      <c r="K142" s="254"/>
      <c r="L142" s="231"/>
      <c r="M142" s="231"/>
      <c r="N142" s="232"/>
      <c r="O142" s="158"/>
      <c r="P142" s="337"/>
      <c r="Q142" s="343"/>
      <c r="R142" s="337"/>
      <c r="S142" s="337"/>
      <c r="T142" s="337"/>
      <c r="U142" s="337"/>
      <c r="V142" s="337"/>
    </row>
    <row r="143" spans="1:23" ht="21" customHeight="1">
      <c r="A143" s="258"/>
      <c r="B143" s="259"/>
      <c r="C143" s="248" t="s">
        <v>71</v>
      </c>
      <c r="D143" s="250"/>
      <c r="E143" s="248" t="s">
        <v>72</v>
      </c>
      <c r="F143" s="250"/>
      <c r="G143" s="248" t="s">
        <v>78</v>
      </c>
      <c r="H143" s="250"/>
      <c r="I143" s="330" t="s">
        <v>79</v>
      </c>
      <c r="J143" s="255"/>
      <c r="K143" s="255"/>
      <c r="L143" s="231"/>
      <c r="M143" s="231"/>
      <c r="N143" s="232"/>
      <c r="O143" s="158"/>
      <c r="P143" s="84"/>
    </row>
    <row r="144" spans="1:23" ht="21" customHeight="1">
      <c r="A144" s="70"/>
      <c r="B144" s="71"/>
      <c r="C144" s="70"/>
      <c r="D144" s="70"/>
      <c r="E144" s="70"/>
      <c r="F144" s="70"/>
      <c r="G144" s="70"/>
      <c r="H144" s="70"/>
      <c r="I144" s="70"/>
      <c r="J144" s="70"/>
      <c r="K144" s="70"/>
      <c r="L144" s="72"/>
      <c r="M144" s="72"/>
      <c r="N144" s="73"/>
      <c r="O144" s="158"/>
    </row>
    <row r="145" spans="1:15" ht="21" customHeight="1">
      <c r="A145" s="245" t="s">
        <v>100</v>
      </c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158"/>
    </row>
    <row r="146" spans="1:15" ht="21" customHeight="1">
      <c r="A146" s="87" t="s">
        <v>101</v>
      </c>
      <c r="B146" s="246" t="s">
        <v>102</v>
      </c>
      <c r="C146" s="246"/>
      <c r="D146" s="246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158"/>
    </row>
    <row r="147" spans="1:15" ht="21" customHeight="1">
      <c r="A147" s="88"/>
      <c r="B147" s="247" t="s">
        <v>196</v>
      </c>
      <c r="C147" s="247"/>
      <c r="D147" s="247"/>
      <c r="E147" s="247"/>
      <c r="F147" s="247"/>
      <c r="G147" s="247"/>
      <c r="H147" s="247"/>
      <c r="I147" s="247"/>
      <c r="J147" s="247"/>
      <c r="K147" s="247"/>
      <c r="L147" s="247"/>
      <c r="M147" s="247"/>
      <c r="N147" s="247"/>
      <c r="O147" s="158"/>
    </row>
    <row r="148" spans="1:15" ht="21" customHeight="1">
      <c r="A148" s="88"/>
      <c r="B148" s="247" t="s">
        <v>167</v>
      </c>
      <c r="C148" s="247"/>
      <c r="D148" s="247"/>
      <c r="E148" s="247"/>
      <c r="F148" s="247"/>
      <c r="G148" s="247"/>
      <c r="H148" s="247"/>
      <c r="I148" s="247"/>
      <c r="J148" s="247"/>
      <c r="K148" s="247"/>
      <c r="L148" s="247"/>
      <c r="M148" s="247"/>
      <c r="N148" s="247"/>
      <c r="O148" s="158"/>
    </row>
    <row r="149" spans="1:15" ht="21" customHeight="1">
      <c r="A149" s="88"/>
      <c r="B149" s="247" t="s">
        <v>197</v>
      </c>
      <c r="C149" s="247"/>
      <c r="D149" s="247"/>
      <c r="E149" s="247"/>
      <c r="F149" s="247"/>
      <c r="G149" s="247"/>
      <c r="H149" s="247"/>
      <c r="I149" s="247"/>
      <c r="J149" s="247"/>
      <c r="K149" s="247"/>
      <c r="L149" s="247"/>
      <c r="M149" s="247"/>
      <c r="N149" s="247"/>
      <c r="O149" s="158"/>
    </row>
    <row r="150" spans="1:15" ht="21" customHeight="1">
      <c r="A150" s="70"/>
      <c r="B150" s="262" t="s">
        <v>113</v>
      </c>
      <c r="C150" s="262"/>
      <c r="D150" s="262"/>
      <c r="E150" s="262"/>
      <c r="F150" s="262"/>
      <c r="G150" s="262"/>
      <c r="H150" s="262"/>
      <c r="I150" s="262"/>
      <c r="J150" s="262"/>
      <c r="K150" s="262"/>
      <c r="L150" s="262"/>
      <c r="M150" s="262"/>
      <c r="N150" s="262"/>
      <c r="O150" s="158"/>
    </row>
    <row r="151" spans="1:15" ht="21" customHeight="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89"/>
      <c r="M151" s="89"/>
      <c r="N151" s="90"/>
      <c r="O151" s="158"/>
    </row>
    <row r="152" spans="1:15" ht="21" customHeight="1">
      <c r="A152" s="263" t="s">
        <v>60</v>
      </c>
      <c r="B152" s="263"/>
      <c r="C152" s="263"/>
      <c r="D152" s="263"/>
      <c r="E152" s="332"/>
      <c r="F152" s="332"/>
      <c r="G152" s="332"/>
      <c r="H152" s="332"/>
      <c r="I152" s="332"/>
      <c r="J152" s="333" t="s">
        <v>36</v>
      </c>
      <c r="K152" s="333"/>
      <c r="L152" s="333"/>
      <c r="M152" s="333"/>
      <c r="N152" s="333"/>
      <c r="O152" s="158"/>
    </row>
    <row r="153" spans="1:15" ht="21" customHeight="1">
      <c r="A153" s="163"/>
      <c r="B153" s="163"/>
      <c r="C153" s="163"/>
      <c r="D153" s="332"/>
      <c r="E153" s="332"/>
      <c r="F153" s="332"/>
      <c r="G153" s="332"/>
      <c r="H153" s="334"/>
      <c r="I153" s="334"/>
      <c r="J153" s="334"/>
      <c r="K153" s="334"/>
      <c r="L153" s="334"/>
      <c r="M153" s="334"/>
      <c r="N153" s="334"/>
      <c r="O153" s="158"/>
    </row>
    <row r="154" spans="1:15" ht="21" customHeight="1">
      <c r="A154" s="163"/>
      <c r="B154" s="163"/>
      <c r="C154" s="163"/>
      <c r="D154" s="332"/>
      <c r="E154" s="332"/>
      <c r="F154" s="332"/>
      <c r="G154" s="332"/>
      <c r="H154" s="334"/>
      <c r="I154" s="334"/>
      <c r="J154" s="334"/>
      <c r="K154" s="334"/>
      <c r="L154" s="334"/>
      <c r="M154" s="334"/>
      <c r="N154" s="334"/>
      <c r="O154" s="158"/>
    </row>
    <row r="155" spans="1:15" ht="21" customHeight="1">
      <c r="A155" s="163"/>
      <c r="B155" s="163"/>
      <c r="C155" s="163"/>
      <c r="D155" s="332"/>
      <c r="E155" s="332"/>
      <c r="F155" s="332"/>
      <c r="G155" s="332"/>
      <c r="H155" s="334"/>
      <c r="I155" s="334"/>
      <c r="J155" s="335" t="s">
        <v>103</v>
      </c>
      <c r="K155" s="335"/>
      <c r="L155" s="335"/>
      <c r="M155" s="335"/>
      <c r="N155" s="335"/>
      <c r="O155" s="158"/>
    </row>
    <row r="156" spans="1:15" ht="21" customHeight="1">
      <c r="A156" s="264" t="s">
        <v>84</v>
      </c>
      <c r="B156" s="264"/>
      <c r="C156" s="264"/>
      <c r="D156" s="264"/>
      <c r="E156" s="332"/>
      <c r="F156" s="332"/>
      <c r="G156" s="332"/>
      <c r="H156" s="334"/>
      <c r="I156" s="334"/>
      <c r="J156" s="335"/>
      <c r="K156" s="335"/>
      <c r="L156" s="335"/>
      <c r="M156" s="335"/>
      <c r="N156" s="335"/>
      <c r="O156" s="158"/>
    </row>
    <row r="157" spans="1:15" ht="21" customHeight="1">
      <c r="J157" s="334"/>
      <c r="K157" s="334"/>
      <c r="L157" s="334"/>
      <c r="M157" s="334"/>
      <c r="N157" s="334"/>
    </row>
    <row r="158" spans="1:15" ht="21" customHeight="1">
      <c r="J158" s="335" t="s">
        <v>114</v>
      </c>
      <c r="K158" s="335"/>
      <c r="L158" s="335"/>
      <c r="M158" s="335"/>
      <c r="N158" s="335"/>
    </row>
  </sheetData>
  <mergeCells count="208">
    <mergeCell ref="A86:D86"/>
    <mergeCell ref="J86:N86"/>
    <mergeCell ref="C56:D56"/>
    <mergeCell ref="N27:N28"/>
    <mergeCell ref="B150:N150"/>
    <mergeCell ref="A152:D152"/>
    <mergeCell ref="J152:N152"/>
    <mergeCell ref="A156:D156"/>
    <mergeCell ref="J156:N156"/>
    <mergeCell ref="L41:L44"/>
    <mergeCell ref="M41:M44"/>
    <mergeCell ref="N41:N44"/>
    <mergeCell ref="E43:E44"/>
    <mergeCell ref="F43:F44"/>
    <mergeCell ref="G43:G44"/>
    <mergeCell ref="H43:H44"/>
    <mergeCell ref="A41:A44"/>
    <mergeCell ref="B41:B44"/>
    <mergeCell ref="C41:C44"/>
    <mergeCell ref="D41:D44"/>
    <mergeCell ref="E41:F42"/>
    <mergeCell ref="G41:H42"/>
    <mergeCell ref="I41:I44"/>
    <mergeCell ref="J41:J44"/>
    <mergeCell ref="J72:N72"/>
    <mergeCell ref="E53:F53"/>
    <mergeCell ref="F1:N1"/>
    <mergeCell ref="Q52:R52"/>
    <mergeCell ref="S52:T52"/>
    <mergeCell ref="Q53:R53"/>
    <mergeCell ref="S53:T53"/>
    <mergeCell ref="A13:N13"/>
    <mergeCell ref="A9:A12"/>
    <mergeCell ref="B9:B12"/>
    <mergeCell ref="C9:C12"/>
    <mergeCell ref="D9:D12"/>
    <mergeCell ref="E9:F10"/>
    <mergeCell ref="G9:H10"/>
    <mergeCell ref="I9:I12"/>
    <mergeCell ref="L9:L12"/>
    <mergeCell ref="N9:N12"/>
    <mergeCell ref="E11:E12"/>
    <mergeCell ref="F11:F12"/>
    <mergeCell ref="G11:G12"/>
    <mergeCell ref="H11:H12"/>
    <mergeCell ref="J9:J12"/>
    <mergeCell ref="A3:D3"/>
    <mergeCell ref="E3:N3"/>
    <mergeCell ref="U52:V52"/>
    <mergeCell ref="U53:V53"/>
    <mergeCell ref="A29:B30"/>
    <mergeCell ref="A31:B31"/>
    <mergeCell ref="N45:N46"/>
    <mergeCell ref="A47:B48"/>
    <mergeCell ref="A49:B50"/>
    <mergeCell ref="C49:C50"/>
    <mergeCell ref="D49:D50"/>
    <mergeCell ref="G53:H53"/>
    <mergeCell ref="L49:L56"/>
    <mergeCell ref="M49:M56"/>
    <mergeCell ref="N49:N56"/>
    <mergeCell ref="E50:F50"/>
    <mergeCell ref="G50:H50"/>
    <mergeCell ref="I51:I52"/>
    <mergeCell ref="E52:F52"/>
    <mergeCell ref="G52:H52"/>
    <mergeCell ref="J49:J50"/>
    <mergeCell ref="K41:K44"/>
    <mergeCell ref="F92:F93"/>
    <mergeCell ref="K51:K52"/>
    <mergeCell ref="H92:H93"/>
    <mergeCell ref="A94:N94"/>
    <mergeCell ref="N107:N108"/>
    <mergeCell ref="A90:A93"/>
    <mergeCell ref="E56:F56"/>
    <mergeCell ref="A53:C53"/>
    <mergeCell ref="A54:C54"/>
    <mergeCell ref="E54:F54"/>
    <mergeCell ref="G54:H54"/>
    <mergeCell ref="J54:J56"/>
    <mergeCell ref="K54:K56"/>
    <mergeCell ref="A55:B56"/>
    <mergeCell ref="C55:D55"/>
    <mergeCell ref="I90:I93"/>
    <mergeCell ref="G56:H56"/>
    <mergeCell ref="E90:F91"/>
    <mergeCell ref="G90:H91"/>
    <mergeCell ref="J68:N68"/>
    <mergeCell ref="J71:N71"/>
    <mergeCell ref="G55:H55"/>
    <mergeCell ref="E55:F55"/>
    <mergeCell ref="A72:D72"/>
    <mergeCell ref="A4:D4"/>
    <mergeCell ref="A5:D5"/>
    <mergeCell ref="A6:D6"/>
    <mergeCell ref="A7:D7"/>
    <mergeCell ref="E4:I7"/>
    <mergeCell ref="J4:N7"/>
    <mergeCell ref="A51:C52"/>
    <mergeCell ref="K49:K50"/>
    <mergeCell ref="J51:J52"/>
    <mergeCell ref="K9:K12"/>
    <mergeCell ref="M9:M12"/>
    <mergeCell ref="I49:I50"/>
    <mergeCell ref="K128:K131"/>
    <mergeCell ref="L128:L131"/>
    <mergeCell ref="M128:M131"/>
    <mergeCell ref="N128:N131"/>
    <mergeCell ref="A109:B110"/>
    <mergeCell ref="A111:B111"/>
    <mergeCell ref="F81:N81"/>
    <mergeCell ref="E84:I84"/>
    <mergeCell ref="J84:N84"/>
    <mergeCell ref="A85:D85"/>
    <mergeCell ref="E85:I88"/>
    <mergeCell ref="J85:N85"/>
    <mergeCell ref="A87:D87"/>
    <mergeCell ref="J87:N87"/>
    <mergeCell ref="A88:D88"/>
    <mergeCell ref="J88:N88"/>
    <mergeCell ref="A83:D84"/>
    <mergeCell ref="E83:N83"/>
    <mergeCell ref="L90:L93"/>
    <mergeCell ref="M90:M93"/>
    <mergeCell ref="N90:N93"/>
    <mergeCell ref="E92:E93"/>
    <mergeCell ref="C90:C93"/>
    <mergeCell ref="D90:D93"/>
    <mergeCell ref="A126:B126"/>
    <mergeCell ref="A128:A131"/>
    <mergeCell ref="B128:B131"/>
    <mergeCell ref="C128:C131"/>
    <mergeCell ref="D128:D131"/>
    <mergeCell ref="E128:F129"/>
    <mergeCell ref="G128:H129"/>
    <mergeCell ref="I128:I131"/>
    <mergeCell ref="E130:E131"/>
    <mergeCell ref="F130:F131"/>
    <mergeCell ref="G130:G131"/>
    <mergeCell ref="H130:H131"/>
    <mergeCell ref="J128:J131"/>
    <mergeCell ref="S139:T139"/>
    <mergeCell ref="U139:V139"/>
    <mergeCell ref="A140:C140"/>
    <mergeCell ref="E140:F140"/>
    <mergeCell ref="G140:H140"/>
    <mergeCell ref="Q140:R140"/>
    <mergeCell ref="S140:T140"/>
    <mergeCell ref="U140:V140"/>
    <mergeCell ref="L136:L143"/>
    <mergeCell ref="M136:M143"/>
    <mergeCell ref="N136:N143"/>
    <mergeCell ref="E137:F137"/>
    <mergeCell ref="G137:H137"/>
    <mergeCell ref="A138:C139"/>
    <mergeCell ref="I138:I139"/>
    <mergeCell ref="J138:J139"/>
    <mergeCell ref="K138:K139"/>
    <mergeCell ref="E139:F139"/>
    <mergeCell ref="G139:H139"/>
    <mergeCell ref="A141:C141"/>
    <mergeCell ref="E141:F141"/>
    <mergeCell ref="G141:H141"/>
    <mergeCell ref="Q139:R139"/>
    <mergeCell ref="B147:N147"/>
    <mergeCell ref="B148:N148"/>
    <mergeCell ref="B149:N149"/>
    <mergeCell ref="N132:N133"/>
    <mergeCell ref="A134:B135"/>
    <mergeCell ref="A136:B137"/>
    <mergeCell ref="C136:C137"/>
    <mergeCell ref="D136:D137"/>
    <mergeCell ref="I136:I137"/>
    <mergeCell ref="J136:J137"/>
    <mergeCell ref="K136:K137"/>
    <mergeCell ref="J141:J143"/>
    <mergeCell ref="K141:K143"/>
    <mergeCell ref="A142:B143"/>
    <mergeCell ref="C142:D142"/>
    <mergeCell ref="E142:F142"/>
    <mergeCell ref="G142:H142"/>
    <mergeCell ref="C143:D143"/>
    <mergeCell ref="E143:F143"/>
    <mergeCell ref="G143:H143"/>
    <mergeCell ref="J155:N155"/>
    <mergeCell ref="J158:N158"/>
    <mergeCell ref="J90:J93"/>
    <mergeCell ref="K90:K93"/>
    <mergeCell ref="N122:N123"/>
    <mergeCell ref="A124:B125"/>
    <mergeCell ref="A8:B8"/>
    <mergeCell ref="C8:D8"/>
    <mergeCell ref="A89:B89"/>
    <mergeCell ref="C89:D89"/>
    <mergeCell ref="A58:N58"/>
    <mergeCell ref="B59:N59"/>
    <mergeCell ref="B60:N60"/>
    <mergeCell ref="B61:N61"/>
    <mergeCell ref="B62:N62"/>
    <mergeCell ref="B63:N63"/>
    <mergeCell ref="A65:D65"/>
    <mergeCell ref="J65:N65"/>
    <mergeCell ref="A69:D69"/>
    <mergeCell ref="J69:N69"/>
    <mergeCell ref="G92:G93"/>
    <mergeCell ref="B90:B93"/>
    <mergeCell ref="A145:N145"/>
    <mergeCell ref="B146:N146"/>
  </mergeCells>
  <pageMargins left="0.25" right="0.17708333333333334" top="0.42708333333333331" bottom="0.36458333333333331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54"/>
  <sheetViews>
    <sheetView workbookViewId="0">
      <selection activeCell="U148" sqref="U148"/>
    </sheetView>
  </sheetViews>
  <sheetFormatPr defaultColWidth="9.109375" defaultRowHeight="21" customHeight="1"/>
  <cols>
    <col min="1" max="1" width="4" style="1" customWidth="1"/>
    <col min="2" max="2" width="12.88671875" style="1" customWidth="1"/>
    <col min="3" max="3" width="7.44140625" style="1" customWidth="1"/>
    <col min="4" max="4" width="8.109375" style="1" customWidth="1"/>
    <col min="5" max="8" width="7" style="1" customWidth="1"/>
    <col min="9" max="10" width="7.5546875" style="1" customWidth="1"/>
    <col min="11" max="11" width="6.44140625" style="1" customWidth="1"/>
    <col min="12" max="13" width="5.6640625" style="1" customWidth="1"/>
    <col min="14" max="14" width="7.77734375" style="1" customWidth="1"/>
    <col min="15" max="15" width="11.88671875" style="1" customWidth="1"/>
    <col min="16" max="16" width="9.109375" style="1"/>
    <col min="17" max="22" width="8.44140625" style="1" customWidth="1"/>
    <col min="23" max="16384" width="9.109375" style="1"/>
  </cols>
  <sheetData>
    <row r="1" spans="1:20" ht="22.2" customHeight="1">
      <c r="A1" s="10" t="s">
        <v>59</v>
      </c>
      <c r="B1" s="7"/>
      <c r="C1" s="7"/>
      <c r="D1" s="7"/>
      <c r="E1" s="7"/>
      <c r="F1" s="185" t="s">
        <v>30</v>
      </c>
      <c r="G1" s="185"/>
      <c r="H1" s="185"/>
      <c r="I1" s="185"/>
      <c r="J1" s="185"/>
      <c r="K1" s="185"/>
      <c r="L1" s="185"/>
      <c r="M1" s="185"/>
      <c r="N1" s="185"/>
      <c r="O1" s="152"/>
      <c r="P1" s="152"/>
      <c r="T1" s="2"/>
    </row>
    <row r="2" spans="1:20" ht="22.2" customHeight="1">
      <c r="A2" s="7" t="s">
        <v>198</v>
      </c>
      <c r="B2" s="7"/>
      <c r="C2" s="7"/>
      <c r="D2" s="7"/>
      <c r="E2" s="7"/>
      <c r="F2" s="166"/>
      <c r="G2" s="166"/>
      <c r="H2" s="166"/>
      <c r="I2" s="166"/>
      <c r="J2" s="166"/>
      <c r="K2" s="166"/>
      <c r="L2" s="166"/>
      <c r="M2" s="166"/>
      <c r="N2" s="166"/>
      <c r="O2" s="152"/>
      <c r="P2" s="152"/>
      <c r="T2" s="2"/>
    </row>
    <row r="3" spans="1:20" s="2" customFormat="1" ht="22.2" customHeight="1">
      <c r="A3" s="186" t="s">
        <v>95</v>
      </c>
      <c r="B3" s="186"/>
      <c r="C3" s="186"/>
      <c r="D3" s="186"/>
      <c r="E3" s="186" t="s">
        <v>93</v>
      </c>
      <c r="F3" s="186"/>
      <c r="G3" s="186"/>
      <c r="H3" s="186"/>
      <c r="I3" s="186"/>
      <c r="J3" s="186"/>
      <c r="K3" s="186"/>
      <c r="L3" s="186"/>
      <c r="M3" s="186"/>
      <c r="N3" s="186"/>
      <c r="O3" s="153"/>
    </row>
    <row r="4" spans="1:20" s="2" customFormat="1" ht="22.2" customHeight="1">
      <c r="A4" s="187" t="s">
        <v>83</v>
      </c>
      <c r="B4" s="187"/>
      <c r="C4" s="187"/>
      <c r="D4" s="187"/>
      <c r="E4" s="188" t="s">
        <v>132</v>
      </c>
      <c r="F4" s="188"/>
      <c r="G4" s="188"/>
      <c r="H4" s="188"/>
      <c r="I4" s="188"/>
      <c r="J4" s="189" t="s">
        <v>168</v>
      </c>
      <c r="K4" s="190"/>
      <c r="L4" s="190"/>
      <c r="M4" s="190"/>
      <c r="N4" s="191"/>
      <c r="O4" s="153"/>
    </row>
    <row r="5" spans="1:20" s="2" customFormat="1" ht="22.2" customHeight="1">
      <c r="A5" s="294" t="s">
        <v>130</v>
      </c>
      <c r="B5" s="295"/>
      <c r="C5" s="295"/>
      <c r="D5" s="296"/>
      <c r="E5" s="188"/>
      <c r="F5" s="188"/>
      <c r="G5" s="188"/>
      <c r="H5" s="188"/>
      <c r="I5" s="188"/>
      <c r="J5" s="192"/>
      <c r="K5" s="193"/>
      <c r="L5" s="193"/>
      <c r="M5" s="193"/>
      <c r="N5" s="194"/>
      <c r="O5" s="153"/>
    </row>
    <row r="6" spans="1:20" s="2" customFormat="1" ht="22.2" customHeight="1">
      <c r="A6" s="198" t="s">
        <v>144</v>
      </c>
      <c r="B6" s="198"/>
      <c r="C6" s="198"/>
      <c r="D6" s="198"/>
      <c r="E6" s="188"/>
      <c r="F6" s="188"/>
      <c r="G6" s="188"/>
      <c r="H6" s="188"/>
      <c r="I6" s="188"/>
      <c r="J6" s="192"/>
      <c r="K6" s="193"/>
      <c r="L6" s="193"/>
      <c r="M6" s="193"/>
      <c r="N6" s="194"/>
      <c r="O6" s="153"/>
    </row>
    <row r="7" spans="1:20" s="2" customFormat="1" ht="22.2" customHeight="1">
      <c r="A7" s="199" t="s">
        <v>170</v>
      </c>
      <c r="B7" s="199"/>
      <c r="C7" s="199"/>
      <c r="D7" s="199"/>
      <c r="E7" s="188"/>
      <c r="F7" s="188"/>
      <c r="G7" s="188"/>
      <c r="H7" s="188"/>
      <c r="I7" s="188"/>
      <c r="J7" s="195"/>
      <c r="K7" s="196"/>
      <c r="L7" s="196"/>
      <c r="M7" s="196"/>
      <c r="N7" s="197"/>
      <c r="O7" s="153"/>
    </row>
    <row r="8" spans="1:20" ht="22.2" customHeight="1">
      <c r="A8" s="292" t="s">
        <v>110</v>
      </c>
      <c r="B8" s="292"/>
      <c r="C8" s="290">
        <v>225</v>
      </c>
      <c r="D8" s="290"/>
      <c r="E8" s="7"/>
      <c r="F8" s="166"/>
      <c r="G8" s="166"/>
      <c r="H8" s="166"/>
      <c r="I8" s="166"/>
      <c r="J8" s="166"/>
      <c r="K8" s="166"/>
      <c r="L8" s="166"/>
      <c r="M8" s="166"/>
      <c r="N8" s="166"/>
      <c r="O8" s="152"/>
      <c r="P8" s="152"/>
      <c r="T8" s="2"/>
    </row>
    <row r="9" spans="1:20" ht="22.2" customHeight="1">
      <c r="A9" s="172" t="s">
        <v>0</v>
      </c>
      <c r="B9" s="175" t="s">
        <v>19</v>
      </c>
      <c r="C9" s="178" t="s">
        <v>8</v>
      </c>
      <c r="D9" s="178" t="s">
        <v>9</v>
      </c>
      <c r="E9" s="317" t="s">
        <v>11</v>
      </c>
      <c r="F9" s="318"/>
      <c r="G9" s="317" t="s">
        <v>13</v>
      </c>
      <c r="H9" s="318"/>
      <c r="I9" s="200" t="s">
        <v>16</v>
      </c>
      <c r="J9" s="200" t="s">
        <v>32</v>
      </c>
      <c r="K9" s="200" t="s">
        <v>33</v>
      </c>
      <c r="L9" s="200" t="s">
        <v>17</v>
      </c>
      <c r="M9" s="200" t="s">
        <v>34</v>
      </c>
      <c r="N9" s="172" t="s">
        <v>18</v>
      </c>
      <c r="O9" s="154"/>
    </row>
    <row r="10" spans="1:20" ht="22.2" customHeight="1">
      <c r="A10" s="173"/>
      <c r="B10" s="176"/>
      <c r="C10" s="179"/>
      <c r="D10" s="179"/>
      <c r="E10" s="319"/>
      <c r="F10" s="320"/>
      <c r="G10" s="319"/>
      <c r="H10" s="320"/>
      <c r="I10" s="208"/>
      <c r="J10" s="208"/>
      <c r="K10" s="208"/>
      <c r="L10" s="208"/>
      <c r="M10" s="208"/>
      <c r="N10" s="173"/>
      <c r="O10" s="163"/>
    </row>
    <row r="11" spans="1:20" ht="22.2" customHeight="1">
      <c r="A11" s="173"/>
      <c r="B11" s="176"/>
      <c r="C11" s="179"/>
      <c r="D11" s="179"/>
      <c r="E11" s="200" t="s">
        <v>10</v>
      </c>
      <c r="F11" s="200" t="s">
        <v>12</v>
      </c>
      <c r="G11" s="200" t="s">
        <v>14</v>
      </c>
      <c r="H11" s="200" t="s">
        <v>15</v>
      </c>
      <c r="I11" s="208"/>
      <c r="J11" s="208"/>
      <c r="K11" s="208"/>
      <c r="L11" s="208"/>
      <c r="M11" s="208"/>
      <c r="N11" s="173"/>
      <c r="O11" s="163"/>
    </row>
    <row r="12" spans="1:20" ht="22.2" customHeight="1">
      <c r="A12" s="174"/>
      <c r="B12" s="177"/>
      <c r="C12" s="180"/>
      <c r="D12" s="180"/>
      <c r="E12" s="201"/>
      <c r="F12" s="201"/>
      <c r="G12" s="201"/>
      <c r="H12" s="201"/>
      <c r="I12" s="201"/>
      <c r="J12" s="201"/>
      <c r="K12" s="201"/>
      <c r="L12" s="201"/>
      <c r="M12" s="201"/>
      <c r="N12" s="174"/>
      <c r="O12" s="163"/>
    </row>
    <row r="13" spans="1:20" ht="22.2" customHeight="1">
      <c r="A13" s="205" t="s">
        <v>35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7"/>
      <c r="O13" s="163"/>
    </row>
    <row r="14" spans="1:20" s="2" customFormat="1" ht="22.2" customHeight="1">
      <c r="A14" s="8">
        <v>1</v>
      </c>
      <c r="B14" s="9" t="s">
        <v>2</v>
      </c>
      <c r="C14" s="12">
        <f>L14/100*100</f>
        <v>290</v>
      </c>
      <c r="D14" s="13">
        <f>C14/100*60</f>
        <v>174</v>
      </c>
      <c r="E14" s="14">
        <f>C14/100*15</f>
        <v>43.5</v>
      </c>
      <c r="F14" s="14"/>
      <c r="G14" s="14"/>
      <c r="H14" s="14"/>
      <c r="I14" s="14"/>
      <c r="J14" s="64">
        <f>C14/100*387</f>
        <v>1122.3</v>
      </c>
      <c r="K14" s="22">
        <f>C14/100*0.09</f>
        <v>0.26100000000000001</v>
      </c>
      <c r="L14" s="15">
        <v>290</v>
      </c>
      <c r="M14" s="20">
        <v>20</v>
      </c>
      <c r="N14" s="16">
        <f>L14*M14</f>
        <v>5800</v>
      </c>
      <c r="O14" s="155"/>
    </row>
    <row r="15" spans="1:20" s="2" customFormat="1" ht="18" customHeight="1">
      <c r="A15" s="8">
        <v>2</v>
      </c>
      <c r="B15" s="128" t="s">
        <v>126</v>
      </c>
      <c r="C15" s="12">
        <f t="shared" ref="C15" si="0">L15/100*100</f>
        <v>240</v>
      </c>
      <c r="D15" s="65">
        <f>C15/100*900</f>
        <v>2160</v>
      </c>
      <c r="E15" s="14"/>
      <c r="F15" s="14"/>
      <c r="G15" s="91"/>
      <c r="H15" s="14">
        <f>C15/100*100</f>
        <v>240</v>
      </c>
      <c r="I15" s="14"/>
      <c r="J15" s="14"/>
      <c r="K15" s="14"/>
      <c r="L15" s="111">
        <v>240</v>
      </c>
      <c r="M15" s="65">
        <v>65</v>
      </c>
      <c r="N15" s="93">
        <f t="shared" ref="N15" si="1">L15*M15</f>
        <v>15600</v>
      </c>
      <c r="O15" s="157"/>
    </row>
    <row r="16" spans="1:20" s="2" customFormat="1" ht="22.2" customHeight="1">
      <c r="A16" s="8">
        <v>3</v>
      </c>
      <c r="B16" s="5" t="s">
        <v>1</v>
      </c>
      <c r="C16" s="12">
        <f>L16/100*100</f>
        <v>21375</v>
      </c>
      <c r="D16" s="65">
        <f>C16/100*338</f>
        <v>72247.5</v>
      </c>
      <c r="E16" s="14"/>
      <c r="F16" s="91">
        <f>C16/100*7.9</f>
        <v>1688.625</v>
      </c>
      <c r="G16" s="14"/>
      <c r="H16" s="14">
        <f>C16/100*1</f>
        <v>213.75</v>
      </c>
      <c r="I16" s="91">
        <f>C16/100*78.9</f>
        <v>16864.875</v>
      </c>
      <c r="J16" s="64">
        <f>C16/100*30</f>
        <v>6412.5</v>
      </c>
      <c r="K16" s="22">
        <f>C16/100*0.1</f>
        <v>21.375</v>
      </c>
      <c r="L16" s="345">
        <v>21375</v>
      </c>
      <c r="M16" s="20">
        <v>18</v>
      </c>
      <c r="N16" s="16">
        <f t="shared" ref="N16:N24" si="2">L16*M16</f>
        <v>384750</v>
      </c>
      <c r="O16" s="155"/>
    </row>
    <row r="17" spans="1:20" s="2" customFormat="1" ht="20.399999999999999" customHeight="1">
      <c r="A17" s="8">
        <v>4</v>
      </c>
      <c r="B17" s="9" t="s">
        <v>119</v>
      </c>
      <c r="C17" s="12">
        <f>L17/100*100</f>
        <v>1580</v>
      </c>
      <c r="D17" s="13">
        <f>C17/100*53</f>
        <v>837.40000000000009</v>
      </c>
      <c r="E17" s="14"/>
      <c r="F17" s="14">
        <f>C17/100*6.3</f>
        <v>99.54</v>
      </c>
      <c r="G17" s="14"/>
      <c r="H17" s="14">
        <f>C17/100*0.04</f>
        <v>0.63200000000000001</v>
      </c>
      <c r="I17" s="14">
        <f>C17/100*6.8</f>
        <v>107.44</v>
      </c>
      <c r="J17" s="22">
        <f>C17/100*19</f>
        <v>300.2</v>
      </c>
      <c r="K17" s="22">
        <f>C17/100*0.03</f>
        <v>0.47399999999999998</v>
      </c>
      <c r="L17" s="111">
        <v>1580</v>
      </c>
      <c r="M17" s="20">
        <v>45</v>
      </c>
      <c r="N17" s="16">
        <f t="shared" si="2"/>
        <v>71100</v>
      </c>
      <c r="O17" s="156"/>
    </row>
    <row r="18" spans="1:20" s="2" customFormat="1" ht="19.2" customHeight="1">
      <c r="A18" s="8">
        <v>5</v>
      </c>
      <c r="B18" s="9" t="s">
        <v>129</v>
      </c>
      <c r="C18" s="12">
        <f>L18/100*90</f>
        <v>206.99999999999997</v>
      </c>
      <c r="D18" s="13">
        <f>C18/100*281</f>
        <v>581.66999999999996</v>
      </c>
      <c r="E18" s="14"/>
      <c r="F18" s="14">
        <f>C18/100*9.5</f>
        <v>19.664999999999999</v>
      </c>
      <c r="G18" s="14"/>
      <c r="H18" s="14">
        <f>C18/100*0.2</f>
        <v>0.41399999999999998</v>
      </c>
      <c r="I18" s="14">
        <f>D18/100*58.5</f>
        <v>340.27695</v>
      </c>
      <c r="J18" s="22">
        <f>C18/100*321</f>
        <v>664.46999999999991</v>
      </c>
      <c r="K18" s="22">
        <f>C18/100*0.14</f>
        <v>0.2898</v>
      </c>
      <c r="L18" s="111">
        <v>230</v>
      </c>
      <c r="M18" s="43">
        <v>120</v>
      </c>
      <c r="N18" s="16">
        <f t="shared" si="2"/>
        <v>27600</v>
      </c>
      <c r="O18" s="156"/>
    </row>
    <row r="19" spans="1:20" s="2" customFormat="1" ht="22.2" customHeight="1">
      <c r="A19" s="8">
        <v>6</v>
      </c>
      <c r="B19" s="9" t="s">
        <v>67</v>
      </c>
      <c r="C19" s="12">
        <f>L19/100*98</f>
        <v>10143</v>
      </c>
      <c r="D19" s="65">
        <f>C19/100*139</f>
        <v>14098.77</v>
      </c>
      <c r="E19" s="91">
        <f>C19/100*21</f>
        <v>2130.0300000000002</v>
      </c>
      <c r="F19" s="14"/>
      <c r="G19" s="14">
        <f>C19/100*7</f>
        <v>710.01</v>
      </c>
      <c r="H19" s="14"/>
      <c r="I19" s="14"/>
      <c r="J19" s="22">
        <f>C19/100*7</f>
        <v>710.01</v>
      </c>
      <c r="K19" s="22">
        <f>C19/100*0.9</f>
        <v>91.287000000000006</v>
      </c>
      <c r="L19" s="345">
        <v>10350</v>
      </c>
      <c r="M19" s="42">
        <v>133</v>
      </c>
      <c r="N19" s="92">
        <f t="shared" si="2"/>
        <v>1376550</v>
      </c>
      <c r="O19" s="155"/>
      <c r="P19" s="155"/>
    </row>
    <row r="20" spans="1:20" s="2" customFormat="1" ht="22.2" customHeight="1">
      <c r="A20" s="8">
        <v>7</v>
      </c>
      <c r="B20" s="5" t="s">
        <v>3</v>
      </c>
      <c r="C20" s="12">
        <f>L20/100*48</f>
        <v>5184</v>
      </c>
      <c r="D20" s="65">
        <f>C20/100*199</f>
        <v>10316.16</v>
      </c>
      <c r="E20" s="91">
        <f>C20/100*22.3</f>
        <v>1156.0320000000002</v>
      </c>
      <c r="F20" s="14"/>
      <c r="G20" s="14">
        <f>C20/100*13.1</f>
        <v>679.10400000000004</v>
      </c>
      <c r="H20" s="14"/>
      <c r="I20" s="14"/>
      <c r="J20" s="22">
        <f>C20/100*12</f>
        <v>622.08000000000004</v>
      </c>
      <c r="K20" s="22">
        <f>C20/100*0.15</f>
        <v>7.7759999999999998</v>
      </c>
      <c r="L20" s="345">
        <v>10800</v>
      </c>
      <c r="M20" s="15">
        <v>84</v>
      </c>
      <c r="N20" s="16">
        <f t="shared" si="2"/>
        <v>907200</v>
      </c>
      <c r="O20" s="155"/>
      <c r="P20" s="155"/>
      <c r="Q20" s="3"/>
      <c r="R20" s="3"/>
      <c r="S20" s="4"/>
    </row>
    <row r="21" spans="1:20" s="2" customFormat="1" ht="20.399999999999999" customHeight="1">
      <c r="A21" s="8">
        <v>8</v>
      </c>
      <c r="B21" s="5" t="s">
        <v>117</v>
      </c>
      <c r="C21" s="12">
        <f>L21/100*100</f>
        <v>229.99999999999997</v>
      </c>
      <c r="D21" s="13">
        <f>C21/100*247</f>
        <v>568.09999999999991</v>
      </c>
      <c r="E21" s="17"/>
      <c r="F21" s="17">
        <f>C21/100*17.5</f>
        <v>40.25</v>
      </c>
      <c r="G21" s="17"/>
      <c r="H21" s="17">
        <f>C21/100*1.6</f>
        <v>3.6799999999999997</v>
      </c>
      <c r="I21" s="17">
        <f>C21/100*39.2</f>
        <v>90.16</v>
      </c>
      <c r="J21" s="21"/>
      <c r="K21" s="21"/>
      <c r="L21" s="323">
        <v>230</v>
      </c>
      <c r="M21" s="20">
        <v>50</v>
      </c>
      <c r="N21" s="113">
        <f t="shared" si="2"/>
        <v>11500</v>
      </c>
      <c r="O21" s="155"/>
      <c r="Q21" s="3"/>
      <c r="R21" s="3"/>
      <c r="S21" s="4"/>
      <c r="T21" s="3"/>
    </row>
    <row r="22" spans="1:20" s="2" customFormat="1" ht="22.2" customHeight="1">
      <c r="A22" s="8">
        <v>9</v>
      </c>
      <c r="B22" s="5" t="s">
        <v>80</v>
      </c>
      <c r="C22" s="12">
        <f>L22/100*78</f>
        <v>3510</v>
      </c>
      <c r="D22" s="13">
        <f>C22/100*37</f>
        <v>1298.7</v>
      </c>
      <c r="E22" s="17"/>
      <c r="F22" s="17">
        <f>C22/100*2.8</f>
        <v>98.28</v>
      </c>
      <c r="G22" s="17"/>
      <c r="H22" s="17">
        <f>C22/100*0.1</f>
        <v>3.5100000000000002</v>
      </c>
      <c r="I22" s="17">
        <f>C22/100*6.2</f>
        <v>217.62</v>
      </c>
      <c r="J22" s="63">
        <f>C22/100*46</f>
        <v>1614.6000000000001</v>
      </c>
      <c r="K22" s="21">
        <f>C22/100*0.06</f>
        <v>2.1059999999999999</v>
      </c>
      <c r="L22" s="323">
        <v>4500</v>
      </c>
      <c r="M22" s="15">
        <v>22</v>
      </c>
      <c r="N22" s="16">
        <f t="shared" si="2"/>
        <v>99000</v>
      </c>
      <c r="O22" s="155"/>
      <c r="Q22" s="3"/>
      <c r="R22" s="3"/>
      <c r="S22" s="4"/>
    </row>
    <row r="23" spans="1:20" s="2" customFormat="1" ht="20.399999999999999" customHeight="1">
      <c r="A23" s="8">
        <v>10</v>
      </c>
      <c r="B23" s="5" t="s">
        <v>68</v>
      </c>
      <c r="C23" s="12">
        <f>L23/100*75</f>
        <v>5062.5</v>
      </c>
      <c r="D23" s="13">
        <f>C23/100*12</f>
        <v>607.5</v>
      </c>
      <c r="E23" s="17"/>
      <c r="F23" s="17">
        <f>C23/100*0.6</f>
        <v>30.375</v>
      </c>
      <c r="G23" s="17"/>
      <c r="H23" s="17"/>
      <c r="I23" s="17">
        <f>C23/100*2.4</f>
        <v>121.5</v>
      </c>
      <c r="J23" s="91">
        <f>C23/100*120</f>
        <v>6075</v>
      </c>
      <c r="K23" s="22">
        <f>C23/100*0.02</f>
        <v>1.0125</v>
      </c>
      <c r="L23" s="324">
        <v>6750</v>
      </c>
      <c r="M23" s="20">
        <v>22</v>
      </c>
      <c r="N23" s="16">
        <f t="shared" si="2"/>
        <v>148500</v>
      </c>
      <c r="O23" s="155"/>
      <c r="P23" s="3"/>
    </row>
    <row r="24" spans="1:20" s="2" customFormat="1" ht="22.2" customHeight="1">
      <c r="A24" s="8">
        <v>11</v>
      </c>
      <c r="B24" s="5" t="s">
        <v>5</v>
      </c>
      <c r="C24" s="12">
        <f>L24/100*98.5</f>
        <v>2216.25</v>
      </c>
      <c r="D24" s="13">
        <f>C24/100*39</f>
        <v>864.33750000000009</v>
      </c>
      <c r="E24" s="17"/>
      <c r="F24" s="17">
        <f>C24/100*1.5</f>
        <v>33.243750000000006</v>
      </c>
      <c r="G24" s="17"/>
      <c r="H24" s="17">
        <f>C24/100*0.2</f>
        <v>4.4325000000000001</v>
      </c>
      <c r="I24" s="17">
        <f>C24/100*7.8</f>
        <v>172.86750000000001</v>
      </c>
      <c r="J24" s="21">
        <f>C24/100*43</f>
        <v>952.98750000000007</v>
      </c>
      <c r="K24" s="21">
        <f>C24/100*0.06</f>
        <v>1.32975</v>
      </c>
      <c r="L24" s="323">
        <v>2250</v>
      </c>
      <c r="M24" s="15">
        <v>17</v>
      </c>
      <c r="N24" s="16">
        <f t="shared" si="2"/>
        <v>38250</v>
      </c>
      <c r="O24" s="155"/>
      <c r="Q24" s="3"/>
      <c r="R24" s="3"/>
      <c r="S24" s="4"/>
    </row>
    <row r="25" spans="1:20" s="2" customFormat="1" ht="22.2" customHeight="1">
      <c r="A25" s="8">
        <v>12</v>
      </c>
      <c r="B25" s="9" t="s">
        <v>111</v>
      </c>
      <c r="C25" s="12"/>
      <c r="D25" s="13"/>
      <c r="E25" s="14"/>
      <c r="F25" s="14"/>
      <c r="G25" s="14"/>
      <c r="H25" s="14"/>
      <c r="I25" s="14"/>
      <c r="J25" s="14"/>
      <c r="K25" s="14"/>
      <c r="L25" s="15"/>
      <c r="M25" s="15"/>
      <c r="N25" s="16">
        <v>17480</v>
      </c>
      <c r="O25" s="155"/>
    </row>
    <row r="26" spans="1:20" s="2" customFormat="1" ht="22.2" customHeight="1">
      <c r="A26" s="23" t="s">
        <v>97</v>
      </c>
      <c r="B26" s="24"/>
      <c r="C26" s="25"/>
      <c r="D26" s="94">
        <f>SUM(D14:D25)</f>
        <v>103754.1375</v>
      </c>
      <c r="E26" s="27"/>
      <c r="F26" s="27"/>
      <c r="G26" s="27"/>
      <c r="H26" s="27"/>
      <c r="I26" s="27"/>
      <c r="J26" s="27"/>
      <c r="K26" s="27"/>
      <c r="L26" s="28"/>
      <c r="M26" s="28"/>
      <c r="N26" s="271">
        <f>SUM(N14:N25)</f>
        <v>3103330</v>
      </c>
      <c r="O26" s="155"/>
    </row>
    <row r="27" spans="1:20" s="2" customFormat="1" ht="22.2" customHeight="1">
      <c r="A27" s="23" t="s">
        <v>6</v>
      </c>
      <c r="B27" s="24"/>
      <c r="C27" s="25"/>
      <c r="D27" s="26">
        <f>D26/C8</f>
        <v>461.12950000000001</v>
      </c>
      <c r="E27" s="27"/>
      <c r="F27" s="27"/>
      <c r="G27" s="27"/>
      <c r="H27" s="27"/>
      <c r="I27" s="27"/>
      <c r="J27" s="27"/>
      <c r="K27" s="27"/>
      <c r="L27" s="28"/>
      <c r="M27" s="28"/>
      <c r="N27" s="272"/>
      <c r="O27" s="155"/>
    </row>
    <row r="28" spans="1:20" s="2" customFormat="1" ht="22.2" customHeight="1">
      <c r="A28" s="300" t="s">
        <v>50</v>
      </c>
      <c r="B28" s="212"/>
      <c r="C28" s="325" t="s">
        <v>133</v>
      </c>
      <c r="D28" s="29" t="s">
        <v>38</v>
      </c>
      <c r="E28" s="27"/>
      <c r="F28" s="27"/>
      <c r="G28" s="27"/>
      <c r="H28" s="27"/>
      <c r="I28" s="27"/>
      <c r="J28" s="27"/>
      <c r="K28" s="27"/>
      <c r="L28" s="28"/>
      <c r="M28" s="28"/>
      <c r="N28" s="30"/>
      <c r="O28" s="155"/>
    </row>
    <row r="29" spans="1:20" s="2" customFormat="1" ht="22.2" customHeight="1">
      <c r="A29" s="213"/>
      <c r="B29" s="214"/>
      <c r="C29" s="62" t="s">
        <v>58</v>
      </c>
      <c r="D29" s="29">
        <f>D27*100/1320</f>
        <v>34.934053030303026</v>
      </c>
      <c r="E29" s="27"/>
      <c r="F29" s="27"/>
      <c r="G29" s="27"/>
      <c r="H29" s="27"/>
      <c r="I29" s="27"/>
      <c r="J29" s="27"/>
      <c r="K29" s="27"/>
      <c r="L29" s="28"/>
      <c r="M29" s="28"/>
      <c r="N29" s="30"/>
      <c r="O29" s="155"/>
    </row>
    <row r="30" spans="1:20" s="2" customFormat="1" ht="22.2" customHeight="1">
      <c r="A30" s="215" t="s">
        <v>39</v>
      </c>
      <c r="B30" s="215"/>
      <c r="C30" s="45"/>
      <c r="D30" s="46"/>
      <c r="E30" s="47"/>
      <c r="F30" s="47"/>
      <c r="G30" s="47"/>
      <c r="H30" s="47"/>
      <c r="I30" s="47"/>
      <c r="J30" s="47"/>
      <c r="K30" s="47"/>
      <c r="L30" s="48"/>
      <c r="M30" s="48"/>
      <c r="N30" s="49"/>
      <c r="O30" s="155"/>
    </row>
    <row r="31" spans="1:20" s="2" customFormat="1" ht="22.2" customHeight="1">
      <c r="A31" s="8">
        <v>1</v>
      </c>
      <c r="B31" s="9" t="s">
        <v>2</v>
      </c>
      <c r="C31" s="12">
        <f>L31/100*100</f>
        <v>270</v>
      </c>
      <c r="D31" s="13">
        <f>C31/100*60</f>
        <v>162</v>
      </c>
      <c r="E31" s="14">
        <f>C31/100*15</f>
        <v>40.5</v>
      </c>
      <c r="F31" s="14"/>
      <c r="G31" s="14"/>
      <c r="H31" s="14"/>
      <c r="I31" s="14"/>
      <c r="J31" s="64">
        <f>C31/100*387</f>
        <v>1044.9000000000001</v>
      </c>
      <c r="K31" s="22">
        <f>C31/100*0.09</f>
        <v>0.24299999999999999</v>
      </c>
      <c r="L31" s="15">
        <v>270</v>
      </c>
      <c r="M31" s="20">
        <v>20</v>
      </c>
      <c r="N31" s="16">
        <f>L31*M31</f>
        <v>5400</v>
      </c>
      <c r="O31" s="155"/>
    </row>
    <row r="32" spans="1:20" s="2" customFormat="1" ht="19.8" customHeight="1">
      <c r="A32" s="8">
        <v>2</v>
      </c>
      <c r="B32" s="9" t="s">
        <v>121</v>
      </c>
      <c r="C32" s="12">
        <f>L32/100*100</f>
        <v>1889.9999999999998</v>
      </c>
      <c r="D32" s="65">
        <f>C32/100*899</f>
        <v>16991.099999999999</v>
      </c>
      <c r="E32" s="14"/>
      <c r="F32" s="14"/>
      <c r="G32" s="91">
        <f>C32/100*100</f>
        <v>1889.9999999999998</v>
      </c>
      <c r="H32" s="14"/>
      <c r="I32" s="14"/>
      <c r="J32" s="22"/>
      <c r="K32" s="22"/>
      <c r="L32" s="111">
        <v>1890</v>
      </c>
      <c r="M32" s="110">
        <v>69</v>
      </c>
      <c r="N32" s="113">
        <f t="shared" ref="N32" si="3">L32*M32</f>
        <v>130410</v>
      </c>
      <c r="O32" s="155"/>
    </row>
    <row r="33" spans="1:23" s="2" customFormat="1" ht="22.2" customHeight="1">
      <c r="A33" s="8">
        <v>3</v>
      </c>
      <c r="B33" s="5" t="s">
        <v>122</v>
      </c>
      <c r="C33" s="12">
        <f>L33/100*100</f>
        <v>5400</v>
      </c>
      <c r="D33" s="65">
        <f>C33/100*295</f>
        <v>15930</v>
      </c>
      <c r="E33" s="14"/>
      <c r="F33" s="14">
        <f>C33/100*6</f>
        <v>324</v>
      </c>
      <c r="G33" s="14"/>
      <c r="H33" s="14">
        <f>C33/100*0.8</f>
        <v>43.2</v>
      </c>
      <c r="I33" s="91">
        <f>C33/100*28.8</f>
        <v>1555.2</v>
      </c>
      <c r="J33" s="22"/>
      <c r="K33" s="22"/>
      <c r="L33" s="111">
        <v>5400</v>
      </c>
      <c r="M33" s="43">
        <v>32</v>
      </c>
      <c r="N33" s="16">
        <f>L33*M33</f>
        <v>172800</v>
      </c>
      <c r="O33" s="155"/>
    </row>
    <row r="34" spans="1:23" s="2" customFormat="1" ht="22.2" customHeight="1">
      <c r="A34" s="8">
        <v>4</v>
      </c>
      <c r="B34" s="9" t="s">
        <v>123</v>
      </c>
      <c r="C34" s="12">
        <f>L34/100*31</f>
        <v>880.4</v>
      </c>
      <c r="D34" s="13">
        <f>C34/100*87</f>
        <v>765.94799999999998</v>
      </c>
      <c r="E34" s="14">
        <f>C34/100*12.3</f>
        <v>108.28920000000001</v>
      </c>
      <c r="F34" s="14"/>
      <c r="G34" s="14">
        <f>C34/100*3.3</f>
        <v>29.0532</v>
      </c>
      <c r="H34" s="14"/>
      <c r="I34" s="14">
        <f>C34/100*2</f>
        <v>17.608000000000001</v>
      </c>
      <c r="J34" s="64">
        <f>C34/100*120</f>
        <v>1056.48</v>
      </c>
      <c r="K34" s="22">
        <f>C34/100*0.01</f>
        <v>8.8040000000000007E-2</v>
      </c>
      <c r="L34" s="15">
        <v>2840</v>
      </c>
      <c r="M34" s="102">
        <v>160</v>
      </c>
      <c r="N34" s="16">
        <f t="shared" ref="N34:N37" si="4">L34*M34</f>
        <v>454400</v>
      </c>
      <c r="O34" s="155"/>
    </row>
    <row r="35" spans="1:23" s="2" customFormat="1" ht="20.399999999999999" customHeight="1">
      <c r="A35" s="8">
        <v>5</v>
      </c>
      <c r="B35" s="5" t="s">
        <v>117</v>
      </c>
      <c r="C35" s="12">
        <f>L35/100*100</f>
        <v>130</v>
      </c>
      <c r="D35" s="13">
        <f>C35/100*247</f>
        <v>321.10000000000002</v>
      </c>
      <c r="E35" s="17"/>
      <c r="F35" s="17">
        <f>C35/100*17.5</f>
        <v>22.75</v>
      </c>
      <c r="G35" s="17"/>
      <c r="H35" s="17">
        <f>C35/100*1.6</f>
        <v>2.08</v>
      </c>
      <c r="I35" s="17">
        <f>C35/100*39.2</f>
        <v>50.960000000000008</v>
      </c>
      <c r="J35" s="21"/>
      <c r="K35" s="21"/>
      <c r="L35" s="323">
        <v>130</v>
      </c>
      <c r="M35" s="20">
        <v>50</v>
      </c>
      <c r="N35" s="113">
        <f t="shared" si="4"/>
        <v>6500</v>
      </c>
      <c r="O35" s="155"/>
      <c r="Q35" s="3"/>
      <c r="R35" s="3"/>
      <c r="S35" s="4"/>
      <c r="T35" s="3"/>
    </row>
    <row r="36" spans="1:23" s="118" customFormat="1" ht="19.8" customHeight="1">
      <c r="A36" s="133">
        <v>6</v>
      </c>
      <c r="B36" s="142" t="s">
        <v>171</v>
      </c>
      <c r="C36" s="134">
        <f>L36/100*63</f>
        <v>2816.1000000000004</v>
      </c>
      <c r="D36" s="135">
        <f>C36/100*25</f>
        <v>704.02500000000009</v>
      </c>
      <c r="E36" s="104"/>
      <c r="F36" s="104">
        <f>C36/100*3.2</f>
        <v>90.115200000000016</v>
      </c>
      <c r="G36" s="104"/>
      <c r="H36" s="104">
        <f>C36/100*0.4</f>
        <v>11.264400000000002</v>
      </c>
      <c r="I36" s="104">
        <f>C36/100*2.1</f>
        <v>59.138100000000016</v>
      </c>
      <c r="J36" s="162">
        <f>C36/100*100</f>
        <v>2816.1000000000004</v>
      </c>
      <c r="K36" s="104">
        <f>C36/100*0.1</f>
        <v>2.8161000000000005</v>
      </c>
      <c r="L36" s="111">
        <v>4470</v>
      </c>
      <c r="M36" s="110">
        <v>15</v>
      </c>
      <c r="N36" s="113">
        <f t="shared" si="4"/>
        <v>67050</v>
      </c>
      <c r="O36" s="322"/>
    </row>
    <row r="37" spans="1:23" s="2" customFormat="1" ht="21.6" customHeight="1">
      <c r="A37" s="8">
        <v>7</v>
      </c>
      <c r="B37" s="139" t="s">
        <v>131</v>
      </c>
      <c r="C37" s="12">
        <f>L37/100*100</f>
        <v>3829.9999999999995</v>
      </c>
      <c r="D37" s="65">
        <f>C37/100*487</f>
        <v>18652.099999999999</v>
      </c>
      <c r="E37" s="17"/>
      <c r="F37" s="17">
        <f>C37/100*19.5</f>
        <v>746.84999999999991</v>
      </c>
      <c r="G37" s="17"/>
      <c r="H37" s="17">
        <f>C37/100*23.2</f>
        <v>888.56</v>
      </c>
      <c r="I37" s="123">
        <f>C37/100*46</f>
        <v>1761.8</v>
      </c>
      <c r="J37" s="91">
        <f>C37/100*680</f>
        <v>26043.999999999996</v>
      </c>
      <c r="K37" s="14">
        <f>C37/100*0.55</f>
        <v>21.065000000000001</v>
      </c>
      <c r="L37" s="323">
        <v>3830</v>
      </c>
      <c r="M37" s="102">
        <v>260</v>
      </c>
      <c r="N37" s="16">
        <f t="shared" si="4"/>
        <v>995800</v>
      </c>
      <c r="O37" s="155"/>
      <c r="P37" s="3"/>
    </row>
    <row r="38" spans="1:23" s="2" customFormat="1" ht="22.2" customHeight="1">
      <c r="A38" s="77">
        <v>8</v>
      </c>
      <c r="B38" s="78" t="s">
        <v>111</v>
      </c>
      <c r="C38" s="79"/>
      <c r="D38" s="80"/>
      <c r="E38" s="81"/>
      <c r="F38" s="81"/>
      <c r="G38" s="81"/>
      <c r="H38" s="81"/>
      <c r="I38" s="81"/>
      <c r="J38" s="81"/>
      <c r="K38" s="81"/>
      <c r="L38" s="82"/>
      <c r="M38" s="82"/>
      <c r="N38" s="83">
        <v>14680</v>
      </c>
      <c r="O38" s="155"/>
    </row>
    <row r="39" spans="1:23" ht="21" customHeight="1">
      <c r="A39" s="172" t="s">
        <v>0</v>
      </c>
      <c r="B39" s="175" t="s">
        <v>19</v>
      </c>
      <c r="C39" s="178" t="s">
        <v>8</v>
      </c>
      <c r="D39" s="178" t="s">
        <v>9</v>
      </c>
      <c r="E39" s="317" t="s">
        <v>11</v>
      </c>
      <c r="F39" s="318"/>
      <c r="G39" s="317" t="s">
        <v>13</v>
      </c>
      <c r="H39" s="318"/>
      <c r="I39" s="200" t="s">
        <v>16</v>
      </c>
      <c r="J39" s="200" t="s">
        <v>32</v>
      </c>
      <c r="K39" s="200" t="s">
        <v>33</v>
      </c>
      <c r="L39" s="200" t="s">
        <v>17</v>
      </c>
      <c r="M39" s="200" t="s">
        <v>34</v>
      </c>
      <c r="N39" s="172" t="s">
        <v>18</v>
      </c>
      <c r="O39" s="154"/>
    </row>
    <row r="40" spans="1:23" ht="21" customHeight="1">
      <c r="A40" s="173"/>
      <c r="B40" s="176"/>
      <c r="C40" s="179"/>
      <c r="D40" s="179"/>
      <c r="E40" s="319"/>
      <c r="F40" s="320"/>
      <c r="G40" s="319"/>
      <c r="H40" s="320"/>
      <c r="I40" s="208"/>
      <c r="J40" s="208"/>
      <c r="K40" s="208"/>
      <c r="L40" s="208"/>
      <c r="M40" s="208"/>
      <c r="N40" s="173"/>
      <c r="O40" s="163"/>
    </row>
    <row r="41" spans="1:23" ht="21" customHeight="1">
      <c r="A41" s="173"/>
      <c r="B41" s="176"/>
      <c r="C41" s="179"/>
      <c r="D41" s="179"/>
      <c r="E41" s="200" t="s">
        <v>10</v>
      </c>
      <c r="F41" s="200" t="s">
        <v>12</v>
      </c>
      <c r="G41" s="200" t="s">
        <v>14</v>
      </c>
      <c r="H41" s="200" t="s">
        <v>15</v>
      </c>
      <c r="I41" s="208"/>
      <c r="J41" s="208"/>
      <c r="K41" s="208"/>
      <c r="L41" s="208"/>
      <c r="M41" s="208"/>
      <c r="N41" s="173"/>
      <c r="O41" s="163"/>
    </row>
    <row r="42" spans="1:23" ht="21" customHeight="1">
      <c r="A42" s="174"/>
      <c r="B42" s="177"/>
      <c r="C42" s="180"/>
      <c r="D42" s="180"/>
      <c r="E42" s="201"/>
      <c r="F42" s="201"/>
      <c r="G42" s="201"/>
      <c r="H42" s="201"/>
      <c r="I42" s="201"/>
      <c r="J42" s="201"/>
      <c r="K42" s="201"/>
      <c r="L42" s="201"/>
      <c r="M42" s="201"/>
      <c r="N42" s="174"/>
      <c r="O42" s="163"/>
    </row>
    <row r="43" spans="1:23" s="2" customFormat="1" ht="21" customHeight="1">
      <c r="A43" s="23" t="s">
        <v>98</v>
      </c>
      <c r="B43" s="24"/>
      <c r="C43" s="25"/>
      <c r="D43" s="94">
        <f>SUM(D31:D38)</f>
        <v>53526.272999999994</v>
      </c>
      <c r="E43" s="31"/>
      <c r="F43" s="31"/>
      <c r="G43" s="31"/>
      <c r="H43" s="31"/>
      <c r="I43" s="31"/>
      <c r="J43" s="31"/>
      <c r="K43" s="31"/>
      <c r="L43" s="32"/>
      <c r="M43" s="32"/>
      <c r="N43" s="271">
        <f>SUM(N31:N38)</f>
        <v>1847040</v>
      </c>
      <c r="O43" s="155"/>
    </row>
    <row r="44" spans="1:23" ht="21" customHeight="1">
      <c r="A44" s="23" t="s">
        <v>7</v>
      </c>
      <c r="B44" s="24"/>
      <c r="C44" s="33"/>
      <c r="D44" s="34">
        <f>D43/C8</f>
        <v>237.89454666666663</v>
      </c>
      <c r="E44" s="34"/>
      <c r="F44" s="34"/>
      <c r="G44" s="34"/>
      <c r="H44" s="34"/>
      <c r="I44" s="34"/>
      <c r="J44" s="34"/>
      <c r="K44" s="34"/>
      <c r="L44" s="35"/>
      <c r="M44" s="35"/>
      <c r="N44" s="272"/>
      <c r="O44" s="4"/>
      <c r="P44" s="2"/>
      <c r="Q44" s="2"/>
      <c r="R44" s="2"/>
      <c r="S44" s="2"/>
      <c r="T44" s="2"/>
      <c r="U44" s="2"/>
      <c r="V44" s="2"/>
      <c r="W44" s="2"/>
    </row>
    <row r="45" spans="1:23" ht="21" customHeight="1">
      <c r="A45" s="300" t="s">
        <v>51</v>
      </c>
      <c r="B45" s="212"/>
      <c r="C45" s="325" t="s">
        <v>133</v>
      </c>
      <c r="D45" s="29" t="s">
        <v>41</v>
      </c>
      <c r="E45" s="34"/>
      <c r="F45" s="34"/>
      <c r="G45" s="34"/>
      <c r="H45" s="34"/>
      <c r="I45" s="34"/>
      <c r="J45" s="36"/>
      <c r="K45" s="36"/>
      <c r="L45" s="35"/>
      <c r="M45" s="35"/>
      <c r="N45" s="168"/>
      <c r="O45" s="4"/>
      <c r="P45" s="2"/>
      <c r="Q45" s="2"/>
      <c r="R45" s="2"/>
      <c r="S45" s="2"/>
      <c r="T45" s="2"/>
      <c r="U45" s="2"/>
      <c r="V45" s="2"/>
      <c r="W45" s="2"/>
    </row>
    <row r="46" spans="1:23" ht="21" customHeight="1">
      <c r="A46" s="213"/>
      <c r="B46" s="214"/>
      <c r="C46" s="62" t="s">
        <v>58</v>
      </c>
      <c r="D46" s="29">
        <f>D44*100/1320</f>
        <v>18.022314141414139</v>
      </c>
      <c r="E46" s="34"/>
      <c r="F46" s="34"/>
      <c r="G46" s="34"/>
      <c r="H46" s="34"/>
      <c r="I46" s="34"/>
      <c r="J46" s="36"/>
      <c r="K46" s="36"/>
      <c r="L46" s="35"/>
      <c r="M46" s="35"/>
      <c r="N46" s="168"/>
      <c r="O46" s="4"/>
      <c r="P46" s="2"/>
      <c r="Q46" s="2"/>
      <c r="R46" s="2"/>
      <c r="S46" s="2"/>
      <c r="T46" s="2"/>
      <c r="U46" s="2"/>
      <c r="V46" s="2"/>
      <c r="W46" s="2"/>
    </row>
    <row r="47" spans="1:23" ht="21" customHeight="1">
      <c r="A47" s="217" t="s">
        <v>99</v>
      </c>
      <c r="B47" s="218"/>
      <c r="C47" s="221"/>
      <c r="D47" s="282">
        <f>D26+D43</f>
        <v>157280.4105</v>
      </c>
      <c r="E47" s="95">
        <f>SUM(E14:E38)</f>
        <v>3478.3512000000005</v>
      </c>
      <c r="F47" s="95">
        <f t="shared" ref="F47:H47" si="5">SUM(F14:F38)</f>
        <v>3193.6939500000003</v>
      </c>
      <c r="G47" s="95">
        <f t="shared" si="5"/>
        <v>3308.1671999999994</v>
      </c>
      <c r="H47" s="95">
        <f t="shared" si="5"/>
        <v>1411.5228999999999</v>
      </c>
      <c r="I47" s="227">
        <f>SUM(I14:I38)</f>
        <v>21359.445549999997</v>
      </c>
      <c r="J47" s="227">
        <f>SUM(J14:J38)</f>
        <v>49435.627500000002</v>
      </c>
      <c r="K47" s="229">
        <f>SUM(K14:K38)</f>
        <v>150.12318999999999</v>
      </c>
      <c r="L47" s="231"/>
      <c r="M47" s="231"/>
      <c r="N47" s="299">
        <f>N26+N43</f>
        <v>4950370</v>
      </c>
      <c r="P47" s="2"/>
      <c r="Q47" s="2"/>
      <c r="R47" s="2"/>
      <c r="S47" s="2"/>
      <c r="T47" s="2"/>
      <c r="U47" s="2"/>
      <c r="V47" s="2"/>
    </row>
    <row r="48" spans="1:23" ht="21" customHeight="1">
      <c r="A48" s="219"/>
      <c r="B48" s="220"/>
      <c r="C48" s="222"/>
      <c r="D48" s="283"/>
      <c r="E48" s="233">
        <f>E47+F47</f>
        <v>6672.0451500000008</v>
      </c>
      <c r="F48" s="234"/>
      <c r="G48" s="233">
        <f>G47+H47</f>
        <v>4719.6900999999998</v>
      </c>
      <c r="H48" s="234"/>
      <c r="I48" s="228"/>
      <c r="J48" s="228"/>
      <c r="K48" s="230"/>
      <c r="L48" s="231"/>
      <c r="M48" s="231"/>
      <c r="N48" s="299"/>
      <c r="P48" s="2"/>
      <c r="Q48" s="2"/>
      <c r="R48" s="2"/>
      <c r="S48" s="2"/>
      <c r="T48" s="2"/>
      <c r="U48" s="2"/>
      <c r="V48" s="2"/>
    </row>
    <row r="49" spans="1:22" ht="21" customHeight="1">
      <c r="A49" s="235" t="s">
        <v>75</v>
      </c>
      <c r="B49" s="236"/>
      <c r="C49" s="237"/>
      <c r="D49" s="112">
        <f>D47/C8</f>
        <v>699.02404666666666</v>
      </c>
      <c r="E49" s="346">
        <f>E47/C8</f>
        <v>15.459338666666669</v>
      </c>
      <c r="F49" s="347">
        <f>F47/C8</f>
        <v>14.194195333333335</v>
      </c>
      <c r="G49" s="346">
        <f>G47/C8</f>
        <v>14.702965333333331</v>
      </c>
      <c r="H49" s="348">
        <f>H47/C8</f>
        <v>6.2734351111111106</v>
      </c>
      <c r="I49" s="293">
        <f>I47/C8</f>
        <v>94.930869111111093</v>
      </c>
      <c r="J49" s="293">
        <f>J47/C8</f>
        <v>219.71390000000002</v>
      </c>
      <c r="K49" s="243">
        <f>K47/C8</f>
        <v>0.66721417777777781</v>
      </c>
      <c r="L49" s="231"/>
      <c r="M49" s="231"/>
      <c r="N49" s="299"/>
      <c r="U49" s="11"/>
      <c r="V49" s="11"/>
    </row>
    <row r="50" spans="1:22" ht="21" customHeight="1">
      <c r="A50" s="238"/>
      <c r="B50" s="239"/>
      <c r="C50" s="240"/>
      <c r="D50" s="98"/>
      <c r="E50" s="349">
        <f>E49+F49</f>
        <v>29.653534000000004</v>
      </c>
      <c r="F50" s="350"/>
      <c r="G50" s="349">
        <f>G49+H49</f>
        <v>20.976400444444444</v>
      </c>
      <c r="H50" s="350"/>
      <c r="I50" s="280"/>
      <c r="J50" s="280"/>
      <c r="K50" s="244"/>
      <c r="L50" s="231"/>
      <c r="M50" s="231"/>
      <c r="N50" s="299"/>
      <c r="U50" s="11"/>
      <c r="V50" s="11"/>
    </row>
    <row r="51" spans="1:22" ht="21" customHeight="1">
      <c r="A51" s="327" t="s">
        <v>76</v>
      </c>
      <c r="B51" s="328"/>
      <c r="C51" s="329"/>
      <c r="D51" s="330" t="s">
        <v>27</v>
      </c>
      <c r="E51" s="186" t="s">
        <v>21</v>
      </c>
      <c r="F51" s="186"/>
      <c r="G51" s="186" t="s">
        <v>22</v>
      </c>
      <c r="H51" s="186"/>
      <c r="I51" s="167" t="s">
        <v>23</v>
      </c>
      <c r="J51" s="351">
        <v>600</v>
      </c>
      <c r="K51" s="351">
        <v>0.74</v>
      </c>
      <c r="L51" s="231"/>
      <c r="M51" s="231"/>
      <c r="N51" s="299"/>
      <c r="O51" s="158"/>
      <c r="P51" s="337"/>
      <c r="Q51" s="338"/>
      <c r="R51" s="338"/>
      <c r="S51" s="338"/>
      <c r="T51" s="338"/>
      <c r="U51" s="339"/>
      <c r="V51" s="339"/>
    </row>
    <row r="52" spans="1:22" ht="21" customHeight="1">
      <c r="A52" s="248" t="s">
        <v>69</v>
      </c>
      <c r="B52" s="249"/>
      <c r="C52" s="250"/>
      <c r="D52" s="19"/>
      <c r="E52" s="251">
        <f>E50*4.1</f>
        <v>121.5794894</v>
      </c>
      <c r="F52" s="252"/>
      <c r="G52" s="251">
        <f>G50*9</f>
        <v>188.78760399999999</v>
      </c>
      <c r="H52" s="252"/>
      <c r="I52" s="68">
        <f>I49*4.1</f>
        <v>389.21656335555542</v>
      </c>
      <c r="J52" s="253"/>
      <c r="K52" s="253"/>
      <c r="L52" s="231"/>
      <c r="M52" s="231"/>
      <c r="N52" s="299"/>
      <c r="O52" s="158"/>
      <c r="P52" s="341"/>
      <c r="Q52" s="342"/>
      <c r="R52" s="342"/>
      <c r="S52" s="342"/>
      <c r="T52" s="337"/>
      <c r="U52" s="337"/>
      <c r="V52" s="337"/>
    </row>
    <row r="53" spans="1:22" ht="21" customHeight="1">
      <c r="A53" s="256" t="s">
        <v>70</v>
      </c>
      <c r="B53" s="257"/>
      <c r="C53" s="248" t="s">
        <v>58</v>
      </c>
      <c r="D53" s="250"/>
      <c r="E53" s="260">
        <f>E52*100/D49</f>
        <v>17.392747785967916</v>
      </c>
      <c r="F53" s="261"/>
      <c r="G53" s="260">
        <f>G52*100/D49</f>
        <v>27.007311822854124</v>
      </c>
      <c r="H53" s="261"/>
      <c r="I53" s="86">
        <f>I52*100/D49</f>
        <v>55.679996305070659</v>
      </c>
      <c r="J53" s="254"/>
      <c r="K53" s="254"/>
      <c r="L53" s="231"/>
      <c r="M53" s="231"/>
      <c r="N53" s="299"/>
      <c r="O53" s="158"/>
      <c r="P53" s="337"/>
      <c r="Q53" s="343"/>
      <c r="R53" s="337"/>
      <c r="S53" s="337"/>
      <c r="T53" s="337"/>
      <c r="U53" s="337"/>
      <c r="V53" s="337"/>
    </row>
    <row r="54" spans="1:22" ht="21" customHeight="1">
      <c r="A54" s="258"/>
      <c r="B54" s="259"/>
      <c r="C54" s="248" t="s">
        <v>71</v>
      </c>
      <c r="D54" s="250"/>
      <c r="E54" s="248" t="s">
        <v>72</v>
      </c>
      <c r="F54" s="250"/>
      <c r="G54" s="248" t="s">
        <v>73</v>
      </c>
      <c r="H54" s="250"/>
      <c r="I54" s="330" t="s">
        <v>74</v>
      </c>
      <c r="J54" s="255"/>
      <c r="K54" s="255"/>
      <c r="L54" s="231"/>
      <c r="M54" s="231"/>
      <c r="N54" s="299"/>
      <c r="O54" s="158"/>
      <c r="P54" s="84"/>
    </row>
    <row r="55" spans="1:22" ht="21" customHeight="1">
      <c r="A55" s="70"/>
      <c r="B55" s="71"/>
      <c r="C55" s="70"/>
      <c r="D55" s="70"/>
      <c r="E55" s="70"/>
      <c r="F55" s="70"/>
      <c r="G55" s="70"/>
      <c r="H55" s="70"/>
      <c r="I55" s="70"/>
      <c r="J55" s="70"/>
      <c r="K55" s="70"/>
      <c r="L55" s="72"/>
      <c r="M55" s="72"/>
      <c r="N55" s="73"/>
      <c r="O55" s="158"/>
    </row>
    <row r="56" spans="1:22" ht="21" customHeight="1">
      <c r="A56" s="245" t="s">
        <v>100</v>
      </c>
      <c r="B56" s="245"/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158"/>
    </row>
    <row r="57" spans="1:22" ht="21" customHeight="1">
      <c r="A57" s="87" t="s">
        <v>101</v>
      </c>
      <c r="B57" s="246" t="s">
        <v>102</v>
      </c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158"/>
    </row>
    <row r="58" spans="1:22" ht="21" customHeight="1">
      <c r="A58" s="88"/>
      <c r="B58" s="247" t="s">
        <v>199</v>
      </c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158"/>
    </row>
    <row r="59" spans="1:22" ht="21" customHeight="1">
      <c r="A59" s="88"/>
      <c r="B59" s="247" t="s">
        <v>172</v>
      </c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158"/>
    </row>
    <row r="60" spans="1:22" ht="21" customHeight="1">
      <c r="A60" s="88"/>
      <c r="B60" s="247" t="s">
        <v>143</v>
      </c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158"/>
    </row>
    <row r="61" spans="1:22" ht="21" customHeight="1">
      <c r="A61" s="70"/>
      <c r="B61" s="262" t="s">
        <v>107</v>
      </c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158"/>
    </row>
    <row r="62" spans="1:22" ht="21" customHeight="1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89"/>
      <c r="M62" s="89"/>
      <c r="N62" s="90"/>
      <c r="O62" s="158"/>
    </row>
    <row r="63" spans="1:22" ht="21" customHeight="1">
      <c r="A63" s="263" t="s">
        <v>60</v>
      </c>
      <c r="B63" s="263"/>
      <c r="C63" s="263"/>
      <c r="D63" s="263"/>
      <c r="E63" s="332"/>
      <c r="F63" s="332"/>
      <c r="G63" s="332"/>
      <c r="H63" s="332"/>
      <c r="I63" s="332"/>
      <c r="J63" s="333" t="s">
        <v>36</v>
      </c>
      <c r="K63" s="333"/>
      <c r="L63" s="333"/>
      <c r="M63" s="333"/>
      <c r="N63" s="333"/>
      <c r="O63" s="158"/>
    </row>
    <row r="64" spans="1:22" ht="21" customHeight="1">
      <c r="A64" s="163"/>
      <c r="B64" s="163"/>
      <c r="C64" s="163"/>
      <c r="D64" s="332"/>
      <c r="E64" s="332"/>
      <c r="F64" s="332"/>
      <c r="G64" s="332"/>
      <c r="H64" s="334"/>
      <c r="I64" s="334"/>
      <c r="J64" s="334"/>
      <c r="K64" s="334"/>
      <c r="L64" s="334"/>
      <c r="M64" s="334"/>
      <c r="N64" s="334"/>
      <c r="O64" s="158"/>
    </row>
    <row r="65" spans="1:22" ht="21" customHeight="1">
      <c r="A65" s="163"/>
      <c r="B65" s="163"/>
      <c r="C65" s="163"/>
      <c r="D65" s="332"/>
      <c r="E65" s="332"/>
      <c r="F65" s="332"/>
      <c r="G65" s="332"/>
      <c r="H65" s="334"/>
      <c r="I65" s="334"/>
      <c r="J65" s="334"/>
      <c r="K65" s="334"/>
      <c r="L65" s="334"/>
      <c r="M65" s="334"/>
      <c r="N65" s="334"/>
      <c r="O65" s="158"/>
    </row>
    <row r="66" spans="1:22" ht="21" customHeight="1">
      <c r="A66" s="163"/>
      <c r="B66" s="163"/>
      <c r="C66" s="163"/>
      <c r="D66" s="332"/>
      <c r="E66" s="332"/>
      <c r="F66" s="332"/>
      <c r="G66" s="332"/>
      <c r="H66" s="334"/>
      <c r="I66" s="334"/>
      <c r="J66" s="335" t="s">
        <v>103</v>
      </c>
      <c r="K66" s="335"/>
      <c r="L66" s="335"/>
      <c r="M66" s="335"/>
      <c r="N66" s="335"/>
      <c r="O66" s="158"/>
    </row>
    <row r="67" spans="1:22" ht="21" customHeight="1">
      <c r="A67" s="264" t="s">
        <v>84</v>
      </c>
      <c r="B67" s="264"/>
      <c r="C67" s="264"/>
      <c r="D67" s="264"/>
      <c r="E67" s="332"/>
      <c r="F67" s="332"/>
      <c r="G67" s="332"/>
      <c r="H67" s="334"/>
      <c r="I67" s="334"/>
      <c r="O67" s="158"/>
    </row>
    <row r="68" spans="1:22" ht="21" customHeight="1">
      <c r="A68" s="163"/>
      <c r="B68" s="163"/>
      <c r="C68" s="163"/>
      <c r="D68" s="332"/>
      <c r="E68" s="332"/>
      <c r="F68" s="332"/>
      <c r="G68" s="332"/>
      <c r="H68" s="334"/>
      <c r="I68" s="334"/>
      <c r="J68" s="334"/>
      <c r="K68" s="334"/>
      <c r="L68" s="334"/>
      <c r="M68" s="334"/>
      <c r="N68" s="334"/>
      <c r="O68" s="158"/>
      <c r="Q68" s="76"/>
      <c r="R68" s="76"/>
      <c r="S68" s="76"/>
      <c r="T68" s="76"/>
      <c r="U68" s="76"/>
      <c r="V68" s="76"/>
    </row>
    <row r="69" spans="1:22" ht="21" customHeight="1">
      <c r="A69" s="163"/>
      <c r="B69" s="163"/>
      <c r="C69" s="163"/>
      <c r="D69" s="332"/>
      <c r="E69" s="332"/>
      <c r="F69" s="332"/>
      <c r="G69" s="332"/>
      <c r="H69" s="334"/>
      <c r="I69" s="334"/>
      <c r="J69" s="335" t="s">
        <v>114</v>
      </c>
      <c r="K69" s="335"/>
      <c r="L69" s="335"/>
      <c r="M69" s="335"/>
      <c r="N69" s="335"/>
      <c r="O69" s="158"/>
      <c r="Q69" s="76"/>
      <c r="R69" s="76"/>
      <c r="S69" s="76"/>
      <c r="T69" s="76"/>
      <c r="U69" s="76"/>
      <c r="V69" s="76"/>
    </row>
    <row r="70" spans="1:22" ht="21" customHeight="1">
      <c r="A70" s="163"/>
      <c r="B70" s="163"/>
      <c r="C70" s="163"/>
      <c r="D70" s="332"/>
      <c r="E70" s="332"/>
      <c r="F70" s="332"/>
      <c r="G70" s="332"/>
      <c r="H70" s="334"/>
      <c r="I70" s="334"/>
      <c r="J70" s="334"/>
      <c r="K70" s="334"/>
      <c r="L70" s="334"/>
      <c r="M70" s="334"/>
      <c r="N70" s="334"/>
      <c r="O70" s="158"/>
      <c r="Q70" s="76"/>
      <c r="R70" s="76"/>
      <c r="S70" s="76"/>
      <c r="T70" s="76"/>
      <c r="U70" s="76"/>
      <c r="V70" s="76"/>
    </row>
    <row r="71" spans="1:22" ht="21" customHeight="1">
      <c r="A71" s="163"/>
      <c r="B71" s="163"/>
      <c r="C71" s="163"/>
      <c r="D71" s="332"/>
      <c r="E71" s="332"/>
      <c r="F71" s="332"/>
      <c r="G71" s="332"/>
      <c r="H71" s="334"/>
      <c r="I71" s="334"/>
      <c r="J71" s="334"/>
      <c r="K71" s="334"/>
      <c r="L71" s="334"/>
      <c r="M71" s="334"/>
      <c r="N71" s="334"/>
      <c r="O71" s="158"/>
      <c r="Q71" s="76"/>
      <c r="R71" s="76"/>
      <c r="S71" s="76"/>
      <c r="T71" s="76"/>
      <c r="U71" s="76"/>
      <c r="V71" s="76"/>
    </row>
    <row r="72" spans="1:22" ht="21" customHeight="1">
      <c r="A72" s="163"/>
      <c r="B72" s="163"/>
      <c r="C72" s="163"/>
      <c r="D72" s="332"/>
      <c r="E72" s="332"/>
      <c r="F72" s="332"/>
      <c r="G72" s="332"/>
      <c r="H72" s="334"/>
      <c r="I72" s="334"/>
      <c r="J72" s="334"/>
      <c r="K72" s="334"/>
      <c r="L72" s="334"/>
      <c r="M72" s="334"/>
      <c r="N72" s="334"/>
      <c r="O72" s="158"/>
      <c r="Q72" s="76"/>
      <c r="R72" s="76"/>
      <c r="S72" s="76"/>
      <c r="T72" s="76"/>
      <c r="U72" s="76"/>
      <c r="V72" s="76"/>
    </row>
    <row r="73" spans="1:22" ht="21" customHeight="1">
      <c r="A73" s="163"/>
      <c r="B73" s="163"/>
      <c r="C73" s="163"/>
      <c r="D73" s="332"/>
      <c r="E73" s="332"/>
      <c r="F73" s="332"/>
      <c r="G73" s="332"/>
      <c r="H73" s="334"/>
      <c r="I73" s="334"/>
      <c r="J73" s="334"/>
      <c r="K73" s="334"/>
      <c r="L73" s="334"/>
      <c r="M73" s="334"/>
      <c r="N73" s="334"/>
      <c r="O73" s="158"/>
      <c r="Q73" s="76"/>
      <c r="R73" s="76"/>
      <c r="S73" s="76"/>
      <c r="T73" s="76"/>
      <c r="U73" s="76"/>
      <c r="V73" s="76"/>
    </row>
    <row r="74" spans="1:22" ht="21" customHeight="1">
      <c r="A74" s="163"/>
      <c r="B74" s="163"/>
      <c r="C74" s="163"/>
      <c r="D74" s="332"/>
      <c r="E74" s="332"/>
      <c r="F74" s="332"/>
      <c r="G74" s="332"/>
      <c r="H74" s="334"/>
      <c r="I74" s="334"/>
      <c r="J74" s="334"/>
      <c r="K74" s="334"/>
      <c r="L74" s="334"/>
      <c r="M74" s="334"/>
      <c r="N74" s="334"/>
      <c r="O74" s="158"/>
      <c r="Q74" s="76"/>
      <c r="R74" s="76"/>
      <c r="S74" s="76"/>
      <c r="T74" s="76"/>
      <c r="U74" s="76"/>
      <c r="V74" s="76"/>
    </row>
    <row r="75" spans="1:22" ht="21" customHeight="1">
      <c r="A75" s="163"/>
      <c r="B75" s="163"/>
      <c r="C75" s="163"/>
      <c r="D75" s="332"/>
      <c r="E75" s="332"/>
      <c r="F75" s="332"/>
      <c r="G75" s="332"/>
      <c r="H75" s="334"/>
      <c r="I75" s="334"/>
      <c r="J75" s="334"/>
      <c r="K75" s="334"/>
      <c r="L75" s="334"/>
      <c r="M75" s="334"/>
      <c r="N75" s="334"/>
      <c r="O75" s="158"/>
      <c r="Q75" s="76"/>
      <c r="R75" s="76"/>
      <c r="S75" s="76"/>
      <c r="T75" s="76"/>
      <c r="U75" s="76"/>
      <c r="V75" s="76"/>
    </row>
    <row r="76" spans="1:22" ht="21" customHeight="1">
      <c r="A76" s="163"/>
      <c r="B76" s="163"/>
      <c r="C76" s="163"/>
      <c r="D76" s="332"/>
      <c r="E76" s="332"/>
      <c r="F76" s="332"/>
      <c r="G76" s="332"/>
      <c r="H76" s="334"/>
      <c r="I76" s="334"/>
      <c r="J76" s="334"/>
      <c r="K76" s="334"/>
      <c r="L76" s="334"/>
      <c r="M76" s="334"/>
      <c r="N76" s="334"/>
      <c r="O76" s="158"/>
      <c r="Q76" s="76"/>
      <c r="R76" s="76"/>
      <c r="S76" s="76"/>
      <c r="T76" s="76"/>
      <c r="U76" s="76"/>
      <c r="V76" s="76"/>
    </row>
    <row r="77" spans="1:22" ht="21" customHeight="1">
      <c r="A77" s="163"/>
      <c r="B77" s="163"/>
      <c r="C77" s="163"/>
      <c r="D77" s="332"/>
      <c r="E77" s="332"/>
      <c r="F77" s="332"/>
      <c r="G77" s="332"/>
      <c r="H77" s="334"/>
      <c r="I77" s="334"/>
      <c r="J77" s="334"/>
      <c r="K77" s="334"/>
      <c r="L77" s="334"/>
      <c r="M77" s="334"/>
      <c r="N77" s="334"/>
      <c r="O77" s="158"/>
      <c r="Q77" s="76"/>
      <c r="R77" s="76"/>
      <c r="S77" s="76"/>
      <c r="T77" s="76"/>
      <c r="U77" s="76"/>
      <c r="V77" s="76"/>
    </row>
    <row r="78" spans="1:22" ht="19.2" customHeight="1">
      <c r="A78" s="10" t="s">
        <v>59</v>
      </c>
      <c r="B78" s="7"/>
      <c r="C78" s="7"/>
      <c r="D78" s="7"/>
      <c r="E78" s="7"/>
      <c r="F78" s="185" t="s">
        <v>31</v>
      </c>
      <c r="G78" s="185"/>
      <c r="H78" s="185"/>
      <c r="I78" s="185"/>
      <c r="J78" s="185"/>
      <c r="K78" s="185"/>
      <c r="L78" s="185"/>
      <c r="M78" s="185"/>
      <c r="N78" s="185"/>
      <c r="O78" s="152"/>
      <c r="P78" s="152"/>
      <c r="T78" s="2"/>
    </row>
    <row r="79" spans="1:22" ht="19.2" customHeight="1">
      <c r="A79" s="7" t="s">
        <v>198</v>
      </c>
      <c r="B79" s="7"/>
      <c r="C79" s="7"/>
      <c r="D79" s="7"/>
      <c r="E79" s="7"/>
      <c r="F79" s="166"/>
      <c r="G79" s="166"/>
      <c r="H79" s="166"/>
      <c r="I79" s="166"/>
      <c r="J79" s="166"/>
      <c r="K79" s="166"/>
      <c r="L79" s="166"/>
      <c r="M79" s="166"/>
      <c r="N79" s="166"/>
      <c r="O79" s="152"/>
      <c r="P79" s="152"/>
      <c r="T79" s="2"/>
    </row>
    <row r="80" spans="1:22" s="2" customFormat="1" ht="19.2" customHeight="1">
      <c r="A80" s="186" t="s">
        <v>95</v>
      </c>
      <c r="B80" s="186"/>
      <c r="C80" s="186"/>
      <c r="D80" s="186"/>
      <c r="E80" s="186" t="s">
        <v>82</v>
      </c>
      <c r="F80" s="186"/>
      <c r="G80" s="186"/>
      <c r="H80" s="186"/>
      <c r="I80" s="186"/>
      <c r="J80" s="186"/>
      <c r="K80" s="186"/>
      <c r="L80" s="186"/>
      <c r="M80" s="186"/>
      <c r="N80" s="186"/>
      <c r="O80" s="153"/>
    </row>
    <row r="81" spans="1:20" s="2" customFormat="1" ht="19.2" customHeight="1">
      <c r="A81" s="186"/>
      <c r="B81" s="186"/>
      <c r="C81" s="186"/>
      <c r="D81" s="186"/>
      <c r="E81" s="186" t="s">
        <v>94</v>
      </c>
      <c r="F81" s="186"/>
      <c r="G81" s="186"/>
      <c r="H81" s="186"/>
      <c r="I81" s="186"/>
      <c r="J81" s="186" t="s">
        <v>96</v>
      </c>
      <c r="K81" s="186"/>
      <c r="L81" s="186"/>
      <c r="M81" s="186"/>
      <c r="N81" s="186"/>
      <c r="O81" s="153"/>
    </row>
    <row r="82" spans="1:20" s="2" customFormat="1" ht="19.2" customHeight="1">
      <c r="A82" s="187" t="s">
        <v>83</v>
      </c>
      <c r="B82" s="187"/>
      <c r="C82" s="187"/>
      <c r="D82" s="187"/>
      <c r="E82" s="188" t="s">
        <v>132</v>
      </c>
      <c r="F82" s="188"/>
      <c r="G82" s="188"/>
      <c r="H82" s="188"/>
      <c r="I82" s="188"/>
      <c r="J82" s="265" t="s">
        <v>83</v>
      </c>
      <c r="K82" s="266"/>
      <c r="L82" s="266"/>
      <c r="M82" s="266"/>
      <c r="N82" s="267"/>
      <c r="O82" s="153"/>
    </row>
    <row r="83" spans="1:20" s="2" customFormat="1" ht="19.2" customHeight="1">
      <c r="A83" s="294" t="s">
        <v>130</v>
      </c>
      <c r="B83" s="295"/>
      <c r="C83" s="295"/>
      <c r="D83" s="296"/>
      <c r="E83" s="188"/>
      <c r="F83" s="188"/>
      <c r="G83" s="188"/>
      <c r="H83" s="188"/>
      <c r="I83" s="188"/>
      <c r="J83" s="202" t="s">
        <v>145</v>
      </c>
      <c r="K83" s="203"/>
      <c r="L83" s="203"/>
      <c r="M83" s="203"/>
      <c r="N83" s="204"/>
      <c r="O83" s="153"/>
    </row>
    <row r="84" spans="1:20" s="2" customFormat="1" ht="19.2" customHeight="1">
      <c r="A84" s="199" t="s">
        <v>173</v>
      </c>
      <c r="B84" s="199"/>
      <c r="C84" s="199"/>
      <c r="D84" s="199"/>
      <c r="E84" s="188"/>
      <c r="F84" s="188"/>
      <c r="G84" s="188"/>
      <c r="H84" s="188"/>
      <c r="I84" s="188"/>
      <c r="J84" s="268" t="s">
        <v>169</v>
      </c>
      <c r="K84" s="269"/>
      <c r="L84" s="269"/>
      <c r="M84" s="269"/>
      <c r="N84" s="270"/>
      <c r="O84" s="153"/>
    </row>
    <row r="85" spans="1:20" ht="19.2" customHeight="1">
      <c r="A85" s="292" t="s">
        <v>110</v>
      </c>
      <c r="B85" s="292"/>
      <c r="C85" s="290">
        <v>57</v>
      </c>
      <c r="D85" s="290"/>
      <c r="E85" s="7"/>
      <c r="F85" s="166"/>
      <c r="G85" s="166"/>
      <c r="H85" s="166"/>
      <c r="I85" s="166"/>
      <c r="J85" s="166"/>
      <c r="K85" s="166"/>
      <c r="L85" s="166"/>
      <c r="M85" s="166"/>
      <c r="N85" s="166"/>
      <c r="O85" s="152"/>
      <c r="P85" s="152"/>
      <c r="T85" s="2"/>
    </row>
    <row r="86" spans="1:20" ht="19.2" customHeight="1">
      <c r="A86" s="172" t="s">
        <v>0</v>
      </c>
      <c r="B86" s="175" t="s">
        <v>19</v>
      </c>
      <c r="C86" s="178" t="s">
        <v>8</v>
      </c>
      <c r="D86" s="178" t="s">
        <v>9</v>
      </c>
      <c r="E86" s="181" t="s">
        <v>11</v>
      </c>
      <c r="F86" s="182"/>
      <c r="G86" s="181" t="s">
        <v>13</v>
      </c>
      <c r="H86" s="182"/>
      <c r="I86" s="200" t="s">
        <v>16</v>
      </c>
      <c r="J86" s="200" t="s">
        <v>32</v>
      </c>
      <c r="K86" s="200" t="s">
        <v>33</v>
      </c>
      <c r="L86" s="200" t="s">
        <v>17</v>
      </c>
      <c r="M86" s="200" t="s">
        <v>34</v>
      </c>
      <c r="N86" s="172" t="s">
        <v>18</v>
      </c>
      <c r="O86" s="154"/>
    </row>
    <row r="87" spans="1:20" ht="19.2" customHeight="1">
      <c r="A87" s="173"/>
      <c r="B87" s="176"/>
      <c r="C87" s="179"/>
      <c r="D87" s="179"/>
      <c r="E87" s="183"/>
      <c r="F87" s="184"/>
      <c r="G87" s="183"/>
      <c r="H87" s="184"/>
      <c r="I87" s="208"/>
      <c r="J87" s="208"/>
      <c r="K87" s="208"/>
      <c r="L87" s="208"/>
      <c r="M87" s="208"/>
      <c r="N87" s="173"/>
      <c r="O87" s="163"/>
    </row>
    <row r="88" spans="1:20" ht="19.2" customHeight="1">
      <c r="A88" s="173"/>
      <c r="B88" s="176"/>
      <c r="C88" s="179"/>
      <c r="D88" s="179"/>
      <c r="E88" s="200" t="s">
        <v>10</v>
      </c>
      <c r="F88" s="200" t="s">
        <v>12</v>
      </c>
      <c r="G88" s="200" t="s">
        <v>14</v>
      </c>
      <c r="H88" s="200" t="s">
        <v>15</v>
      </c>
      <c r="I88" s="208"/>
      <c r="J88" s="208"/>
      <c r="K88" s="208"/>
      <c r="L88" s="208"/>
      <c r="M88" s="208"/>
      <c r="N88" s="173"/>
      <c r="O88" s="163"/>
    </row>
    <row r="89" spans="1:20" ht="30.6" customHeight="1">
      <c r="A89" s="174"/>
      <c r="B89" s="177"/>
      <c r="C89" s="180"/>
      <c r="D89" s="180"/>
      <c r="E89" s="201"/>
      <c r="F89" s="201"/>
      <c r="G89" s="201"/>
      <c r="H89" s="201"/>
      <c r="I89" s="201"/>
      <c r="J89" s="201"/>
      <c r="K89" s="201"/>
      <c r="L89" s="201"/>
      <c r="M89" s="201"/>
      <c r="N89" s="174"/>
      <c r="O89" s="163"/>
    </row>
    <row r="90" spans="1:20" ht="17.399999999999999" customHeight="1">
      <c r="A90" s="205" t="s">
        <v>42</v>
      </c>
      <c r="B90" s="206"/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7"/>
      <c r="O90" s="163"/>
    </row>
    <row r="91" spans="1:20" s="2" customFormat="1" ht="17.399999999999999" customHeight="1">
      <c r="A91" s="8">
        <v>1</v>
      </c>
      <c r="B91" s="9" t="s">
        <v>2</v>
      </c>
      <c r="C91" s="12">
        <f>L91/100*100</f>
        <v>80</v>
      </c>
      <c r="D91" s="13">
        <f>C91/100*60</f>
        <v>48</v>
      </c>
      <c r="E91" s="14">
        <f>C91/100*15</f>
        <v>12</v>
      </c>
      <c r="F91" s="14"/>
      <c r="G91" s="14"/>
      <c r="H91" s="14"/>
      <c r="I91" s="14"/>
      <c r="J91" s="22">
        <f>C91/100*387</f>
        <v>309.60000000000002</v>
      </c>
      <c r="K91" s="22">
        <f>C91/100*0.09</f>
        <v>7.1999999999999995E-2</v>
      </c>
      <c r="L91" s="111">
        <v>80</v>
      </c>
      <c r="M91" s="20">
        <v>20</v>
      </c>
      <c r="N91" s="16">
        <f>L91*M91</f>
        <v>1600</v>
      </c>
      <c r="O91" s="155"/>
    </row>
    <row r="92" spans="1:20" s="2" customFormat="1" ht="17.399999999999999" customHeight="1">
      <c r="A92" s="8">
        <v>2</v>
      </c>
      <c r="B92" s="128" t="s">
        <v>121</v>
      </c>
      <c r="C92" s="12">
        <f>L92/100*100</f>
        <v>290</v>
      </c>
      <c r="D92" s="13">
        <f>C92/100*899</f>
        <v>2607.1</v>
      </c>
      <c r="E92" s="14"/>
      <c r="F92" s="14"/>
      <c r="G92" s="14">
        <f>C92/100*100</f>
        <v>290</v>
      </c>
      <c r="H92" s="14"/>
      <c r="I92" s="14"/>
      <c r="J92" s="22"/>
      <c r="K92" s="22"/>
      <c r="L92" s="111">
        <v>290</v>
      </c>
      <c r="M92" s="110">
        <v>69</v>
      </c>
      <c r="N92" s="113">
        <f t="shared" ref="N92:N101" si="6">L92*M92</f>
        <v>20010</v>
      </c>
      <c r="O92" s="155"/>
    </row>
    <row r="93" spans="1:20" s="2" customFormat="1" ht="17.399999999999999" customHeight="1">
      <c r="A93" s="8">
        <v>3</v>
      </c>
      <c r="B93" s="128" t="s">
        <v>126</v>
      </c>
      <c r="C93" s="12">
        <f t="shared" ref="C93" si="7">L93/100*100</f>
        <v>140</v>
      </c>
      <c r="D93" s="65">
        <f>C93/100*900</f>
        <v>1260</v>
      </c>
      <c r="E93" s="14"/>
      <c r="F93" s="14"/>
      <c r="G93" s="91"/>
      <c r="H93" s="14">
        <f>C93/100*100</f>
        <v>140</v>
      </c>
      <c r="I93" s="14"/>
      <c r="J93" s="14"/>
      <c r="K93" s="14"/>
      <c r="L93" s="111">
        <v>140</v>
      </c>
      <c r="M93" s="65">
        <v>65</v>
      </c>
      <c r="N93" s="93">
        <f t="shared" si="6"/>
        <v>9100</v>
      </c>
      <c r="O93" s="157"/>
    </row>
    <row r="94" spans="1:20" s="2" customFormat="1" ht="17.399999999999999" customHeight="1">
      <c r="A94" s="8">
        <v>4</v>
      </c>
      <c r="B94" s="9" t="s">
        <v>119</v>
      </c>
      <c r="C94" s="12">
        <f>L94/100*100</f>
        <v>340</v>
      </c>
      <c r="D94" s="13">
        <f>C94/100*53</f>
        <v>180.2</v>
      </c>
      <c r="E94" s="14"/>
      <c r="F94" s="14">
        <f>C94/100*6.3</f>
        <v>21.419999999999998</v>
      </c>
      <c r="G94" s="14"/>
      <c r="H94" s="14">
        <f>C94/100*0.04</f>
        <v>0.13600000000000001</v>
      </c>
      <c r="I94" s="14">
        <f>C94/100*6.8</f>
        <v>23.119999999999997</v>
      </c>
      <c r="J94" s="22">
        <f>C94/100*19</f>
        <v>64.599999999999994</v>
      </c>
      <c r="K94" s="22">
        <f>C94/100*0.03</f>
        <v>0.10199999999999999</v>
      </c>
      <c r="L94" s="111">
        <v>340</v>
      </c>
      <c r="M94" s="20">
        <v>45</v>
      </c>
      <c r="N94" s="16">
        <f t="shared" si="6"/>
        <v>15300</v>
      </c>
      <c r="O94" s="156"/>
    </row>
    <row r="95" spans="1:20" s="2" customFormat="1" ht="17.399999999999999" customHeight="1">
      <c r="A95" s="8">
        <v>5</v>
      </c>
      <c r="B95" s="9" t="s">
        <v>129</v>
      </c>
      <c r="C95" s="12">
        <f>L95/100*90</f>
        <v>54</v>
      </c>
      <c r="D95" s="13">
        <f>C95/100*281</f>
        <v>151.74</v>
      </c>
      <c r="E95" s="14"/>
      <c r="F95" s="14">
        <f>C95/100*9.5</f>
        <v>5.1300000000000008</v>
      </c>
      <c r="G95" s="14"/>
      <c r="H95" s="14">
        <f>C95/100*0.2</f>
        <v>0.10800000000000001</v>
      </c>
      <c r="I95" s="14">
        <f>D95/100*58.5</f>
        <v>88.767900000000012</v>
      </c>
      <c r="J95" s="22">
        <f>C95/100*321</f>
        <v>173.34</v>
      </c>
      <c r="K95" s="22">
        <f>C95/100*0.14</f>
        <v>7.5600000000000014E-2</v>
      </c>
      <c r="L95" s="111">
        <v>60</v>
      </c>
      <c r="M95" s="43">
        <v>120</v>
      </c>
      <c r="N95" s="16">
        <f t="shared" si="6"/>
        <v>7200</v>
      </c>
      <c r="O95" s="156"/>
    </row>
    <row r="96" spans="1:20" s="2" customFormat="1" ht="17.399999999999999" customHeight="1">
      <c r="A96" s="8">
        <v>6</v>
      </c>
      <c r="B96" s="5" t="s">
        <v>1</v>
      </c>
      <c r="C96" s="12">
        <f>L96/100*100</f>
        <v>2451</v>
      </c>
      <c r="D96" s="13">
        <f>C96/100*344</f>
        <v>8431.44</v>
      </c>
      <c r="E96" s="14"/>
      <c r="F96" s="14">
        <f>C96/100*7.9</f>
        <v>193.62900000000002</v>
      </c>
      <c r="G96" s="14"/>
      <c r="H96" s="14">
        <f>C96/100*1</f>
        <v>24.51</v>
      </c>
      <c r="I96" s="91">
        <f>C96/100*72.45</f>
        <v>1775.7495000000001</v>
      </c>
      <c r="J96" s="22">
        <f>C96/100*30</f>
        <v>735.30000000000007</v>
      </c>
      <c r="K96" s="22">
        <f>C96/100*0.1</f>
        <v>2.4510000000000005</v>
      </c>
      <c r="L96" s="111">
        <v>2451</v>
      </c>
      <c r="M96" s="20">
        <v>18</v>
      </c>
      <c r="N96" s="16">
        <f t="shared" si="6"/>
        <v>44118</v>
      </c>
      <c r="O96" s="155"/>
    </row>
    <row r="97" spans="1:23" s="2" customFormat="1" ht="17.399999999999999" customHeight="1">
      <c r="A97" s="8">
        <v>7</v>
      </c>
      <c r="B97" s="9" t="s">
        <v>66</v>
      </c>
      <c r="C97" s="12">
        <f>L97/100*98</f>
        <v>2410.8000000000002</v>
      </c>
      <c r="D97" s="13">
        <f>C97/100*139</f>
        <v>3351.0120000000002</v>
      </c>
      <c r="E97" s="14">
        <f>C97/100*19</f>
        <v>458.05200000000002</v>
      </c>
      <c r="F97" s="14"/>
      <c r="G97" s="14">
        <f>C97/100*7</f>
        <v>168.756</v>
      </c>
      <c r="H97" s="14"/>
      <c r="I97" s="14"/>
      <c r="J97" s="22">
        <f>C97/100*7</f>
        <v>168.756</v>
      </c>
      <c r="K97" s="22">
        <f>C97/100*0.9</f>
        <v>21.697200000000002</v>
      </c>
      <c r="L97" s="111">
        <v>2460</v>
      </c>
      <c r="M97" s="42">
        <v>133</v>
      </c>
      <c r="N97" s="44">
        <f t="shared" si="6"/>
        <v>327180</v>
      </c>
      <c r="O97" s="155"/>
    </row>
    <row r="98" spans="1:23" s="2" customFormat="1" ht="17.399999999999999" customHeight="1">
      <c r="A98" s="8">
        <v>8</v>
      </c>
      <c r="B98" s="5" t="s">
        <v>3</v>
      </c>
      <c r="C98" s="12">
        <f>L98/100*48</f>
        <v>768</v>
      </c>
      <c r="D98" s="13">
        <f>C98/100*199</f>
        <v>1528.32</v>
      </c>
      <c r="E98" s="14">
        <f>C98/100*20.3</f>
        <v>155.904</v>
      </c>
      <c r="F98" s="14"/>
      <c r="G98" s="14">
        <f>C98/100*13.1</f>
        <v>100.60799999999999</v>
      </c>
      <c r="H98" s="14"/>
      <c r="I98" s="14"/>
      <c r="J98" s="22">
        <f>C98/100*12</f>
        <v>92.16</v>
      </c>
      <c r="K98" s="22">
        <f>C98/100*0.15</f>
        <v>1.1519999999999999</v>
      </c>
      <c r="L98" s="111">
        <v>1600</v>
      </c>
      <c r="M98" s="15">
        <v>84</v>
      </c>
      <c r="N98" s="16">
        <f t="shared" si="6"/>
        <v>134400</v>
      </c>
      <c r="O98" s="155"/>
      <c r="Q98" s="3"/>
      <c r="R98" s="3"/>
      <c r="S98" s="4"/>
    </row>
    <row r="99" spans="1:23" s="2" customFormat="1" ht="17.399999999999999" customHeight="1">
      <c r="A99" s="8">
        <v>9</v>
      </c>
      <c r="B99" s="5" t="s">
        <v>68</v>
      </c>
      <c r="C99" s="12">
        <f>L99/100*75</f>
        <v>450</v>
      </c>
      <c r="D99" s="13">
        <f>C99/100*12</f>
        <v>54</v>
      </c>
      <c r="E99" s="17"/>
      <c r="F99" s="17">
        <f>C99/100*0.6</f>
        <v>2.6999999999999997</v>
      </c>
      <c r="G99" s="17"/>
      <c r="H99" s="17"/>
      <c r="I99" s="17">
        <f>C99/100*2.4</f>
        <v>10.799999999999999</v>
      </c>
      <c r="J99" s="14">
        <f>C99/100*120</f>
        <v>540</v>
      </c>
      <c r="K99" s="22">
        <f>C99/100*0.02</f>
        <v>0.09</v>
      </c>
      <c r="L99" s="324">
        <v>600</v>
      </c>
      <c r="M99" s="20">
        <v>22</v>
      </c>
      <c r="N99" s="16">
        <f t="shared" si="6"/>
        <v>13200</v>
      </c>
      <c r="O99" s="155"/>
      <c r="P99" s="3"/>
    </row>
    <row r="100" spans="1:23" s="2" customFormat="1" ht="17.399999999999999" customHeight="1">
      <c r="A100" s="8">
        <v>10</v>
      </c>
      <c r="B100" s="5" t="s">
        <v>5</v>
      </c>
      <c r="C100" s="12">
        <f>L100/100*98.5</f>
        <v>453.09999999999997</v>
      </c>
      <c r="D100" s="13">
        <f>C100/100*39</f>
        <v>176.70899999999997</v>
      </c>
      <c r="E100" s="17"/>
      <c r="F100" s="17">
        <f>C100/100*1.5</f>
        <v>6.7965</v>
      </c>
      <c r="G100" s="17"/>
      <c r="H100" s="17">
        <f>C100/100*0.2</f>
        <v>0.90620000000000001</v>
      </c>
      <c r="I100" s="17">
        <f>C100/100*7.8</f>
        <v>35.341799999999999</v>
      </c>
      <c r="J100" s="21">
        <f>C100/100*43</f>
        <v>194.833</v>
      </c>
      <c r="K100" s="21">
        <f>C100/100*0.06</f>
        <v>0.27185999999999999</v>
      </c>
      <c r="L100" s="324">
        <v>460</v>
      </c>
      <c r="M100" s="15">
        <v>17</v>
      </c>
      <c r="N100" s="16">
        <f t="shared" si="6"/>
        <v>7820</v>
      </c>
      <c r="O100" s="155"/>
      <c r="Q100" s="3"/>
      <c r="R100" s="3"/>
      <c r="S100" s="4"/>
    </row>
    <row r="101" spans="1:23" s="2" customFormat="1" ht="17.399999999999999" customHeight="1">
      <c r="A101" s="8">
        <v>11</v>
      </c>
      <c r="B101" s="5" t="s">
        <v>117</v>
      </c>
      <c r="C101" s="12">
        <f>L101/100*100</f>
        <v>40</v>
      </c>
      <c r="D101" s="13">
        <f>C101/100*247</f>
        <v>98.800000000000011</v>
      </c>
      <c r="E101" s="17"/>
      <c r="F101" s="17">
        <f>C101/100*17.5</f>
        <v>7</v>
      </c>
      <c r="G101" s="17"/>
      <c r="H101" s="17">
        <f>C101/100*1.6</f>
        <v>0.64000000000000012</v>
      </c>
      <c r="I101" s="17">
        <f>C101/100*39.2</f>
        <v>15.680000000000001</v>
      </c>
      <c r="J101" s="21"/>
      <c r="K101" s="21"/>
      <c r="L101" s="324">
        <v>40</v>
      </c>
      <c r="M101" s="20">
        <v>50</v>
      </c>
      <c r="N101" s="113">
        <f t="shared" si="6"/>
        <v>2000</v>
      </c>
      <c r="O101" s="155"/>
      <c r="Q101" s="3"/>
      <c r="R101" s="3"/>
      <c r="S101" s="4"/>
      <c r="T101" s="3"/>
    </row>
    <row r="102" spans="1:23" s="2" customFormat="1" ht="17.399999999999999" customHeight="1">
      <c r="A102" s="8">
        <v>12</v>
      </c>
      <c r="B102" s="9" t="s">
        <v>111</v>
      </c>
      <c r="C102" s="12"/>
      <c r="D102" s="13"/>
      <c r="E102" s="14"/>
      <c r="F102" s="14"/>
      <c r="G102" s="14"/>
      <c r="H102" s="14"/>
      <c r="I102" s="14"/>
      <c r="J102" s="14"/>
      <c r="K102" s="14"/>
      <c r="L102" s="15"/>
      <c r="M102" s="15"/>
      <c r="N102" s="16">
        <v>4000</v>
      </c>
      <c r="O102" s="155"/>
    </row>
    <row r="103" spans="1:23" s="2" customFormat="1" ht="17.399999999999999" customHeight="1">
      <c r="A103" s="23" t="s">
        <v>104</v>
      </c>
      <c r="B103" s="24"/>
      <c r="C103" s="25"/>
      <c r="D103" s="94">
        <f>SUM(D91:D102)</f>
        <v>17887.321</v>
      </c>
      <c r="E103" s="31"/>
      <c r="F103" s="31"/>
      <c r="G103" s="31"/>
      <c r="H103" s="31"/>
      <c r="I103" s="31"/>
      <c r="J103" s="31"/>
      <c r="K103" s="31"/>
      <c r="L103" s="32"/>
      <c r="M103" s="32"/>
      <c r="N103" s="297">
        <f>SUM(N91:N102)</f>
        <v>585928</v>
      </c>
      <c r="O103" s="155"/>
    </row>
    <row r="104" spans="1:23" ht="17.399999999999999" customHeight="1">
      <c r="A104" s="23" t="s">
        <v>43</v>
      </c>
      <c r="B104" s="24"/>
      <c r="C104" s="33"/>
      <c r="D104" s="34">
        <f>D103/C85</f>
        <v>313.81264912280699</v>
      </c>
      <c r="E104" s="34"/>
      <c r="F104" s="34"/>
      <c r="G104" s="34"/>
      <c r="H104" s="34"/>
      <c r="I104" s="34"/>
      <c r="J104" s="34"/>
      <c r="K104" s="34"/>
      <c r="L104" s="35"/>
      <c r="M104" s="35"/>
      <c r="N104" s="298"/>
      <c r="O104" s="4"/>
      <c r="P104" s="2"/>
      <c r="Q104" s="2"/>
      <c r="R104" s="2"/>
      <c r="S104" s="2"/>
      <c r="T104" s="2"/>
      <c r="U104" s="2"/>
      <c r="V104" s="2"/>
      <c r="W104" s="2"/>
    </row>
    <row r="105" spans="1:23" ht="17.399999999999999" customHeight="1">
      <c r="A105" s="300" t="s">
        <v>52</v>
      </c>
      <c r="B105" s="212"/>
      <c r="C105" s="325" t="s">
        <v>133</v>
      </c>
      <c r="D105" s="29" t="s">
        <v>38</v>
      </c>
      <c r="E105" s="34"/>
      <c r="F105" s="34"/>
      <c r="G105" s="34"/>
      <c r="H105" s="34"/>
      <c r="I105" s="34"/>
      <c r="J105" s="36"/>
      <c r="K105" s="36"/>
      <c r="L105" s="35"/>
      <c r="M105" s="35"/>
      <c r="N105" s="168"/>
      <c r="O105" s="4"/>
      <c r="P105" s="2"/>
      <c r="Q105" s="2"/>
      <c r="R105" s="2"/>
      <c r="S105" s="2"/>
      <c r="T105" s="2"/>
      <c r="U105" s="2"/>
      <c r="V105" s="2"/>
      <c r="W105" s="2"/>
    </row>
    <row r="106" spans="1:23" ht="17.399999999999999" customHeight="1">
      <c r="A106" s="213"/>
      <c r="B106" s="214"/>
      <c r="C106" s="62" t="s">
        <v>58</v>
      </c>
      <c r="D106" s="29">
        <f>D104*100/930</f>
        <v>33.743295604602899</v>
      </c>
      <c r="E106" s="34"/>
      <c r="F106" s="34"/>
      <c r="G106" s="34"/>
      <c r="H106" s="34"/>
      <c r="I106" s="34"/>
      <c r="J106" s="36"/>
      <c r="K106" s="36"/>
      <c r="L106" s="35"/>
      <c r="M106" s="35"/>
      <c r="N106" s="168"/>
      <c r="O106" s="4"/>
      <c r="P106" s="2"/>
      <c r="Q106" s="2"/>
      <c r="R106" s="2"/>
      <c r="S106" s="2"/>
      <c r="T106" s="2"/>
      <c r="U106" s="2"/>
      <c r="V106" s="2"/>
      <c r="W106" s="2"/>
    </row>
    <row r="107" spans="1:23" s="2" customFormat="1" ht="17.399999999999999" customHeight="1">
      <c r="A107" s="309" t="s">
        <v>45</v>
      </c>
      <c r="B107" s="215"/>
      <c r="C107" s="45"/>
      <c r="D107" s="46"/>
      <c r="E107" s="47"/>
      <c r="F107" s="47"/>
      <c r="G107" s="47"/>
      <c r="H107" s="47"/>
      <c r="I107" s="47"/>
      <c r="J107" s="47"/>
      <c r="K107" s="47"/>
      <c r="L107" s="48"/>
      <c r="M107" s="48"/>
      <c r="N107" s="49"/>
      <c r="O107" s="155"/>
    </row>
    <row r="108" spans="1:23" s="2" customFormat="1" ht="17.399999999999999" customHeight="1">
      <c r="A108" s="8">
        <v>1</v>
      </c>
      <c r="B108" s="9" t="s">
        <v>2</v>
      </c>
      <c r="C108" s="12">
        <f>L108/100*100</f>
        <v>70</v>
      </c>
      <c r="D108" s="13">
        <f>C108/100*60</f>
        <v>42</v>
      </c>
      <c r="E108" s="14">
        <f>C108/100*15</f>
        <v>10.5</v>
      </c>
      <c r="F108" s="14"/>
      <c r="G108" s="14"/>
      <c r="H108" s="14"/>
      <c r="I108" s="14"/>
      <c r="J108" s="22">
        <f>C108/100*387</f>
        <v>270.89999999999998</v>
      </c>
      <c r="K108" s="22">
        <f>C108/100*0.09</f>
        <v>6.3E-2</v>
      </c>
      <c r="L108" s="111">
        <v>70</v>
      </c>
      <c r="M108" s="20">
        <v>20</v>
      </c>
      <c r="N108" s="16">
        <f>L108*M108</f>
        <v>1400</v>
      </c>
      <c r="O108" s="155"/>
    </row>
    <row r="109" spans="1:23" s="2" customFormat="1" ht="17.399999999999999" customHeight="1">
      <c r="A109" s="8">
        <v>2</v>
      </c>
      <c r="B109" s="9" t="s">
        <v>121</v>
      </c>
      <c r="C109" s="12">
        <f>L109/100*100</f>
        <v>200</v>
      </c>
      <c r="D109" s="13">
        <f>C109/100*899</f>
        <v>1798</v>
      </c>
      <c r="E109" s="14"/>
      <c r="F109" s="14"/>
      <c r="G109" s="14">
        <f>C109/100*100</f>
        <v>200</v>
      </c>
      <c r="H109" s="14"/>
      <c r="I109" s="14"/>
      <c r="J109" s="22"/>
      <c r="K109" s="22"/>
      <c r="L109" s="111">
        <v>200</v>
      </c>
      <c r="M109" s="110">
        <v>69</v>
      </c>
      <c r="N109" s="113">
        <f t="shared" ref="N109:N116" si="8">L109*M109</f>
        <v>13800</v>
      </c>
      <c r="O109" s="155"/>
    </row>
    <row r="110" spans="1:23" s="2" customFormat="1" ht="17.399999999999999" customHeight="1">
      <c r="A110" s="8">
        <v>3</v>
      </c>
      <c r="B110" s="5" t="s">
        <v>1</v>
      </c>
      <c r="C110" s="12">
        <f>L110/100*100</f>
        <v>2394</v>
      </c>
      <c r="D110" s="13">
        <f>C110/100*344</f>
        <v>8235.36</v>
      </c>
      <c r="E110" s="14"/>
      <c r="F110" s="14">
        <f>C110/100*7.9</f>
        <v>189.126</v>
      </c>
      <c r="G110" s="14"/>
      <c r="H110" s="14">
        <f>C110/100*1</f>
        <v>23.94</v>
      </c>
      <c r="I110" s="91">
        <f>C110/100*72.45</f>
        <v>1734.4530000000002</v>
      </c>
      <c r="J110" s="22">
        <f>C110/100*30</f>
        <v>718.2</v>
      </c>
      <c r="K110" s="22">
        <f>C110/100*0.1</f>
        <v>2.3940000000000001</v>
      </c>
      <c r="L110" s="111">
        <v>2394</v>
      </c>
      <c r="M110" s="20">
        <v>18</v>
      </c>
      <c r="N110" s="16">
        <f t="shared" si="8"/>
        <v>43092</v>
      </c>
      <c r="O110" s="155"/>
    </row>
    <row r="111" spans="1:23" s="2" customFormat="1" ht="17.399999999999999" customHeight="1">
      <c r="A111" s="8">
        <v>4</v>
      </c>
      <c r="B111" s="9" t="s">
        <v>123</v>
      </c>
      <c r="C111" s="12">
        <f>L111/100*31</f>
        <v>266.59999999999997</v>
      </c>
      <c r="D111" s="13">
        <f>C111/100*87</f>
        <v>231.94199999999995</v>
      </c>
      <c r="E111" s="14">
        <f>C111/100*12.3</f>
        <v>32.791799999999995</v>
      </c>
      <c r="F111" s="14"/>
      <c r="G111" s="14">
        <f>C111/100*3.3</f>
        <v>8.797799999999997</v>
      </c>
      <c r="H111" s="14"/>
      <c r="I111" s="14">
        <f>C111/100*2</f>
        <v>5.331999999999999</v>
      </c>
      <c r="J111" s="22">
        <f>C111/100*120</f>
        <v>319.91999999999996</v>
      </c>
      <c r="K111" s="22">
        <f>C111/100*0.01</f>
        <v>2.6659999999999996E-2</v>
      </c>
      <c r="L111" s="111">
        <v>860</v>
      </c>
      <c r="M111" s="102">
        <v>160</v>
      </c>
      <c r="N111" s="16">
        <f t="shared" si="8"/>
        <v>137600</v>
      </c>
      <c r="O111" s="155"/>
    </row>
    <row r="112" spans="1:23" s="2" customFormat="1" ht="17.399999999999999" customHeight="1">
      <c r="A112" s="8">
        <v>5</v>
      </c>
      <c r="B112" s="9" t="s">
        <v>63</v>
      </c>
      <c r="C112" s="12">
        <f>L112/100*86</f>
        <v>1470.6000000000001</v>
      </c>
      <c r="D112" s="13">
        <f>C112/100*166</f>
        <v>2441.1960000000004</v>
      </c>
      <c r="E112" s="14">
        <f>C112/100*14.8</f>
        <v>217.64880000000002</v>
      </c>
      <c r="F112" s="14"/>
      <c r="G112" s="14">
        <f>C112/100*11.6</f>
        <v>170.58960000000002</v>
      </c>
      <c r="H112" s="14"/>
      <c r="I112" s="14">
        <f>C112/100*0.5</f>
        <v>7.3530000000000006</v>
      </c>
      <c r="J112" s="14">
        <f>C112/100*55</f>
        <v>808.83</v>
      </c>
      <c r="K112" s="14">
        <f>C112/100*0.16</f>
        <v>2.3529600000000004</v>
      </c>
      <c r="L112" s="111">
        <v>1710</v>
      </c>
      <c r="M112" s="43">
        <v>57</v>
      </c>
      <c r="N112" s="16">
        <f t="shared" si="8"/>
        <v>97470</v>
      </c>
      <c r="O112" s="155"/>
      <c r="Q112" s="3"/>
      <c r="R112" s="3"/>
      <c r="S112" s="4"/>
      <c r="T112" s="3"/>
    </row>
    <row r="113" spans="1:23" s="2" customFormat="1" ht="17.399999999999999" customHeight="1">
      <c r="A113" s="8">
        <v>6</v>
      </c>
      <c r="B113" s="9" t="s">
        <v>66</v>
      </c>
      <c r="C113" s="12">
        <f>L113/100*98</f>
        <v>558.6</v>
      </c>
      <c r="D113" s="13">
        <f>C113/100*139</f>
        <v>776.45400000000006</v>
      </c>
      <c r="E113" s="14">
        <f>C113/100*19</f>
        <v>106.134</v>
      </c>
      <c r="F113" s="14"/>
      <c r="G113" s="14">
        <f>C113/100*7</f>
        <v>39.102000000000004</v>
      </c>
      <c r="H113" s="14"/>
      <c r="I113" s="14"/>
      <c r="J113" s="22">
        <f>C113/100*7</f>
        <v>39.102000000000004</v>
      </c>
      <c r="K113" s="22">
        <f>C113/100*0.9</f>
        <v>5.0274000000000001</v>
      </c>
      <c r="L113" s="111">
        <v>570</v>
      </c>
      <c r="M113" s="42">
        <v>133</v>
      </c>
      <c r="N113" s="44">
        <f t="shared" si="8"/>
        <v>75810</v>
      </c>
      <c r="O113" s="155"/>
    </row>
    <row r="114" spans="1:23" s="2" customFormat="1" ht="17.399999999999999" customHeight="1">
      <c r="A114" s="8">
        <v>7</v>
      </c>
      <c r="B114" s="5" t="s">
        <v>117</v>
      </c>
      <c r="C114" s="12">
        <f>L114/100*100</f>
        <v>40</v>
      </c>
      <c r="D114" s="13">
        <f>C114/100*247</f>
        <v>98.800000000000011</v>
      </c>
      <c r="E114" s="17"/>
      <c r="F114" s="17">
        <f>C114/100*17.5</f>
        <v>7</v>
      </c>
      <c r="G114" s="17"/>
      <c r="H114" s="17">
        <f>C114/100*1.6</f>
        <v>0.64000000000000012</v>
      </c>
      <c r="I114" s="17">
        <f>C114/100*39.2</f>
        <v>15.680000000000001</v>
      </c>
      <c r="J114" s="21"/>
      <c r="K114" s="21"/>
      <c r="L114" s="323">
        <v>40</v>
      </c>
      <c r="M114" s="20">
        <v>50</v>
      </c>
      <c r="N114" s="113">
        <f t="shared" si="8"/>
        <v>2000</v>
      </c>
      <c r="O114" s="155"/>
      <c r="Q114" s="3"/>
      <c r="R114" s="3"/>
      <c r="S114" s="4"/>
      <c r="T114" s="3"/>
    </row>
    <row r="115" spans="1:23" s="118" customFormat="1" ht="17.399999999999999" customHeight="1">
      <c r="A115" s="133">
        <v>8</v>
      </c>
      <c r="B115" s="142" t="s">
        <v>171</v>
      </c>
      <c r="C115" s="134">
        <f>L115/100*63</f>
        <v>1008</v>
      </c>
      <c r="D115" s="135">
        <f>C115/100*25</f>
        <v>252</v>
      </c>
      <c r="E115" s="104"/>
      <c r="F115" s="104">
        <f>C115/100*3.2</f>
        <v>32.256</v>
      </c>
      <c r="G115" s="104"/>
      <c r="H115" s="104">
        <f>C115/100*0.4</f>
        <v>4.032</v>
      </c>
      <c r="I115" s="104">
        <f>C115/100*2.1</f>
        <v>21.168000000000003</v>
      </c>
      <c r="J115" s="162">
        <f>C115/100*100</f>
        <v>1008</v>
      </c>
      <c r="K115" s="104">
        <f>C115/100*0.1</f>
        <v>1.008</v>
      </c>
      <c r="L115" s="111">
        <v>1600</v>
      </c>
      <c r="M115" s="110">
        <v>15</v>
      </c>
      <c r="N115" s="113">
        <f t="shared" si="8"/>
        <v>24000</v>
      </c>
      <c r="O115" s="322"/>
    </row>
    <row r="116" spans="1:23" s="2" customFormat="1" ht="17.399999999999999" customHeight="1">
      <c r="A116" s="8">
        <v>9</v>
      </c>
      <c r="B116" s="5" t="s">
        <v>20</v>
      </c>
      <c r="C116" s="12">
        <f>L116/100*95</f>
        <v>817</v>
      </c>
      <c r="D116" s="13">
        <f>C116/100*20</f>
        <v>163.4</v>
      </c>
      <c r="E116" s="14"/>
      <c r="F116" s="14">
        <f>C116/100*0.6</f>
        <v>4.9020000000000001</v>
      </c>
      <c r="G116" s="14"/>
      <c r="H116" s="14">
        <f>C116/100*0.2</f>
        <v>1.6340000000000001</v>
      </c>
      <c r="I116" s="14">
        <f>C116/100*4</f>
        <v>32.68</v>
      </c>
      <c r="J116" s="21">
        <f>C116/100*12</f>
        <v>98.039999999999992</v>
      </c>
      <c r="K116" s="21">
        <f>C116/100*0.04</f>
        <v>0.32679999999999998</v>
      </c>
      <c r="L116" s="323">
        <v>860</v>
      </c>
      <c r="M116" s="15">
        <v>22</v>
      </c>
      <c r="N116" s="16">
        <f t="shared" si="8"/>
        <v>18920</v>
      </c>
      <c r="O116" s="155"/>
      <c r="Q116" s="3"/>
      <c r="R116" s="3"/>
    </row>
    <row r="117" spans="1:23" s="2" customFormat="1" ht="17.399999999999999" customHeight="1">
      <c r="A117" s="8">
        <v>10</v>
      </c>
      <c r="B117" s="9" t="s">
        <v>111</v>
      </c>
      <c r="C117" s="12"/>
      <c r="D117" s="13"/>
      <c r="E117" s="14"/>
      <c r="F117" s="14"/>
      <c r="G117" s="14"/>
      <c r="H117" s="14"/>
      <c r="I117" s="14"/>
      <c r="J117" s="14"/>
      <c r="K117" s="14"/>
      <c r="L117" s="15"/>
      <c r="M117" s="15"/>
      <c r="N117" s="16">
        <v>4000</v>
      </c>
      <c r="O117" s="155"/>
    </row>
    <row r="118" spans="1:23" s="2" customFormat="1" ht="17.399999999999999" customHeight="1">
      <c r="A118" s="23" t="s">
        <v>105</v>
      </c>
      <c r="B118" s="24"/>
      <c r="C118" s="25"/>
      <c r="D118" s="94">
        <f>SUM(D108:D117)</f>
        <v>14039.151999999998</v>
      </c>
      <c r="E118" s="31"/>
      <c r="F118" s="31"/>
      <c r="G118" s="31"/>
      <c r="H118" s="31"/>
      <c r="I118" s="31"/>
      <c r="J118" s="31"/>
      <c r="K118" s="31"/>
      <c r="L118" s="32"/>
      <c r="M118" s="32"/>
      <c r="N118" s="297">
        <f>SUM(N108:N117)</f>
        <v>418092</v>
      </c>
      <c r="O118" s="155"/>
    </row>
    <row r="119" spans="1:23" ht="17.399999999999999" customHeight="1">
      <c r="A119" s="23" t="s">
        <v>46</v>
      </c>
      <c r="B119" s="24"/>
      <c r="C119" s="52"/>
      <c r="D119" s="36">
        <f>D118/C85</f>
        <v>246.30091228070171</v>
      </c>
      <c r="E119" s="36"/>
      <c r="F119" s="36"/>
      <c r="G119" s="36"/>
      <c r="H119" s="36"/>
      <c r="I119" s="36"/>
      <c r="J119" s="36"/>
      <c r="K119" s="36"/>
      <c r="L119" s="53"/>
      <c r="M119" s="35"/>
      <c r="N119" s="298"/>
      <c r="O119" s="4"/>
      <c r="P119" s="2"/>
      <c r="Q119" s="2"/>
      <c r="R119" s="2"/>
      <c r="S119" s="2"/>
      <c r="T119" s="2"/>
      <c r="U119" s="2"/>
      <c r="V119" s="2"/>
      <c r="W119" s="2"/>
    </row>
    <row r="120" spans="1:23" ht="17.399999999999999" customHeight="1">
      <c r="A120" s="300" t="s">
        <v>53</v>
      </c>
      <c r="B120" s="212"/>
      <c r="C120" s="325" t="s">
        <v>133</v>
      </c>
      <c r="D120" s="29" t="s">
        <v>48</v>
      </c>
      <c r="E120" s="34"/>
      <c r="F120" s="34"/>
      <c r="G120" s="34"/>
      <c r="H120" s="34"/>
      <c r="I120" s="34"/>
      <c r="J120" s="36"/>
      <c r="K120" s="36"/>
      <c r="L120" s="35"/>
      <c r="M120" s="35"/>
      <c r="N120" s="168"/>
      <c r="O120" s="4"/>
      <c r="P120" s="2"/>
      <c r="Q120" s="2"/>
      <c r="R120" s="2"/>
      <c r="S120" s="2"/>
      <c r="T120" s="2"/>
      <c r="U120" s="2"/>
      <c r="V120" s="2"/>
      <c r="W120" s="2"/>
    </row>
    <row r="121" spans="1:23" ht="17.399999999999999" customHeight="1">
      <c r="A121" s="213"/>
      <c r="B121" s="214"/>
      <c r="C121" s="62" t="s">
        <v>58</v>
      </c>
      <c r="D121" s="29">
        <f>D119*100/930</f>
        <v>26.483969062441044</v>
      </c>
      <c r="E121" s="34"/>
      <c r="F121" s="34"/>
      <c r="G121" s="34"/>
      <c r="H121" s="34"/>
      <c r="I121" s="34"/>
      <c r="J121" s="36"/>
      <c r="K121" s="36"/>
      <c r="L121" s="35"/>
      <c r="M121" s="35"/>
      <c r="N121" s="168"/>
      <c r="O121" s="4"/>
      <c r="P121" s="2"/>
      <c r="Q121" s="2"/>
      <c r="R121" s="2"/>
      <c r="S121" s="2"/>
      <c r="T121" s="2"/>
      <c r="U121" s="2"/>
      <c r="V121" s="2"/>
      <c r="W121" s="2"/>
    </row>
    <row r="122" spans="1:23" ht="17.399999999999999" customHeight="1">
      <c r="A122" s="215" t="s">
        <v>39</v>
      </c>
      <c r="B122" s="215"/>
      <c r="C122" s="54"/>
      <c r="D122" s="55"/>
      <c r="E122" s="55"/>
      <c r="F122" s="55"/>
      <c r="G122" s="55"/>
      <c r="H122" s="55"/>
      <c r="I122" s="55"/>
      <c r="J122" s="55"/>
      <c r="K122" s="55"/>
      <c r="L122" s="56"/>
      <c r="M122" s="56"/>
      <c r="N122" s="57"/>
      <c r="O122" s="4"/>
      <c r="P122" s="2"/>
      <c r="Q122" s="2"/>
      <c r="R122" s="2"/>
      <c r="S122" s="2"/>
      <c r="T122" s="2"/>
      <c r="U122" s="2"/>
      <c r="V122" s="2"/>
      <c r="W122" s="2"/>
    </row>
    <row r="123" spans="1:23" s="2" customFormat="1" ht="17.399999999999999" customHeight="1">
      <c r="A123" s="119">
        <v>1</v>
      </c>
      <c r="B123" s="140" t="s">
        <v>131</v>
      </c>
      <c r="C123" s="25">
        <f>L123/100*100</f>
        <v>960</v>
      </c>
      <c r="D123" s="120">
        <f>C123/100*487</f>
        <v>4675.2</v>
      </c>
      <c r="E123" s="27"/>
      <c r="F123" s="27">
        <f>C123/100*19.5</f>
        <v>187.2</v>
      </c>
      <c r="G123" s="27"/>
      <c r="H123" s="27">
        <f>C123/100*23.2</f>
        <v>222.72</v>
      </c>
      <c r="I123" s="27">
        <f>C123/100*46</f>
        <v>441.59999999999997</v>
      </c>
      <c r="J123" s="121">
        <f>C123/100*680</f>
        <v>6528</v>
      </c>
      <c r="K123" s="27">
        <f>C123/100*0.55</f>
        <v>5.28</v>
      </c>
      <c r="L123" s="28">
        <v>960</v>
      </c>
      <c r="M123" s="141">
        <v>260</v>
      </c>
      <c r="N123" s="122">
        <f t="shared" ref="N123" si="9">L123*M123</f>
        <v>249600</v>
      </c>
      <c r="O123" s="155"/>
      <c r="P123" s="3"/>
    </row>
    <row r="124" spans="1:23" ht="19.2" customHeight="1">
      <c r="A124" s="172" t="s">
        <v>0</v>
      </c>
      <c r="B124" s="175" t="s">
        <v>19</v>
      </c>
      <c r="C124" s="178" t="s">
        <v>8</v>
      </c>
      <c r="D124" s="178" t="s">
        <v>9</v>
      </c>
      <c r="E124" s="181" t="s">
        <v>11</v>
      </c>
      <c r="F124" s="182"/>
      <c r="G124" s="181" t="s">
        <v>13</v>
      </c>
      <c r="H124" s="182"/>
      <c r="I124" s="200" t="s">
        <v>16</v>
      </c>
      <c r="J124" s="200" t="s">
        <v>32</v>
      </c>
      <c r="K124" s="200" t="s">
        <v>33</v>
      </c>
      <c r="L124" s="200" t="s">
        <v>17</v>
      </c>
      <c r="M124" s="200" t="s">
        <v>34</v>
      </c>
      <c r="N124" s="172" t="s">
        <v>18</v>
      </c>
      <c r="O124" s="154"/>
    </row>
    <row r="125" spans="1:23" ht="19.2" customHeight="1">
      <c r="A125" s="173"/>
      <c r="B125" s="176"/>
      <c r="C125" s="179"/>
      <c r="D125" s="179"/>
      <c r="E125" s="183"/>
      <c r="F125" s="184"/>
      <c r="G125" s="183"/>
      <c r="H125" s="184"/>
      <c r="I125" s="208"/>
      <c r="J125" s="208"/>
      <c r="K125" s="208"/>
      <c r="L125" s="208"/>
      <c r="M125" s="208"/>
      <c r="N125" s="173"/>
      <c r="O125" s="163"/>
    </row>
    <row r="126" spans="1:23" ht="19.2" customHeight="1">
      <c r="A126" s="173"/>
      <c r="B126" s="176"/>
      <c r="C126" s="179"/>
      <c r="D126" s="179"/>
      <c r="E126" s="200" t="s">
        <v>10</v>
      </c>
      <c r="F126" s="200" t="s">
        <v>12</v>
      </c>
      <c r="G126" s="200" t="s">
        <v>14</v>
      </c>
      <c r="H126" s="200" t="s">
        <v>15</v>
      </c>
      <c r="I126" s="208"/>
      <c r="J126" s="208"/>
      <c r="K126" s="208"/>
      <c r="L126" s="208"/>
      <c r="M126" s="208"/>
      <c r="N126" s="173"/>
      <c r="O126" s="163"/>
    </row>
    <row r="127" spans="1:23" ht="28.8" customHeight="1">
      <c r="A127" s="174"/>
      <c r="B127" s="177"/>
      <c r="C127" s="180"/>
      <c r="D127" s="180"/>
      <c r="E127" s="201"/>
      <c r="F127" s="201"/>
      <c r="G127" s="201"/>
      <c r="H127" s="201"/>
      <c r="I127" s="201"/>
      <c r="J127" s="201"/>
      <c r="K127" s="201"/>
      <c r="L127" s="201"/>
      <c r="M127" s="201"/>
      <c r="N127" s="174"/>
      <c r="O127" s="163"/>
    </row>
    <row r="128" spans="1:23" s="2" customFormat="1" ht="21" customHeight="1">
      <c r="A128" s="23" t="s">
        <v>98</v>
      </c>
      <c r="B128" s="24"/>
      <c r="C128" s="25"/>
      <c r="D128" s="26">
        <f>SUM(D122:D123)</f>
        <v>4675.2</v>
      </c>
      <c r="E128" s="31"/>
      <c r="F128" s="31"/>
      <c r="G128" s="31"/>
      <c r="H128" s="31"/>
      <c r="I128" s="31"/>
      <c r="J128" s="31"/>
      <c r="K128" s="31"/>
      <c r="L128" s="32"/>
      <c r="M128" s="58"/>
      <c r="N128" s="297">
        <f>SUM(N122:N123)</f>
        <v>249600</v>
      </c>
      <c r="O128" s="155"/>
    </row>
    <row r="129" spans="1:23" ht="21" customHeight="1">
      <c r="A129" s="23" t="s">
        <v>7</v>
      </c>
      <c r="B129" s="24"/>
      <c r="C129" s="33"/>
      <c r="D129" s="34">
        <f>D128/C85</f>
        <v>82.021052631578939</v>
      </c>
      <c r="E129" s="34"/>
      <c r="F129" s="34"/>
      <c r="G129" s="34"/>
      <c r="H129" s="34"/>
      <c r="I129" s="34"/>
      <c r="J129" s="34"/>
      <c r="K129" s="34"/>
      <c r="L129" s="35"/>
      <c r="M129" s="18"/>
      <c r="N129" s="298"/>
      <c r="O129" s="4"/>
      <c r="P129" s="2"/>
      <c r="Q129" s="2"/>
      <c r="R129" s="2"/>
      <c r="S129" s="2"/>
      <c r="T129" s="2"/>
      <c r="U129" s="2"/>
      <c r="V129" s="2"/>
      <c r="W129" s="2"/>
    </row>
    <row r="130" spans="1:23" ht="21" customHeight="1">
      <c r="A130" s="300" t="s">
        <v>51</v>
      </c>
      <c r="B130" s="212"/>
      <c r="C130" s="61" t="s">
        <v>57</v>
      </c>
      <c r="D130" s="29" t="s">
        <v>49</v>
      </c>
      <c r="E130" s="34"/>
      <c r="F130" s="34"/>
      <c r="G130" s="34"/>
      <c r="H130" s="34"/>
      <c r="I130" s="34"/>
      <c r="J130" s="36"/>
      <c r="K130" s="36"/>
      <c r="L130" s="35"/>
      <c r="M130" s="35"/>
      <c r="N130" s="168"/>
      <c r="O130" s="4"/>
      <c r="P130" s="2"/>
      <c r="Q130" s="2"/>
      <c r="R130" s="2"/>
      <c r="S130" s="2"/>
      <c r="T130" s="2"/>
      <c r="U130" s="2"/>
      <c r="V130" s="2"/>
      <c r="W130" s="2"/>
    </row>
    <row r="131" spans="1:23" ht="21" customHeight="1">
      <c r="A131" s="213"/>
      <c r="B131" s="214"/>
      <c r="C131" s="62" t="s">
        <v>58</v>
      </c>
      <c r="D131" s="29">
        <f>D129*100/930</f>
        <v>8.81946802490096</v>
      </c>
      <c r="E131" s="34"/>
      <c r="F131" s="34"/>
      <c r="G131" s="34"/>
      <c r="H131" s="34"/>
      <c r="I131" s="34"/>
      <c r="J131" s="36"/>
      <c r="K131" s="36"/>
      <c r="L131" s="35"/>
      <c r="M131" s="35"/>
      <c r="N131" s="168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21" customHeight="1">
      <c r="A132" s="217" t="s">
        <v>99</v>
      </c>
      <c r="B132" s="218"/>
      <c r="C132" s="221"/>
      <c r="D132" s="282">
        <f>D103+D118+D128</f>
        <v>36601.672999999995</v>
      </c>
      <c r="E132" s="6">
        <f t="shared" ref="E132:I132" si="10">SUM(E91:E123)</f>
        <v>993.03060000000005</v>
      </c>
      <c r="F132" s="6">
        <f t="shared" si="10"/>
        <v>657.15949999999998</v>
      </c>
      <c r="G132" s="6">
        <f t="shared" si="10"/>
        <v>977.85339999999997</v>
      </c>
      <c r="H132" s="6">
        <f t="shared" si="10"/>
        <v>419.26619999999997</v>
      </c>
      <c r="I132" s="225">
        <f t="shared" si="10"/>
        <v>4207.7251999999999</v>
      </c>
      <c r="J132" s="227">
        <f>SUM(J91:J123)</f>
        <v>12069.581</v>
      </c>
      <c r="K132" s="229">
        <f>SUM(K91:K123)</f>
        <v>42.390480000000011</v>
      </c>
      <c r="L132" s="231"/>
      <c r="M132" s="231"/>
      <c r="N132" s="299">
        <f>N103+N118+N128</f>
        <v>1253620</v>
      </c>
      <c r="P132" s="2"/>
      <c r="Q132" s="2"/>
      <c r="R132" s="2"/>
      <c r="S132" s="2"/>
      <c r="T132" s="2"/>
      <c r="U132" s="2"/>
      <c r="V132" s="2"/>
    </row>
    <row r="133" spans="1:23" ht="21" customHeight="1">
      <c r="A133" s="219"/>
      <c r="B133" s="220"/>
      <c r="C133" s="222"/>
      <c r="D133" s="283"/>
      <c r="E133" s="233">
        <f>E132+F132</f>
        <v>1650.1901</v>
      </c>
      <c r="F133" s="234"/>
      <c r="G133" s="233">
        <f>G132+H132</f>
        <v>1397.1196</v>
      </c>
      <c r="H133" s="234"/>
      <c r="I133" s="226"/>
      <c r="J133" s="228"/>
      <c r="K133" s="230"/>
      <c r="L133" s="231"/>
      <c r="M133" s="231"/>
      <c r="N133" s="299"/>
      <c r="U133" s="11"/>
      <c r="V133" s="11"/>
    </row>
    <row r="134" spans="1:23" ht="21" customHeight="1">
      <c r="A134" s="273" t="s">
        <v>75</v>
      </c>
      <c r="B134" s="274"/>
      <c r="C134" s="275"/>
      <c r="D134" s="103">
        <f>D132/C85</f>
        <v>642.13461403508768</v>
      </c>
      <c r="E134" s="108">
        <f>E132/C85</f>
        <v>17.421589473684211</v>
      </c>
      <c r="F134" s="107">
        <f>F132/C85</f>
        <v>11.529114035087719</v>
      </c>
      <c r="G134" s="108">
        <f>G132/C85</f>
        <v>17.155322807017544</v>
      </c>
      <c r="H134" s="107">
        <f>H132/C85</f>
        <v>7.3555473684210524</v>
      </c>
      <c r="I134" s="243">
        <f>I132/C85</f>
        <v>73.819740350877197</v>
      </c>
      <c r="J134" s="243">
        <f>J132/C85</f>
        <v>211.7470350877193</v>
      </c>
      <c r="K134" s="243">
        <f>K132/C85</f>
        <v>0.7436926315789476</v>
      </c>
      <c r="L134" s="231"/>
      <c r="M134" s="231"/>
      <c r="N134" s="299"/>
      <c r="U134" s="11"/>
      <c r="V134" s="11"/>
    </row>
    <row r="135" spans="1:23" ht="21" customHeight="1">
      <c r="A135" s="276"/>
      <c r="B135" s="277"/>
      <c r="C135" s="278"/>
      <c r="D135" s="98"/>
      <c r="E135" s="304">
        <f>E134+F134</f>
        <v>28.95070350877193</v>
      </c>
      <c r="F135" s="303"/>
      <c r="G135" s="304">
        <f>G134+H134</f>
        <v>24.510870175438598</v>
      </c>
      <c r="H135" s="303"/>
      <c r="I135" s="244"/>
      <c r="J135" s="244"/>
      <c r="K135" s="244"/>
      <c r="L135" s="231"/>
      <c r="M135" s="231"/>
      <c r="N135" s="299"/>
      <c r="P135" s="337"/>
      <c r="Q135" s="338"/>
      <c r="R135" s="338"/>
      <c r="S135" s="338"/>
      <c r="T135" s="338"/>
      <c r="U135" s="339"/>
      <c r="V135" s="339"/>
    </row>
    <row r="136" spans="1:23" ht="21" customHeight="1">
      <c r="A136" s="327" t="s">
        <v>76</v>
      </c>
      <c r="B136" s="328"/>
      <c r="C136" s="329"/>
      <c r="D136" s="330" t="s">
        <v>28</v>
      </c>
      <c r="E136" s="336" t="s">
        <v>24</v>
      </c>
      <c r="F136" s="336"/>
      <c r="G136" s="336" t="s">
        <v>25</v>
      </c>
      <c r="H136" s="336"/>
      <c r="I136" s="330" t="s">
        <v>26</v>
      </c>
      <c r="J136" s="164">
        <v>500</v>
      </c>
      <c r="K136" s="164">
        <v>0.59</v>
      </c>
      <c r="L136" s="231"/>
      <c r="M136" s="231"/>
      <c r="N136" s="299"/>
      <c r="O136" s="158"/>
      <c r="P136" s="340"/>
      <c r="Q136" s="338"/>
      <c r="R136" s="338"/>
      <c r="S136" s="338"/>
      <c r="T136" s="338"/>
      <c r="U136" s="338"/>
      <c r="V136" s="338"/>
    </row>
    <row r="137" spans="1:23" ht="21" customHeight="1">
      <c r="A137" s="248" t="s">
        <v>69</v>
      </c>
      <c r="B137" s="249"/>
      <c r="C137" s="250"/>
      <c r="D137" s="19"/>
      <c r="E137" s="251">
        <f>E135*4.1</f>
        <v>118.6978843859649</v>
      </c>
      <c r="F137" s="252"/>
      <c r="G137" s="251">
        <f>G135*9</f>
        <v>220.59783157894736</v>
      </c>
      <c r="H137" s="252"/>
      <c r="I137" s="68">
        <f>I134*4.1</f>
        <v>302.66093543859648</v>
      </c>
      <c r="J137" s="253"/>
      <c r="K137" s="253"/>
      <c r="L137" s="231"/>
      <c r="M137" s="231"/>
      <c r="N137" s="299"/>
      <c r="O137" s="158"/>
      <c r="P137" s="341"/>
      <c r="Q137" s="342"/>
      <c r="R137" s="342"/>
      <c r="S137" s="342"/>
      <c r="T137" s="337"/>
      <c r="U137" s="337"/>
      <c r="V137" s="337"/>
    </row>
    <row r="138" spans="1:23" ht="21" customHeight="1">
      <c r="A138" s="256" t="s">
        <v>77</v>
      </c>
      <c r="B138" s="257"/>
      <c r="C138" s="248" t="s">
        <v>58</v>
      </c>
      <c r="D138" s="250"/>
      <c r="E138" s="284">
        <f>E137*100/D134</f>
        <v>18.484891141451374</v>
      </c>
      <c r="F138" s="285"/>
      <c r="G138" s="284">
        <f>G137*100/D134</f>
        <v>34.35382967330483</v>
      </c>
      <c r="H138" s="285"/>
      <c r="I138" s="85">
        <f>I137*100/D134</f>
        <v>47.133564960268352</v>
      </c>
      <c r="J138" s="254"/>
      <c r="K138" s="254"/>
      <c r="L138" s="231"/>
      <c r="M138" s="231"/>
      <c r="N138" s="299"/>
      <c r="O138" s="158"/>
      <c r="P138" s="337"/>
      <c r="Q138" s="343"/>
      <c r="R138" s="337"/>
      <c r="S138" s="337"/>
      <c r="T138" s="337"/>
      <c r="U138" s="337"/>
      <c r="V138" s="337"/>
    </row>
    <row r="139" spans="1:23" ht="21" customHeight="1">
      <c r="A139" s="258"/>
      <c r="B139" s="259"/>
      <c r="C139" s="248" t="s">
        <v>71</v>
      </c>
      <c r="D139" s="250"/>
      <c r="E139" s="248" t="s">
        <v>72</v>
      </c>
      <c r="F139" s="250"/>
      <c r="G139" s="248" t="s">
        <v>78</v>
      </c>
      <c r="H139" s="250"/>
      <c r="I139" s="330" t="s">
        <v>79</v>
      </c>
      <c r="J139" s="255"/>
      <c r="K139" s="255"/>
      <c r="L139" s="231"/>
      <c r="M139" s="231"/>
      <c r="N139" s="299"/>
      <c r="O139" s="158"/>
    </row>
    <row r="140" spans="1:23" ht="21" customHeight="1">
      <c r="A140" s="70"/>
      <c r="B140" s="71"/>
      <c r="C140" s="70"/>
      <c r="D140" s="70"/>
      <c r="E140" s="70"/>
      <c r="F140" s="70"/>
      <c r="G140" s="70"/>
      <c r="H140" s="70"/>
      <c r="I140" s="70"/>
      <c r="J140" s="70"/>
      <c r="K140" s="70"/>
      <c r="L140" s="72"/>
      <c r="M140" s="72"/>
      <c r="N140" s="73"/>
      <c r="O140" s="158"/>
      <c r="P140" s="84"/>
    </row>
    <row r="141" spans="1:23" ht="21" customHeight="1">
      <c r="A141" s="245" t="s">
        <v>100</v>
      </c>
      <c r="B141" s="245"/>
      <c r="C141" s="245"/>
      <c r="D141" s="245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158"/>
    </row>
    <row r="142" spans="1:23" ht="21" customHeight="1">
      <c r="A142" s="87" t="s">
        <v>101</v>
      </c>
      <c r="B142" s="246" t="s">
        <v>102</v>
      </c>
      <c r="C142" s="246"/>
      <c r="D142" s="246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158"/>
    </row>
    <row r="143" spans="1:23" ht="21" customHeight="1">
      <c r="A143" s="88"/>
      <c r="B143" s="247" t="s">
        <v>200</v>
      </c>
      <c r="C143" s="247"/>
      <c r="D143" s="247"/>
      <c r="E143" s="247"/>
      <c r="F143" s="247"/>
      <c r="G143" s="247"/>
      <c r="H143" s="247"/>
      <c r="I143" s="247"/>
      <c r="J143" s="247"/>
      <c r="K143" s="247"/>
      <c r="L143" s="247"/>
      <c r="M143" s="247"/>
      <c r="N143" s="247"/>
      <c r="O143" s="158"/>
    </row>
    <row r="144" spans="1:23" ht="21" customHeight="1">
      <c r="A144" s="88"/>
      <c r="B144" s="247" t="s">
        <v>201</v>
      </c>
      <c r="C144" s="247"/>
      <c r="D144" s="247"/>
      <c r="E144" s="247"/>
      <c r="F144" s="247"/>
      <c r="G144" s="247"/>
      <c r="H144" s="247"/>
      <c r="I144" s="247"/>
      <c r="J144" s="247"/>
      <c r="K144" s="247"/>
      <c r="L144" s="247"/>
      <c r="M144" s="247"/>
      <c r="N144" s="247"/>
      <c r="O144" s="158"/>
    </row>
    <row r="145" spans="1:15" ht="21" customHeight="1">
      <c r="A145" s="88"/>
      <c r="B145" s="247" t="s">
        <v>143</v>
      </c>
      <c r="C145" s="247"/>
      <c r="D145" s="247"/>
      <c r="E145" s="247"/>
      <c r="F145" s="247"/>
      <c r="G145" s="247"/>
      <c r="H145" s="247"/>
      <c r="I145" s="247"/>
      <c r="J145" s="247"/>
      <c r="K145" s="247"/>
      <c r="L145" s="247"/>
      <c r="M145" s="247"/>
      <c r="N145" s="247"/>
      <c r="O145" s="158"/>
    </row>
    <row r="146" spans="1:15" ht="21" customHeight="1">
      <c r="A146" s="70"/>
      <c r="B146" s="262" t="s">
        <v>107</v>
      </c>
      <c r="C146" s="262"/>
      <c r="D146" s="262"/>
      <c r="E146" s="262"/>
      <c r="F146" s="262"/>
      <c r="G146" s="262"/>
      <c r="H146" s="262"/>
      <c r="I146" s="262"/>
      <c r="J146" s="262"/>
      <c r="K146" s="262"/>
      <c r="L146" s="262"/>
      <c r="M146" s="262"/>
      <c r="N146" s="262"/>
      <c r="O146" s="158"/>
    </row>
    <row r="147" spans="1:15" ht="21" customHeight="1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89"/>
      <c r="M147" s="89"/>
      <c r="N147" s="90"/>
      <c r="O147" s="158"/>
    </row>
    <row r="148" spans="1:15" ht="21" customHeight="1">
      <c r="A148" s="263" t="s">
        <v>60</v>
      </c>
      <c r="B148" s="263"/>
      <c r="C148" s="263"/>
      <c r="D148" s="263"/>
      <c r="E148" s="332"/>
      <c r="F148" s="332"/>
      <c r="G148" s="332"/>
      <c r="H148" s="332"/>
      <c r="I148" s="332"/>
      <c r="J148" s="333" t="s">
        <v>36</v>
      </c>
      <c r="K148" s="333"/>
      <c r="L148" s="333"/>
      <c r="M148" s="333"/>
      <c r="N148" s="333"/>
      <c r="O148" s="158"/>
    </row>
    <row r="149" spans="1:15" ht="21" customHeight="1">
      <c r="A149" s="163"/>
      <c r="B149" s="163"/>
      <c r="C149" s="163"/>
      <c r="D149" s="332"/>
      <c r="E149" s="332"/>
      <c r="F149" s="332"/>
      <c r="G149" s="332"/>
      <c r="H149" s="334"/>
      <c r="I149" s="334"/>
      <c r="J149" s="334"/>
      <c r="K149" s="334"/>
      <c r="L149" s="334"/>
      <c r="M149" s="334"/>
      <c r="N149" s="334"/>
      <c r="O149" s="158"/>
    </row>
    <row r="150" spans="1:15" ht="21" customHeight="1">
      <c r="A150" s="163"/>
      <c r="B150" s="163"/>
      <c r="C150" s="163"/>
      <c r="D150" s="332"/>
      <c r="E150" s="332"/>
      <c r="F150" s="332"/>
      <c r="G150" s="332"/>
      <c r="H150" s="334"/>
      <c r="I150" s="334"/>
      <c r="J150" s="334"/>
      <c r="K150" s="334"/>
      <c r="L150" s="334"/>
      <c r="M150" s="334"/>
      <c r="N150" s="334"/>
      <c r="O150" s="158"/>
    </row>
    <row r="151" spans="1:15" ht="21" customHeight="1">
      <c r="A151" s="163"/>
      <c r="B151" s="163"/>
      <c r="C151" s="163"/>
      <c r="D151" s="332"/>
      <c r="E151" s="332"/>
      <c r="F151" s="332"/>
      <c r="G151" s="332"/>
      <c r="H151" s="334"/>
      <c r="I151" s="334"/>
      <c r="J151" s="335" t="s">
        <v>103</v>
      </c>
      <c r="K151" s="335"/>
      <c r="L151" s="335"/>
      <c r="M151" s="335"/>
      <c r="N151" s="335"/>
      <c r="O151" s="158"/>
    </row>
    <row r="152" spans="1:15" ht="21" customHeight="1">
      <c r="A152" s="264" t="s">
        <v>84</v>
      </c>
      <c r="B152" s="264"/>
      <c r="C152" s="264"/>
      <c r="D152" s="264"/>
      <c r="E152" s="332"/>
      <c r="F152" s="332"/>
      <c r="G152" s="332"/>
      <c r="H152" s="334"/>
      <c r="I152" s="334"/>
      <c r="O152" s="158"/>
    </row>
    <row r="153" spans="1:15" ht="21" customHeight="1">
      <c r="J153" s="334"/>
      <c r="K153" s="334"/>
      <c r="L153" s="334"/>
      <c r="M153" s="334"/>
      <c r="N153" s="334"/>
    </row>
    <row r="154" spans="1:15" ht="21" customHeight="1">
      <c r="J154" s="335" t="s">
        <v>114</v>
      </c>
      <c r="K154" s="335"/>
      <c r="L154" s="335"/>
      <c r="M154" s="335"/>
      <c r="N154" s="335"/>
    </row>
  </sheetData>
  <mergeCells count="199">
    <mergeCell ref="B143:N143"/>
    <mergeCell ref="B144:N144"/>
    <mergeCell ref="B145:N145"/>
    <mergeCell ref="B146:N146"/>
    <mergeCell ref="A148:D148"/>
    <mergeCell ref="J148:N148"/>
    <mergeCell ref="J151:N151"/>
    <mergeCell ref="A152:D152"/>
    <mergeCell ref="J154:N154"/>
    <mergeCell ref="A138:B139"/>
    <mergeCell ref="C138:D138"/>
    <mergeCell ref="E138:F138"/>
    <mergeCell ref="G138:H138"/>
    <mergeCell ref="C139:D139"/>
    <mergeCell ref="E139:F139"/>
    <mergeCell ref="G139:H139"/>
    <mergeCell ref="A141:N141"/>
    <mergeCell ref="B142:N142"/>
    <mergeCell ref="Q135:R135"/>
    <mergeCell ref="S135:T135"/>
    <mergeCell ref="U135:V135"/>
    <mergeCell ref="A136:C136"/>
    <mergeCell ref="E136:F136"/>
    <mergeCell ref="G136:H136"/>
    <mergeCell ref="Q136:R136"/>
    <mergeCell ref="S136:T136"/>
    <mergeCell ref="U136:V136"/>
    <mergeCell ref="N128:N129"/>
    <mergeCell ref="A130:B131"/>
    <mergeCell ref="A132:B133"/>
    <mergeCell ref="C132:C133"/>
    <mergeCell ref="D132:D133"/>
    <mergeCell ref="I132:I133"/>
    <mergeCell ref="J132:J133"/>
    <mergeCell ref="K132:K133"/>
    <mergeCell ref="L132:L139"/>
    <mergeCell ref="M132:M139"/>
    <mergeCell ref="N132:N139"/>
    <mergeCell ref="E133:F133"/>
    <mergeCell ref="G133:H133"/>
    <mergeCell ref="A134:C135"/>
    <mergeCell ref="I134:I135"/>
    <mergeCell ref="J134:J135"/>
    <mergeCell ref="K134:K135"/>
    <mergeCell ref="E135:F135"/>
    <mergeCell ref="G135:H135"/>
    <mergeCell ref="A137:C137"/>
    <mergeCell ref="E137:F137"/>
    <mergeCell ref="G137:H137"/>
    <mergeCell ref="J137:J139"/>
    <mergeCell ref="K137:K139"/>
    <mergeCell ref="A105:B106"/>
    <mergeCell ref="A107:B107"/>
    <mergeCell ref="N118:N119"/>
    <mergeCell ref="A120:B121"/>
    <mergeCell ref="A122:B122"/>
    <mergeCell ref="A124:A127"/>
    <mergeCell ref="B124:B127"/>
    <mergeCell ref="C124:C127"/>
    <mergeCell ref="D124:D127"/>
    <mergeCell ref="E124:F125"/>
    <mergeCell ref="G124:H125"/>
    <mergeCell ref="I124:I127"/>
    <mergeCell ref="J124:J127"/>
    <mergeCell ref="K124:K127"/>
    <mergeCell ref="L124:L127"/>
    <mergeCell ref="M124:M127"/>
    <mergeCell ref="N124:N127"/>
    <mergeCell ref="E126:E127"/>
    <mergeCell ref="F126:F127"/>
    <mergeCell ref="G126:G127"/>
    <mergeCell ref="H126:H127"/>
    <mergeCell ref="L86:L89"/>
    <mergeCell ref="M86:M89"/>
    <mergeCell ref="N86:N89"/>
    <mergeCell ref="E88:E89"/>
    <mergeCell ref="F88:F89"/>
    <mergeCell ref="G88:G89"/>
    <mergeCell ref="H88:H89"/>
    <mergeCell ref="A90:N90"/>
    <mergeCell ref="N103:N104"/>
    <mergeCell ref="A86:A89"/>
    <mergeCell ref="B86:B89"/>
    <mergeCell ref="C86:C89"/>
    <mergeCell ref="D86:D89"/>
    <mergeCell ref="E86:F87"/>
    <mergeCell ref="G86:H87"/>
    <mergeCell ref="I86:I89"/>
    <mergeCell ref="J86:J89"/>
    <mergeCell ref="K86:K89"/>
    <mergeCell ref="A82:D82"/>
    <mergeCell ref="E82:I84"/>
    <mergeCell ref="J82:N82"/>
    <mergeCell ref="A83:D83"/>
    <mergeCell ref="J83:N83"/>
    <mergeCell ref="A84:D84"/>
    <mergeCell ref="J84:N84"/>
    <mergeCell ref="A85:B85"/>
    <mergeCell ref="C85:D85"/>
    <mergeCell ref="D9:D12"/>
    <mergeCell ref="E9:F10"/>
    <mergeCell ref="G9:H10"/>
    <mergeCell ref="I9:I12"/>
    <mergeCell ref="L9:L12"/>
    <mergeCell ref="N9:N12"/>
    <mergeCell ref="E11:E12"/>
    <mergeCell ref="E39:F40"/>
    <mergeCell ref="K9:K12"/>
    <mergeCell ref="M9:M12"/>
    <mergeCell ref="H11:H12"/>
    <mergeCell ref="J9:J12"/>
    <mergeCell ref="U51:V51"/>
    <mergeCell ref="A28:B29"/>
    <mergeCell ref="A30:B30"/>
    <mergeCell ref="N43:N44"/>
    <mergeCell ref="A45:B46"/>
    <mergeCell ref="E48:F48"/>
    <mergeCell ref="G48:H48"/>
    <mergeCell ref="I49:I50"/>
    <mergeCell ref="E50:F50"/>
    <mergeCell ref="G50:H50"/>
    <mergeCell ref="M47:M54"/>
    <mergeCell ref="N47:N54"/>
    <mergeCell ref="E53:F53"/>
    <mergeCell ref="G53:H53"/>
    <mergeCell ref="L47:L54"/>
    <mergeCell ref="A49:C50"/>
    <mergeCell ref="A51:C51"/>
    <mergeCell ref="A53:B54"/>
    <mergeCell ref="C53:D53"/>
    <mergeCell ref="E41:E42"/>
    <mergeCell ref="B39:B42"/>
    <mergeCell ref="C39:C42"/>
    <mergeCell ref="A39:A42"/>
    <mergeCell ref="D39:D42"/>
    <mergeCell ref="Q51:R51"/>
    <mergeCell ref="S51:T51"/>
    <mergeCell ref="F11:F12"/>
    <mergeCell ref="G11:G12"/>
    <mergeCell ref="M39:M42"/>
    <mergeCell ref="N39:N42"/>
    <mergeCell ref="F41:F42"/>
    <mergeCell ref="G41:G42"/>
    <mergeCell ref="H41:H42"/>
    <mergeCell ref="J47:J48"/>
    <mergeCell ref="K47:K48"/>
    <mergeCell ref="J49:J50"/>
    <mergeCell ref="K49:K50"/>
    <mergeCell ref="I47:I48"/>
    <mergeCell ref="G39:H40"/>
    <mergeCell ref="I39:I42"/>
    <mergeCell ref="J39:J42"/>
    <mergeCell ref="K39:K42"/>
    <mergeCell ref="L39:L42"/>
    <mergeCell ref="N26:N27"/>
    <mergeCell ref="A13:N13"/>
    <mergeCell ref="A9:A12"/>
    <mergeCell ref="B9:B12"/>
    <mergeCell ref="C9:C12"/>
    <mergeCell ref="C54:D54"/>
    <mergeCell ref="E54:F54"/>
    <mergeCell ref="G54:H54"/>
    <mergeCell ref="C47:C48"/>
    <mergeCell ref="J52:J54"/>
    <mergeCell ref="K52:K54"/>
    <mergeCell ref="F1:N1"/>
    <mergeCell ref="A5:D5"/>
    <mergeCell ref="A6:D6"/>
    <mergeCell ref="A7:D7"/>
    <mergeCell ref="A3:D3"/>
    <mergeCell ref="E3:N3"/>
    <mergeCell ref="A4:D4"/>
    <mergeCell ref="E4:I7"/>
    <mergeCell ref="J4:N7"/>
    <mergeCell ref="D47:D48"/>
    <mergeCell ref="E51:F51"/>
    <mergeCell ref="G51:H51"/>
    <mergeCell ref="A52:C52"/>
    <mergeCell ref="E52:F52"/>
    <mergeCell ref="G52:H52"/>
    <mergeCell ref="A8:B8"/>
    <mergeCell ref="C8:D8"/>
    <mergeCell ref="A47:B48"/>
    <mergeCell ref="F78:N78"/>
    <mergeCell ref="A80:D81"/>
    <mergeCell ref="E80:N80"/>
    <mergeCell ref="A67:D67"/>
    <mergeCell ref="J66:N66"/>
    <mergeCell ref="J69:N69"/>
    <mergeCell ref="A56:N56"/>
    <mergeCell ref="B57:N57"/>
    <mergeCell ref="B58:N58"/>
    <mergeCell ref="B59:N59"/>
    <mergeCell ref="B60:N60"/>
    <mergeCell ref="B61:N61"/>
    <mergeCell ref="A63:D63"/>
    <mergeCell ref="J63:N63"/>
    <mergeCell ref="E81:I81"/>
    <mergeCell ref="J81:N81"/>
  </mergeCells>
  <pageMargins left="0.25833333333333336" right="0.14583333333333334" top="0.42708333333333331" bottom="0.41666666666666669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56"/>
  <sheetViews>
    <sheetView workbookViewId="0">
      <selection activeCell="O1" sqref="O1"/>
    </sheetView>
  </sheetViews>
  <sheetFormatPr defaultColWidth="9.109375" defaultRowHeight="21" customHeight="1"/>
  <cols>
    <col min="1" max="1" width="4" style="1" customWidth="1"/>
    <col min="2" max="2" width="11.88671875" style="1" customWidth="1"/>
    <col min="3" max="4" width="7.33203125" style="1" customWidth="1"/>
    <col min="5" max="8" width="6.88671875" style="1" customWidth="1"/>
    <col min="9" max="9" width="7.6640625" style="1" customWidth="1"/>
    <col min="10" max="10" width="7.44140625" style="1" customWidth="1"/>
    <col min="11" max="11" width="6.88671875" style="1" customWidth="1"/>
    <col min="12" max="12" width="6.6640625" style="1" customWidth="1"/>
    <col min="13" max="13" width="6.44140625" style="1" customWidth="1"/>
    <col min="14" max="14" width="8" style="1" customWidth="1"/>
    <col min="15" max="15" width="11.88671875" style="1" customWidth="1"/>
    <col min="16" max="16" width="9.109375" style="1"/>
    <col min="17" max="22" width="8.33203125" style="1" customWidth="1"/>
    <col min="23" max="16384" width="9.109375" style="1"/>
  </cols>
  <sheetData>
    <row r="1" spans="1:20" ht="21.6" customHeight="1">
      <c r="A1" s="10" t="s">
        <v>59</v>
      </c>
      <c r="B1" s="7"/>
      <c r="C1" s="7"/>
      <c r="D1" s="7"/>
      <c r="E1" s="7"/>
      <c r="F1" s="185" t="s">
        <v>30</v>
      </c>
      <c r="G1" s="185"/>
      <c r="H1" s="185"/>
      <c r="I1" s="185"/>
      <c r="J1" s="185"/>
      <c r="K1" s="185"/>
      <c r="L1" s="185"/>
      <c r="M1" s="185"/>
      <c r="N1" s="185"/>
      <c r="O1" s="152"/>
      <c r="P1" s="152"/>
      <c r="T1" s="2"/>
    </row>
    <row r="2" spans="1:20" ht="11.4" customHeight="1">
      <c r="A2" s="10"/>
      <c r="B2" s="7"/>
      <c r="C2" s="7"/>
      <c r="D2" s="7"/>
      <c r="E2" s="7"/>
      <c r="F2" s="166"/>
      <c r="G2" s="166"/>
      <c r="H2" s="166"/>
      <c r="I2" s="166"/>
      <c r="J2" s="166"/>
      <c r="K2" s="166"/>
      <c r="L2" s="166"/>
      <c r="M2" s="166"/>
      <c r="N2" s="166"/>
      <c r="O2" s="152"/>
      <c r="P2" s="152"/>
      <c r="T2" s="2"/>
    </row>
    <row r="3" spans="1:20" ht="21.6" customHeight="1">
      <c r="A3" s="7" t="s">
        <v>202</v>
      </c>
      <c r="B3" s="7"/>
      <c r="C3" s="7"/>
      <c r="D3" s="7"/>
      <c r="E3" s="7"/>
      <c r="F3" s="166"/>
      <c r="G3" s="166"/>
      <c r="H3" s="166"/>
      <c r="I3" s="166"/>
      <c r="J3" s="166"/>
      <c r="K3" s="166"/>
      <c r="L3" s="166"/>
      <c r="M3" s="166"/>
      <c r="N3" s="166"/>
      <c r="O3" s="152"/>
      <c r="P3" s="152"/>
      <c r="T3" s="2"/>
    </row>
    <row r="4" spans="1:20" ht="12.6" customHeight="1">
      <c r="A4" s="7"/>
      <c r="B4" s="7"/>
      <c r="C4" s="7"/>
      <c r="D4" s="7"/>
      <c r="E4" s="7"/>
      <c r="F4" s="166"/>
      <c r="G4" s="166"/>
      <c r="H4" s="166"/>
      <c r="I4" s="166"/>
      <c r="J4" s="166"/>
      <c r="K4" s="166"/>
      <c r="L4" s="166"/>
      <c r="M4" s="166"/>
      <c r="N4" s="166"/>
      <c r="O4" s="152"/>
      <c r="P4" s="152"/>
      <c r="T4" s="2"/>
    </row>
    <row r="5" spans="1:20" s="2" customFormat="1" ht="21.6" customHeight="1">
      <c r="A5" s="186" t="s">
        <v>95</v>
      </c>
      <c r="B5" s="186"/>
      <c r="C5" s="186"/>
      <c r="D5" s="186"/>
      <c r="E5" s="186" t="s">
        <v>93</v>
      </c>
      <c r="F5" s="186"/>
      <c r="G5" s="186"/>
      <c r="H5" s="186"/>
      <c r="I5" s="186"/>
      <c r="J5" s="186"/>
      <c r="K5" s="186"/>
      <c r="L5" s="186"/>
      <c r="M5" s="186"/>
      <c r="N5" s="186"/>
      <c r="O5" s="153"/>
    </row>
    <row r="6" spans="1:20" s="2" customFormat="1" ht="21.6" customHeight="1">
      <c r="A6" s="187" t="s">
        <v>83</v>
      </c>
      <c r="B6" s="187"/>
      <c r="C6" s="187"/>
      <c r="D6" s="187"/>
      <c r="E6" s="188" t="s">
        <v>132</v>
      </c>
      <c r="F6" s="188"/>
      <c r="G6" s="188"/>
      <c r="H6" s="188"/>
      <c r="I6" s="188"/>
      <c r="J6" s="189" t="s">
        <v>148</v>
      </c>
      <c r="K6" s="190"/>
      <c r="L6" s="190"/>
      <c r="M6" s="190"/>
      <c r="N6" s="191"/>
      <c r="O6" s="153"/>
    </row>
    <row r="7" spans="1:20" s="2" customFormat="1" ht="21.6" customHeight="1">
      <c r="A7" s="291" t="s">
        <v>146</v>
      </c>
      <c r="B7" s="291"/>
      <c r="C7" s="291"/>
      <c r="D7" s="291"/>
      <c r="E7" s="188"/>
      <c r="F7" s="188"/>
      <c r="G7" s="188"/>
      <c r="H7" s="188"/>
      <c r="I7" s="188"/>
      <c r="J7" s="192"/>
      <c r="K7" s="193"/>
      <c r="L7" s="193"/>
      <c r="M7" s="193"/>
      <c r="N7" s="194"/>
      <c r="O7" s="153"/>
    </row>
    <row r="8" spans="1:20" s="2" customFormat="1" ht="21.6" customHeight="1">
      <c r="A8" s="202" t="s">
        <v>149</v>
      </c>
      <c r="B8" s="203"/>
      <c r="C8" s="203"/>
      <c r="D8" s="204"/>
      <c r="E8" s="188"/>
      <c r="F8" s="188"/>
      <c r="G8" s="188"/>
      <c r="H8" s="188"/>
      <c r="I8" s="188"/>
      <c r="J8" s="192"/>
      <c r="K8" s="193"/>
      <c r="L8" s="193"/>
      <c r="M8" s="193"/>
      <c r="N8" s="194"/>
      <c r="O8" s="153"/>
    </row>
    <row r="9" spans="1:20" s="2" customFormat="1" ht="21.6" customHeight="1">
      <c r="A9" s="199" t="s">
        <v>174</v>
      </c>
      <c r="B9" s="199"/>
      <c r="C9" s="199"/>
      <c r="D9" s="199"/>
      <c r="E9" s="188"/>
      <c r="F9" s="188"/>
      <c r="G9" s="188"/>
      <c r="H9" s="188"/>
      <c r="I9" s="188"/>
      <c r="J9" s="195"/>
      <c r="K9" s="196"/>
      <c r="L9" s="196"/>
      <c r="M9" s="196"/>
      <c r="N9" s="197"/>
      <c r="O9" s="153"/>
    </row>
    <row r="10" spans="1:20" s="2" customFormat="1" ht="21.6" customHeight="1">
      <c r="A10" s="292" t="s">
        <v>110</v>
      </c>
      <c r="B10" s="292"/>
      <c r="C10" s="290">
        <v>105</v>
      </c>
      <c r="D10" s="290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153"/>
    </row>
    <row r="11" spans="1:20" ht="21.6" customHeight="1">
      <c r="A11" s="172" t="s">
        <v>0</v>
      </c>
      <c r="B11" s="175" t="s">
        <v>19</v>
      </c>
      <c r="C11" s="178" t="s">
        <v>8</v>
      </c>
      <c r="D11" s="178" t="s">
        <v>9</v>
      </c>
      <c r="E11" s="181" t="s">
        <v>11</v>
      </c>
      <c r="F11" s="182"/>
      <c r="G11" s="181" t="s">
        <v>13</v>
      </c>
      <c r="H11" s="182"/>
      <c r="I11" s="200" t="s">
        <v>16</v>
      </c>
      <c r="J11" s="200" t="s">
        <v>32</v>
      </c>
      <c r="K11" s="200" t="s">
        <v>33</v>
      </c>
      <c r="L11" s="200" t="s">
        <v>17</v>
      </c>
      <c r="M11" s="200" t="s">
        <v>34</v>
      </c>
      <c r="N11" s="172" t="s">
        <v>18</v>
      </c>
      <c r="O11" s="154"/>
    </row>
    <row r="12" spans="1:20" ht="21.6" customHeight="1">
      <c r="A12" s="173"/>
      <c r="B12" s="176"/>
      <c r="C12" s="179"/>
      <c r="D12" s="179"/>
      <c r="E12" s="183"/>
      <c r="F12" s="184"/>
      <c r="G12" s="183"/>
      <c r="H12" s="184"/>
      <c r="I12" s="208"/>
      <c r="J12" s="208"/>
      <c r="K12" s="208"/>
      <c r="L12" s="208"/>
      <c r="M12" s="208"/>
      <c r="N12" s="173"/>
      <c r="O12" s="163"/>
    </row>
    <row r="13" spans="1:20" ht="21.6" customHeight="1">
      <c r="A13" s="173"/>
      <c r="B13" s="176"/>
      <c r="C13" s="179"/>
      <c r="D13" s="179"/>
      <c r="E13" s="200" t="s">
        <v>10</v>
      </c>
      <c r="F13" s="200" t="s">
        <v>12</v>
      </c>
      <c r="G13" s="200" t="s">
        <v>14</v>
      </c>
      <c r="H13" s="200" t="s">
        <v>15</v>
      </c>
      <c r="I13" s="208"/>
      <c r="J13" s="208"/>
      <c r="K13" s="208"/>
      <c r="L13" s="208"/>
      <c r="M13" s="208"/>
      <c r="N13" s="173"/>
      <c r="O13" s="163"/>
    </row>
    <row r="14" spans="1:20" ht="21.6" customHeight="1">
      <c r="A14" s="174"/>
      <c r="B14" s="177"/>
      <c r="C14" s="180"/>
      <c r="D14" s="180"/>
      <c r="E14" s="201"/>
      <c r="F14" s="201"/>
      <c r="G14" s="201"/>
      <c r="H14" s="201"/>
      <c r="I14" s="201"/>
      <c r="J14" s="201"/>
      <c r="K14" s="201"/>
      <c r="L14" s="201"/>
      <c r="M14" s="201"/>
      <c r="N14" s="174"/>
      <c r="O14" s="163"/>
    </row>
    <row r="15" spans="1:20" ht="20.399999999999999" customHeight="1">
      <c r="A15" s="205" t="s">
        <v>35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7"/>
      <c r="O15" s="163"/>
    </row>
    <row r="16" spans="1:20" s="2" customFormat="1" ht="19.8" customHeight="1">
      <c r="A16" s="8">
        <v>1</v>
      </c>
      <c r="B16" s="9" t="s">
        <v>2</v>
      </c>
      <c r="C16" s="12">
        <f>L16/100*100</f>
        <v>140</v>
      </c>
      <c r="D16" s="13">
        <f>C16/100*60</f>
        <v>84</v>
      </c>
      <c r="E16" s="14">
        <f>C16/100*15</f>
        <v>21</v>
      </c>
      <c r="F16" s="14"/>
      <c r="G16" s="14"/>
      <c r="H16" s="14"/>
      <c r="I16" s="14"/>
      <c r="J16" s="22">
        <f>C16/100*387</f>
        <v>541.79999999999995</v>
      </c>
      <c r="K16" s="22">
        <f>C16/100*0.09</f>
        <v>0.126</v>
      </c>
      <c r="L16" s="111">
        <v>140</v>
      </c>
      <c r="M16" s="20">
        <v>20</v>
      </c>
      <c r="N16" s="16">
        <f>L16*M16</f>
        <v>2800</v>
      </c>
      <c r="O16" s="155"/>
    </row>
    <row r="17" spans="1:20" s="2" customFormat="1" ht="19.8" customHeight="1">
      <c r="A17" s="8">
        <v>2</v>
      </c>
      <c r="B17" s="128" t="s">
        <v>126</v>
      </c>
      <c r="C17" s="12">
        <f t="shared" ref="C17" si="0">L17/100*100</f>
        <v>110.00000000000001</v>
      </c>
      <c r="D17" s="65">
        <f>C17/100*900</f>
        <v>990.00000000000011</v>
      </c>
      <c r="E17" s="14"/>
      <c r="F17" s="14"/>
      <c r="G17" s="91"/>
      <c r="H17" s="14">
        <f>C17/100*100</f>
        <v>110.00000000000001</v>
      </c>
      <c r="I17" s="14"/>
      <c r="J17" s="14"/>
      <c r="K17" s="14"/>
      <c r="L17" s="111">
        <v>110</v>
      </c>
      <c r="M17" s="65">
        <v>65</v>
      </c>
      <c r="N17" s="93">
        <f t="shared" ref="N17" si="1">L17*M17</f>
        <v>7150</v>
      </c>
      <c r="O17" s="157"/>
    </row>
    <row r="18" spans="1:20" s="2" customFormat="1" ht="19.8" customHeight="1">
      <c r="A18" s="8">
        <v>3</v>
      </c>
      <c r="B18" s="5" t="s">
        <v>1</v>
      </c>
      <c r="C18" s="12">
        <f>L18/100*100</f>
        <v>9975</v>
      </c>
      <c r="D18" s="65">
        <f>C18/100*338</f>
        <v>33715.5</v>
      </c>
      <c r="E18" s="14"/>
      <c r="F18" s="14">
        <f>C18/100*7.9</f>
        <v>788.02500000000009</v>
      </c>
      <c r="G18" s="14"/>
      <c r="H18" s="14">
        <f>C18/100*1</f>
        <v>99.75</v>
      </c>
      <c r="I18" s="14">
        <f>C18/100*72.1</f>
        <v>7191.9749999999995</v>
      </c>
      <c r="J18" s="64">
        <f>C18/100*30</f>
        <v>2992.5</v>
      </c>
      <c r="K18" s="22">
        <f>C18/100*0.1</f>
        <v>9.9750000000000014</v>
      </c>
      <c r="L18" s="111">
        <v>9975</v>
      </c>
      <c r="M18" s="20">
        <v>18</v>
      </c>
      <c r="N18" s="16">
        <f t="shared" ref="N18:N26" si="2">L18*M18</f>
        <v>179550</v>
      </c>
      <c r="O18" s="155"/>
    </row>
    <row r="19" spans="1:20" s="2" customFormat="1" ht="19.8" customHeight="1">
      <c r="A19" s="8">
        <v>4</v>
      </c>
      <c r="B19" s="5" t="s">
        <v>91</v>
      </c>
      <c r="C19" s="12">
        <f>L19/100*88</f>
        <v>3696</v>
      </c>
      <c r="D19" s="13">
        <f>C19/100*184</f>
        <v>6800.64</v>
      </c>
      <c r="E19" s="14">
        <f>C19/100*13</f>
        <v>480.48</v>
      </c>
      <c r="F19" s="14"/>
      <c r="G19" s="14">
        <f>C19/100*14.2</f>
        <v>524.83199999999999</v>
      </c>
      <c r="H19" s="14"/>
      <c r="I19" s="14">
        <f>C19/100*1</f>
        <v>36.96</v>
      </c>
      <c r="J19" s="64">
        <f>C19/100*71</f>
        <v>2624.16</v>
      </c>
      <c r="K19" s="22">
        <f>C19/100*0.15</f>
        <v>5.5439999999999996</v>
      </c>
      <c r="L19" s="111">
        <v>4200</v>
      </c>
      <c r="M19" s="20">
        <v>57</v>
      </c>
      <c r="N19" s="16">
        <f t="shared" si="2"/>
        <v>239400</v>
      </c>
      <c r="O19" s="155"/>
      <c r="Q19" s="3"/>
      <c r="R19" s="3"/>
      <c r="S19" s="4"/>
    </row>
    <row r="20" spans="1:20" s="118" customFormat="1" ht="19.8" customHeight="1">
      <c r="A20" s="133">
        <v>5</v>
      </c>
      <c r="B20" s="128" t="s">
        <v>67</v>
      </c>
      <c r="C20" s="134">
        <f>L20/100*98</f>
        <v>2695</v>
      </c>
      <c r="D20" s="135">
        <f>C20/100*139</f>
        <v>3746.0499999999997</v>
      </c>
      <c r="E20" s="104">
        <f>C20/100*19</f>
        <v>512.04999999999995</v>
      </c>
      <c r="F20" s="104"/>
      <c r="G20" s="104">
        <f>C20/100*7</f>
        <v>188.65</v>
      </c>
      <c r="H20" s="104"/>
      <c r="I20" s="104"/>
      <c r="J20" s="136">
        <f>C20/100*7</f>
        <v>188.65</v>
      </c>
      <c r="K20" s="136">
        <f>C20/100*0.9</f>
        <v>24.254999999999999</v>
      </c>
      <c r="L20" s="111">
        <v>2750</v>
      </c>
      <c r="M20" s="137">
        <v>133</v>
      </c>
      <c r="N20" s="114">
        <f t="shared" si="2"/>
        <v>365750</v>
      </c>
      <c r="O20" s="322"/>
    </row>
    <row r="21" spans="1:20" s="2" customFormat="1" ht="19.8" customHeight="1">
      <c r="A21" s="8">
        <v>6</v>
      </c>
      <c r="B21" s="5" t="s">
        <v>4</v>
      </c>
      <c r="C21" s="12">
        <f>L21/100*98</f>
        <v>1029</v>
      </c>
      <c r="D21" s="13">
        <f>C21/100*118</f>
        <v>1214.2199999999998</v>
      </c>
      <c r="E21" s="14">
        <f>C21/100*21</f>
        <v>216.08999999999997</v>
      </c>
      <c r="F21" s="14"/>
      <c r="G21" s="14">
        <f>C21/100*3.8</f>
        <v>39.101999999999997</v>
      </c>
      <c r="H21" s="14"/>
      <c r="I21" s="14"/>
      <c r="J21" s="22">
        <f>C21/100*12</f>
        <v>123.47999999999999</v>
      </c>
      <c r="K21" s="22">
        <f>C21/100*0.1</f>
        <v>1.0289999999999999</v>
      </c>
      <c r="L21" s="111">
        <v>1050</v>
      </c>
      <c r="M21" s="15">
        <v>270</v>
      </c>
      <c r="N21" s="93">
        <f t="shared" si="2"/>
        <v>283500</v>
      </c>
      <c r="O21" s="322"/>
      <c r="Q21" s="3"/>
      <c r="R21" s="3"/>
      <c r="S21" s="4"/>
    </row>
    <row r="22" spans="1:20" s="2" customFormat="1" ht="19.8" customHeight="1">
      <c r="A22" s="8">
        <v>8</v>
      </c>
      <c r="B22" s="5" t="s">
        <v>20</v>
      </c>
      <c r="C22" s="12">
        <f>L22/100*95</f>
        <v>1472.5</v>
      </c>
      <c r="D22" s="13">
        <f>C22/100*20</f>
        <v>294.5</v>
      </c>
      <c r="E22" s="14"/>
      <c r="F22" s="14">
        <f>C22/100*0.6</f>
        <v>8.8349999999999991</v>
      </c>
      <c r="G22" s="14"/>
      <c r="H22" s="14">
        <f>C22/100*0.2</f>
        <v>2.9450000000000003</v>
      </c>
      <c r="I22" s="14">
        <f>C22/100*4</f>
        <v>58.9</v>
      </c>
      <c r="J22" s="21">
        <f>C22/100*12</f>
        <v>176.7</v>
      </c>
      <c r="K22" s="21">
        <f>C22/100*0.04</f>
        <v>0.58899999999999997</v>
      </c>
      <c r="L22" s="323">
        <v>1550</v>
      </c>
      <c r="M22" s="15">
        <v>22</v>
      </c>
      <c r="N22" s="16">
        <f t="shared" si="2"/>
        <v>34100</v>
      </c>
      <c r="O22" s="155"/>
      <c r="Q22" s="3"/>
      <c r="R22" s="3"/>
    </row>
    <row r="23" spans="1:20" s="2" customFormat="1" ht="19.8" customHeight="1">
      <c r="A23" s="133">
        <v>9</v>
      </c>
      <c r="B23" s="5" t="s">
        <v>80</v>
      </c>
      <c r="C23" s="12">
        <f>L23/100*78</f>
        <v>1638</v>
      </c>
      <c r="D23" s="13">
        <f>C23/100*37</f>
        <v>606.05999999999995</v>
      </c>
      <c r="E23" s="17"/>
      <c r="F23" s="17">
        <f>C23/100*2.8</f>
        <v>45.863999999999997</v>
      </c>
      <c r="G23" s="17"/>
      <c r="H23" s="17">
        <f>C23/100*0.1</f>
        <v>1.6379999999999999</v>
      </c>
      <c r="I23" s="17">
        <f>C23/100*6.2</f>
        <v>101.556</v>
      </c>
      <c r="J23" s="21">
        <f>C23/100*46</f>
        <v>753.4799999999999</v>
      </c>
      <c r="K23" s="21">
        <f>C23/100*0.06</f>
        <v>0.9827999999999999</v>
      </c>
      <c r="L23" s="323">
        <v>2100</v>
      </c>
      <c r="M23" s="15">
        <v>22</v>
      </c>
      <c r="N23" s="16">
        <f t="shared" si="2"/>
        <v>46200</v>
      </c>
      <c r="O23" s="155"/>
      <c r="Q23" s="3"/>
      <c r="R23" s="3"/>
      <c r="S23" s="4"/>
    </row>
    <row r="24" spans="1:20" s="2" customFormat="1" ht="19.8" customHeight="1">
      <c r="A24" s="8">
        <v>10</v>
      </c>
      <c r="B24" s="5" t="s">
        <v>117</v>
      </c>
      <c r="C24" s="12">
        <f>L24/100*100</f>
        <v>110.00000000000001</v>
      </c>
      <c r="D24" s="13">
        <f>C24/100*247</f>
        <v>271.70000000000005</v>
      </c>
      <c r="E24" s="17"/>
      <c r="F24" s="17">
        <f>C24/100*17.5</f>
        <v>19.25</v>
      </c>
      <c r="G24" s="17"/>
      <c r="H24" s="17">
        <f>C24/100*1.6</f>
        <v>1.7600000000000002</v>
      </c>
      <c r="I24" s="17">
        <f>C24/100*39.2</f>
        <v>43.120000000000005</v>
      </c>
      <c r="J24" s="21"/>
      <c r="K24" s="21"/>
      <c r="L24" s="323">
        <v>110</v>
      </c>
      <c r="M24" s="20">
        <v>50</v>
      </c>
      <c r="N24" s="113">
        <f t="shared" si="2"/>
        <v>5500</v>
      </c>
      <c r="O24" s="155"/>
      <c r="Q24" s="3"/>
      <c r="R24" s="3"/>
      <c r="S24" s="4"/>
      <c r="T24" s="3"/>
    </row>
    <row r="25" spans="1:20" s="2" customFormat="1" ht="18" customHeight="1">
      <c r="A25" s="8">
        <v>9</v>
      </c>
      <c r="B25" s="5" t="s">
        <v>166</v>
      </c>
      <c r="C25" s="12">
        <f>L25/100*77</f>
        <v>2025.1000000000001</v>
      </c>
      <c r="D25" s="13">
        <f>C25/100*35</f>
        <v>708.78500000000008</v>
      </c>
      <c r="E25" s="17"/>
      <c r="F25" s="17">
        <f>C25/100*5.3</f>
        <v>107.33030000000001</v>
      </c>
      <c r="G25" s="17"/>
      <c r="H25" s="17"/>
      <c r="I25" s="17">
        <f>C25/100*3.4</f>
        <v>68.853400000000008</v>
      </c>
      <c r="J25" s="123">
        <f>C25/100*169</f>
        <v>3422.4190000000003</v>
      </c>
      <c r="K25" s="17">
        <f>C25/100*0.07</f>
        <v>1.4175700000000002</v>
      </c>
      <c r="L25" s="324">
        <v>2630</v>
      </c>
      <c r="M25" s="15">
        <v>35</v>
      </c>
      <c r="N25" s="16">
        <f t="shared" si="2"/>
        <v>92050</v>
      </c>
      <c r="O25" s="155"/>
      <c r="Q25" s="3"/>
      <c r="R25" s="3"/>
      <c r="S25" s="4"/>
    </row>
    <row r="26" spans="1:20" s="2" customFormat="1" ht="18" customHeight="1">
      <c r="A26" s="133">
        <v>10</v>
      </c>
      <c r="B26" s="5" t="s">
        <v>157</v>
      </c>
      <c r="C26" s="12">
        <f>L26/100*81</f>
        <v>429.3</v>
      </c>
      <c r="D26" s="13">
        <f>C26/100*17</f>
        <v>72.981000000000009</v>
      </c>
      <c r="E26" s="14"/>
      <c r="F26" s="14">
        <f>C26/100*0.9</f>
        <v>3.8637000000000001</v>
      </c>
      <c r="G26" s="14"/>
      <c r="H26" s="14">
        <f>C26/100*0.2</f>
        <v>0.85860000000000003</v>
      </c>
      <c r="I26" s="14">
        <f>C26/100*2.8</f>
        <v>12.0204</v>
      </c>
      <c r="J26" s="64">
        <f>C26/100*28</f>
        <v>120.20400000000001</v>
      </c>
      <c r="K26" s="22">
        <f>C26/100*0.04</f>
        <v>0.17172000000000001</v>
      </c>
      <c r="L26" s="111">
        <v>530</v>
      </c>
      <c r="M26" s="15">
        <v>25</v>
      </c>
      <c r="N26" s="113">
        <f t="shared" si="2"/>
        <v>13250</v>
      </c>
      <c r="O26" s="155"/>
    </row>
    <row r="27" spans="1:20" s="2" customFormat="1" ht="19.8" customHeight="1">
      <c r="A27" s="8">
        <v>12</v>
      </c>
      <c r="B27" s="9" t="s">
        <v>111</v>
      </c>
      <c r="C27" s="12"/>
      <c r="D27" s="13"/>
      <c r="E27" s="14"/>
      <c r="F27" s="14"/>
      <c r="G27" s="14"/>
      <c r="H27" s="14"/>
      <c r="I27" s="14"/>
      <c r="J27" s="14"/>
      <c r="K27" s="14"/>
      <c r="L27" s="15"/>
      <c r="M27" s="15"/>
      <c r="N27" s="16">
        <v>8360</v>
      </c>
      <c r="O27" s="155"/>
    </row>
    <row r="28" spans="1:20" s="2" customFormat="1" ht="19.8" customHeight="1">
      <c r="A28" s="23" t="s">
        <v>97</v>
      </c>
      <c r="B28" s="24"/>
      <c r="C28" s="25"/>
      <c r="D28" s="94">
        <f>SUM(D16:D27)</f>
        <v>48504.436000000002</v>
      </c>
      <c r="E28" s="27"/>
      <c r="F28" s="27"/>
      <c r="G28" s="27"/>
      <c r="H28" s="27"/>
      <c r="I28" s="27"/>
      <c r="J28" s="27"/>
      <c r="K28" s="27"/>
      <c r="L28" s="28"/>
      <c r="M28" s="28"/>
      <c r="N28" s="271">
        <f>SUM(N16:N27)</f>
        <v>1277610</v>
      </c>
      <c r="O28" s="155"/>
    </row>
    <row r="29" spans="1:20" s="2" customFormat="1" ht="19.8" customHeight="1">
      <c r="A29" s="23" t="s">
        <v>6</v>
      </c>
      <c r="B29" s="24"/>
      <c r="C29" s="25"/>
      <c r="D29" s="26">
        <f>D28/C10</f>
        <v>461.94700952380953</v>
      </c>
      <c r="E29" s="27"/>
      <c r="F29" s="27"/>
      <c r="G29" s="27"/>
      <c r="H29" s="27"/>
      <c r="I29" s="27"/>
      <c r="J29" s="27"/>
      <c r="K29" s="27"/>
      <c r="L29" s="28"/>
      <c r="M29" s="28"/>
      <c r="N29" s="272"/>
      <c r="O29" s="155"/>
    </row>
    <row r="30" spans="1:20" s="2" customFormat="1" ht="19.8" customHeight="1">
      <c r="A30" s="300" t="s">
        <v>50</v>
      </c>
      <c r="B30" s="212"/>
      <c r="C30" s="325" t="s">
        <v>133</v>
      </c>
      <c r="D30" s="29" t="s">
        <v>38</v>
      </c>
      <c r="E30" s="27"/>
      <c r="F30" s="27"/>
      <c r="G30" s="27"/>
      <c r="H30" s="27"/>
      <c r="I30" s="27"/>
      <c r="J30" s="27"/>
      <c r="K30" s="27"/>
      <c r="L30" s="28"/>
      <c r="M30" s="28"/>
      <c r="N30" s="30"/>
      <c r="O30" s="155"/>
    </row>
    <row r="31" spans="1:20" s="2" customFormat="1" ht="19.8" customHeight="1">
      <c r="A31" s="213"/>
      <c r="B31" s="214"/>
      <c r="C31" s="62" t="s">
        <v>58</v>
      </c>
      <c r="D31" s="29">
        <f>D29*100/1320</f>
        <v>34.995985569985571</v>
      </c>
      <c r="E31" s="27"/>
      <c r="F31" s="27"/>
      <c r="G31" s="27"/>
      <c r="H31" s="27"/>
      <c r="I31" s="27"/>
      <c r="J31" s="27"/>
      <c r="K31" s="27"/>
      <c r="L31" s="28"/>
      <c r="M31" s="28"/>
      <c r="N31" s="30"/>
      <c r="O31" s="155"/>
    </row>
    <row r="32" spans="1:20" s="2" customFormat="1" ht="19.8" customHeight="1">
      <c r="A32" s="215" t="s">
        <v>39</v>
      </c>
      <c r="B32" s="215"/>
      <c r="C32" s="45"/>
      <c r="D32" s="46"/>
      <c r="E32" s="47"/>
      <c r="F32" s="47"/>
      <c r="G32" s="47"/>
      <c r="H32" s="47"/>
      <c r="I32" s="47"/>
      <c r="J32" s="47"/>
      <c r="K32" s="47"/>
      <c r="L32" s="48"/>
      <c r="M32" s="48"/>
      <c r="N32" s="49"/>
      <c r="O32" s="155"/>
    </row>
    <row r="33" spans="1:23" s="2" customFormat="1" ht="19.8" customHeight="1">
      <c r="A33" s="8">
        <v>1</v>
      </c>
      <c r="B33" s="9" t="s">
        <v>2</v>
      </c>
      <c r="C33" s="12">
        <f>L33/100*100</f>
        <v>130</v>
      </c>
      <c r="D33" s="13">
        <f>C33/100*60</f>
        <v>78</v>
      </c>
      <c r="E33" s="14">
        <f>C33/100*15</f>
        <v>19.5</v>
      </c>
      <c r="F33" s="14"/>
      <c r="G33" s="14"/>
      <c r="H33" s="14"/>
      <c r="I33" s="14"/>
      <c r="J33" s="22">
        <f>C33/100*387</f>
        <v>503.1</v>
      </c>
      <c r="K33" s="22">
        <f>C33/100*0.09</f>
        <v>0.11699999999999999</v>
      </c>
      <c r="L33" s="111">
        <v>130</v>
      </c>
      <c r="M33" s="20">
        <v>20</v>
      </c>
      <c r="N33" s="16">
        <f>L33*M33</f>
        <v>2600</v>
      </c>
      <c r="O33" s="155"/>
    </row>
    <row r="34" spans="1:23" s="2" customFormat="1" ht="19.8" customHeight="1">
      <c r="A34" s="8">
        <v>2</v>
      </c>
      <c r="B34" s="5" t="s">
        <v>1</v>
      </c>
      <c r="C34" s="12">
        <f>L34/100*100</f>
        <v>1575</v>
      </c>
      <c r="D34" s="13">
        <f>C34/100*338</f>
        <v>5323.5</v>
      </c>
      <c r="E34" s="14"/>
      <c r="F34" s="14">
        <f>C34/100*7.9</f>
        <v>124.42500000000001</v>
      </c>
      <c r="G34" s="14"/>
      <c r="H34" s="14">
        <f>C34/100*1</f>
        <v>15.75</v>
      </c>
      <c r="I34" s="14">
        <f>C34/100*72.1</f>
        <v>1135.5749999999998</v>
      </c>
      <c r="J34" s="22">
        <f>C34/100*30</f>
        <v>472.5</v>
      </c>
      <c r="K34" s="22">
        <f>C34/100*0.1</f>
        <v>1.5750000000000002</v>
      </c>
      <c r="L34" s="111">
        <v>1575</v>
      </c>
      <c r="M34" s="20">
        <v>18</v>
      </c>
      <c r="N34" s="16">
        <f t="shared" ref="N34:N36" si="3">L34*M34</f>
        <v>28350</v>
      </c>
      <c r="O34" s="155"/>
    </row>
    <row r="35" spans="1:23" s="2" customFormat="1" ht="19.8" customHeight="1">
      <c r="A35" s="8">
        <v>3</v>
      </c>
      <c r="B35" s="5" t="s">
        <v>65</v>
      </c>
      <c r="C35" s="12">
        <f>L35/100*100</f>
        <v>1050</v>
      </c>
      <c r="D35" s="13">
        <f>C35/100*344</f>
        <v>3612</v>
      </c>
      <c r="E35" s="14"/>
      <c r="F35" s="14">
        <f>C35/100*8.6</f>
        <v>90.3</v>
      </c>
      <c r="G35" s="14"/>
      <c r="H35" s="14">
        <f>C35/100*1.5</f>
        <v>15.75</v>
      </c>
      <c r="I35" s="14">
        <f>C35/100*74.5</f>
        <v>782.25</v>
      </c>
      <c r="J35" s="14">
        <f>C35/100*32</f>
        <v>336</v>
      </c>
      <c r="K35" s="14">
        <f>C35/100*0.14</f>
        <v>1.4700000000000002</v>
      </c>
      <c r="L35" s="111">
        <v>1050</v>
      </c>
      <c r="M35" s="20">
        <v>30</v>
      </c>
      <c r="N35" s="16">
        <f t="shared" si="3"/>
        <v>31500</v>
      </c>
      <c r="O35" s="155"/>
      <c r="P35" s="326"/>
    </row>
    <row r="36" spans="1:23" s="2" customFormat="1" ht="19.8" customHeight="1">
      <c r="A36" s="8">
        <v>4</v>
      </c>
      <c r="B36" s="130" t="s">
        <v>121</v>
      </c>
      <c r="C36" s="12">
        <f>L36/100*100</f>
        <v>640</v>
      </c>
      <c r="D36" s="13">
        <f>C36/100*899</f>
        <v>5753.6</v>
      </c>
      <c r="E36" s="14"/>
      <c r="F36" s="14"/>
      <c r="G36" s="14">
        <f>C36/100*100</f>
        <v>640</v>
      </c>
      <c r="H36" s="14"/>
      <c r="I36" s="14"/>
      <c r="J36" s="22"/>
      <c r="K36" s="22"/>
      <c r="L36" s="111">
        <v>640</v>
      </c>
      <c r="M36" s="110">
        <v>69</v>
      </c>
      <c r="N36" s="113">
        <f t="shared" si="3"/>
        <v>44160</v>
      </c>
      <c r="O36" s="155"/>
    </row>
    <row r="37" spans="1:23" s="2" customFormat="1" ht="19.8" customHeight="1">
      <c r="A37" s="8">
        <v>5</v>
      </c>
      <c r="B37" s="129" t="s">
        <v>80</v>
      </c>
      <c r="C37" s="12">
        <f>L37/100*82</f>
        <v>1722</v>
      </c>
      <c r="D37" s="13">
        <f>C37/100*27</f>
        <v>464.93999999999994</v>
      </c>
      <c r="E37" s="17"/>
      <c r="F37" s="17">
        <f>C37/100*0.3</f>
        <v>5.1659999999999995</v>
      </c>
      <c r="G37" s="17"/>
      <c r="H37" s="17">
        <f>C37/100*0.1</f>
        <v>1.722</v>
      </c>
      <c r="I37" s="17">
        <f>C37/100*6.1</f>
        <v>105.04199999999999</v>
      </c>
      <c r="J37" s="21">
        <f>C37/100*24</f>
        <v>413.28</v>
      </c>
      <c r="K37" s="21">
        <f>C37/100*0.03</f>
        <v>0.51659999999999995</v>
      </c>
      <c r="L37" s="324">
        <v>2100</v>
      </c>
      <c r="M37" s="15">
        <v>22</v>
      </c>
      <c r="N37" s="16">
        <f t="shared" ref="N37:N41" si="4">L37*M37</f>
        <v>46200</v>
      </c>
      <c r="O37" s="155"/>
      <c r="Q37" s="3"/>
      <c r="R37" s="3"/>
      <c r="S37" s="4"/>
    </row>
    <row r="38" spans="1:23" s="2" customFormat="1" ht="19.8" customHeight="1">
      <c r="A38" s="8">
        <v>6</v>
      </c>
      <c r="B38" s="5" t="s">
        <v>4</v>
      </c>
      <c r="C38" s="12">
        <f>L38/100*98</f>
        <v>1048.5999999999999</v>
      </c>
      <c r="D38" s="13">
        <f>C38/100*118</f>
        <v>1237.348</v>
      </c>
      <c r="E38" s="14">
        <f>C38/100*21</f>
        <v>220.20599999999999</v>
      </c>
      <c r="F38" s="14"/>
      <c r="G38" s="14">
        <f>C38/100*3.8</f>
        <v>39.846799999999995</v>
      </c>
      <c r="H38" s="14"/>
      <c r="I38" s="14"/>
      <c r="J38" s="22">
        <f>C38/100*12</f>
        <v>125.83199999999999</v>
      </c>
      <c r="K38" s="22">
        <f>C38/100*0.1</f>
        <v>1.0486</v>
      </c>
      <c r="L38" s="111">
        <v>1070</v>
      </c>
      <c r="M38" s="15">
        <v>270</v>
      </c>
      <c r="N38" s="93">
        <f t="shared" si="4"/>
        <v>288900</v>
      </c>
      <c r="O38" s="322"/>
      <c r="Q38" s="3"/>
      <c r="R38" s="3"/>
      <c r="S38" s="4"/>
    </row>
    <row r="39" spans="1:23" s="2" customFormat="1" ht="19.8" customHeight="1">
      <c r="A39" s="8">
        <v>7</v>
      </c>
      <c r="B39" s="5" t="s">
        <v>3</v>
      </c>
      <c r="C39" s="12">
        <f>L39/100*48</f>
        <v>652.79999999999995</v>
      </c>
      <c r="D39" s="13">
        <f>C39/100*199</f>
        <v>1299.0719999999999</v>
      </c>
      <c r="E39" s="14">
        <f>C39/100*20.3</f>
        <v>132.51839999999999</v>
      </c>
      <c r="F39" s="14"/>
      <c r="G39" s="14">
        <f>C39/100*13.1</f>
        <v>85.516799999999989</v>
      </c>
      <c r="H39" s="14"/>
      <c r="I39" s="14"/>
      <c r="J39" s="22">
        <f>C39/100*12</f>
        <v>78.335999999999999</v>
      </c>
      <c r="K39" s="22">
        <f>C39/100*0.15</f>
        <v>0.97919999999999985</v>
      </c>
      <c r="L39" s="111">
        <v>1360</v>
      </c>
      <c r="M39" s="15">
        <v>84</v>
      </c>
      <c r="N39" s="16">
        <f t="shared" si="4"/>
        <v>114240</v>
      </c>
      <c r="O39" s="155"/>
      <c r="Q39" s="3"/>
      <c r="R39" s="3"/>
      <c r="S39" s="4"/>
    </row>
    <row r="40" spans="1:23" s="2" customFormat="1" ht="19.8" customHeight="1">
      <c r="A40" s="8">
        <v>8</v>
      </c>
      <c r="B40" s="5" t="s">
        <v>117</v>
      </c>
      <c r="C40" s="12">
        <f>L40/100*100</f>
        <v>70</v>
      </c>
      <c r="D40" s="13">
        <f>C40/100*247</f>
        <v>172.89999999999998</v>
      </c>
      <c r="E40" s="17"/>
      <c r="F40" s="17">
        <f>C40/100*17.5</f>
        <v>12.25</v>
      </c>
      <c r="G40" s="17"/>
      <c r="H40" s="17">
        <f>C40/100*1.6</f>
        <v>1.1199999999999999</v>
      </c>
      <c r="I40" s="17">
        <f>C40/100*39.2</f>
        <v>27.44</v>
      </c>
      <c r="J40" s="21"/>
      <c r="K40" s="21"/>
      <c r="L40" s="323">
        <v>70</v>
      </c>
      <c r="M40" s="20">
        <v>50</v>
      </c>
      <c r="N40" s="113">
        <f t="shared" si="4"/>
        <v>3500</v>
      </c>
      <c r="O40" s="155"/>
      <c r="Q40" s="3"/>
      <c r="R40" s="3"/>
      <c r="S40" s="4"/>
      <c r="T40" s="3"/>
    </row>
    <row r="41" spans="1:23" s="2" customFormat="1" ht="19.8" customHeight="1">
      <c r="A41" s="8">
        <v>9</v>
      </c>
      <c r="B41" s="139" t="s">
        <v>131</v>
      </c>
      <c r="C41" s="12">
        <f>L41/100*100</f>
        <v>1789.9999999999998</v>
      </c>
      <c r="D41" s="13">
        <f>C41/100*487</f>
        <v>8717.2999999999993</v>
      </c>
      <c r="E41" s="17"/>
      <c r="F41" s="17">
        <f>C41/100*19.5</f>
        <v>349.04999999999995</v>
      </c>
      <c r="G41" s="17"/>
      <c r="H41" s="17">
        <f>C41/100*23.2</f>
        <v>415.28</v>
      </c>
      <c r="I41" s="17">
        <f>C41/100*46</f>
        <v>823.4</v>
      </c>
      <c r="J41" s="91">
        <f>C41/100*680</f>
        <v>12171.999999999998</v>
      </c>
      <c r="K41" s="14">
        <f>C41/100*0.55</f>
        <v>9.8450000000000006</v>
      </c>
      <c r="L41" s="323">
        <v>1790</v>
      </c>
      <c r="M41" s="102">
        <v>260</v>
      </c>
      <c r="N41" s="16">
        <f t="shared" si="4"/>
        <v>465400</v>
      </c>
      <c r="O41" s="155"/>
      <c r="P41" s="3"/>
    </row>
    <row r="42" spans="1:23" s="2" customFormat="1" ht="19.8" customHeight="1">
      <c r="A42" s="77">
        <v>10</v>
      </c>
      <c r="B42" s="78" t="s">
        <v>111</v>
      </c>
      <c r="C42" s="79"/>
      <c r="D42" s="80"/>
      <c r="E42" s="81"/>
      <c r="F42" s="81"/>
      <c r="G42" s="81"/>
      <c r="H42" s="81"/>
      <c r="I42" s="81"/>
      <c r="J42" s="81"/>
      <c r="K42" s="81"/>
      <c r="L42" s="82"/>
      <c r="M42" s="82"/>
      <c r="N42" s="83">
        <v>7240</v>
      </c>
      <c r="O42" s="155"/>
    </row>
    <row r="43" spans="1:23" ht="22.2" customHeight="1">
      <c r="A43" s="172" t="s">
        <v>0</v>
      </c>
      <c r="B43" s="175" t="s">
        <v>19</v>
      </c>
      <c r="C43" s="178" t="s">
        <v>8</v>
      </c>
      <c r="D43" s="178" t="s">
        <v>9</v>
      </c>
      <c r="E43" s="181" t="s">
        <v>11</v>
      </c>
      <c r="F43" s="182"/>
      <c r="G43" s="181" t="s">
        <v>13</v>
      </c>
      <c r="H43" s="182"/>
      <c r="I43" s="200" t="s">
        <v>16</v>
      </c>
      <c r="J43" s="200" t="s">
        <v>32</v>
      </c>
      <c r="K43" s="200" t="s">
        <v>33</v>
      </c>
      <c r="L43" s="200" t="s">
        <v>17</v>
      </c>
      <c r="M43" s="200" t="s">
        <v>34</v>
      </c>
      <c r="N43" s="172" t="s">
        <v>18</v>
      </c>
      <c r="O43" s="154"/>
    </row>
    <row r="44" spans="1:23" ht="22.2" customHeight="1">
      <c r="A44" s="173"/>
      <c r="B44" s="176"/>
      <c r="C44" s="179"/>
      <c r="D44" s="179"/>
      <c r="E44" s="183"/>
      <c r="F44" s="184"/>
      <c r="G44" s="183"/>
      <c r="H44" s="184"/>
      <c r="I44" s="208"/>
      <c r="J44" s="208"/>
      <c r="K44" s="208"/>
      <c r="L44" s="208"/>
      <c r="M44" s="208"/>
      <c r="N44" s="173"/>
      <c r="O44" s="163"/>
    </row>
    <row r="45" spans="1:23" ht="22.2" customHeight="1">
      <c r="A45" s="173"/>
      <c r="B45" s="176"/>
      <c r="C45" s="179"/>
      <c r="D45" s="179"/>
      <c r="E45" s="200" t="s">
        <v>10</v>
      </c>
      <c r="F45" s="200" t="s">
        <v>12</v>
      </c>
      <c r="G45" s="200" t="s">
        <v>14</v>
      </c>
      <c r="H45" s="200" t="s">
        <v>15</v>
      </c>
      <c r="I45" s="208"/>
      <c r="J45" s="208"/>
      <c r="K45" s="208"/>
      <c r="L45" s="208"/>
      <c r="M45" s="208"/>
      <c r="N45" s="173"/>
      <c r="O45" s="163"/>
    </row>
    <row r="46" spans="1:23" ht="22.2" customHeight="1">
      <c r="A46" s="174"/>
      <c r="B46" s="177"/>
      <c r="C46" s="180"/>
      <c r="D46" s="180"/>
      <c r="E46" s="201"/>
      <c r="F46" s="201"/>
      <c r="G46" s="201"/>
      <c r="H46" s="201"/>
      <c r="I46" s="201"/>
      <c r="J46" s="201"/>
      <c r="K46" s="201"/>
      <c r="L46" s="201"/>
      <c r="M46" s="201"/>
      <c r="N46" s="174"/>
      <c r="O46" s="163"/>
    </row>
    <row r="47" spans="1:23" s="2" customFormat="1" ht="21" customHeight="1">
      <c r="A47" s="23" t="s">
        <v>98</v>
      </c>
      <c r="B47" s="24"/>
      <c r="C47" s="25"/>
      <c r="D47" s="94">
        <f>SUM(D33:D42)</f>
        <v>26658.66</v>
      </c>
      <c r="E47" s="31"/>
      <c r="F47" s="31"/>
      <c r="G47" s="31"/>
      <c r="H47" s="31"/>
      <c r="I47" s="31"/>
      <c r="J47" s="31"/>
      <c r="K47" s="31"/>
      <c r="L47" s="32"/>
      <c r="M47" s="32"/>
      <c r="N47" s="271">
        <f>SUM(N33:N42)</f>
        <v>1032090</v>
      </c>
      <c r="O47" s="155"/>
    </row>
    <row r="48" spans="1:23" ht="21" customHeight="1">
      <c r="A48" s="23" t="s">
        <v>7</v>
      </c>
      <c r="B48" s="24"/>
      <c r="C48" s="33"/>
      <c r="D48" s="34">
        <f>D47/C10</f>
        <v>253.892</v>
      </c>
      <c r="E48" s="34"/>
      <c r="F48" s="34"/>
      <c r="G48" s="34"/>
      <c r="H48" s="34"/>
      <c r="I48" s="34"/>
      <c r="J48" s="34"/>
      <c r="K48" s="34"/>
      <c r="L48" s="35"/>
      <c r="M48" s="35"/>
      <c r="N48" s="272"/>
      <c r="O48" s="4"/>
      <c r="P48" s="2"/>
      <c r="Q48" s="2"/>
      <c r="R48" s="2"/>
      <c r="S48" s="2"/>
      <c r="T48" s="2"/>
      <c r="U48" s="2"/>
      <c r="V48" s="2"/>
      <c r="W48" s="2"/>
    </row>
    <row r="49" spans="1:23" ht="21" customHeight="1">
      <c r="A49" s="300" t="s">
        <v>51</v>
      </c>
      <c r="B49" s="212"/>
      <c r="C49" s="325" t="s">
        <v>133</v>
      </c>
      <c r="D49" s="29" t="s">
        <v>41</v>
      </c>
      <c r="E49" s="34"/>
      <c r="F49" s="34"/>
      <c r="G49" s="34"/>
      <c r="H49" s="34"/>
      <c r="I49" s="34"/>
      <c r="J49" s="36"/>
      <c r="K49" s="36"/>
      <c r="L49" s="35"/>
      <c r="M49" s="35"/>
      <c r="N49" s="168"/>
      <c r="O49" s="4"/>
      <c r="P49" s="2"/>
      <c r="Q49" s="2"/>
      <c r="R49" s="2"/>
      <c r="S49" s="2"/>
      <c r="T49" s="2"/>
      <c r="U49" s="2"/>
      <c r="V49" s="2"/>
      <c r="W49" s="2"/>
    </row>
    <row r="50" spans="1:23" ht="21" customHeight="1">
      <c r="A50" s="213"/>
      <c r="B50" s="214"/>
      <c r="C50" s="62" t="s">
        <v>58</v>
      </c>
      <c r="D50" s="29">
        <f>D48*100/1320</f>
        <v>19.234242424242424</v>
      </c>
      <c r="E50" s="34"/>
      <c r="F50" s="34"/>
      <c r="G50" s="34"/>
      <c r="H50" s="34"/>
      <c r="I50" s="34"/>
      <c r="J50" s="36"/>
      <c r="K50" s="36"/>
      <c r="L50" s="35"/>
      <c r="M50" s="35"/>
      <c r="N50" s="168"/>
      <c r="O50" s="4"/>
      <c r="P50" s="2"/>
      <c r="Q50" s="2"/>
      <c r="R50" s="2"/>
      <c r="S50" s="2"/>
      <c r="T50" s="2"/>
      <c r="U50" s="2"/>
      <c r="V50" s="2"/>
      <c r="W50" s="2"/>
    </row>
    <row r="51" spans="1:23" ht="21" customHeight="1">
      <c r="A51" s="217" t="s">
        <v>99</v>
      </c>
      <c r="B51" s="218"/>
      <c r="C51" s="221"/>
      <c r="D51" s="282">
        <f>D28+D47</f>
        <v>75163.096000000005</v>
      </c>
      <c r="E51" s="95">
        <f>SUM(E16:E42)</f>
        <v>1601.8443999999997</v>
      </c>
      <c r="F51" s="95">
        <f t="shared" ref="F51:H51" si="5">SUM(F16:F42)</f>
        <v>1554.3589999999999</v>
      </c>
      <c r="G51" s="95">
        <f t="shared" si="5"/>
        <v>1517.9476</v>
      </c>
      <c r="H51" s="6">
        <f t="shared" si="5"/>
        <v>666.57359999999994</v>
      </c>
      <c r="I51" s="225">
        <f>SUM(I16:I42)</f>
        <v>10387.091799999998</v>
      </c>
      <c r="J51" s="227">
        <f>SUM(J16:J42)</f>
        <v>25044.440999999999</v>
      </c>
      <c r="K51" s="229">
        <f>SUM(K16:K42)</f>
        <v>59.64148999999999</v>
      </c>
      <c r="L51" s="231"/>
      <c r="M51" s="231"/>
      <c r="N51" s="299">
        <f>N28+N47</f>
        <v>2309700</v>
      </c>
      <c r="P51" s="2"/>
      <c r="Q51" s="2"/>
      <c r="R51" s="2"/>
      <c r="S51" s="2"/>
      <c r="T51" s="2"/>
      <c r="U51" s="2"/>
      <c r="V51" s="2"/>
    </row>
    <row r="52" spans="1:23" ht="21" customHeight="1">
      <c r="A52" s="219"/>
      <c r="B52" s="220"/>
      <c r="C52" s="222"/>
      <c r="D52" s="283"/>
      <c r="E52" s="233">
        <f>E51+F51</f>
        <v>3156.2033999999994</v>
      </c>
      <c r="F52" s="234"/>
      <c r="G52" s="233">
        <f>G51+H51</f>
        <v>2184.5212000000001</v>
      </c>
      <c r="H52" s="234"/>
      <c r="I52" s="226"/>
      <c r="J52" s="228"/>
      <c r="K52" s="230"/>
      <c r="L52" s="231"/>
      <c r="M52" s="231"/>
      <c r="N52" s="299"/>
      <c r="U52" s="11"/>
      <c r="V52" s="11"/>
    </row>
    <row r="53" spans="1:23" ht="21" customHeight="1">
      <c r="A53" s="235" t="s">
        <v>75</v>
      </c>
      <c r="B53" s="236"/>
      <c r="C53" s="237"/>
      <c r="D53" s="101">
        <f>D51/C10</f>
        <v>715.83900952380952</v>
      </c>
      <c r="E53" s="108">
        <f>E51/C10</f>
        <v>15.25566095238095</v>
      </c>
      <c r="F53" s="107">
        <f>F51/C10</f>
        <v>14.803419047619046</v>
      </c>
      <c r="G53" s="108">
        <f>G51/C10</f>
        <v>14.456643809523809</v>
      </c>
      <c r="H53" s="107">
        <f>H51/C10</f>
        <v>6.3483199999999993</v>
      </c>
      <c r="I53" s="243">
        <f>I51/C10</f>
        <v>98.924683809523799</v>
      </c>
      <c r="J53" s="293">
        <f>J51/C10</f>
        <v>238.5184857142857</v>
      </c>
      <c r="K53" s="243">
        <f>K51/C10</f>
        <v>0.56801419047619039</v>
      </c>
      <c r="L53" s="231"/>
      <c r="M53" s="231"/>
      <c r="N53" s="299"/>
      <c r="U53" s="11"/>
      <c r="V53" s="11"/>
    </row>
    <row r="54" spans="1:23" ht="21" customHeight="1">
      <c r="A54" s="238"/>
      <c r="B54" s="239"/>
      <c r="C54" s="240"/>
      <c r="D54" s="98"/>
      <c r="E54" s="304">
        <f>E53+F53</f>
        <v>30.059079999999994</v>
      </c>
      <c r="F54" s="303"/>
      <c r="G54" s="304">
        <f>G53+H53</f>
        <v>20.804963809523809</v>
      </c>
      <c r="H54" s="303"/>
      <c r="I54" s="244"/>
      <c r="J54" s="280"/>
      <c r="K54" s="244"/>
      <c r="L54" s="231"/>
      <c r="M54" s="231"/>
      <c r="N54" s="299"/>
      <c r="P54" s="337"/>
      <c r="Q54" s="338"/>
      <c r="R54" s="338"/>
      <c r="S54" s="338"/>
      <c r="T54" s="338"/>
      <c r="U54" s="339"/>
      <c r="V54" s="339"/>
    </row>
    <row r="55" spans="1:23" ht="21" customHeight="1">
      <c r="A55" s="327" t="s">
        <v>76</v>
      </c>
      <c r="B55" s="328"/>
      <c r="C55" s="329"/>
      <c r="D55" s="330" t="s">
        <v>27</v>
      </c>
      <c r="E55" s="186" t="s">
        <v>21</v>
      </c>
      <c r="F55" s="186"/>
      <c r="G55" s="186" t="s">
        <v>22</v>
      </c>
      <c r="H55" s="186"/>
      <c r="I55" s="167" t="s">
        <v>23</v>
      </c>
      <c r="J55" s="331">
        <v>600</v>
      </c>
      <c r="K55" s="331">
        <v>0.74</v>
      </c>
      <c r="L55" s="231"/>
      <c r="M55" s="231"/>
      <c r="N55" s="299"/>
      <c r="O55" s="158"/>
      <c r="P55" s="340"/>
      <c r="Q55" s="338"/>
      <c r="R55" s="338"/>
      <c r="S55" s="338"/>
      <c r="T55" s="338"/>
      <c r="U55" s="338"/>
      <c r="V55" s="338"/>
    </row>
    <row r="56" spans="1:23" ht="21" customHeight="1">
      <c r="A56" s="248" t="s">
        <v>69</v>
      </c>
      <c r="B56" s="249"/>
      <c r="C56" s="250"/>
      <c r="D56" s="19"/>
      <c r="E56" s="251">
        <f>E54*4.1</f>
        <v>123.24222799999997</v>
      </c>
      <c r="F56" s="252"/>
      <c r="G56" s="251">
        <f>G54*9</f>
        <v>187.24467428571427</v>
      </c>
      <c r="H56" s="252"/>
      <c r="I56" s="68">
        <f>I53*4.1</f>
        <v>405.59120361904752</v>
      </c>
      <c r="J56" s="253"/>
      <c r="K56" s="253"/>
      <c r="L56" s="231"/>
      <c r="M56" s="231"/>
      <c r="N56" s="299"/>
      <c r="O56" s="158"/>
      <c r="P56" s="341"/>
      <c r="Q56" s="342"/>
      <c r="R56" s="342"/>
      <c r="S56" s="342"/>
      <c r="T56" s="337"/>
      <c r="U56" s="337"/>
      <c r="V56" s="337"/>
    </row>
    <row r="57" spans="1:23" ht="21" customHeight="1">
      <c r="A57" s="256" t="s">
        <v>70</v>
      </c>
      <c r="B57" s="257"/>
      <c r="C57" s="248" t="s">
        <v>58</v>
      </c>
      <c r="D57" s="250"/>
      <c r="E57" s="260">
        <f>E56*100/D53</f>
        <v>17.216472748807469</v>
      </c>
      <c r="F57" s="261"/>
      <c r="G57" s="260">
        <f>G56*100/D53</f>
        <v>26.157372229584581</v>
      </c>
      <c r="H57" s="261"/>
      <c r="I57" s="86">
        <f>I56*100/D53</f>
        <v>56.659555880987114</v>
      </c>
      <c r="J57" s="254"/>
      <c r="K57" s="254"/>
      <c r="L57" s="231"/>
      <c r="M57" s="231"/>
      <c r="N57" s="299"/>
      <c r="O57" s="158"/>
      <c r="P57" s="337"/>
      <c r="Q57" s="343"/>
      <c r="R57" s="337"/>
      <c r="S57" s="337"/>
      <c r="T57" s="337"/>
      <c r="U57" s="337"/>
      <c r="V57" s="337"/>
    </row>
    <row r="58" spans="1:23" ht="21" customHeight="1">
      <c r="A58" s="258"/>
      <c r="B58" s="259"/>
      <c r="C58" s="248" t="s">
        <v>71</v>
      </c>
      <c r="D58" s="250"/>
      <c r="E58" s="248" t="s">
        <v>72</v>
      </c>
      <c r="F58" s="250"/>
      <c r="G58" s="248" t="s">
        <v>73</v>
      </c>
      <c r="H58" s="250"/>
      <c r="I58" s="330" t="s">
        <v>74</v>
      </c>
      <c r="J58" s="255"/>
      <c r="K58" s="255"/>
      <c r="L58" s="231"/>
      <c r="M58" s="231"/>
      <c r="N58" s="299"/>
      <c r="O58" s="158"/>
      <c r="P58" s="84"/>
    </row>
    <row r="59" spans="1:23" ht="21" customHeight="1">
      <c r="A59" s="321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1"/>
      <c r="M59" s="321"/>
      <c r="N59" s="321"/>
      <c r="O59" s="158"/>
    </row>
    <row r="60" spans="1:23" ht="21" customHeight="1">
      <c r="A60" s="70"/>
      <c r="B60" s="71"/>
      <c r="C60" s="70"/>
      <c r="D60" s="70"/>
      <c r="E60" s="70"/>
      <c r="F60" s="70"/>
      <c r="G60" s="70"/>
      <c r="H60" s="70"/>
      <c r="I60" s="70"/>
      <c r="J60" s="70"/>
      <c r="K60" s="70"/>
      <c r="L60" s="72"/>
      <c r="M60" s="72"/>
      <c r="N60" s="73"/>
      <c r="O60" s="158"/>
    </row>
    <row r="61" spans="1:23" ht="21" customHeight="1">
      <c r="A61" s="245" t="s">
        <v>100</v>
      </c>
      <c r="B61" s="245"/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158"/>
    </row>
    <row r="62" spans="1:23" ht="21" customHeight="1">
      <c r="A62" s="87" t="s">
        <v>101</v>
      </c>
      <c r="B62" s="246" t="s">
        <v>102</v>
      </c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158"/>
    </row>
    <row r="63" spans="1:23" ht="21" customHeight="1">
      <c r="A63" s="88"/>
      <c r="B63" s="247" t="s">
        <v>203</v>
      </c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158"/>
    </row>
    <row r="64" spans="1:23" ht="21" customHeight="1">
      <c r="A64" s="88"/>
      <c r="B64" s="247" t="s">
        <v>204</v>
      </c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158"/>
    </row>
    <row r="65" spans="1:15" ht="21" customHeight="1">
      <c r="A65" s="88"/>
      <c r="B65" s="247" t="s">
        <v>180</v>
      </c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158"/>
    </row>
    <row r="66" spans="1:15" ht="21" customHeight="1">
      <c r="A66" s="70"/>
      <c r="B66" s="262" t="s">
        <v>109</v>
      </c>
      <c r="C66" s="262"/>
      <c r="D66" s="262"/>
      <c r="E66" s="262"/>
      <c r="F66" s="262"/>
      <c r="G66" s="262"/>
      <c r="H66" s="262"/>
      <c r="I66" s="262"/>
      <c r="J66" s="262"/>
      <c r="K66" s="262"/>
      <c r="L66" s="262"/>
      <c r="M66" s="262"/>
      <c r="N66" s="262"/>
      <c r="O66" s="158"/>
    </row>
    <row r="67" spans="1:15" ht="21" customHeight="1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89"/>
      <c r="M67" s="89"/>
      <c r="N67" s="90"/>
      <c r="O67" s="158"/>
    </row>
    <row r="68" spans="1:15" ht="21" customHeight="1">
      <c r="A68" s="263" t="s">
        <v>60</v>
      </c>
      <c r="B68" s="263"/>
      <c r="C68" s="263"/>
      <c r="D68" s="263"/>
      <c r="E68" s="332"/>
      <c r="F68" s="332"/>
      <c r="G68" s="332"/>
      <c r="H68" s="332"/>
      <c r="I68" s="332"/>
      <c r="J68" s="333" t="s">
        <v>36</v>
      </c>
      <c r="K68" s="333"/>
      <c r="L68" s="333"/>
      <c r="M68" s="333"/>
      <c r="N68" s="333"/>
      <c r="O68" s="158"/>
    </row>
    <row r="69" spans="1:15" ht="21" customHeight="1">
      <c r="A69" s="163"/>
      <c r="B69" s="163"/>
      <c r="C69" s="163"/>
      <c r="D69" s="332"/>
      <c r="E69" s="332"/>
      <c r="F69" s="332"/>
      <c r="G69" s="332"/>
      <c r="H69" s="334"/>
      <c r="I69" s="334"/>
      <c r="J69" s="334"/>
      <c r="K69" s="334"/>
      <c r="L69" s="334"/>
      <c r="M69" s="334"/>
      <c r="N69" s="334"/>
      <c r="O69" s="158"/>
    </row>
    <row r="70" spans="1:15" ht="21" customHeight="1">
      <c r="A70" s="163"/>
      <c r="B70" s="163"/>
      <c r="C70" s="163"/>
      <c r="D70" s="332"/>
      <c r="E70" s="332"/>
      <c r="F70" s="332"/>
      <c r="G70" s="332"/>
      <c r="H70" s="334"/>
      <c r="I70" s="334"/>
      <c r="J70" s="334"/>
      <c r="K70" s="334"/>
      <c r="L70" s="334"/>
      <c r="M70" s="334"/>
      <c r="N70" s="334"/>
      <c r="O70" s="158"/>
    </row>
    <row r="71" spans="1:15" ht="21" customHeight="1">
      <c r="A71" s="163"/>
      <c r="B71" s="163"/>
      <c r="C71" s="163"/>
      <c r="D71" s="332"/>
      <c r="E71" s="332"/>
      <c r="F71" s="332"/>
      <c r="G71" s="332"/>
      <c r="H71" s="334"/>
      <c r="I71" s="334"/>
      <c r="J71" s="335" t="s">
        <v>103</v>
      </c>
      <c r="K71" s="335"/>
      <c r="L71" s="335"/>
      <c r="M71" s="335"/>
      <c r="N71" s="335"/>
      <c r="O71" s="158"/>
    </row>
    <row r="72" spans="1:15" ht="21" customHeight="1">
      <c r="A72" s="264" t="s">
        <v>84</v>
      </c>
      <c r="B72" s="264"/>
      <c r="C72" s="264"/>
      <c r="D72" s="264"/>
      <c r="E72" s="332"/>
      <c r="F72" s="332"/>
      <c r="G72" s="332"/>
      <c r="H72" s="334"/>
      <c r="I72" s="334"/>
      <c r="O72" s="158"/>
    </row>
    <row r="73" spans="1:15" ht="21" customHeight="1">
      <c r="A73" s="163"/>
      <c r="B73" s="163"/>
      <c r="C73" s="163"/>
      <c r="D73" s="332"/>
      <c r="E73" s="332"/>
      <c r="F73" s="332"/>
      <c r="G73" s="332"/>
      <c r="H73" s="334"/>
      <c r="I73" s="334"/>
      <c r="J73" s="334"/>
      <c r="K73" s="334"/>
      <c r="L73" s="334"/>
      <c r="M73" s="334"/>
      <c r="N73" s="334"/>
      <c r="O73" s="158"/>
    </row>
    <row r="74" spans="1:15" ht="21" customHeight="1">
      <c r="A74" s="163"/>
      <c r="B74" s="163"/>
      <c r="C74" s="163"/>
      <c r="D74" s="332"/>
      <c r="E74" s="332"/>
      <c r="F74" s="332"/>
      <c r="G74" s="332"/>
      <c r="H74" s="334"/>
      <c r="I74" s="334"/>
      <c r="J74" s="335" t="s">
        <v>114</v>
      </c>
      <c r="K74" s="335"/>
      <c r="L74" s="335"/>
      <c r="M74" s="335"/>
      <c r="N74" s="335"/>
      <c r="O74" s="158"/>
    </row>
    <row r="75" spans="1:15" ht="21" customHeight="1">
      <c r="A75" s="163"/>
      <c r="B75" s="163"/>
      <c r="C75" s="163"/>
      <c r="D75" s="332"/>
      <c r="E75" s="332"/>
      <c r="F75" s="332"/>
      <c r="G75" s="332"/>
      <c r="H75" s="334"/>
      <c r="I75" s="334"/>
      <c r="J75" s="334"/>
      <c r="K75" s="334"/>
      <c r="L75" s="334"/>
      <c r="M75" s="334"/>
      <c r="N75" s="334"/>
      <c r="O75" s="158"/>
    </row>
    <row r="76" spans="1:15" ht="21" customHeight="1">
      <c r="A76" s="163"/>
      <c r="B76" s="163"/>
      <c r="C76" s="163"/>
      <c r="D76" s="332"/>
      <c r="E76" s="332"/>
      <c r="F76" s="332"/>
      <c r="G76" s="332"/>
      <c r="H76" s="334"/>
      <c r="I76" s="334"/>
      <c r="J76" s="334"/>
      <c r="K76" s="334"/>
      <c r="L76" s="334"/>
      <c r="M76" s="334"/>
      <c r="N76" s="334"/>
      <c r="O76" s="158"/>
    </row>
    <row r="77" spans="1:15" ht="21" customHeight="1">
      <c r="A77" s="163"/>
      <c r="B77" s="163"/>
      <c r="C77" s="163"/>
      <c r="D77" s="332"/>
      <c r="E77" s="332"/>
      <c r="F77" s="332"/>
      <c r="G77" s="332"/>
      <c r="H77" s="334"/>
      <c r="I77" s="334"/>
      <c r="J77" s="334"/>
      <c r="K77" s="334"/>
      <c r="L77" s="334"/>
      <c r="M77" s="334"/>
      <c r="N77" s="334"/>
      <c r="O77" s="158"/>
    </row>
    <row r="78" spans="1:15" ht="21" customHeight="1">
      <c r="A78" s="163"/>
      <c r="B78" s="163"/>
      <c r="C78" s="163"/>
      <c r="D78" s="332"/>
      <c r="E78" s="332"/>
      <c r="F78" s="332"/>
      <c r="G78" s="332"/>
      <c r="H78" s="334"/>
      <c r="I78" s="334"/>
      <c r="J78" s="334"/>
      <c r="K78" s="334"/>
      <c r="L78" s="334"/>
      <c r="M78" s="334"/>
      <c r="N78" s="334"/>
      <c r="O78" s="158"/>
    </row>
    <row r="79" spans="1:15" ht="21" customHeight="1">
      <c r="A79" s="163"/>
      <c r="B79" s="163"/>
      <c r="C79" s="163"/>
      <c r="D79" s="332"/>
      <c r="E79" s="332"/>
      <c r="F79" s="332"/>
      <c r="G79" s="332"/>
      <c r="H79" s="334"/>
      <c r="I79" s="334"/>
      <c r="J79" s="334"/>
      <c r="K79" s="334"/>
      <c r="L79" s="334"/>
      <c r="M79" s="334"/>
      <c r="N79" s="334"/>
      <c r="O79" s="158"/>
    </row>
    <row r="80" spans="1:15" ht="21" customHeight="1">
      <c r="A80" s="163"/>
      <c r="B80" s="163"/>
      <c r="C80" s="163"/>
      <c r="D80" s="332"/>
      <c r="E80" s="332"/>
      <c r="F80" s="332"/>
      <c r="G80" s="332"/>
      <c r="H80" s="334"/>
      <c r="I80" s="334"/>
      <c r="J80" s="334"/>
      <c r="K80" s="334"/>
      <c r="L80" s="334"/>
      <c r="M80" s="334"/>
      <c r="N80" s="334"/>
      <c r="O80" s="158"/>
    </row>
    <row r="81" spans="1:20" ht="21" customHeight="1">
      <c r="A81" s="163"/>
      <c r="B81" s="163"/>
      <c r="C81" s="163"/>
      <c r="D81" s="332"/>
      <c r="E81" s="332"/>
      <c r="F81" s="332"/>
      <c r="G81" s="332"/>
      <c r="H81" s="334"/>
      <c r="I81" s="334"/>
      <c r="J81" s="334"/>
      <c r="K81" s="334"/>
      <c r="L81" s="334"/>
      <c r="M81" s="334"/>
      <c r="N81" s="334"/>
      <c r="O81" s="158"/>
    </row>
    <row r="82" spans="1:20" ht="19.8" customHeight="1">
      <c r="A82" s="10" t="s">
        <v>59</v>
      </c>
      <c r="B82" s="7"/>
      <c r="C82" s="7"/>
      <c r="D82" s="7"/>
      <c r="E82" s="7"/>
      <c r="F82" s="185" t="s">
        <v>31</v>
      </c>
      <c r="G82" s="185"/>
      <c r="H82" s="185"/>
      <c r="I82" s="185"/>
      <c r="J82" s="185"/>
      <c r="K82" s="185"/>
      <c r="L82" s="185"/>
      <c r="M82" s="185"/>
      <c r="N82" s="185"/>
      <c r="O82" s="152"/>
      <c r="P82" s="152"/>
      <c r="T82" s="2"/>
    </row>
    <row r="83" spans="1:20" ht="19.8" customHeight="1">
      <c r="A83" s="7" t="s">
        <v>202</v>
      </c>
      <c r="B83" s="7"/>
      <c r="C83" s="7"/>
      <c r="D83" s="7"/>
      <c r="E83" s="7"/>
      <c r="F83" s="166"/>
      <c r="G83" s="166"/>
      <c r="H83" s="166"/>
      <c r="I83" s="166"/>
      <c r="J83" s="166"/>
      <c r="K83" s="166"/>
      <c r="L83" s="166"/>
      <c r="M83" s="166"/>
      <c r="N83" s="166"/>
      <c r="O83" s="152"/>
      <c r="P83" s="152"/>
      <c r="T83" s="2"/>
    </row>
    <row r="84" spans="1:20" s="2" customFormat="1" ht="19.8" customHeight="1">
      <c r="A84" s="186" t="s">
        <v>95</v>
      </c>
      <c r="B84" s="186"/>
      <c r="C84" s="186"/>
      <c r="D84" s="186"/>
      <c r="E84" s="186" t="s">
        <v>82</v>
      </c>
      <c r="F84" s="186"/>
      <c r="G84" s="186"/>
      <c r="H84" s="186"/>
      <c r="I84" s="186"/>
      <c r="J84" s="186"/>
      <c r="K84" s="186"/>
      <c r="L84" s="186"/>
      <c r="M84" s="186"/>
      <c r="N84" s="186"/>
      <c r="O84" s="153"/>
    </row>
    <row r="85" spans="1:20" s="2" customFormat="1" ht="19.8" customHeight="1">
      <c r="A85" s="186"/>
      <c r="B85" s="186"/>
      <c r="C85" s="186"/>
      <c r="D85" s="186"/>
      <c r="E85" s="186" t="s">
        <v>94</v>
      </c>
      <c r="F85" s="186"/>
      <c r="G85" s="186"/>
      <c r="H85" s="186"/>
      <c r="I85" s="186"/>
      <c r="J85" s="186" t="s">
        <v>96</v>
      </c>
      <c r="K85" s="186"/>
      <c r="L85" s="186"/>
      <c r="M85" s="186"/>
      <c r="N85" s="186"/>
      <c r="O85" s="153"/>
    </row>
    <row r="86" spans="1:20" s="2" customFormat="1" ht="19.8" customHeight="1">
      <c r="A86" s="187" t="s">
        <v>83</v>
      </c>
      <c r="B86" s="187"/>
      <c r="C86" s="187"/>
      <c r="D86" s="187"/>
      <c r="E86" s="188" t="s">
        <v>132</v>
      </c>
      <c r="F86" s="188"/>
      <c r="G86" s="188"/>
      <c r="H86" s="188"/>
      <c r="I86" s="188"/>
      <c r="J86" s="189" t="s">
        <v>148</v>
      </c>
      <c r="K86" s="190"/>
      <c r="L86" s="190"/>
      <c r="M86" s="190"/>
      <c r="N86" s="191"/>
      <c r="O86" s="153"/>
    </row>
    <row r="87" spans="1:20" s="2" customFormat="1" ht="19.8" customHeight="1">
      <c r="A87" s="291" t="s">
        <v>146</v>
      </c>
      <c r="B87" s="291"/>
      <c r="C87" s="291"/>
      <c r="D87" s="291"/>
      <c r="E87" s="188"/>
      <c r="F87" s="188"/>
      <c r="G87" s="188"/>
      <c r="H87" s="188"/>
      <c r="I87" s="188"/>
      <c r="J87" s="192"/>
      <c r="K87" s="193"/>
      <c r="L87" s="193"/>
      <c r="M87" s="193"/>
      <c r="N87" s="194"/>
      <c r="O87" s="153"/>
    </row>
    <row r="88" spans="1:20" s="2" customFormat="1" ht="19.8" customHeight="1">
      <c r="A88" s="199" t="s">
        <v>174</v>
      </c>
      <c r="B88" s="199"/>
      <c r="C88" s="199"/>
      <c r="D88" s="199"/>
      <c r="E88" s="188"/>
      <c r="F88" s="188"/>
      <c r="G88" s="188"/>
      <c r="H88" s="188"/>
      <c r="I88" s="188"/>
      <c r="J88" s="195"/>
      <c r="K88" s="196"/>
      <c r="L88" s="196"/>
      <c r="M88" s="196"/>
      <c r="N88" s="197"/>
      <c r="O88" s="153"/>
    </row>
    <row r="89" spans="1:20" ht="19.8" customHeight="1">
      <c r="A89" s="292" t="s">
        <v>110</v>
      </c>
      <c r="B89" s="292"/>
      <c r="C89" s="290">
        <v>41</v>
      </c>
      <c r="D89" s="290"/>
      <c r="E89" s="7"/>
      <c r="F89" s="166"/>
      <c r="G89" s="166"/>
      <c r="H89" s="166"/>
      <c r="I89" s="166"/>
      <c r="J89" s="166"/>
      <c r="K89" s="166"/>
      <c r="L89" s="166"/>
      <c r="M89" s="166"/>
      <c r="N89" s="166"/>
      <c r="O89" s="152"/>
      <c r="P89" s="152"/>
      <c r="T89" s="2"/>
    </row>
    <row r="90" spans="1:20" ht="19.8" customHeight="1">
      <c r="A90" s="172" t="s">
        <v>0</v>
      </c>
      <c r="B90" s="175" t="s">
        <v>19</v>
      </c>
      <c r="C90" s="178" t="s">
        <v>8</v>
      </c>
      <c r="D90" s="178" t="s">
        <v>9</v>
      </c>
      <c r="E90" s="181" t="s">
        <v>11</v>
      </c>
      <c r="F90" s="182"/>
      <c r="G90" s="181" t="s">
        <v>13</v>
      </c>
      <c r="H90" s="182"/>
      <c r="I90" s="200" t="s">
        <v>16</v>
      </c>
      <c r="J90" s="200" t="s">
        <v>32</v>
      </c>
      <c r="K90" s="200" t="s">
        <v>33</v>
      </c>
      <c r="L90" s="200" t="s">
        <v>17</v>
      </c>
      <c r="M90" s="200" t="s">
        <v>34</v>
      </c>
      <c r="N90" s="172" t="s">
        <v>18</v>
      </c>
      <c r="O90" s="154"/>
    </row>
    <row r="91" spans="1:20" ht="19.8" customHeight="1">
      <c r="A91" s="173"/>
      <c r="B91" s="176"/>
      <c r="C91" s="179"/>
      <c r="D91" s="179"/>
      <c r="E91" s="183"/>
      <c r="F91" s="184"/>
      <c r="G91" s="183"/>
      <c r="H91" s="184"/>
      <c r="I91" s="208"/>
      <c r="J91" s="208"/>
      <c r="K91" s="208"/>
      <c r="L91" s="208"/>
      <c r="M91" s="208"/>
      <c r="N91" s="173"/>
      <c r="O91" s="163"/>
    </row>
    <row r="92" spans="1:20" ht="19.8" customHeight="1">
      <c r="A92" s="173"/>
      <c r="B92" s="176"/>
      <c r="C92" s="179"/>
      <c r="D92" s="179"/>
      <c r="E92" s="200" t="s">
        <v>10</v>
      </c>
      <c r="F92" s="200" t="s">
        <v>12</v>
      </c>
      <c r="G92" s="200" t="s">
        <v>14</v>
      </c>
      <c r="H92" s="200" t="s">
        <v>15</v>
      </c>
      <c r="I92" s="208"/>
      <c r="J92" s="208"/>
      <c r="K92" s="208"/>
      <c r="L92" s="208"/>
      <c r="M92" s="208"/>
      <c r="N92" s="173"/>
      <c r="O92" s="163"/>
    </row>
    <row r="93" spans="1:20" ht="19.8" customHeight="1">
      <c r="A93" s="174"/>
      <c r="B93" s="177"/>
      <c r="C93" s="180"/>
      <c r="D93" s="180"/>
      <c r="E93" s="201"/>
      <c r="F93" s="201"/>
      <c r="G93" s="201"/>
      <c r="H93" s="201"/>
      <c r="I93" s="201"/>
      <c r="J93" s="201"/>
      <c r="K93" s="201"/>
      <c r="L93" s="201"/>
      <c r="M93" s="201"/>
      <c r="N93" s="174"/>
      <c r="O93" s="163"/>
    </row>
    <row r="94" spans="1:20" ht="19.2" customHeight="1">
      <c r="A94" s="205" t="s">
        <v>42</v>
      </c>
      <c r="B94" s="206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7"/>
      <c r="O94" s="163"/>
    </row>
    <row r="95" spans="1:20" s="2" customFormat="1" ht="18.600000000000001" customHeight="1">
      <c r="A95" s="8">
        <v>1</v>
      </c>
      <c r="B95" s="9" t="s">
        <v>2</v>
      </c>
      <c r="C95" s="12">
        <f>L95/100*100</f>
        <v>60</v>
      </c>
      <c r="D95" s="13">
        <f>C95/100*60</f>
        <v>36</v>
      </c>
      <c r="E95" s="14">
        <f>C95/100*15</f>
        <v>9</v>
      </c>
      <c r="F95" s="14"/>
      <c r="G95" s="14"/>
      <c r="H95" s="14"/>
      <c r="I95" s="14"/>
      <c r="J95" s="22">
        <f>C95/100*387</f>
        <v>232.2</v>
      </c>
      <c r="K95" s="22">
        <f>C95/100*0.09</f>
        <v>5.3999999999999999E-2</v>
      </c>
      <c r="L95" s="111">
        <v>60</v>
      </c>
      <c r="M95" s="20">
        <v>20</v>
      </c>
      <c r="N95" s="16">
        <f>L95*M95</f>
        <v>1200</v>
      </c>
      <c r="O95" s="155"/>
    </row>
    <row r="96" spans="1:20" s="2" customFormat="1" ht="18.600000000000001" customHeight="1">
      <c r="A96" s="8">
        <v>2</v>
      </c>
      <c r="B96" s="130" t="s">
        <v>121</v>
      </c>
      <c r="C96" s="12">
        <f>L96/100*100</f>
        <v>80</v>
      </c>
      <c r="D96" s="13">
        <f>C96/100*899</f>
        <v>719.2</v>
      </c>
      <c r="E96" s="14"/>
      <c r="F96" s="14"/>
      <c r="G96" s="14">
        <f>C96/100*100</f>
        <v>80</v>
      </c>
      <c r="H96" s="14"/>
      <c r="I96" s="14"/>
      <c r="J96" s="22"/>
      <c r="K96" s="22"/>
      <c r="L96" s="111">
        <v>80</v>
      </c>
      <c r="M96" s="110">
        <v>69</v>
      </c>
      <c r="N96" s="113">
        <f t="shared" ref="N96:N97" si="6">L96*M96</f>
        <v>5520</v>
      </c>
      <c r="O96" s="155"/>
    </row>
    <row r="97" spans="1:23" s="2" customFormat="1" ht="18.600000000000001" customHeight="1">
      <c r="A97" s="8">
        <v>3</v>
      </c>
      <c r="B97" s="128" t="s">
        <v>126</v>
      </c>
      <c r="C97" s="12">
        <f t="shared" ref="C97" si="7">L97/100*100</f>
        <v>100</v>
      </c>
      <c r="D97" s="65">
        <f>C97/100*900</f>
        <v>900</v>
      </c>
      <c r="E97" s="14"/>
      <c r="F97" s="14"/>
      <c r="G97" s="91"/>
      <c r="H97" s="14">
        <f>C97/100*100</f>
        <v>100</v>
      </c>
      <c r="I97" s="14"/>
      <c r="J97" s="14"/>
      <c r="K97" s="14"/>
      <c r="L97" s="111">
        <v>100</v>
      </c>
      <c r="M97" s="65">
        <v>65</v>
      </c>
      <c r="N97" s="93">
        <f t="shared" si="6"/>
        <v>6500</v>
      </c>
      <c r="O97" s="157"/>
    </row>
    <row r="98" spans="1:23" s="2" customFormat="1" ht="18.600000000000001" customHeight="1">
      <c r="A98" s="8">
        <v>4</v>
      </c>
      <c r="B98" s="5" t="s">
        <v>1</v>
      </c>
      <c r="C98" s="12">
        <f>L98/100*100</f>
        <v>1763</v>
      </c>
      <c r="D98" s="13">
        <f>C98/100*355.6</f>
        <v>6269.2280000000001</v>
      </c>
      <c r="E98" s="14"/>
      <c r="F98" s="14">
        <f>C98/100*7.9</f>
        <v>139.27699999999999</v>
      </c>
      <c r="G98" s="14"/>
      <c r="H98" s="14">
        <f>C98/100*1</f>
        <v>17.63</v>
      </c>
      <c r="I98" s="14">
        <f>C98/100*75.9</f>
        <v>1338.117</v>
      </c>
      <c r="J98" s="22">
        <f>C98/100*30</f>
        <v>528.9</v>
      </c>
      <c r="K98" s="22">
        <f>C98/100*0.1</f>
        <v>1.7629999999999999</v>
      </c>
      <c r="L98" s="111">
        <v>1763</v>
      </c>
      <c r="M98" s="20">
        <v>18</v>
      </c>
      <c r="N98" s="16">
        <f t="shared" ref="N98:N104" si="8">L98*M98</f>
        <v>31734</v>
      </c>
      <c r="O98" s="155"/>
    </row>
    <row r="99" spans="1:23" s="2" customFormat="1" ht="18.600000000000001" customHeight="1">
      <c r="A99" s="8">
        <v>5</v>
      </c>
      <c r="B99" s="5" t="s">
        <v>91</v>
      </c>
      <c r="C99" s="12">
        <f>L99/100*88</f>
        <v>1443.1999999999998</v>
      </c>
      <c r="D99" s="13">
        <f>C99/100*184</f>
        <v>2655.4879999999998</v>
      </c>
      <c r="E99" s="14">
        <f>C99/100*13</f>
        <v>187.61599999999999</v>
      </c>
      <c r="F99" s="14"/>
      <c r="G99" s="14">
        <f>C99/100*14.2</f>
        <v>204.93439999999998</v>
      </c>
      <c r="H99" s="14"/>
      <c r="I99" s="14">
        <f>C99/100*1</f>
        <v>14.431999999999999</v>
      </c>
      <c r="J99" s="64">
        <f>C99/100*71</f>
        <v>1024.6719999999998</v>
      </c>
      <c r="K99" s="22">
        <f>C99/100*0.15</f>
        <v>2.1647999999999996</v>
      </c>
      <c r="L99" s="111">
        <v>1640</v>
      </c>
      <c r="M99" s="20">
        <v>57</v>
      </c>
      <c r="N99" s="16">
        <f t="shared" si="8"/>
        <v>93480</v>
      </c>
      <c r="O99" s="155"/>
      <c r="Q99" s="3"/>
      <c r="R99" s="3"/>
      <c r="S99" s="4"/>
    </row>
    <row r="100" spans="1:23" s="118" customFormat="1" ht="18.600000000000001" customHeight="1">
      <c r="A100" s="133">
        <v>6</v>
      </c>
      <c r="B100" s="128" t="s">
        <v>67</v>
      </c>
      <c r="C100" s="134">
        <f>L100/100*98</f>
        <v>1048.5999999999999</v>
      </c>
      <c r="D100" s="135">
        <f>C100/100*139</f>
        <v>1457.5539999999999</v>
      </c>
      <c r="E100" s="104">
        <f>C100/100*19</f>
        <v>199.23399999999998</v>
      </c>
      <c r="F100" s="104"/>
      <c r="G100" s="104">
        <f>C100/100*7</f>
        <v>73.401999999999987</v>
      </c>
      <c r="H100" s="104"/>
      <c r="I100" s="104"/>
      <c r="J100" s="136">
        <f>C100/100*7</f>
        <v>73.401999999999987</v>
      </c>
      <c r="K100" s="136">
        <f>C100/100*0.9</f>
        <v>9.4373999999999985</v>
      </c>
      <c r="L100" s="111">
        <v>1070</v>
      </c>
      <c r="M100" s="137">
        <v>133</v>
      </c>
      <c r="N100" s="114">
        <f t="shared" si="8"/>
        <v>142310</v>
      </c>
      <c r="O100" s="322"/>
    </row>
    <row r="101" spans="1:23" s="2" customFormat="1" ht="18.600000000000001" customHeight="1">
      <c r="A101" s="8">
        <v>7</v>
      </c>
      <c r="B101" s="5" t="s">
        <v>20</v>
      </c>
      <c r="C101" s="12">
        <f>L101/100*95</f>
        <v>636.5</v>
      </c>
      <c r="D101" s="13">
        <f>C101/100*20</f>
        <v>127.30000000000001</v>
      </c>
      <c r="E101" s="14"/>
      <c r="F101" s="14">
        <f>C101/100*0.6</f>
        <v>3.819</v>
      </c>
      <c r="G101" s="14"/>
      <c r="H101" s="14">
        <f>C101/100*0.2</f>
        <v>1.2730000000000001</v>
      </c>
      <c r="I101" s="14">
        <f>C101/100*4</f>
        <v>25.46</v>
      </c>
      <c r="J101" s="21">
        <f>C101/100*12</f>
        <v>76.38</v>
      </c>
      <c r="K101" s="21">
        <f>C101/100*0.04</f>
        <v>0.25459999999999999</v>
      </c>
      <c r="L101" s="323">
        <v>670</v>
      </c>
      <c r="M101" s="15">
        <v>22</v>
      </c>
      <c r="N101" s="16">
        <f t="shared" si="8"/>
        <v>14740</v>
      </c>
      <c r="O101" s="155"/>
      <c r="Q101" s="3"/>
      <c r="R101" s="3"/>
    </row>
    <row r="102" spans="1:23" s="2" customFormat="1" ht="18.600000000000001" customHeight="1">
      <c r="A102" s="8">
        <v>8</v>
      </c>
      <c r="B102" s="5" t="s">
        <v>117</v>
      </c>
      <c r="C102" s="12">
        <f>L102/100*100</f>
        <v>30</v>
      </c>
      <c r="D102" s="13">
        <f>C102/100*247</f>
        <v>74.099999999999994</v>
      </c>
      <c r="E102" s="17"/>
      <c r="F102" s="17">
        <f>C102/100*17.5</f>
        <v>5.25</v>
      </c>
      <c r="G102" s="17"/>
      <c r="H102" s="17">
        <f>C102/100*1.6</f>
        <v>0.48</v>
      </c>
      <c r="I102" s="17">
        <f>C102/100*39.2</f>
        <v>11.76</v>
      </c>
      <c r="J102" s="21"/>
      <c r="K102" s="21"/>
      <c r="L102" s="323">
        <v>30</v>
      </c>
      <c r="M102" s="20">
        <v>50</v>
      </c>
      <c r="N102" s="113">
        <f t="shared" si="8"/>
        <v>1500</v>
      </c>
      <c r="O102" s="155"/>
      <c r="Q102" s="3"/>
      <c r="R102" s="3"/>
      <c r="S102" s="4"/>
      <c r="T102" s="3"/>
    </row>
    <row r="103" spans="1:23" s="2" customFormat="1" ht="18" customHeight="1">
      <c r="A103" s="8">
        <v>9</v>
      </c>
      <c r="B103" s="5" t="s">
        <v>166</v>
      </c>
      <c r="C103" s="12">
        <f>L103/100*77</f>
        <v>631.4</v>
      </c>
      <c r="D103" s="13">
        <f>C103/100*35</f>
        <v>220.99</v>
      </c>
      <c r="E103" s="17"/>
      <c r="F103" s="17">
        <f>C103/100*5.3</f>
        <v>33.464199999999998</v>
      </c>
      <c r="G103" s="17"/>
      <c r="H103" s="17"/>
      <c r="I103" s="17">
        <f>C103/100*3.4</f>
        <v>21.467600000000001</v>
      </c>
      <c r="J103" s="123">
        <f>C103/100*169</f>
        <v>1067.066</v>
      </c>
      <c r="K103" s="17">
        <f>C103/100*0.07</f>
        <v>0.44198000000000004</v>
      </c>
      <c r="L103" s="324">
        <v>820</v>
      </c>
      <c r="M103" s="15">
        <v>35</v>
      </c>
      <c r="N103" s="16">
        <f t="shared" si="8"/>
        <v>28700</v>
      </c>
      <c r="O103" s="155"/>
      <c r="Q103" s="3"/>
      <c r="R103" s="3"/>
      <c r="S103" s="4"/>
    </row>
    <row r="104" spans="1:23" s="2" customFormat="1" ht="18" customHeight="1">
      <c r="A104" s="133">
        <v>10</v>
      </c>
      <c r="B104" s="5" t="s">
        <v>157</v>
      </c>
      <c r="C104" s="12">
        <f>L104/100*81</f>
        <v>137.69999999999999</v>
      </c>
      <c r="D104" s="13">
        <f>C104/100*17</f>
        <v>23.408999999999995</v>
      </c>
      <c r="E104" s="14"/>
      <c r="F104" s="14">
        <f>C104/100*0.9</f>
        <v>1.2392999999999998</v>
      </c>
      <c r="G104" s="14"/>
      <c r="H104" s="14">
        <f>C104/100*0.2</f>
        <v>0.27539999999999998</v>
      </c>
      <c r="I104" s="14">
        <f>C104/100*2.8</f>
        <v>3.855599999999999</v>
      </c>
      <c r="J104" s="64">
        <f>C104/100*28</f>
        <v>38.555999999999997</v>
      </c>
      <c r="K104" s="22">
        <f>C104/100*0.04</f>
        <v>5.507999999999999E-2</v>
      </c>
      <c r="L104" s="111">
        <v>170</v>
      </c>
      <c r="M104" s="15">
        <v>25</v>
      </c>
      <c r="N104" s="113">
        <f t="shared" si="8"/>
        <v>4250</v>
      </c>
      <c r="O104" s="155"/>
    </row>
    <row r="105" spans="1:23" s="2" customFormat="1" ht="18.600000000000001" customHeight="1">
      <c r="A105" s="8">
        <v>11</v>
      </c>
      <c r="B105" s="9" t="s">
        <v>111</v>
      </c>
      <c r="C105" s="12"/>
      <c r="D105" s="13"/>
      <c r="E105" s="14"/>
      <c r="F105" s="14"/>
      <c r="G105" s="14"/>
      <c r="H105" s="14"/>
      <c r="I105" s="14"/>
      <c r="J105" s="14"/>
      <c r="K105" s="14"/>
      <c r="L105" s="15"/>
      <c r="M105" s="15"/>
      <c r="N105" s="16">
        <v>2480</v>
      </c>
      <c r="O105" s="155"/>
      <c r="Q105" s="3"/>
      <c r="R105" s="3"/>
      <c r="S105" s="4"/>
      <c r="T105" s="3"/>
    </row>
    <row r="106" spans="1:23" s="2" customFormat="1" ht="18.600000000000001" customHeight="1">
      <c r="A106" s="23" t="s">
        <v>104</v>
      </c>
      <c r="B106" s="24"/>
      <c r="C106" s="25"/>
      <c r="D106" s="94">
        <f>SUM(D95:D105)</f>
        <v>12483.268999999998</v>
      </c>
      <c r="E106" s="31"/>
      <c r="F106" s="31"/>
      <c r="G106" s="31"/>
      <c r="H106" s="31"/>
      <c r="I106" s="31"/>
      <c r="J106" s="31"/>
      <c r="K106" s="31"/>
      <c r="L106" s="32"/>
      <c r="M106" s="32"/>
      <c r="N106" s="297">
        <f>SUM(N95:N105)</f>
        <v>332414</v>
      </c>
      <c r="O106" s="155"/>
    </row>
    <row r="107" spans="1:23" ht="18.600000000000001" customHeight="1">
      <c r="A107" s="23" t="s">
        <v>43</v>
      </c>
      <c r="B107" s="24"/>
      <c r="C107" s="33"/>
      <c r="D107" s="34">
        <f>D106/C89</f>
        <v>304.46997560975603</v>
      </c>
      <c r="E107" s="34"/>
      <c r="F107" s="34"/>
      <c r="G107" s="34"/>
      <c r="H107" s="34"/>
      <c r="I107" s="34"/>
      <c r="J107" s="34"/>
      <c r="K107" s="34"/>
      <c r="L107" s="35"/>
      <c r="M107" s="35"/>
      <c r="N107" s="298"/>
      <c r="O107" s="4"/>
      <c r="P107" s="2"/>
      <c r="Q107" s="2"/>
      <c r="R107" s="2"/>
      <c r="S107" s="2"/>
      <c r="T107" s="2"/>
      <c r="U107" s="2"/>
      <c r="V107" s="2"/>
      <c r="W107" s="2"/>
    </row>
    <row r="108" spans="1:23" ht="18.600000000000001" customHeight="1">
      <c r="A108" s="300" t="s">
        <v>52</v>
      </c>
      <c r="B108" s="212"/>
      <c r="C108" s="325" t="s">
        <v>133</v>
      </c>
      <c r="D108" s="29" t="s">
        <v>38</v>
      </c>
      <c r="E108" s="34"/>
      <c r="F108" s="34"/>
      <c r="G108" s="34"/>
      <c r="H108" s="34"/>
      <c r="I108" s="34"/>
      <c r="J108" s="36"/>
      <c r="K108" s="36"/>
      <c r="L108" s="35"/>
      <c r="M108" s="35"/>
      <c r="N108" s="168"/>
      <c r="O108" s="4"/>
      <c r="P108" s="2"/>
      <c r="Q108" s="2"/>
      <c r="R108" s="2"/>
      <c r="S108" s="2"/>
      <c r="T108" s="2"/>
      <c r="U108" s="2"/>
      <c r="V108" s="2"/>
      <c r="W108" s="2"/>
    </row>
    <row r="109" spans="1:23" ht="18.600000000000001" customHeight="1">
      <c r="A109" s="213"/>
      <c r="B109" s="214"/>
      <c r="C109" s="62" t="s">
        <v>58</v>
      </c>
      <c r="D109" s="29">
        <f>D107*100/930</f>
        <v>32.73870705481248</v>
      </c>
      <c r="E109" s="34"/>
      <c r="F109" s="34"/>
      <c r="G109" s="34"/>
      <c r="H109" s="34"/>
      <c r="I109" s="34"/>
      <c r="J109" s="36"/>
      <c r="K109" s="36"/>
      <c r="L109" s="35"/>
      <c r="M109" s="35"/>
      <c r="N109" s="168"/>
      <c r="O109" s="4"/>
      <c r="P109" s="2"/>
      <c r="Q109" s="2"/>
      <c r="R109" s="2"/>
      <c r="S109" s="2"/>
      <c r="T109" s="2"/>
      <c r="U109" s="2"/>
      <c r="V109" s="2"/>
      <c r="W109" s="2"/>
    </row>
    <row r="110" spans="1:23" s="2" customFormat="1" ht="18.600000000000001" customHeight="1">
      <c r="A110" s="215" t="s">
        <v>45</v>
      </c>
      <c r="B110" s="215"/>
      <c r="C110" s="45"/>
      <c r="D110" s="46"/>
      <c r="E110" s="47"/>
      <c r="F110" s="47"/>
      <c r="G110" s="47"/>
      <c r="H110" s="47"/>
      <c r="I110" s="47"/>
      <c r="J110" s="47"/>
      <c r="K110" s="47"/>
      <c r="L110" s="48"/>
      <c r="M110" s="48"/>
      <c r="N110" s="51"/>
      <c r="O110" s="155"/>
    </row>
    <row r="111" spans="1:23" s="2" customFormat="1" ht="18.600000000000001" customHeight="1">
      <c r="A111" s="8">
        <v>1</v>
      </c>
      <c r="B111" s="9" t="s">
        <v>2</v>
      </c>
      <c r="C111" s="12">
        <f>L111/100*100</f>
        <v>50</v>
      </c>
      <c r="D111" s="13">
        <f>C111/100*60</f>
        <v>30</v>
      </c>
      <c r="E111" s="14">
        <f>C111/100*15</f>
        <v>7.5</v>
      </c>
      <c r="F111" s="14"/>
      <c r="G111" s="14"/>
      <c r="H111" s="14"/>
      <c r="I111" s="14"/>
      <c r="J111" s="22">
        <f>C111/100*387</f>
        <v>193.5</v>
      </c>
      <c r="K111" s="22">
        <f>C111/100*0.09</f>
        <v>4.4999999999999998E-2</v>
      </c>
      <c r="L111" s="15">
        <v>50</v>
      </c>
      <c r="M111" s="20">
        <v>20</v>
      </c>
      <c r="N111" s="16">
        <f>L111*M111</f>
        <v>1000</v>
      </c>
      <c r="O111" s="155"/>
    </row>
    <row r="112" spans="1:23" s="2" customFormat="1" ht="18.600000000000001" customHeight="1">
      <c r="A112" s="8">
        <v>2</v>
      </c>
      <c r="B112" s="130" t="s">
        <v>121</v>
      </c>
      <c r="C112" s="12">
        <f>L112/100*100</f>
        <v>240</v>
      </c>
      <c r="D112" s="13">
        <f>C112/100*899</f>
        <v>2157.6</v>
      </c>
      <c r="E112" s="14"/>
      <c r="F112" s="14"/>
      <c r="G112" s="14">
        <f>C112/100*100</f>
        <v>240</v>
      </c>
      <c r="H112" s="14"/>
      <c r="I112" s="14"/>
      <c r="J112" s="22"/>
      <c r="K112" s="22"/>
      <c r="L112" s="111">
        <v>240</v>
      </c>
      <c r="M112" s="110">
        <v>69</v>
      </c>
      <c r="N112" s="113">
        <f t="shared" ref="N112" si="9">L112*M112</f>
        <v>16560</v>
      </c>
      <c r="O112" s="155"/>
    </row>
    <row r="113" spans="1:23" s="2" customFormat="1" ht="18.600000000000001" customHeight="1">
      <c r="A113" s="8">
        <v>3</v>
      </c>
      <c r="B113" s="5" t="s">
        <v>1</v>
      </c>
      <c r="C113" s="12">
        <f>L113/100*100</f>
        <v>1025</v>
      </c>
      <c r="D113" s="13">
        <f>C113/100*355.6</f>
        <v>3644.9</v>
      </c>
      <c r="E113" s="14"/>
      <c r="F113" s="14">
        <f>C113/100*7.9</f>
        <v>80.975000000000009</v>
      </c>
      <c r="G113" s="14"/>
      <c r="H113" s="14">
        <f>C113/100*1</f>
        <v>10.25</v>
      </c>
      <c r="I113" s="14">
        <f>C113/100*75.9</f>
        <v>777.97500000000002</v>
      </c>
      <c r="J113" s="22">
        <f>C113/100*30</f>
        <v>307.5</v>
      </c>
      <c r="K113" s="22">
        <f>C113/100*0.1</f>
        <v>1.0250000000000001</v>
      </c>
      <c r="L113" s="15">
        <v>1025</v>
      </c>
      <c r="M113" s="20">
        <v>18</v>
      </c>
      <c r="N113" s="16">
        <f t="shared" ref="N113:N118" si="10">L113*M113</f>
        <v>18450</v>
      </c>
      <c r="O113" s="155"/>
    </row>
    <row r="114" spans="1:23" s="2" customFormat="1" ht="18.600000000000001" customHeight="1">
      <c r="A114" s="8">
        <v>4</v>
      </c>
      <c r="B114" s="5" t="s">
        <v>65</v>
      </c>
      <c r="C114" s="12">
        <f>L114/100*100</f>
        <v>620</v>
      </c>
      <c r="D114" s="13">
        <f>C114/100*344</f>
        <v>2132.8000000000002</v>
      </c>
      <c r="E114" s="14"/>
      <c r="F114" s="14">
        <f>C114/100*8.6</f>
        <v>53.32</v>
      </c>
      <c r="G114" s="14"/>
      <c r="H114" s="14">
        <f>C114/100*1.5</f>
        <v>9.3000000000000007</v>
      </c>
      <c r="I114" s="14">
        <f>C114/100*74.5</f>
        <v>461.90000000000003</v>
      </c>
      <c r="J114" s="14">
        <f>C114/100*32</f>
        <v>198.4</v>
      </c>
      <c r="K114" s="22">
        <f>C114/100*0.14</f>
        <v>0.8680000000000001</v>
      </c>
      <c r="L114" s="15">
        <v>620</v>
      </c>
      <c r="M114" s="20">
        <v>30</v>
      </c>
      <c r="N114" s="16">
        <f t="shared" si="10"/>
        <v>18600</v>
      </c>
      <c r="O114" s="155"/>
      <c r="P114" s="326"/>
    </row>
    <row r="115" spans="1:23" s="2" customFormat="1" ht="18.600000000000001" customHeight="1">
      <c r="A115" s="8">
        <v>5</v>
      </c>
      <c r="B115" s="5" t="s">
        <v>4</v>
      </c>
      <c r="C115" s="12">
        <f>L115/100*98</f>
        <v>754.6</v>
      </c>
      <c r="D115" s="13">
        <f>C115/100*118</f>
        <v>890.428</v>
      </c>
      <c r="E115" s="14">
        <f>C115/100*21</f>
        <v>158.46600000000001</v>
      </c>
      <c r="F115" s="14"/>
      <c r="G115" s="14">
        <f>C115/100*3.8</f>
        <v>28.674800000000001</v>
      </c>
      <c r="H115" s="14"/>
      <c r="I115" s="14"/>
      <c r="J115" s="22">
        <f>C115/100*12</f>
        <v>90.552000000000007</v>
      </c>
      <c r="K115" s="22">
        <f>C115/100*0.1</f>
        <v>0.75460000000000005</v>
      </c>
      <c r="L115" s="111">
        <v>770</v>
      </c>
      <c r="M115" s="15">
        <v>270</v>
      </c>
      <c r="N115" s="93">
        <f t="shared" si="10"/>
        <v>207900</v>
      </c>
      <c r="O115" s="322"/>
      <c r="Q115" s="3"/>
      <c r="R115" s="3"/>
      <c r="S115" s="4"/>
    </row>
    <row r="116" spans="1:23" s="2" customFormat="1" ht="17.399999999999999" customHeight="1">
      <c r="A116" s="8">
        <v>6</v>
      </c>
      <c r="B116" s="5" t="s">
        <v>3</v>
      </c>
      <c r="C116" s="12">
        <f>L116/100*48</f>
        <v>590.40000000000009</v>
      </c>
      <c r="D116" s="13">
        <f>C116/100*199</f>
        <v>1174.8960000000002</v>
      </c>
      <c r="E116" s="14">
        <f>C116/100*20.3</f>
        <v>119.85120000000002</v>
      </c>
      <c r="F116" s="14"/>
      <c r="G116" s="14">
        <f>C116/100*13.1</f>
        <v>77.342400000000012</v>
      </c>
      <c r="H116" s="14"/>
      <c r="I116" s="14"/>
      <c r="J116" s="22">
        <f>C116/100*12</f>
        <v>70.848000000000013</v>
      </c>
      <c r="K116" s="22">
        <f>C116/100*0.15</f>
        <v>0.88560000000000005</v>
      </c>
      <c r="L116" s="111">
        <v>1230</v>
      </c>
      <c r="M116" s="15">
        <v>84</v>
      </c>
      <c r="N116" s="16">
        <f t="shared" si="10"/>
        <v>103320</v>
      </c>
      <c r="O116" s="155"/>
      <c r="Q116" s="3"/>
      <c r="R116" s="3"/>
      <c r="S116" s="4"/>
    </row>
    <row r="117" spans="1:23" s="2" customFormat="1" ht="18.600000000000001" customHeight="1">
      <c r="A117" s="8">
        <v>7</v>
      </c>
      <c r="B117" s="5" t="s">
        <v>80</v>
      </c>
      <c r="C117" s="12">
        <f>L117/100*82</f>
        <v>672.4</v>
      </c>
      <c r="D117" s="13">
        <f>C117/100*27</f>
        <v>181.548</v>
      </c>
      <c r="E117" s="17"/>
      <c r="F117" s="17">
        <f>C117/100*0.3</f>
        <v>2.0171999999999999</v>
      </c>
      <c r="G117" s="17"/>
      <c r="H117" s="17">
        <f>C117/100*0.1</f>
        <v>0.67240000000000011</v>
      </c>
      <c r="I117" s="17">
        <f>C117/100*6.1</f>
        <v>41.016399999999997</v>
      </c>
      <c r="J117" s="21">
        <f>C117/100*24</f>
        <v>161.376</v>
      </c>
      <c r="K117" s="21">
        <f>C117/100*0.03</f>
        <v>0.20172000000000001</v>
      </c>
      <c r="L117" s="324">
        <v>820</v>
      </c>
      <c r="M117" s="15">
        <v>22</v>
      </c>
      <c r="N117" s="16">
        <f t="shared" si="10"/>
        <v>18040</v>
      </c>
      <c r="O117" s="155"/>
      <c r="Q117" s="3"/>
      <c r="R117" s="3"/>
      <c r="S117" s="4"/>
    </row>
    <row r="118" spans="1:23" s="2" customFormat="1" ht="18.600000000000001" customHeight="1">
      <c r="A118" s="8">
        <v>8</v>
      </c>
      <c r="B118" s="5" t="s">
        <v>117</v>
      </c>
      <c r="C118" s="12">
        <f>L118/100*100</f>
        <v>30</v>
      </c>
      <c r="D118" s="13">
        <f>C118/100*247</f>
        <v>74.099999999999994</v>
      </c>
      <c r="E118" s="17"/>
      <c r="F118" s="17">
        <f>C118/100*17.5</f>
        <v>5.25</v>
      </c>
      <c r="G118" s="17"/>
      <c r="H118" s="17">
        <f>C118/100*1.6</f>
        <v>0.48</v>
      </c>
      <c r="I118" s="17">
        <f>C118/100*39.2</f>
        <v>11.76</v>
      </c>
      <c r="J118" s="21"/>
      <c r="K118" s="21"/>
      <c r="L118" s="323">
        <v>30</v>
      </c>
      <c r="M118" s="20">
        <v>50</v>
      </c>
      <c r="N118" s="113">
        <f t="shared" si="10"/>
        <v>1500</v>
      </c>
      <c r="O118" s="155"/>
      <c r="Q118" s="3"/>
      <c r="R118" s="3"/>
      <c r="S118" s="4"/>
      <c r="T118" s="3"/>
    </row>
    <row r="119" spans="1:23" s="2" customFormat="1" ht="18.600000000000001" customHeight="1">
      <c r="A119" s="8">
        <v>9</v>
      </c>
      <c r="B119" s="9" t="s">
        <v>111</v>
      </c>
      <c r="C119" s="12"/>
      <c r="D119" s="13"/>
      <c r="E119" s="14"/>
      <c r="F119" s="14"/>
      <c r="G119" s="14"/>
      <c r="H119" s="14"/>
      <c r="I119" s="14"/>
      <c r="J119" s="14"/>
      <c r="K119" s="14"/>
      <c r="L119" s="15"/>
      <c r="M119" s="15"/>
      <c r="N119" s="16">
        <v>2480</v>
      </c>
      <c r="O119" s="155"/>
      <c r="Q119" s="3"/>
      <c r="R119" s="3"/>
      <c r="S119" s="4"/>
      <c r="T119" s="3"/>
    </row>
    <row r="120" spans="1:23" s="2" customFormat="1" ht="18.600000000000001" customHeight="1">
      <c r="A120" s="23" t="s">
        <v>105</v>
      </c>
      <c r="B120" s="24"/>
      <c r="C120" s="25"/>
      <c r="D120" s="94">
        <f>SUM(D111:D119)</f>
        <v>10286.272000000003</v>
      </c>
      <c r="E120" s="31"/>
      <c r="F120" s="31"/>
      <c r="G120" s="31"/>
      <c r="H120" s="31"/>
      <c r="I120" s="31"/>
      <c r="J120" s="31"/>
      <c r="K120" s="31"/>
      <c r="L120" s="32"/>
      <c r="M120" s="32"/>
      <c r="N120" s="297">
        <f>SUM(N111:N119)</f>
        <v>387850</v>
      </c>
      <c r="O120" s="155"/>
    </row>
    <row r="121" spans="1:23" ht="18.600000000000001" customHeight="1">
      <c r="A121" s="23" t="s">
        <v>46</v>
      </c>
      <c r="B121" s="24"/>
      <c r="C121" s="52"/>
      <c r="D121" s="36">
        <f>D120/C89</f>
        <v>250.88468292682933</v>
      </c>
      <c r="E121" s="36"/>
      <c r="F121" s="36"/>
      <c r="G121" s="36"/>
      <c r="H121" s="36"/>
      <c r="I121" s="36"/>
      <c r="J121" s="36"/>
      <c r="K121" s="36"/>
      <c r="L121" s="53"/>
      <c r="M121" s="35"/>
      <c r="N121" s="298"/>
      <c r="O121" s="4"/>
      <c r="P121" s="2"/>
      <c r="Q121" s="2"/>
      <c r="R121" s="2"/>
      <c r="S121" s="2"/>
      <c r="T121" s="2"/>
      <c r="U121" s="2"/>
      <c r="V121" s="2"/>
      <c r="W121" s="2"/>
    </row>
    <row r="122" spans="1:23" ht="18.600000000000001" customHeight="1">
      <c r="A122" s="300" t="s">
        <v>53</v>
      </c>
      <c r="B122" s="212"/>
      <c r="C122" s="325" t="s">
        <v>133</v>
      </c>
      <c r="D122" s="29" t="s">
        <v>48</v>
      </c>
      <c r="E122" s="34"/>
      <c r="F122" s="34"/>
      <c r="G122" s="34"/>
      <c r="H122" s="34"/>
      <c r="I122" s="34"/>
      <c r="J122" s="36"/>
      <c r="K122" s="36"/>
      <c r="L122" s="35"/>
      <c r="M122" s="35"/>
      <c r="N122" s="168"/>
      <c r="O122" s="4"/>
      <c r="P122" s="2"/>
      <c r="Q122" s="2"/>
      <c r="R122" s="2"/>
      <c r="S122" s="2"/>
      <c r="T122" s="2"/>
      <c r="U122" s="2"/>
      <c r="V122" s="2"/>
      <c r="W122" s="2"/>
    </row>
    <row r="123" spans="1:23" ht="18.600000000000001" customHeight="1">
      <c r="A123" s="213"/>
      <c r="B123" s="214"/>
      <c r="C123" s="62" t="s">
        <v>58</v>
      </c>
      <c r="D123" s="29">
        <f>D121*100/930</f>
        <v>26.976847626540788</v>
      </c>
      <c r="E123" s="34"/>
      <c r="F123" s="34"/>
      <c r="G123" s="34"/>
      <c r="H123" s="34"/>
      <c r="I123" s="34"/>
      <c r="J123" s="36"/>
      <c r="K123" s="36"/>
      <c r="L123" s="35"/>
      <c r="M123" s="35"/>
      <c r="N123" s="168"/>
      <c r="O123" s="4"/>
      <c r="P123" s="2"/>
      <c r="Q123" s="2"/>
      <c r="R123" s="2"/>
      <c r="S123" s="2"/>
      <c r="T123" s="2"/>
      <c r="U123" s="2"/>
      <c r="V123" s="2"/>
      <c r="W123" s="2"/>
    </row>
    <row r="124" spans="1:23" ht="18.600000000000001" customHeight="1">
      <c r="A124" s="215" t="s">
        <v>39</v>
      </c>
      <c r="B124" s="215"/>
      <c r="C124" s="54"/>
      <c r="D124" s="55"/>
      <c r="E124" s="55"/>
      <c r="F124" s="55"/>
      <c r="G124" s="55"/>
      <c r="H124" s="55"/>
      <c r="I124" s="55"/>
      <c r="J124" s="55"/>
      <c r="K124" s="55"/>
      <c r="L124" s="56"/>
      <c r="M124" s="56"/>
      <c r="N124" s="57"/>
      <c r="O124" s="4"/>
      <c r="P124" s="2"/>
      <c r="Q124" s="2"/>
      <c r="R124" s="2"/>
      <c r="S124" s="2"/>
      <c r="T124" s="2"/>
      <c r="U124" s="2"/>
      <c r="V124" s="2"/>
      <c r="W124" s="2"/>
    </row>
    <row r="125" spans="1:23" s="2" customFormat="1" ht="18.600000000000001" customHeight="1">
      <c r="A125" s="119">
        <v>1</v>
      </c>
      <c r="B125" s="140" t="s">
        <v>131</v>
      </c>
      <c r="C125" s="25">
        <f>L125/100*100</f>
        <v>700</v>
      </c>
      <c r="D125" s="120">
        <f>C125/100*487</f>
        <v>3409</v>
      </c>
      <c r="E125" s="27"/>
      <c r="F125" s="27">
        <f>C125/100*19.5</f>
        <v>136.5</v>
      </c>
      <c r="G125" s="27"/>
      <c r="H125" s="27">
        <f>C125/100*23.2</f>
        <v>162.4</v>
      </c>
      <c r="I125" s="27">
        <f>C125/100*46</f>
        <v>322</v>
      </c>
      <c r="J125" s="121">
        <f>C125/100*680</f>
        <v>4760</v>
      </c>
      <c r="K125" s="27">
        <f>C125/100*0.55</f>
        <v>3.8500000000000005</v>
      </c>
      <c r="L125" s="28">
        <v>700</v>
      </c>
      <c r="M125" s="141">
        <v>260</v>
      </c>
      <c r="N125" s="122">
        <f t="shared" ref="N125" si="11">L125*M125</f>
        <v>182000</v>
      </c>
      <c r="O125" s="155"/>
      <c r="P125" s="3"/>
    </row>
    <row r="126" spans="1:23" ht="20.399999999999999" customHeight="1">
      <c r="A126" s="172" t="s">
        <v>0</v>
      </c>
      <c r="B126" s="175" t="s">
        <v>19</v>
      </c>
      <c r="C126" s="178" t="s">
        <v>8</v>
      </c>
      <c r="D126" s="178" t="s">
        <v>9</v>
      </c>
      <c r="E126" s="181" t="s">
        <v>11</v>
      </c>
      <c r="F126" s="182"/>
      <c r="G126" s="181" t="s">
        <v>13</v>
      </c>
      <c r="H126" s="182"/>
      <c r="I126" s="200" t="s">
        <v>16</v>
      </c>
      <c r="J126" s="200" t="s">
        <v>32</v>
      </c>
      <c r="K126" s="200" t="s">
        <v>33</v>
      </c>
      <c r="L126" s="200" t="s">
        <v>17</v>
      </c>
      <c r="M126" s="200" t="s">
        <v>34</v>
      </c>
      <c r="N126" s="172" t="s">
        <v>18</v>
      </c>
      <c r="O126" s="154"/>
    </row>
    <row r="127" spans="1:23" ht="20.399999999999999" customHeight="1">
      <c r="A127" s="173"/>
      <c r="B127" s="176"/>
      <c r="C127" s="179"/>
      <c r="D127" s="179"/>
      <c r="E127" s="183"/>
      <c r="F127" s="184"/>
      <c r="G127" s="183"/>
      <c r="H127" s="184"/>
      <c r="I127" s="208"/>
      <c r="J127" s="208"/>
      <c r="K127" s="208"/>
      <c r="L127" s="208"/>
      <c r="M127" s="208"/>
      <c r="N127" s="173"/>
      <c r="O127" s="163"/>
    </row>
    <row r="128" spans="1:23" ht="20.399999999999999" customHeight="1">
      <c r="A128" s="173"/>
      <c r="B128" s="176"/>
      <c r="C128" s="179"/>
      <c r="D128" s="179"/>
      <c r="E128" s="200" t="s">
        <v>10</v>
      </c>
      <c r="F128" s="200" t="s">
        <v>12</v>
      </c>
      <c r="G128" s="200" t="s">
        <v>14</v>
      </c>
      <c r="H128" s="200" t="s">
        <v>15</v>
      </c>
      <c r="I128" s="208"/>
      <c r="J128" s="208"/>
      <c r="K128" s="208"/>
      <c r="L128" s="208"/>
      <c r="M128" s="208"/>
      <c r="N128" s="173"/>
      <c r="O128" s="163"/>
    </row>
    <row r="129" spans="1:23" ht="20.399999999999999" customHeight="1">
      <c r="A129" s="174"/>
      <c r="B129" s="177"/>
      <c r="C129" s="180"/>
      <c r="D129" s="180"/>
      <c r="E129" s="201"/>
      <c r="F129" s="201"/>
      <c r="G129" s="201"/>
      <c r="H129" s="201"/>
      <c r="I129" s="201"/>
      <c r="J129" s="201"/>
      <c r="K129" s="201"/>
      <c r="L129" s="201"/>
      <c r="M129" s="201"/>
      <c r="N129" s="174"/>
      <c r="O129" s="163"/>
    </row>
    <row r="130" spans="1:23" s="2" customFormat="1" ht="21" customHeight="1">
      <c r="A130" s="23" t="s">
        <v>98</v>
      </c>
      <c r="B130" s="24"/>
      <c r="C130" s="25"/>
      <c r="D130" s="26">
        <f>SUM(D124:D125)</f>
        <v>3409</v>
      </c>
      <c r="E130" s="31"/>
      <c r="F130" s="31"/>
      <c r="G130" s="31"/>
      <c r="H130" s="31"/>
      <c r="I130" s="31"/>
      <c r="J130" s="31"/>
      <c r="K130" s="31"/>
      <c r="L130" s="32"/>
      <c r="M130" s="58"/>
      <c r="N130" s="297">
        <f>SUM(N124:N125)</f>
        <v>182000</v>
      </c>
      <c r="O130" s="155"/>
    </row>
    <row r="131" spans="1:23" ht="21" customHeight="1">
      <c r="A131" s="23" t="s">
        <v>7</v>
      </c>
      <c r="B131" s="24"/>
      <c r="C131" s="33"/>
      <c r="D131" s="34">
        <f>D130/C89</f>
        <v>83.146341463414629</v>
      </c>
      <c r="E131" s="34"/>
      <c r="F131" s="34"/>
      <c r="G131" s="34"/>
      <c r="H131" s="34"/>
      <c r="I131" s="34"/>
      <c r="J131" s="34"/>
      <c r="K131" s="34"/>
      <c r="L131" s="35"/>
      <c r="M131" s="18"/>
      <c r="N131" s="298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21" customHeight="1">
      <c r="A132" s="300" t="s">
        <v>51</v>
      </c>
      <c r="B132" s="212"/>
      <c r="C132" s="61" t="s">
        <v>57</v>
      </c>
      <c r="D132" s="29" t="s">
        <v>49</v>
      </c>
      <c r="E132" s="34"/>
      <c r="F132" s="34"/>
      <c r="G132" s="34"/>
      <c r="H132" s="34"/>
      <c r="I132" s="34"/>
      <c r="J132" s="36"/>
      <c r="K132" s="36"/>
      <c r="L132" s="35"/>
      <c r="M132" s="35"/>
      <c r="N132" s="168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21" customHeight="1">
      <c r="A133" s="213"/>
      <c r="B133" s="214"/>
      <c r="C133" s="62" t="s">
        <v>58</v>
      </c>
      <c r="D133" s="29">
        <f>D131*100/930</f>
        <v>8.940466824023078</v>
      </c>
      <c r="E133" s="34"/>
      <c r="F133" s="34"/>
      <c r="G133" s="34"/>
      <c r="H133" s="34"/>
      <c r="I133" s="34"/>
      <c r="J133" s="36"/>
      <c r="K133" s="36"/>
      <c r="L133" s="35"/>
      <c r="M133" s="35"/>
      <c r="N133" s="168"/>
      <c r="O133" s="4"/>
      <c r="P133" s="2"/>
      <c r="Q133" s="2"/>
      <c r="R133" s="2"/>
      <c r="S133" s="2"/>
      <c r="T133" s="2"/>
      <c r="U133" s="2"/>
      <c r="V133" s="2"/>
      <c r="W133" s="2"/>
    </row>
    <row r="134" spans="1:23" ht="21" customHeight="1">
      <c r="A134" s="217" t="s">
        <v>99</v>
      </c>
      <c r="B134" s="218"/>
      <c r="C134" s="221"/>
      <c r="D134" s="282">
        <f>D106+D120+D130</f>
        <v>26178.541000000001</v>
      </c>
      <c r="E134" s="6">
        <f t="shared" ref="E134:I134" si="12">SUM(E95:E125)</f>
        <v>681.66720000000009</v>
      </c>
      <c r="F134" s="6">
        <f t="shared" si="12"/>
        <v>461.11169999999998</v>
      </c>
      <c r="G134" s="6">
        <f t="shared" si="12"/>
        <v>704.35359999999991</v>
      </c>
      <c r="H134" s="6">
        <f t="shared" si="12"/>
        <v>302.76080000000002</v>
      </c>
      <c r="I134" s="229">
        <f t="shared" si="12"/>
        <v>3029.7436000000002</v>
      </c>
      <c r="J134" s="225">
        <f>SUM(J95:J125)</f>
        <v>8823.3520000000008</v>
      </c>
      <c r="K134" s="229">
        <f>SUM(K95:K125)</f>
        <v>21.80078</v>
      </c>
      <c r="L134" s="231"/>
      <c r="M134" s="231"/>
      <c r="N134" s="299">
        <f>N106+N120+N125</f>
        <v>902264</v>
      </c>
      <c r="P134" s="2"/>
      <c r="Q134" s="2"/>
      <c r="R134" s="2"/>
      <c r="S134" s="2"/>
      <c r="T134" s="2"/>
      <c r="U134" s="2"/>
      <c r="V134" s="2"/>
    </row>
    <row r="135" spans="1:23" ht="21" customHeight="1">
      <c r="A135" s="219"/>
      <c r="B135" s="220"/>
      <c r="C135" s="222"/>
      <c r="D135" s="283"/>
      <c r="E135" s="233">
        <f>E134+F134</f>
        <v>1142.7789</v>
      </c>
      <c r="F135" s="234"/>
      <c r="G135" s="233">
        <f>G134+H134</f>
        <v>1007.1143999999999</v>
      </c>
      <c r="H135" s="234"/>
      <c r="I135" s="230"/>
      <c r="J135" s="226"/>
      <c r="K135" s="230"/>
      <c r="L135" s="231"/>
      <c r="M135" s="231"/>
      <c r="N135" s="299"/>
      <c r="U135" s="11"/>
      <c r="V135" s="11"/>
    </row>
    <row r="136" spans="1:23" ht="21" customHeight="1">
      <c r="A136" s="273" t="s">
        <v>75</v>
      </c>
      <c r="B136" s="274"/>
      <c r="C136" s="275"/>
      <c r="D136" s="101">
        <f>D134/C89</f>
        <v>638.50099999999998</v>
      </c>
      <c r="E136" s="108">
        <f>E134/C89</f>
        <v>16.626029268292687</v>
      </c>
      <c r="F136" s="107">
        <f>F134/C89</f>
        <v>11.246626829268292</v>
      </c>
      <c r="G136" s="108">
        <f>G134/C89</f>
        <v>17.179356097560973</v>
      </c>
      <c r="H136" s="107">
        <f>H134/C89</f>
        <v>7.3844097560975612</v>
      </c>
      <c r="I136" s="243">
        <f>I134/C89</f>
        <v>73.896185365853668</v>
      </c>
      <c r="J136" s="243">
        <f>J134/C89</f>
        <v>215.2037073170732</v>
      </c>
      <c r="K136" s="243">
        <f>K134/C89</f>
        <v>0.53172634146341458</v>
      </c>
      <c r="L136" s="231"/>
      <c r="M136" s="231"/>
      <c r="N136" s="299"/>
      <c r="U136" s="11"/>
      <c r="V136" s="11"/>
    </row>
    <row r="137" spans="1:23" ht="21" customHeight="1">
      <c r="A137" s="276"/>
      <c r="B137" s="277"/>
      <c r="C137" s="278"/>
      <c r="D137" s="98"/>
      <c r="E137" s="304">
        <f>E136+F136</f>
        <v>27.872656097560977</v>
      </c>
      <c r="F137" s="303"/>
      <c r="G137" s="304">
        <f>G136+H136</f>
        <v>24.563765853658534</v>
      </c>
      <c r="H137" s="303"/>
      <c r="I137" s="244"/>
      <c r="J137" s="244"/>
      <c r="K137" s="244"/>
      <c r="L137" s="231"/>
      <c r="M137" s="231"/>
      <c r="N137" s="299"/>
      <c r="P137" s="337"/>
      <c r="Q137" s="338"/>
      <c r="R137" s="338"/>
      <c r="S137" s="338"/>
      <c r="T137" s="338"/>
      <c r="U137" s="339"/>
      <c r="V137" s="339"/>
    </row>
    <row r="138" spans="1:23" ht="21" customHeight="1">
      <c r="A138" s="327" t="s">
        <v>76</v>
      </c>
      <c r="B138" s="328"/>
      <c r="C138" s="329"/>
      <c r="D138" s="330" t="s">
        <v>28</v>
      </c>
      <c r="E138" s="336" t="s">
        <v>24</v>
      </c>
      <c r="F138" s="336"/>
      <c r="G138" s="336" t="s">
        <v>25</v>
      </c>
      <c r="H138" s="336"/>
      <c r="I138" s="330" t="s">
        <v>26</v>
      </c>
      <c r="J138" s="164">
        <v>500</v>
      </c>
      <c r="K138" s="164">
        <v>0.59</v>
      </c>
      <c r="L138" s="231"/>
      <c r="M138" s="231"/>
      <c r="N138" s="299"/>
      <c r="O138" s="158"/>
      <c r="P138" s="340"/>
      <c r="Q138" s="338"/>
      <c r="R138" s="338"/>
      <c r="S138" s="344"/>
      <c r="T138" s="344"/>
      <c r="U138" s="338"/>
      <c r="V138" s="338"/>
    </row>
    <row r="139" spans="1:23" ht="21" customHeight="1">
      <c r="A139" s="248" t="s">
        <v>69</v>
      </c>
      <c r="B139" s="249"/>
      <c r="C139" s="250"/>
      <c r="D139" s="19"/>
      <c r="E139" s="251">
        <f>E137*4.1</f>
        <v>114.27789</v>
      </c>
      <c r="F139" s="252"/>
      <c r="G139" s="251">
        <f>G137*9</f>
        <v>221.07389268292681</v>
      </c>
      <c r="H139" s="252"/>
      <c r="I139" s="68">
        <f>I136*4.1</f>
        <v>302.97435999999999</v>
      </c>
      <c r="J139" s="253"/>
      <c r="K139" s="253"/>
      <c r="L139" s="231"/>
      <c r="M139" s="231"/>
      <c r="N139" s="299"/>
      <c r="O139" s="158"/>
      <c r="P139" s="341"/>
      <c r="Q139" s="342"/>
      <c r="R139" s="342"/>
      <c r="S139" s="342"/>
      <c r="T139" s="337"/>
      <c r="U139" s="337"/>
      <c r="V139" s="337"/>
    </row>
    <row r="140" spans="1:23" ht="21" customHeight="1">
      <c r="A140" s="256" t="s">
        <v>77</v>
      </c>
      <c r="B140" s="257"/>
      <c r="C140" s="248" t="s">
        <v>58</v>
      </c>
      <c r="D140" s="250"/>
      <c r="E140" s="284">
        <f>E139*100/D136</f>
        <v>17.897840410586674</v>
      </c>
      <c r="F140" s="285"/>
      <c r="G140" s="284">
        <f>G139*100/D136</f>
        <v>34.623891377292566</v>
      </c>
      <c r="H140" s="285"/>
      <c r="I140" s="85">
        <f>I139*100/D136</f>
        <v>47.450882614122762</v>
      </c>
      <c r="J140" s="254"/>
      <c r="K140" s="254"/>
      <c r="L140" s="231"/>
      <c r="M140" s="231"/>
      <c r="N140" s="299"/>
      <c r="O140" s="158"/>
      <c r="P140" s="337"/>
      <c r="Q140" s="343"/>
      <c r="R140" s="337"/>
      <c r="S140" s="337"/>
      <c r="T140" s="337"/>
      <c r="U140" s="337"/>
      <c r="V140" s="337"/>
    </row>
    <row r="141" spans="1:23" ht="21" customHeight="1">
      <c r="A141" s="258"/>
      <c r="B141" s="259"/>
      <c r="C141" s="248" t="s">
        <v>71</v>
      </c>
      <c r="D141" s="250"/>
      <c r="E141" s="248" t="s">
        <v>72</v>
      </c>
      <c r="F141" s="250"/>
      <c r="G141" s="248" t="s">
        <v>78</v>
      </c>
      <c r="H141" s="250"/>
      <c r="I141" s="330" t="s">
        <v>79</v>
      </c>
      <c r="J141" s="255"/>
      <c r="K141" s="255"/>
      <c r="L141" s="231"/>
      <c r="M141" s="231"/>
      <c r="N141" s="299"/>
      <c r="O141" s="158"/>
      <c r="P141" s="84"/>
    </row>
    <row r="142" spans="1:23" ht="21" customHeight="1">
      <c r="A142" s="70"/>
      <c r="B142" s="71"/>
      <c r="C142" s="70"/>
      <c r="D142" s="70"/>
      <c r="E142" s="70"/>
      <c r="F142" s="70"/>
      <c r="G142" s="70"/>
      <c r="H142" s="70"/>
      <c r="I142" s="70"/>
      <c r="J142" s="70"/>
      <c r="K142" s="70"/>
      <c r="L142" s="72"/>
      <c r="M142" s="72"/>
      <c r="N142" s="73"/>
      <c r="O142" s="158"/>
    </row>
    <row r="143" spans="1:23" ht="21" customHeight="1">
      <c r="A143" s="245" t="s">
        <v>100</v>
      </c>
      <c r="B143" s="245"/>
      <c r="C143" s="245"/>
      <c r="D143" s="245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158"/>
    </row>
    <row r="144" spans="1:23" ht="21" customHeight="1">
      <c r="A144" s="87" t="s">
        <v>101</v>
      </c>
      <c r="B144" s="246" t="s">
        <v>102</v>
      </c>
      <c r="C144" s="246"/>
      <c r="D144" s="246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158"/>
    </row>
    <row r="145" spans="1:15" ht="21" customHeight="1">
      <c r="A145" s="88"/>
      <c r="B145" s="247" t="s">
        <v>205</v>
      </c>
      <c r="C145" s="247"/>
      <c r="D145" s="247"/>
      <c r="E145" s="247"/>
      <c r="F145" s="247"/>
      <c r="G145" s="247"/>
      <c r="H145" s="247"/>
      <c r="I145" s="247"/>
      <c r="J145" s="247"/>
      <c r="K145" s="247"/>
      <c r="L145" s="247"/>
      <c r="M145" s="247"/>
      <c r="N145" s="247"/>
      <c r="O145" s="158"/>
    </row>
    <row r="146" spans="1:15" ht="21" customHeight="1">
      <c r="A146" s="88"/>
      <c r="B146" s="247" t="s">
        <v>206</v>
      </c>
      <c r="C146" s="247"/>
      <c r="D146" s="247"/>
      <c r="E146" s="247"/>
      <c r="F146" s="247"/>
      <c r="G146" s="247"/>
      <c r="H146" s="247"/>
      <c r="I146" s="247"/>
      <c r="J146" s="247"/>
      <c r="K146" s="247"/>
      <c r="L146" s="247"/>
      <c r="M146" s="247"/>
      <c r="N146" s="247"/>
      <c r="O146" s="158"/>
    </row>
    <row r="147" spans="1:15" ht="21" customHeight="1">
      <c r="A147" s="88"/>
      <c r="B147" s="247" t="s">
        <v>143</v>
      </c>
      <c r="C147" s="247"/>
      <c r="D147" s="247"/>
      <c r="E147" s="247"/>
      <c r="F147" s="247"/>
      <c r="G147" s="247"/>
      <c r="H147" s="247"/>
      <c r="I147" s="247"/>
      <c r="J147" s="247"/>
      <c r="K147" s="247"/>
      <c r="L147" s="247"/>
      <c r="M147" s="247"/>
      <c r="N147" s="247"/>
      <c r="O147" s="158"/>
    </row>
    <row r="148" spans="1:15" ht="21" customHeight="1">
      <c r="A148" s="70"/>
      <c r="B148" s="262" t="s">
        <v>109</v>
      </c>
      <c r="C148" s="262"/>
      <c r="D148" s="262"/>
      <c r="E148" s="262"/>
      <c r="F148" s="262"/>
      <c r="G148" s="262"/>
      <c r="H148" s="262"/>
      <c r="I148" s="262"/>
      <c r="J148" s="262"/>
      <c r="K148" s="262"/>
      <c r="L148" s="262"/>
      <c r="M148" s="262"/>
      <c r="N148" s="262"/>
      <c r="O148" s="158"/>
    </row>
    <row r="149" spans="1:15" ht="21" customHeight="1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89"/>
      <c r="M149" s="89"/>
      <c r="N149" s="90"/>
      <c r="O149" s="158"/>
    </row>
    <row r="150" spans="1:15" ht="21" customHeight="1">
      <c r="A150" s="263" t="s">
        <v>60</v>
      </c>
      <c r="B150" s="263"/>
      <c r="C150" s="263"/>
      <c r="D150" s="263"/>
      <c r="E150" s="332"/>
      <c r="F150" s="332"/>
      <c r="G150" s="332"/>
      <c r="H150" s="332"/>
      <c r="I150" s="332"/>
      <c r="J150" s="333" t="s">
        <v>36</v>
      </c>
      <c r="K150" s="333"/>
      <c r="L150" s="333"/>
      <c r="M150" s="333"/>
      <c r="N150" s="333"/>
      <c r="O150" s="158"/>
    </row>
    <row r="151" spans="1:15" ht="21" customHeight="1">
      <c r="A151" s="163"/>
      <c r="B151" s="163"/>
      <c r="C151" s="163"/>
      <c r="D151" s="332"/>
      <c r="E151" s="332"/>
      <c r="F151" s="332"/>
      <c r="G151" s="332"/>
      <c r="H151" s="334"/>
      <c r="I151" s="334"/>
      <c r="J151" s="334"/>
      <c r="K151" s="334"/>
      <c r="L151" s="334"/>
      <c r="M151" s="334"/>
      <c r="N151" s="334"/>
      <c r="O151" s="158"/>
    </row>
    <row r="152" spans="1:15" ht="21" customHeight="1">
      <c r="A152" s="163"/>
      <c r="B152" s="163"/>
      <c r="C152" s="163"/>
      <c r="D152" s="332"/>
      <c r="E152" s="332"/>
      <c r="F152" s="332"/>
      <c r="G152" s="332"/>
      <c r="H152" s="334"/>
      <c r="I152" s="334"/>
      <c r="J152" s="334"/>
      <c r="K152" s="334"/>
      <c r="L152" s="334"/>
      <c r="M152" s="334"/>
      <c r="N152" s="334"/>
      <c r="O152" s="158"/>
    </row>
    <row r="153" spans="1:15" ht="21" customHeight="1">
      <c r="A153" s="163"/>
      <c r="B153" s="163"/>
      <c r="C153" s="163"/>
      <c r="D153" s="332"/>
      <c r="E153" s="332"/>
      <c r="F153" s="332"/>
      <c r="G153" s="332"/>
      <c r="H153" s="334"/>
      <c r="I153" s="334"/>
      <c r="J153" s="335" t="s">
        <v>103</v>
      </c>
      <c r="K153" s="335"/>
      <c r="L153" s="335"/>
      <c r="M153" s="335"/>
      <c r="N153" s="335"/>
      <c r="O153" s="158"/>
    </row>
    <row r="154" spans="1:15" ht="21" customHeight="1">
      <c r="A154" s="264" t="s">
        <v>84</v>
      </c>
      <c r="B154" s="264"/>
      <c r="C154" s="264"/>
      <c r="D154" s="264"/>
      <c r="E154" s="332"/>
      <c r="F154" s="332"/>
      <c r="G154" s="332"/>
      <c r="H154" s="334"/>
      <c r="I154" s="334"/>
      <c r="O154" s="158"/>
    </row>
    <row r="155" spans="1:15" ht="21" customHeight="1">
      <c r="J155" s="334"/>
      <c r="K155" s="334"/>
      <c r="L155" s="334"/>
      <c r="M155" s="334"/>
      <c r="N155" s="334"/>
    </row>
    <row r="156" spans="1:15" ht="21" customHeight="1">
      <c r="J156" s="335" t="s">
        <v>114</v>
      </c>
      <c r="K156" s="335"/>
      <c r="L156" s="335"/>
      <c r="M156" s="335"/>
      <c r="N156" s="335"/>
    </row>
  </sheetData>
  <mergeCells count="201">
    <mergeCell ref="J68:N68"/>
    <mergeCell ref="A72:D72"/>
    <mergeCell ref="J74:N74"/>
    <mergeCell ref="A143:N143"/>
    <mergeCell ref="B144:N144"/>
    <mergeCell ref="B145:N145"/>
    <mergeCell ref="B146:N146"/>
    <mergeCell ref="B147:N147"/>
    <mergeCell ref="B148:N148"/>
    <mergeCell ref="N106:N107"/>
    <mergeCell ref="A139:C139"/>
    <mergeCell ref="E139:F139"/>
    <mergeCell ref="G139:H139"/>
    <mergeCell ref="J139:J141"/>
    <mergeCell ref="G141:H141"/>
    <mergeCell ref="N120:N121"/>
    <mergeCell ref="A122:B123"/>
    <mergeCell ref="J86:N88"/>
    <mergeCell ref="A87:D87"/>
    <mergeCell ref="J71:N71"/>
    <mergeCell ref="A134:B135"/>
    <mergeCell ref="E86:I88"/>
    <mergeCell ref="A84:D85"/>
    <mergeCell ref="E84:N84"/>
    <mergeCell ref="J153:N153"/>
    <mergeCell ref="J156:N156"/>
    <mergeCell ref="A150:D150"/>
    <mergeCell ref="J150:N150"/>
    <mergeCell ref="A154:D154"/>
    <mergeCell ref="Q55:R55"/>
    <mergeCell ref="S55:T55"/>
    <mergeCell ref="C58:D58"/>
    <mergeCell ref="C126:C129"/>
    <mergeCell ref="D126:D129"/>
    <mergeCell ref="G126:H127"/>
    <mergeCell ref="I126:I129"/>
    <mergeCell ref="J126:J129"/>
    <mergeCell ref="K126:K129"/>
    <mergeCell ref="A140:B141"/>
    <mergeCell ref="C140:D140"/>
    <mergeCell ref="E140:F140"/>
    <mergeCell ref="G140:H140"/>
    <mergeCell ref="C141:D141"/>
    <mergeCell ref="E141:F141"/>
    <mergeCell ref="G137:H137"/>
    <mergeCell ref="N134:N141"/>
    <mergeCell ref="K139:K141"/>
    <mergeCell ref="N126:N129"/>
    <mergeCell ref="U137:V137"/>
    <mergeCell ref="U138:V138"/>
    <mergeCell ref="A59:N59"/>
    <mergeCell ref="K53:K54"/>
    <mergeCell ref="N90:N93"/>
    <mergeCell ref="E92:E93"/>
    <mergeCell ref="F92:F93"/>
    <mergeCell ref="G92:G93"/>
    <mergeCell ref="H92:H93"/>
    <mergeCell ref="J90:J93"/>
    <mergeCell ref="K90:K93"/>
    <mergeCell ref="M90:M93"/>
    <mergeCell ref="D90:D93"/>
    <mergeCell ref="E90:F91"/>
    <mergeCell ref="G90:H91"/>
    <mergeCell ref="A110:B110"/>
    <mergeCell ref="M134:M141"/>
    <mergeCell ref="I136:I137"/>
    <mergeCell ref="E137:F137"/>
    <mergeCell ref="L126:L129"/>
    <mergeCell ref="M126:M129"/>
    <mergeCell ref="K134:K135"/>
    <mergeCell ref="J136:J137"/>
    <mergeCell ref="K136:K137"/>
    <mergeCell ref="U54:V54"/>
    <mergeCell ref="U55:V55"/>
    <mergeCell ref="N130:N131"/>
    <mergeCell ref="B63:N63"/>
    <mergeCell ref="B64:N64"/>
    <mergeCell ref="B65:N65"/>
    <mergeCell ref="B66:N66"/>
    <mergeCell ref="A124:B124"/>
    <mergeCell ref="A126:A129"/>
    <mergeCell ref="B126:B129"/>
    <mergeCell ref="E55:F55"/>
    <mergeCell ref="G55:H55"/>
    <mergeCell ref="J53:J54"/>
    <mergeCell ref="A53:C54"/>
    <mergeCell ref="A55:C55"/>
    <mergeCell ref="A68:D68"/>
    <mergeCell ref="A86:D86"/>
    <mergeCell ref="Q54:R54"/>
    <mergeCell ref="S54:T54"/>
    <mergeCell ref="E128:E129"/>
    <mergeCell ref="F128:F129"/>
    <mergeCell ref="G128:G129"/>
    <mergeCell ref="H128:H129"/>
    <mergeCell ref="E126:F127"/>
    <mergeCell ref="F1:N1"/>
    <mergeCell ref="F82:N82"/>
    <mergeCell ref="A56:C56"/>
    <mergeCell ref="J6:N9"/>
    <mergeCell ref="A7:D7"/>
    <mergeCell ref="A9:D9"/>
    <mergeCell ref="E13:E14"/>
    <mergeCell ref="F13:F14"/>
    <mergeCell ref="G13:G14"/>
    <mergeCell ref="H13:H14"/>
    <mergeCell ref="J11:J14"/>
    <mergeCell ref="K11:K14"/>
    <mergeCell ref="M11:M14"/>
    <mergeCell ref="A10:B10"/>
    <mergeCell ref="C10:D10"/>
    <mergeCell ref="A15:N15"/>
    <mergeCell ref="A8:D8"/>
    <mergeCell ref="L11:L14"/>
    <mergeCell ref="N11:N14"/>
    <mergeCell ref="N43:N46"/>
    <mergeCell ref="E45:E46"/>
    <mergeCell ref="F45:F46"/>
    <mergeCell ref="G45:G46"/>
    <mergeCell ref="A5:D5"/>
    <mergeCell ref="E5:N5"/>
    <mergeCell ref="A6:D6"/>
    <mergeCell ref="E6:I9"/>
    <mergeCell ref="E11:F12"/>
    <mergeCell ref="G11:H12"/>
    <mergeCell ref="A11:A14"/>
    <mergeCell ref="B11:B14"/>
    <mergeCell ref="C11:C14"/>
    <mergeCell ref="D11:D14"/>
    <mergeCell ref="B43:B46"/>
    <mergeCell ref="D43:D46"/>
    <mergeCell ref="E43:F44"/>
    <mergeCell ref="A49:B50"/>
    <mergeCell ref="S137:T137"/>
    <mergeCell ref="Q138:R138"/>
    <mergeCell ref="S138:T138"/>
    <mergeCell ref="A136:C137"/>
    <mergeCell ref="A138:C138"/>
    <mergeCell ref="C134:C135"/>
    <mergeCell ref="D134:D135"/>
    <mergeCell ref="B90:B93"/>
    <mergeCell ref="C90:C93"/>
    <mergeCell ref="A108:B109"/>
    <mergeCell ref="A132:B133"/>
    <mergeCell ref="A90:A93"/>
    <mergeCell ref="I134:I135"/>
    <mergeCell ref="E138:F138"/>
    <mergeCell ref="G138:H138"/>
    <mergeCell ref="A94:N94"/>
    <mergeCell ref="Q137:R137"/>
    <mergeCell ref="J134:J135"/>
    <mergeCell ref="E135:F135"/>
    <mergeCell ref="G135:H135"/>
    <mergeCell ref="I90:I93"/>
    <mergeCell ref="L90:L93"/>
    <mergeCell ref="L134:L141"/>
    <mergeCell ref="I11:I14"/>
    <mergeCell ref="J51:J52"/>
    <mergeCell ref="A89:B89"/>
    <mergeCell ref="C89:D89"/>
    <mergeCell ref="N28:N29"/>
    <mergeCell ref="A30:B31"/>
    <mergeCell ref="A32:B32"/>
    <mergeCell ref="I51:I52"/>
    <mergeCell ref="E52:F52"/>
    <mergeCell ref="G52:H52"/>
    <mergeCell ref="L51:L58"/>
    <mergeCell ref="M51:M58"/>
    <mergeCell ref="N51:N58"/>
    <mergeCell ref="A61:N61"/>
    <mergeCell ref="B62:N62"/>
    <mergeCell ref="C57:D57"/>
    <mergeCell ref="E56:F56"/>
    <mergeCell ref="G56:H56"/>
    <mergeCell ref="A43:A46"/>
    <mergeCell ref="C43:C46"/>
    <mergeCell ref="A88:D88"/>
    <mergeCell ref="A57:B58"/>
    <mergeCell ref="G43:H44"/>
    <mergeCell ref="I43:I46"/>
    <mergeCell ref="J43:J46"/>
    <mergeCell ref="K43:K46"/>
    <mergeCell ref="E85:I85"/>
    <mergeCell ref="J85:N85"/>
    <mergeCell ref="I53:I54"/>
    <mergeCell ref="E57:F57"/>
    <mergeCell ref="G57:H57"/>
    <mergeCell ref="M43:M46"/>
    <mergeCell ref="L43:L46"/>
    <mergeCell ref="K51:K52"/>
    <mergeCell ref="E58:F58"/>
    <mergeCell ref="G58:H58"/>
    <mergeCell ref="H45:H46"/>
    <mergeCell ref="J56:J58"/>
    <mergeCell ref="K56:K58"/>
    <mergeCell ref="N47:N48"/>
    <mergeCell ref="E54:F54"/>
    <mergeCell ref="G54:H54"/>
    <mergeCell ref="A51:B52"/>
    <mergeCell ref="C51:C52"/>
    <mergeCell ref="D51:D52"/>
  </mergeCells>
  <pageMargins left="0.23333333333333334" right="0.17708333333333334" top="0.4375" bottom="0.36458333333333331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T2-T2</vt:lpstr>
      <vt:lpstr>T3-T2</vt:lpstr>
      <vt:lpstr>T4-T2</vt:lpstr>
      <vt:lpstr>T5-T2</vt:lpstr>
      <vt:lpstr>T6-T2</vt:lpstr>
      <vt:lpstr>T7-T2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IEC</cp:lastModifiedBy>
  <cp:lastPrinted>2026-04-11T03:51:23Z</cp:lastPrinted>
  <dcterms:created xsi:type="dcterms:W3CDTF">2015-10-28T22:11:29Z</dcterms:created>
  <dcterms:modified xsi:type="dcterms:W3CDTF">2026-04-11T06:41:08Z</dcterms:modified>
</cp:coreProperties>
</file>