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120" windowWidth="15192" windowHeight="8700"/>
  </bookViews>
  <sheets>
    <sheet name="T4-T3" sheetId="16" r:id="rId1"/>
    <sheet name="T5-T3" sheetId="17" r:id="rId2"/>
    <sheet name="T6-T3" sheetId="18" r:id="rId3"/>
    <sheet name="T7-T3" sheetId="19" r:id="rId4"/>
  </sheets>
  <calcPr calcId="124519"/>
</workbook>
</file>

<file path=xl/calcChain.xml><?xml version="1.0" encoding="utf-8"?>
<calcChain xmlns="http://schemas.openxmlformats.org/spreadsheetml/2006/main">
  <c r="I117" i="17"/>
  <c r="I100"/>
  <c r="D112" i="16"/>
  <c r="D96"/>
  <c r="I21"/>
  <c r="I34"/>
  <c r="N102" i="19"/>
  <c r="J102"/>
  <c r="I102"/>
  <c r="F102"/>
  <c r="C102"/>
  <c r="D102" s="1"/>
  <c r="C22"/>
  <c r="H22" s="1"/>
  <c r="N108" i="18"/>
  <c r="K108"/>
  <c r="J108"/>
  <c r="I108"/>
  <c r="F108"/>
  <c r="D108"/>
  <c r="C108"/>
  <c r="H108" s="1"/>
  <c r="K24"/>
  <c r="J24"/>
  <c r="I24"/>
  <c r="H24"/>
  <c r="F24"/>
  <c r="D24"/>
  <c r="C24"/>
  <c r="J21"/>
  <c r="I21"/>
  <c r="C21"/>
  <c r="K21" s="1"/>
  <c r="F22" i="19" l="1"/>
  <c r="D22"/>
  <c r="K22"/>
  <c r="I22"/>
  <c r="J22"/>
  <c r="H21" i="18"/>
  <c r="F21"/>
  <c r="D21"/>
  <c r="K102" i="19"/>
  <c r="H102"/>
  <c r="N105" i="17"/>
  <c r="C105"/>
  <c r="F105" s="1"/>
  <c r="N104"/>
  <c r="C104"/>
  <c r="F104" s="1"/>
  <c r="N103"/>
  <c r="C103"/>
  <c r="G103" s="1"/>
  <c r="C40"/>
  <c r="D40" s="1"/>
  <c r="F39"/>
  <c r="C39"/>
  <c r="H39" s="1"/>
  <c r="C38"/>
  <c r="E38" s="1"/>
  <c r="D37"/>
  <c r="J24"/>
  <c r="I24"/>
  <c r="F24"/>
  <c r="D24"/>
  <c r="C24"/>
  <c r="C23"/>
  <c r="F23" s="1"/>
  <c r="C20"/>
  <c r="D20" s="1"/>
  <c r="N40"/>
  <c r="N39"/>
  <c r="N37"/>
  <c r="C37"/>
  <c r="F37" s="1"/>
  <c r="J105" l="1"/>
  <c r="J103"/>
  <c r="K40"/>
  <c r="J40"/>
  <c r="I40"/>
  <c r="F40"/>
  <c r="H40"/>
  <c r="J37"/>
  <c r="K37"/>
  <c r="I37"/>
  <c r="D105"/>
  <c r="I104"/>
  <c r="D104"/>
  <c r="K104"/>
  <c r="J104"/>
  <c r="K105"/>
  <c r="H104"/>
  <c r="I105"/>
  <c r="I103"/>
  <c r="E103"/>
  <c r="D103"/>
  <c r="K103"/>
  <c r="D39"/>
  <c r="K39"/>
  <c r="J39"/>
  <c r="I39"/>
  <c r="K38"/>
  <c r="J38"/>
  <c r="G38"/>
  <c r="D38"/>
  <c r="K23"/>
  <c r="J23"/>
  <c r="I23"/>
  <c r="D23"/>
  <c r="H23"/>
  <c r="K20"/>
  <c r="J20"/>
  <c r="I20"/>
  <c r="G20"/>
  <c r="E20"/>
  <c r="N38" l="1"/>
  <c r="N24" i="18" l="1"/>
  <c r="N102" i="16"/>
  <c r="C102"/>
  <c r="F102" s="1"/>
  <c r="C25"/>
  <c r="D25" s="1"/>
  <c r="C130" i="18"/>
  <c r="J130" s="1"/>
  <c r="N130"/>
  <c r="C131"/>
  <c r="I131" s="1"/>
  <c r="N131"/>
  <c r="C132"/>
  <c r="F132" s="1"/>
  <c r="N132"/>
  <c r="C133"/>
  <c r="E133" s="1"/>
  <c r="N133"/>
  <c r="C134"/>
  <c r="I134" s="1"/>
  <c r="N134"/>
  <c r="N117" i="19"/>
  <c r="C117"/>
  <c r="D117" s="1"/>
  <c r="N116"/>
  <c r="C116"/>
  <c r="D116" s="1"/>
  <c r="N115"/>
  <c r="H115"/>
  <c r="F115"/>
  <c r="C115"/>
  <c r="D115" s="1"/>
  <c r="N101"/>
  <c r="C101"/>
  <c r="F101" s="1"/>
  <c r="N37"/>
  <c r="C37"/>
  <c r="F37" s="1"/>
  <c r="N39"/>
  <c r="C39"/>
  <c r="N38"/>
  <c r="C38"/>
  <c r="D38" s="1"/>
  <c r="N21"/>
  <c r="C21"/>
  <c r="F21" s="1"/>
  <c r="D39" l="1"/>
  <c r="E39"/>
  <c r="E116"/>
  <c r="D102" i="16"/>
  <c r="K102"/>
  <c r="J102"/>
  <c r="I102"/>
  <c r="H102"/>
  <c r="K25"/>
  <c r="J25"/>
  <c r="I25"/>
  <c r="H25"/>
  <c r="F25"/>
  <c r="H130" i="18"/>
  <c r="K130"/>
  <c r="D130"/>
  <c r="F130"/>
  <c r="I130"/>
  <c r="G133"/>
  <c r="I132"/>
  <c r="J133"/>
  <c r="K133"/>
  <c r="J132"/>
  <c r="K132"/>
  <c r="H132"/>
  <c r="F131"/>
  <c r="D131"/>
  <c r="D134"/>
  <c r="F134"/>
  <c r="D133"/>
  <c r="D132"/>
  <c r="G116" i="19"/>
  <c r="J115"/>
  <c r="K115"/>
  <c r="I115"/>
  <c r="K117"/>
  <c r="J117"/>
  <c r="G117"/>
  <c r="K116"/>
  <c r="J116"/>
  <c r="E117"/>
  <c r="D101"/>
  <c r="J101"/>
  <c r="H101"/>
  <c r="K101"/>
  <c r="I101"/>
  <c r="J38"/>
  <c r="E38"/>
  <c r="D37"/>
  <c r="K38"/>
  <c r="H37"/>
  <c r="K37"/>
  <c r="J37"/>
  <c r="I37"/>
  <c r="J39"/>
  <c r="K39"/>
  <c r="G39"/>
  <c r="G38"/>
  <c r="D21"/>
  <c r="K21"/>
  <c r="J21"/>
  <c r="I21"/>
  <c r="H21"/>
  <c r="N107" i="18"/>
  <c r="C107"/>
  <c r="D107" s="1"/>
  <c r="N106"/>
  <c r="C106"/>
  <c r="D106" s="1"/>
  <c r="N39"/>
  <c r="C39"/>
  <c r="D39" s="1"/>
  <c r="N44"/>
  <c r="C44"/>
  <c r="F44" s="1"/>
  <c r="N41"/>
  <c r="C41"/>
  <c r="F41" s="1"/>
  <c r="N42"/>
  <c r="C42"/>
  <c r="E42" s="1"/>
  <c r="N38"/>
  <c r="C38"/>
  <c r="D38" s="1"/>
  <c r="D139" l="1"/>
  <c r="F106"/>
  <c r="F107"/>
  <c r="F39"/>
  <c r="I107"/>
  <c r="I44"/>
  <c r="I106"/>
  <c r="K106"/>
  <c r="K107"/>
  <c r="J106"/>
  <c r="J107"/>
  <c r="H106"/>
  <c r="H107"/>
  <c r="D44"/>
  <c r="I39"/>
  <c r="K41"/>
  <c r="J41"/>
  <c r="I41"/>
  <c r="D41"/>
  <c r="H41"/>
  <c r="D42"/>
  <c r="K42"/>
  <c r="J42"/>
  <c r="G42"/>
  <c r="K38"/>
  <c r="J38"/>
  <c r="I38"/>
  <c r="H38"/>
  <c r="F38"/>
  <c r="N23" l="1"/>
  <c r="C23"/>
  <c r="D23" s="1"/>
  <c r="N22"/>
  <c r="C22"/>
  <c r="F22" s="1"/>
  <c r="N24" i="17"/>
  <c r="N23"/>
  <c r="N20"/>
  <c r="D22" i="18" l="1"/>
  <c r="K23"/>
  <c r="J23"/>
  <c r="F23"/>
  <c r="K22"/>
  <c r="I23"/>
  <c r="H23"/>
  <c r="J22"/>
  <c r="I22"/>
  <c r="H22"/>
  <c r="K24" i="17"/>
  <c r="N124" i="16" l="1"/>
  <c r="I124"/>
  <c r="C124"/>
  <c r="D124" s="1"/>
  <c r="N41"/>
  <c r="C41"/>
  <c r="F41" s="1"/>
  <c r="N25"/>
  <c r="H124" l="1"/>
  <c r="J124"/>
  <c r="K41"/>
  <c r="J41"/>
  <c r="H41"/>
  <c r="D41"/>
  <c r="K124"/>
  <c r="F124"/>
  <c r="I41"/>
  <c r="N139" i="18" l="1"/>
  <c r="N125" i="19" l="1"/>
  <c r="C125"/>
  <c r="J125" s="1"/>
  <c r="N40"/>
  <c r="C40"/>
  <c r="K40" s="1"/>
  <c r="K125" l="1"/>
  <c r="D125"/>
  <c r="I125"/>
  <c r="D40"/>
  <c r="I40"/>
  <c r="F125"/>
  <c r="H125"/>
  <c r="J40"/>
  <c r="H40"/>
  <c r="F40"/>
  <c r="N99" l="1"/>
  <c r="C99"/>
  <c r="G99" s="1"/>
  <c r="N19"/>
  <c r="C19"/>
  <c r="I19" s="1"/>
  <c r="D99" l="1"/>
  <c r="E99"/>
  <c r="J19"/>
  <c r="D19"/>
  <c r="E19"/>
  <c r="K99"/>
  <c r="J99"/>
  <c r="I99"/>
  <c r="K19"/>
  <c r="G19"/>
  <c r="N111" l="1"/>
  <c r="C111"/>
  <c r="H111" s="1"/>
  <c r="N32"/>
  <c r="C32"/>
  <c r="D32" s="1"/>
  <c r="H32" l="1"/>
  <c r="D111"/>
  <c r="N102" i="18" l="1"/>
  <c r="C102"/>
  <c r="D102" s="1"/>
  <c r="N17"/>
  <c r="C17"/>
  <c r="H17" s="1"/>
  <c r="N35" i="17"/>
  <c r="C35"/>
  <c r="H35" s="1"/>
  <c r="N115"/>
  <c r="C115"/>
  <c r="D115" s="1"/>
  <c r="H102" i="18" l="1"/>
  <c r="D17"/>
  <c r="D35" i="17"/>
  <c r="H115"/>
  <c r="N18" i="16" l="1"/>
  <c r="C18"/>
  <c r="D18" s="1"/>
  <c r="N37"/>
  <c r="C37"/>
  <c r="D37" s="1"/>
  <c r="G18" l="1"/>
  <c r="H37"/>
  <c r="N24" l="1"/>
  <c r="C24"/>
  <c r="E24" s="1"/>
  <c r="N101"/>
  <c r="C101"/>
  <c r="G101" s="1"/>
  <c r="C111"/>
  <c r="D111" s="1"/>
  <c r="N111"/>
  <c r="N95"/>
  <c r="C95"/>
  <c r="D95" s="1"/>
  <c r="E101" l="1"/>
  <c r="D101"/>
  <c r="J101"/>
  <c r="K101"/>
  <c r="J24"/>
  <c r="D24"/>
  <c r="K24"/>
  <c r="G24"/>
  <c r="G111"/>
  <c r="H95"/>
  <c r="N23" i="19" l="1"/>
  <c r="C23"/>
  <c r="N22"/>
  <c r="D23" l="1"/>
  <c r="F23"/>
  <c r="J23"/>
  <c r="K23"/>
  <c r="I23"/>
  <c r="N118" i="17" l="1"/>
  <c r="C118"/>
  <c r="N115" i="16"/>
  <c r="C115"/>
  <c r="F115" s="1"/>
  <c r="N40"/>
  <c r="C40"/>
  <c r="F40" s="1"/>
  <c r="N35"/>
  <c r="C35"/>
  <c r="H35" s="1"/>
  <c r="N34"/>
  <c r="C34"/>
  <c r="F118" i="17" l="1"/>
  <c r="K118"/>
  <c r="D118"/>
  <c r="I118"/>
  <c r="J118"/>
  <c r="H34" i="16"/>
  <c r="K35"/>
  <c r="K34"/>
  <c r="F35"/>
  <c r="J115"/>
  <c r="D115"/>
  <c r="D40"/>
  <c r="K115"/>
  <c r="I115"/>
  <c r="J40"/>
  <c r="F34"/>
  <c r="D34"/>
  <c r="D35"/>
  <c r="K40"/>
  <c r="I40"/>
  <c r="J34"/>
  <c r="J35"/>
  <c r="I35"/>
  <c r="N127" i="17" l="1"/>
  <c r="C127"/>
  <c r="D127" s="1"/>
  <c r="N41"/>
  <c r="C41"/>
  <c r="I41" s="1"/>
  <c r="D41" l="1"/>
  <c r="J127"/>
  <c r="I127"/>
  <c r="F127"/>
  <c r="J41"/>
  <c r="F41"/>
  <c r="N132" l="1"/>
  <c r="N120"/>
  <c r="C120"/>
  <c r="D120" s="1"/>
  <c r="N119"/>
  <c r="C119"/>
  <c r="F119" s="1"/>
  <c r="N117"/>
  <c r="C117"/>
  <c r="N116"/>
  <c r="C116"/>
  <c r="K116" s="1"/>
  <c r="N114"/>
  <c r="C114"/>
  <c r="N113"/>
  <c r="C113"/>
  <c r="J113" s="1"/>
  <c r="N106"/>
  <c r="C106"/>
  <c r="I106" s="1"/>
  <c r="N102"/>
  <c r="C102"/>
  <c r="G102" s="1"/>
  <c r="N101"/>
  <c r="C101"/>
  <c r="E101" s="1"/>
  <c r="N100"/>
  <c r="C100"/>
  <c r="N99"/>
  <c r="C99"/>
  <c r="N98"/>
  <c r="C98"/>
  <c r="E98" s="1"/>
  <c r="N36"/>
  <c r="C36"/>
  <c r="D36" s="1"/>
  <c r="N34"/>
  <c r="C34"/>
  <c r="N33"/>
  <c r="C33"/>
  <c r="D33" s="1"/>
  <c r="N26"/>
  <c r="C26"/>
  <c r="H26" s="1"/>
  <c r="N25"/>
  <c r="C25"/>
  <c r="F25" s="1"/>
  <c r="N22"/>
  <c r="C22"/>
  <c r="D22" s="1"/>
  <c r="N21"/>
  <c r="C21"/>
  <c r="K21" s="1"/>
  <c r="N19"/>
  <c r="C19"/>
  <c r="J19" s="1"/>
  <c r="N18"/>
  <c r="C18"/>
  <c r="D18" s="1"/>
  <c r="N17"/>
  <c r="C17"/>
  <c r="N16"/>
  <c r="C16"/>
  <c r="D16" s="1"/>
  <c r="C110" i="19"/>
  <c r="N110"/>
  <c r="C96"/>
  <c r="N96"/>
  <c r="N94" i="16"/>
  <c r="C94"/>
  <c r="N113"/>
  <c r="C113"/>
  <c r="D113" s="1"/>
  <c r="N103"/>
  <c r="C103"/>
  <c r="D103" s="1"/>
  <c r="N39"/>
  <c r="C39"/>
  <c r="D39" s="1"/>
  <c r="N27"/>
  <c r="C27"/>
  <c r="D27" s="1"/>
  <c r="I18" i="17" l="1"/>
  <c r="K117"/>
  <c r="D96" i="19"/>
  <c r="G96"/>
  <c r="F100" i="17"/>
  <c r="D99"/>
  <c r="G99"/>
  <c r="D17"/>
  <c r="G17"/>
  <c r="G101"/>
  <c r="G110" i="19"/>
  <c r="D110"/>
  <c r="D34" i="17"/>
  <c r="G34"/>
  <c r="D114"/>
  <c r="G114"/>
  <c r="D94" i="16"/>
  <c r="G94"/>
  <c r="K18" i="17"/>
  <c r="G21"/>
  <c r="J25"/>
  <c r="J33"/>
  <c r="D19"/>
  <c r="J101"/>
  <c r="D113"/>
  <c r="I25"/>
  <c r="D25"/>
  <c r="D98"/>
  <c r="G22"/>
  <c r="I26"/>
  <c r="J16"/>
  <c r="F26"/>
  <c r="H100"/>
  <c r="H119"/>
  <c r="D26"/>
  <c r="D119"/>
  <c r="K120"/>
  <c r="H36"/>
  <c r="K98"/>
  <c r="K100"/>
  <c r="K113"/>
  <c r="F36"/>
  <c r="J98"/>
  <c r="E113"/>
  <c r="H117"/>
  <c r="I119"/>
  <c r="G120"/>
  <c r="E120"/>
  <c r="N108"/>
  <c r="D106"/>
  <c r="N122"/>
  <c r="H116"/>
  <c r="N28"/>
  <c r="N47"/>
  <c r="K19"/>
  <c r="H18"/>
  <c r="G19"/>
  <c r="J21"/>
  <c r="K22"/>
  <c r="D100"/>
  <c r="D101"/>
  <c r="E102"/>
  <c r="H106"/>
  <c r="J116"/>
  <c r="J117"/>
  <c r="J18"/>
  <c r="I102"/>
  <c r="K16"/>
  <c r="F18"/>
  <c r="E19"/>
  <c r="I21"/>
  <c r="J22"/>
  <c r="K25"/>
  <c r="K33"/>
  <c r="D102"/>
  <c r="F106"/>
  <c r="I116"/>
  <c r="E16"/>
  <c r="E21"/>
  <c r="E22"/>
  <c r="E33"/>
  <c r="F116"/>
  <c r="F117"/>
  <c r="D21"/>
  <c r="I36"/>
  <c r="J100"/>
  <c r="K101"/>
  <c r="K102"/>
  <c r="D116"/>
  <c r="D117"/>
  <c r="J120"/>
  <c r="D132"/>
  <c r="D133" s="1"/>
  <c r="D135" s="1"/>
  <c r="J102"/>
  <c r="I113" i="16"/>
  <c r="F113"/>
  <c r="H113"/>
  <c r="F103"/>
  <c r="I103"/>
  <c r="H103"/>
  <c r="I39"/>
  <c r="H39"/>
  <c r="F39"/>
  <c r="I27"/>
  <c r="H27"/>
  <c r="F27"/>
  <c r="G136" i="17" l="1"/>
  <c r="G138" s="1"/>
  <c r="I136"/>
  <c r="I138" s="1"/>
  <c r="D28"/>
  <c r="D29" s="1"/>
  <c r="D31" s="1"/>
  <c r="E136"/>
  <c r="E138" s="1"/>
  <c r="I51"/>
  <c r="I53" s="1"/>
  <c r="K136"/>
  <c r="K138" s="1"/>
  <c r="D122"/>
  <c r="D123" s="1"/>
  <c r="D125" s="1"/>
  <c r="J136"/>
  <c r="J138" s="1"/>
  <c r="N136"/>
  <c r="F136"/>
  <c r="F138" s="1"/>
  <c r="D108"/>
  <c r="D109" s="1"/>
  <c r="D111" s="1"/>
  <c r="D47"/>
  <c r="D48" s="1"/>
  <c r="D50" s="1"/>
  <c r="E51"/>
  <c r="E53" s="1"/>
  <c r="H51"/>
  <c r="H53" s="1"/>
  <c r="N51"/>
  <c r="J51"/>
  <c r="J53" s="1"/>
  <c r="H136"/>
  <c r="H138" s="1"/>
  <c r="K51"/>
  <c r="K53" s="1"/>
  <c r="G51"/>
  <c r="F51"/>
  <c r="F53" s="1"/>
  <c r="I56" l="1"/>
  <c r="I141"/>
  <c r="D136"/>
  <c r="D138" s="1"/>
  <c r="E137"/>
  <c r="D51"/>
  <c r="D53" s="1"/>
  <c r="E54"/>
  <c r="E52"/>
  <c r="G53"/>
  <c r="G52"/>
  <c r="G139"/>
  <c r="E139"/>
  <c r="G137"/>
  <c r="N123" i="18"/>
  <c r="C123"/>
  <c r="D123" s="1"/>
  <c r="N109"/>
  <c r="C109"/>
  <c r="D109" s="1"/>
  <c r="N40"/>
  <c r="C40"/>
  <c r="D40" s="1"/>
  <c r="N37"/>
  <c r="C37"/>
  <c r="D37" s="1"/>
  <c r="N35"/>
  <c r="C35"/>
  <c r="K35" s="1"/>
  <c r="N34"/>
  <c r="C34"/>
  <c r="I34" s="1"/>
  <c r="N25"/>
  <c r="C25"/>
  <c r="H25" s="1"/>
  <c r="N118" i="19"/>
  <c r="C118"/>
  <c r="D118" s="1"/>
  <c r="N100"/>
  <c r="C100"/>
  <c r="D100" s="1"/>
  <c r="N36"/>
  <c r="C36"/>
  <c r="I36" s="1"/>
  <c r="C20"/>
  <c r="D20" s="1"/>
  <c r="I57" i="17" l="1"/>
  <c r="F36" i="19"/>
  <c r="D34" i="18"/>
  <c r="D35"/>
  <c r="I35"/>
  <c r="F109"/>
  <c r="J35"/>
  <c r="J40"/>
  <c r="H35"/>
  <c r="I40"/>
  <c r="H109"/>
  <c r="I109"/>
  <c r="I37"/>
  <c r="K34"/>
  <c r="I123"/>
  <c r="J34"/>
  <c r="H123"/>
  <c r="K40"/>
  <c r="I142" i="17"/>
  <c r="G54"/>
  <c r="E141"/>
  <c r="E56"/>
  <c r="G141"/>
  <c r="G142" s="1"/>
  <c r="D36" i="19"/>
  <c r="H36"/>
  <c r="I100"/>
  <c r="H100"/>
  <c r="F100"/>
  <c r="I118"/>
  <c r="H20"/>
  <c r="H118"/>
  <c r="F20"/>
  <c r="F118"/>
  <c r="I20"/>
  <c r="H37" i="18"/>
  <c r="F37"/>
  <c r="F123"/>
  <c r="H40"/>
  <c r="F40"/>
  <c r="F34"/>
  <c r="F35"/>
  <c r="H34"/>
  <c r="I25"/>
  <c r="F25"/>
  <c r="D25"/>
  <c r="G56" i="17" l="1"/>
  <c r="G57" s="1"/>
  <c r="E142"/>
  <c r="E57"/>
  <c r="N122" i="18"/>
  <c r="C122"/>
  <c r="D122" s="1"/>
  <c r="N120"/>
  <c r="C120"/>
  <c r="G120" s="1"/>
  <c r="N118"/>
  <c r="C118"/>
  <c r="I118" s="1"/>
  <c r="N121"/>
  <c r="C121"/>
  <c r="D121" s="1"/>
  <c r="N119"/>
  <c r="C119"/>
  <c r="D119" s="1"/>
  <c r="N117"/>
  <c r="C117"/>
  <c r="N116"/>
  <c r="C116"/>
  <c r="D116" s="1"/>
  <c r="N105"/>
  <c r="C105"/>
  <c r="D105" s="1"/>
  <c r="N104"/>
  <c r="C104"/>
  <c r="D104" s="1"/>
  <c r="N103"/>
  <c r="C103"/>
  <c r="I103" s="1"/>
  <c r="N101"/>
  <c r="C101"/>
  <c r="N100"/>
  <c r="C100"/>
  <c r="D100" s="1"/>
  <c r="N43"/>
  <c r="C43"/>
  <c r="D43" s="1"/>
  <c r="N36"/>
  <c r="C36"/>
  <c r="N33"/>
  <c r="C33"/>
  <c r="E33" s="1"/>
  <c r="N21"/>
  <c r="N20"/>
  <c r="C20"/>
  <c r="E20" s="1"/>
  <c r="N19"/>
  <c r="C19"/>
  <c r="E19" s="1"/>
  <c r="N18"/>
  <c r="C18"/>
  <c r="I18" s="1"/>
  <c r="N16"/>
  <c r="C16"/>
  <c r="D16" s="1"/>
  <c r="D103" l="1"/>
  <c r="K118"/>
  <c r="D118"/>
  <c r="F18"/>
  <c r="E105"/>
  <c r="H118"/>
  <c r="F118"/>
  <c r="J100"/>
  <c r="J121"/>
  <c r="K100"/>
  <c r="E116"/>
  <c r="J116"/>
  <c r="J20"/>
  <c r="D36"/>
  <c r="G36"/>
  <c r="E100"/>
  <c r="K116"/>
  <c r="H121"/>
  <c r="F121"/>
  <c r="D18"/>
  <c r="E120"/>
  <c r="I120"/>
  <c r="G117"/>
  <c r="D117"/>
  <c r="D101"/>
  <c r="G101"/>
  <c r="D33"/>
  <c r="J43"/>
  <c r="N111"/>
  <c r="N27"/>
  <c r="K122"/>
  <c r="J122"/>
  <c r="I122"/>
  <c r="H122"/>
  <c r="F122"/>
  <c r="I121"/>
  <c r="K121"/>
  <c r="J120"/>
  <c r="D120"/>
  <c r="K120"/>
  <c r="J118"/>
  <c r="D140"/>
  <c r="D142" s="1"/>
  <c r="K119"/>
  <c r="J119"/>
  <c r="G119"/>
  <c r="E119"/>
  <c r="N125"/>
  <c r="N49"/>
  <c r="G20"/>
  <c r="D20"/>
  <c r="D19"/>
  <c r="K16"/>
  <c r="K43"/>
  <c r="K103"/>
  <c r="J16"/>
  <c r="K18"/>
  <c r="J103"/>
  <c r="K104"/>
  <c r="E16"/>
  <c r="J18"/>
  <c r="K19"/>
  <c r="G43"/>
  <c r="J104"/>
  <c r="K105"/>
  <c r="J19"/>
  <c r="K20"/>
  <c r="K33"/>
  <c r="E43"/>
  <c r="H103"/>
  <c r="G104"/>
  <c r="J105"/>
  <c r="H18"/>
  <c r="G19"/>
  <c r="J33"/>
  <c r="F103"/>
  <c r="E104"/>
  <c r="G105"/>
  <c r="N143" l="1"/>
  <c r="D125"/>
  <c r="D111"/>
  <c r="D112" s="1"/>
  <c r="D114" s="1"/>
  <c r="D49"/>
  <c r="D50" s="1"/>
  <c r="D52" s="1"/>
  <c r="F143"/>
  <c r="F145" s="1"/>
  <c r="E143"/>
  <c r="E145" s="1"/>
  <c r="N53"/>
  <c r="I143"/>
  <c r="I145" s="1"/>
  <c r="J143"/>
  <c r="J145" s="1"/>
  <c r="F53"/>
  <c r="F55" s="1"/>
  <c r="D27"/>
  <c r="G53"/>
  <c r="H53"/>
  <c r="H55" s="1"/>
  <c r="G143"/>
  <c r="I53"/>
  <c r="I55" s="1"/>
  <c r="H143"/>
  <c r="H145" s="1"/>
  <c r="K143"/>
  <c r="K145" s="1"/>
  <c r="E53"/>
  <c r="J53"/>
  <c r="J55" s="1"/>
  <c r="K53"/>
  <c r="K55" s="1"/>
  <c r="D126" l="1"/>
  <c r="D128" s="1"/>
  <c r="D143"/>
  <c r="D145" s="1"/>
  <c r="D53"/>
  <c r="D55" s="1"/>
  <c r="E144"/>
  <c r="I148"/>
  <c r="D28"/>
  <c r="D30" s="1"/>
  <c r="G55"/>
  <c r="G54"/>
  <c r="E146"/>
  <c r="E55"/>
  <c r="E54"/>
  <c r="G144"/>
  <c r="G145"/>
  <c r="I58"/>
  <c r="I149" l="1"/>
  <c r="I59"/>
  <c r="G56"/>
  <c r="E148"/>
  <c r="E56"/>
  <c r="G146"/>
  <c r="G58" l="1"/>
  <c r="G59" s="1"/>
  <c r="E149"/>
  <c r="E58"/>
  <c r="G148"/>
  <c r="G149" s="1"/>
  <c r="E59" l="1"/>
  <c r="N129" i="16" l="1"/>
  <c r="N117"/>
  <c r="C117"/>
  <c r="K117" s="1"/>
  <c r="N116"/>
  <c r="C116"/>
  <c r="J116" s="1"/>
  <c r="N114"/>
  <c r="C114"/>
  <c r="H114" s="1"/>
  <c r="N112"/>
  <c r="C112"/>
  <c r="N110"/>
  <c r="C110"/>
  <c r="E110" s="1"/>
  <c r="N100"/>
  <c r="C100"/>
  <c r="G100" s="1"/>
  <c r="N99"/>
  <c r="C99"/>
  <c r="G99" s="1"/>
  <c r="N98"/>
  <c r="C98"/>
  <c r="H98" s="1"/>
  <c r="N97"/>
  <c r="C97"/>
  <c r="H97" s="1"/>
  <c r="N96"/>
  <c r="C96"/>
  <c r="N93"/>
  <c r="C93"/>
  <c r="K93" s="1"/>
  <c r="N38"/>
  <c r="C38"/>
  <c r="K38" s="1"/>
  <c r="N36"/>
  <c r="C36"/>
  <c r="E36" s="1"/>
  <c r="N26"/>
  <c r="C26"/>
  <c r="J26" s="1"/>
  <c r="N23"/>
  <c r="C23"/>
  <c r="G23" s="1"/>
  <c r="N22"/>
  <c r="C22"/>
  <c r="G22" s="1"/>
  <c r="N21"/>
  <c r="C21"/>
  <c r="N20"/>
  <c r="C20"/>
  <c r="H20" s="1"/>
  <c r="N19"/>
  <c r="C19"/>
  <c r="H19" s="1"/>
  <c r="N17"/>
  <c r="C17"/>
  <c r="K17" s="1"/>
  <c r="H112" l="1"/>
  <c r="H96"/>
  <c r="D19"/>
  <c r="J110"/>
  <c r="D110"/>
  <c r="K110"/>
  <c r="D93"/>
  <c r="D100"/>
  <c r="H21"/>
  <c r="J93"/>
  <c r="E93"/>
  <c r="D99"/>
  <c r="J17"/>
  <c r="E17"/>
  <c r="D17"/>
  <c r="D20"/>
  <c r="D116"/>
  <c r="N119"/>
  <c r="F21"/>
  <c r="N105"/>
  <c r="D98"/>
  <c r="D117"/>
  <c r="D21"/>
  <c r="H26"/>
  <c r="F26"/>
  <c r="D114"/>
  <c r="D26"/>
  <c r="D97"/>
  <c r="E116"/>
  <c r="D23"/>
  <c r="D38"/>
  <c r="D22"/>
  <c r="N28"/>
  <c r="G117"/>
  <c r="E117"/>
  <c r="N46"/>
  <c r="G38"/>
  <c r="E38"/>
  <c r="K19"/>
  <c r="K21"/>
  <c r="I20"/>
  <c r="I22"/>
  <c r="K26"/>
  <c r="J36"/>
  <c r="I96"/>
  <c r="I98"/>
  <c r="I99"/>
  <c r="J100"/>
  <c r="I112"/>
  <c r="I114"/>
  <c r="K116"/>
  <c r="F19"/>
  <c r="F20"/>
  <c r="E22"/>
  <c r="E23"/>
  <c r="I26"/>
  <c r="D36"/>
  <c r="J38"/>
  <c r="F96"/>
  <c r="F97"/>
  <c r="F98"/>
  <c r="E99"/>
  <c r="E100"/>
  <c r="F112"/>
  <c r="F114"/>
  <c r="G116"/>
  <c r="J117"/>
  <c r="D129"/>
  <c r="D130" s="1"/>
  <c r="D132" s="1"/>
  <c r="K20"/>
  <c r="K22"/>
  <c r="K96"/>
  <c r="K97"/>
  <c r="K98"/>
  <c r="K99"/>
  <c r="K112"/>
  <c r="K114"/>
  <c r="J19"/>
  <c r="J20"/>
  <c r="J21"/>
  <c r="J22"/>
  <c r="K23"/>
  <c r="K36"/>
  <c r="J96"/>
  <c r="J97"/>
  <c r="J98"/>
  <c r="J99"/>
  <c r="K100"/>
  <c r="J112"/>
  <c r="J114"/>
  <c r="I19"/>
  <c r="J23"/>
  <c r="I97"/>
  <c r="D119" l="1"/>
  <c r="D120" s="1"/>
  <c r="D122" s="1"/>
  <c r="H133"/>
  <c r="H135" s="1"/>
  <c r="N133"/>
  <c r="D105"/>
  <c r="D106" s="1"/>
  <c r="D108" s="1"/>
  <c r="H50"/>
  <c r="H52" s="1"/>
  <c r="E50"/>
  <c r="E52" s="1"/>
  <c r="E133"/>
  <c r="E135" s="1"/>
  <c r="G50"/>
  <c r="D28"/>
  <c r="D29" s="1"/>
  <c r="D31" s="1"/>
  <c r="N50"/>
  <c r="G133"/>
  <c r="J133"/>
  <c r="J135" s="1"/>
  <c r="K133"/>
  <c r="K135" s="1"/>
  <c r="D46"/>
  <c r="D47" s="1"/>
  <c r="D49" s="1"/>
  <c r="J50"/>
  <c r="J52" s="1"/>
  <c r="K50"/>
  <c r="K52" s="1"/>
  <c r="I133"/>
  <c r="I135" s="1"/>
  <c r="F50"/>
  <c r="F52" s="1"/>
  <c r="I50"/>
  <c r="I52" s="1"/>
  <c r="F133"/>
  <c r="F135" s="1"/>
  <c r="G134" l="1"/>
  <c r="D133"/>
  <c r="D135" s="1"/>
  <c r="G51"/>
  <c r="G52"/>
  <c r="G53" s="1"/>
  <c r="E134"/>
  <c r="G135"/>
  <c r="G136" s="1"/>
  <c r="D50"/>
  <c r="D52" s="1"/>
  <c r="E51"/>
  <c r="I55"/>
  <c r="E53"/>
  <c r="I138"/>
  <c r="E136"/>
  <c r="I139" l="1"/>
  <c r="I56"/>
  <c r="G138"/>
  <c r="G139" s="1"/>
  <c r="E55"/>
  <c r="E56" s="1"/>
  <c r="E138"/>
  <c r="G55"/>
  <c r="G56" s="1"/>
  <c r="E139" l="1"/>
  <c r="N130" i="19" l="1"/>
  <c r="N114"/>
  <c r="C114"/>
  <c r="I114" s="1"/>
  <c r="N113"/>
  <c r="C113"/>
  <c r="I113" s="1"/>
  <c r="N112"/>
  <c r="C112"/>
  <c r="N109"/>
  <c r="C109"/>
  <c r="D109" s="1"/>
  <c r="N98"/>
  <c r="C98"/>
  <c r="G98" s="1"/>
  <c r="N97"/>
  <c r="C97"/>
  <c r="D97" s="1"/>
  <c r="N95"/>
  <c r="C95"/>
  <c r="E95" s="1"/>
  <c r="N35"/>
  <c r="C35"/>
  <c r="J35" s="1"/>
  <c r="N34"/>
  <c r="C34"/>
  <c r="J34" s="1"/>
  <c r="N33"/>
  <c r="C33"/>
  <c r="N31"/>
  <c r="C31"/>
  <c r="N30"/>
  <c r="C30"/>
  <c r="E30" s="1"/>
  <c r="N20"/>
  <c r="N18"/>
  <c r="C18"/>
  <c r="E18" s="1"/>
  <c r="N17"/>
  <c r="C17"/>
  <c r="E17" s="1"/>
  <c r="N16"/>
  <c r="C16"/>
  <c r="N15"/>
  <c r="C15"/>
  <c r="N14"/>
  <c r="C14"/>
  <c r="J14" s="1"/>
  <c r="I112" l="1"/>
  <c r="D112"/>
  <c r="I33"/>
  <c r="D33"/>
  <c r="D16"/>
  <c r="I16"/>
  <c r="H97"/>
  <c r="I97"/>
  <c r="J33"/>
  <c r="D15"/>
  <c r="G15"/>
  <c r="G18"/>
  <c r="D31"/>
  <c r="G31"/>
  <c r="I34"/>
  <c r="H114"/>
  <c r="K95"/>
  <c r="J95"/>
  <c r="I35"/>
  <c r="D130"/>
  <c r="D131" s="1"/>
  <c r="D133" s="1"/>
  <c r="E98"/>
  <c r="D98"/>
  <c r="N120"/>
  <c r="N104"/>
  <c r="D95"/>
  <c r="H113"/>
  <c r="H112"/>
  <c r="K97"/>
  <c r="F97"/>
  <c r="H35"/>
  <c r="D35"/>
  <c r="D18"/>
  <c r="D17"/>
  <c r="D30"/>
  <c r="E14"/>
  <c r="D14"/>
  <c r="H34"/>
  <c r="D34"/>
  <c r="N46"/>
  <c r="H33"/>
  <c r="N25"/>
  <c r="F112"/>
  <c r="F113"/>
  <c r="F114"/>
  <c r="K16"/>
  <c r="F33"/>
  <c r="F34"/>
  <c r="F35"/>
  <c r="D113"/>
  <c r="D114"/>
  <c r="J16"/>
  <c r="K17"/>
  <c r="K109"/>
  <c r="H16"/>
  <c r="J17"/>
  <c r="K18"/>
  <c r="K30"/>
  <c r="J97"/>
  <c r="K98"/>
  <c r="J109"/>
  <c r="K112"/>
  <c r="K113"/>
  <c r="K114"/>
  <c r="K14"/>
  <c r="F16"/>
  <c r="G17"/>
  <c r="J18"/>
  <c r="J30"/>
  <c r="K33"/>
  <c r="K34"/>
  <c r="K35"/>
  <c r="J98"/>
  <c r="E109"/>
  <c r="J112"/>
  <c r="J113"/>
  <c r="J114"/>
  <c r="G134" l="1"/>
  <c r="G136" s="1"/>
  <c r="D120"/>
  <c r="D121" s="1"/>
  <c r="D123" s="1"/>
  <c r="E134"/>
  <c r="E136" s="1"/>
  <c r="N134"/>
  <c r="H134"/>
  <c r="H136" s="1"/>
  <c r="K134"/>
  <c r="K136" s="1"/>
  <c r="J134"/>
  <c r="J136" s="1"/>
  <c r="D104"/>
  <c r="D105" s="1"/>
  <c r="D107" s="1"/>
  <c r="F134"/>
  <c r="F136" s="1"/>
  <c r="J50"/>
  <c r="J52" s="1"/>
  <c r="E50"/>
  <c r="E52" s="1"/>
  <c r="D25"/>
  <c r="D26" s="1"/>
  <c r="D28" s="1"/>
  <c r="D46"/>
  <c r="D47" s="1"/>
  <c r="D49" s="1"/>
  <c r="H50"/>
  <c r="H52" s="1"/>
  <c r="N50"/>
  <c r="K50"/>
  <c r="K52" s="1"/>
  <c r="F50"/>
  <c r="F52" s="1"/>
  <c r="I134"/>
  <c r="I136" s="1"/>
  <c r="I139" s="1"/>
  <c r="G50"/>
  <c r="I50"/>
  <c r="I52" s="1"/>
  <c r="I55" s="1"/>
  <c r="G137" l="1"/>
  <c r="G135"/>
  <c r="D134"/>
  <c r="D136" s="1"/>
  <c r="I140" s="1"/>
  <c r="E135"/>
  <c r="D50"/>
  <c r="D52" s="1"/>
  <c r="E137"/>
  <c r="E53"/>
  <c r="E55" s="1"/>
  <c r="G52"/>
  <c r="G51"/>
  <c r="E51"/>
  <c r="E139" l="1"/>
  <c r="E140" s="1"/>
  <c r="E56"/>
  <c r="I56"/>
  <c r="G139"/>
  <c r="G140" s="1"/>
  <c r="G53"/>
  <c r="G55" l="1"/>
  <c r="G56" s="1"/>
</calcChain>
</file>

<file path=xl/sharedStrings.xml><?xml version="1.0" encoding="utf-8"?>
<sst xmlns="http://schemas.openxmlformats.org/spreadsheetml/2006/main" count="888" uniqueCount="183">
  <si>
    <t>Số
TT</t>
  </si>
  <si>
    <t>Gạo tẻ</t>
  </si>
  <si>
    <t>Mắm</t>
  </si>
  <si>
    <t>Thịt bò</t>
  </si>
  <si>
    <t>Cà rốt</t>
  </si>
  <si>
    <t>Mộc nhĩ</t>
  </si>
  <si>
    <t>Năng lượng bữa chính/trẻ</t>
  </si>
  <si>
    <t>Năng lượng bữa phụ/trẻ</t>
  </si>
  <si>
    <t>Lượng 
TP 
sạch</t>
  </si>
  <si>
    <t>Năng 
lượng
(Kcal)</t>
  </si>
  <si>
    <r>
      <t>P</t>
    </r>
    <r>
      <rPr>
        <sz val="11"/>
        <rFont val="Times New Roman"/>
        <family val="1"/>
      </rPr>
      <t>(ĐV)</t>
    </r>
  </si>
  <si>
    <t>Protein (g)</t>
  </si>
  <si>
    <r>
      <t>P</t>
    </r>
    <r>
      <rPr>
        <sz val="11"/>
        <rFont val="Times New Roman"/>
        <family val="1"/>
      </rPr>
      <t>(TV)</t>
    </r>
  </si>
  <si>
    <t>Lipid (g)</t>
  </si>
  <si>
    <r>
      <t>L</t>
    </r>
    <r>
      <rPr>
        <sz val="11"/>
        <rFont val="Times New Roman"/>
        <family val="1"/>
      </rPr>
      <t>(ĐV)</t>
    </r>
  </si>
  <si>
    <r>
      <t>L</t>
    </r>
    <r>
      <rPr>
        <sz val="11"/>
        <rFont val="Times New Roman"/>
        <family val="1"/>
      </rPr>
      <t>(TV)</t>
    </r>
  </si>
  <si>
    <t>Glucid
(g)</t>
  </si>
  <si>
    <t>Thực phẩm cần mua (g)</t>
  </si>
  <si>
    <t>Số tiền (đ)</t>
  </si>
  <si>
    <t>Tên 
thực phẩm</t>
  </si>
  <si>
    <t>Cà chua</t>
  </si>
  <si>
    <t>19.5-35.4</t>
  </si>
  <si>
    <t>17-28.2</t>
  </si>
  <si>
    <t>78-106.2</t>
  </si>
  <si>
    <t>19-31.7</t>
  </si>
  <si>
    <t>20-28.9</t>
  </si>
  <si>
    <t>68.8-79.4</t>
  </si>
  <si>
    <t>615-726</t>
  </si>
  <si>
    <t>600-651</t>
  </si>
  <si>
    <t>Trứng vịt</t>
  </si>
  <si>
    <t>BẢNG TÍNH KHẨU PHẦN ĂN CỦA TRẺ MẪU GIÁO</t>
  </si>
  <si>
    <t>BẢNG TÍNH KHẨU PHẦN ĂN CỦA TRẺ NHÀ TRẺ</t>
  </si>
  <si>
    <t>NGƯỜI THỰC HIỆN</t>
  </si>
  <si>
    <t>Bữa chính</t>
  </si>
  <si>
    <t>Bữa phụ</t>
  </si>
  <si>
    <t>Năng lượng bữa chiều/trẻ</t>
  </si>
  <si>
    <t>Năng lượng bữa trưa/trẻ</t>
  </si>
  <si>
    <t>Bữa chiều</t>
  </si>
  <si>
    <t>Bữa trưa</t>
  </si>
  <si>
    <t>Ca</t>
  </si>
  <si>
    <t>B1</t>
  </si>
  <si>
    <t>30-35%</t>
  </si>
  <si>
    <t>25-30%</t>
  </si>
  <si>
    <t>5-10%</t>
  </si>
  <si>
    <t>% năng lượng
 bữa chính</t>
  </si>
  <si>
    <t>% năng lượng 
bữa phụ</t>
  </si>
  <si>
    <t>% năng lượng
 bữa trưa</t>
  </si>
  <si>
    <t>% năng lượng 
bữa chiều</t>
  </si>
  <si>
    <t>Đơn giá (đ)</t>
  </si>
  <si>
    <t>Đơn giá
 (đ)</t>
  </si>
  <si>
    <t>Đơn giá
(đ)</t>
  </si>
  <si>
    <t>15-20%</t>
  </si>
  <si>
    <t>Thực đạt</t>
  </si>
  <si>
    <t>Thực  đạt</t>
  </si>
  <si>
    <r>
      <t>TRƯỜ</t>
    </r>
    <r>
      <rPr>
        <b/>
        <u/>
        <sz val="11"/>
        <rFont val="Times New Roman"/>
        <family val="1"/>
      </rPr>
      <t>NG MÂM NON MỸ</t>
    </r>
    <r>
      <rPr>
        <b/>
        <sz val="11"/>
        <rFont val="Times New Roman"/>
        <family val="1"/>
      </rPr>
      <t xml:space="preserve"> TIẾN</t>
    </r>
  </si>
  <si>
    <t>PHÓ HIỆU TRƯỞNG</t>
  </si>
  <si>
    <t>Trứng gà</t>
  </si>
  <si>
    <t>Thịt vịt</t>
  </si>
  <si>
    <r>
      <t>TRƯỜ</t>
    </r>
    <r>
      <rPr>
        <b/>
        <u/>
        <sz val="11"/>
        <rFont val="Times New Roman"/>
        <family val="1"/>
      </rPr>
      <t>NG MÂM NON MỸ TIẾN</t>
    </r>
  </si>
  <si>
    <t>S
TT</t>
  </si>
  <si>
    <t>Hạt sen</t>
  </si>
  <si>
    <t>Lạc hạt</t>
  </si>
  <si>
    <t>Thịt gà</t>
  </si>
  <si>
    <t>Nấm Hương</t>
  </si>
  <si>
    <t xml:space="preserve">Thịt lợn nạc </t>
  </si>
  <si>
    <t>Gạo nếp</t>
  </si>
  <si>
    <t>Bí đao</t>
  </si>
  <si>
    <t>Thanh long</t>
  </si>
  <si>
    <t>Khẩu phần 
cả ngày của 1 trẻ đạt (g)</t>
  </si>
  <si>
    <t>Kcal (P:L:G)</t>
  </si>
  <si>
    <t>Khuyến nghị</t>
  </si>
  <si>
    <t>Khẩu phần khuyến nghị (g)</t>
  </si>
  <si>
    <t>Tỷ lệ các chất  (%)</t>
  </si>
  <si>
    <t>13-20</t>
  </si>
  <si>
    <t>25-35</t>
  </si>
  <si>
    <t>52-60</t>
  </si>
  <si>
    <t>30-40</t>
  </si>
  <si>
    <t>47-50</t>
  </si>
  <si>
    <t>Tỷ lệ các chất (%)</t>
  </si>
  <si>
    <t>BỮA CHIỀU</t>
  </si>
  <si>
    <t>Cơm tẻ</t>
  </si>
  <si>
    <t>Đặng Thị Phượng</t>
  </si>
  <si>
    <t xml:space="preserve">Thịt gà </t>
  </si>
  <si>
    <t>Bí đỏ</t>
  </si>
  <si>
    <r>
      <t xml:space="preserve">L
</t>
    </r>
    <r>
      <rPr>
        <sz val="11"/>
        <rFont val="Times New Roman"/>
        <family val="1"/>
      </rPr>
      <t>(ĐV)</t>
    </r>
  </si>
  <si>
    <t xml:space="preserve">Tôm </t>
  </si>
  <si>
    <t>BỮA CHÍNH TRƯA</t>
  </si>
  <si>
    <t>BỮA PHỤ CHIỀU</t>
  </si>
  <si>
    <t xml:space="preserve">BỮA PHỤ </t>
  </si>
  <si>
    <t>BỮA CHÍNH CHIỀU</t>
  </si>
  <si>
    <t>Thịt gà om nấm hương</t>
  </si>
  <si>
    <t>Rau hẹ</t>
  </si>
  <si>
    <t>BỮA PHỤ</t>
  </si>
  <si>
    <t xml:space="preserve">Cộng chung bữa chính </t>
  </si>
  <si>
    <t xml:space="preserve">Cộng chung bữa phụ </t>
  </si>
  <si>
    <t>Cộng chung 
xuất ăn</t>
  </si>
  <si>
    <t>Cộng chung bữa phụ</t>
  </si>
  <si>
    <t>Cộng chung  xuất ăn</t>
  </si>
  <si>
    <t>Nhận xét: So với khẩu phần khuyến nghị</t>
  </si>
  <si>
    <t xml:space="preserve">                </t>
  </si>
  <si>
    <t>Số g các chất dinh dưỡng và tỷ lệ các chất dinh dưỡng (P:L:G) đạt trong khoảng quy định.</t>
  </si>
  <si>
    <r>
      <t xml:space="preserve">Cách khắc phục: </t>
    </r>
    <r>
      <rPr>
        <sz val="11"/>
        <rFont val="Times New Roman"/>
        <family val="1"/>
      </rPr>
      <t>Duy trì số g lương thực thực phẩm trong khẩu phần ăn của trẻ.</t>
    </r>
  </si>
  <si>
    <t xml:space="preserve">Cộng chung bữa trưa </t>
  </si>
  <si>
    <t xml:space="preserve">Cộng chung bữa chiều </t>
  </si>
  <si>
    <t>Cộng chung bữa chính</t>
  </si>
  <si>
    <t xml:space="preserve">Cộng bữa chính </t>
  </si>
  <si>
    <t>Số xuất ăn</t>
  </si>
  <si>
    <t>Bột canh, hạt nêm</t>
  </si>
  <si>
    <t>Trần Thị Thu</t>
  </si>
  <si>
    <t xml:space="preserve">Số g các chất dinh dưỡng và tỷ lệ các chất dinh dưỡng (P:L:G) đạt trong khoảng quy định. </t>
  </si>
  <si>
    <t xml:space="preserve">Số g các chất dinh dưỡng (P:L:G) đạt trong khoảng quy định. </t>
  </si>
  <si>
    <t>Trần Thị Minh Thu</t>
  </si>
  <si>
    <r>
      <t>Cách khắc phục:</t>
    </r>
    <r>
      <rPr>
        <sz val="11"/>
        <rFont val="Times New Roman"/>
        <family val="1"/>
      </rPr>
      <t xml:space="preserve"> Duy trì số g lương thực thực phẩm trong khẩu phần ăn của trẻ </t>
    </r>
  </si>
  <si>
    <r>
      <t xml:space="preserve">Cách khắc phục: </t>
    </r>
    <r>
      <rPr>
        <sz val="11"/>
        <rFont val="Times New Roman"/>
        <family val="1"/>
      </rPr>
      <t>Duy trì số g lương thực, thực phẩm trong khẩu phần ăn của trẻ</t>
    </r>
  </si>
  <si>
    <t>Trứng vịt chiên sốt cà chua</t>
  </si>
  <si>
    <t>Canh bí đỏ nấu thịt vịt</t>
  </si>
  <si>
    <t>Hành khô</t>
  </si>
  <si>
    <t>Cháo  - thịt vịt, bí đỏ</t>
  </si>
  <si>
    <t>Bột sắn dây</t>
  </si>
  <si>
    <t>Dầu cá Ranee</t>
  </si>
  <si>
    <t>Cháo thịt gà, bí đao</t>
  </si>
  <si>
    <t>Dầu Simply</t>
  </si>
  <si>
    <t>Trứng chim cút</t>
  </si>
  <si>
    <t>Uống sữa Nuvi Grow</t>
  </si>
  <si>
    <t>Sữa bột Nuvi Grow</t>
  </si>
  <si>
    <t>Khuyến
 nghị</t>
  </si>
  <si>
    <t>Dứa</t>
  </si>
  <si>
    <t>Thịt lợn trộn trứng gà mộc nhĩ, nấm hương  hấp</t>
  </si>
  <si>
    <t>Bí đao xào thịt bò</t>
  </si>
  <si>
    <t xml:space="preserve">Trứng vịt đúc thịt lợn </t>
  </si>
  <si>
    <t>Trứng vịt đúc thịt lợn</t>
  </si>
  <si>
    <t>Ruốc thịt lợn, lạc</t>
  </si>
  <si>
    <t>Canh rau hẹ nấu thịt lợn</t>
  </si>
  <si>
    <t>Canh bí đao nấu thịt lợn</t>
  </si>
  <si>
    <t>Tôm, thịt lợn sốt dứa, cà chua</t>
  </si>
  <si>
    <t>Súp gà ngô</t>
  </si>
  <si>
    <t>Ngô ngọt</t>
  </si>
  <si>
    <t>Rau thơm</t>
  </si>
  <si>
    <t>Tỷ lệ L động vật đạt 69.9%; so với khẩu phần khuyến nghị đảm bảo đạt</t>
  </si>
  <si>
    <t>Thịt gà, trứng chim cút sốt cà chua</t>
  </si>
  <si>
    <t>Cháo thịt bò, thịt gà - cà rốt, hạt sen</t>
  </si>
  <si>
    <t>Tỷ lệ L động vật đạt 70.1%; so với khẩu phần khuyến nghị đảm bảo đạt</t>
  </si>
  <si>
    <t>Rau bắp cải</t>
  </si>
  <si>
    <t>Canh rau bắp cải nấu tôm</t>
  </si>
  <si>
    <t>Bí đỏ xào thịt lợn</t>
  </si>
  <si>
    <t>Tỷ lệ L động vật đạt 70%; so với khẩu phần khuyến nghị đảm bảo đạt</t>
  </si>
  <si>
    <t>Tỷ lệ P động vật đạt 53.8%; so với khẩu phần khuyến nghị tương đối đạt</t>
  </si>
  <si>
    <t>Tỷ lệ P động vật đạt 53.4%; so với khẩu phần khuyến nghị tương đối đạt</t>
  </si>
  <si>
    <t>Rau đay</t>
  </si>
  <si>
    <t>Mồng tơi</t>
  </si>
  <si>
    <t>Canh rau đay, mồng tơi nấu cua</t>
  </si>
  <si>
    <t>Bún</t>
  </si>
  <si>
    <t xml:space="preserve">Canh rau đay, mồng tơi nấu cua </t>
  </si>
  <si>
    <t>Bún thịt vịt, cà chua, cà rốt</t>
  </si>
  <si>
    <t>Cua</t>
  </si>
  <si>
    <t>Bầu xào thịt lợn</t>
  </si>
  <si>
    <t>Canh rau muống nấu tôm</t>
  </si>
  <si>
    <t>Rau muống</t>
  </si>
  <si>
    <t>Bầu</t>
  </si>
  <si>
    <t>Tỷ lệ P động vật đạt 69.4%; so với khẩu phần khuyến nghị cao hơn 9,4%</t>
  </si>
  <si>
    <t>Bí đao xào thịt lợn</t>
  </si>
  <si>
    <t>Canh rau dền nấu thịt gà</t>
  </si>
  <si>
    <t>Rau dền</t>
  </si>
  <si>
    <t>Thứ tư, ngày 1 tháng 4 năm 2026</t>
  </si>
  <si>
    <t>Kcal đạt 725.22. So với khẩu phần khuyến nghị đảm bảo đạt</t>
  </si>
  <si>
    <t>Kcal đạt 6436.36. So với khẩu phần khuyến nghị đảm bảo đạt</t>
  </si>
  <si>
    <t>Tỷ lệ P động vật đạt 60.7%; Cao hơn so với khẩu phần khuyến nghị 0.7%</t>
  </si>
  <si>
    <t>Tỷ lệ L động vật đạt 70.7%; so với khẩu phần khuyến nghị cao hơn 0,7%</t>
  </si>
  <si>
    <t>Thứ năm, ngày 2 tháng 4 năm 2026</t>
  </si>
  <si>
    <t>Kcal đạt 704.44. So với khẩu phần khuyến nghị đảm bảo đạt</t>
  </si>
  <si>
    <t>Kcal đạt 629.68. So với khẩu phần khuyến nghị đảm bảo đạt đạt</t>
  </si>
  <si>
    <t>Tỷ lệ P động vật đạt 61.1%; so với khẩu phần khuyến cao hơn 1.1%</t>
  </si>
  <si>
    <t>Tỷ lệ L động vật đạt 69.7%; so với khẩu phần khuyến nghị đảm bảo đạt</t>
  </si>
  <si>
    <t>Thứ sáu, ngày 3 tháng 4 năm 2026</t>
  </si>
  <si>
    <t>Kcal đạt 693.24. So với khẩu phần khuyến nghị đảm bảo đạt</t>
  </si>
  <si>
    <t>Tỷ lệ P động vật đạt 59.8%; so với khẩu phần khuyến nghị đảm bảo đạt</t>
  </si>
  <si>
    <t>Kcal đạt 636.18 So với khẩu phần khuyến nghị đảm bảo đạt</t>
  </si>
  <si>
    <t>Tỷ lệ L động vật đạt 70.3%; so với khẩu phần khuyến nghị đảm bảo đạt</t>
  </si>
  <si>
    <t>Thứ bẩy, ngày 4 tháng 4 năm 2026</t>
  </si>
  <si>
    <t>Kcal đạt 727.16 So với khẩu phần khuyến nghị đảm bảo đạt</t>
  </si>
  <si>
    <t>Tỷ lệ P động vật đạt 50.9%; so với khẩu phần khuyến tương đối đạt</t>
  </si>
  <si>
    <t>Kcal đạt 651. So với khẩu phần khuyến nghị đảm bảo đạt</t>
  </si>
  <si>
    <t>Tỷ lệ P động vật đạt 56.6%; so với khẩu phần khuyến nghị đảm bảo đạt</t>
  </si>
</sst>
</file>

<file path=xl/styles.xml><?xml version="1.0" encoding="utf-8"?>
<styleSheet xmlns="http://schemas.openxmlformats.org/spreadsheetml/2006/main">
  <numFmts count="5">
    <numFmt numFmtId="43" formatCode="_(* #,##0.00_);_(* \(#,##0.00\);_(* &quot;-&quot;??_);_(@_)"/>
    <numFmt numFmtId="164" formatCode="0.000"/>
    <numFmt numFmtId="165" formatCode="#.##0"/>
    <numFmt numFmtId="166" formatCode="#,##0.0"/>
    <numFmt numFmtId="167" formatCode="0.0"/>
  </numFmts>
  <fonts count="18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  <font>
      <b/>
      <u/>
      <sz val="11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b/>
      <sz val="7"/>
      <name val="Times New Roman"/>
      <family val="1"/>
    </font>
    <font>
      <sz val="11"/>
      <color indexed="8"/>
      <name val="Calibri"/>
      <family val="2"/>
    </font>
    <font>
      <sz val="9"/>
      <name val="Arial"/>
      <family val="2"/>
    </font>
    <font>
      <sz val="7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15" fillId="0" borderId="0"/>
  </cellStyleXfs>
  <cellXfs count="368">
    <xf numFmtId="0" fontId="0" fillId="0" borderId="0" xfId="0"/>
    <xf numFmtId="0" fontId="3" fillId="0" borderId="0" xfId="0" applyFont="1"/>
    <xf numFmtId="0" fontId="3" fillId="0" borderId="0" xfId="0" applyFont="1" applyFill="1"/>
    <xf numFmtId="2" fontId="3" fillId="0" borderId="0" xfId="0" applyNumberFormat="1" applyFont="1" applyFill="1"/>
    <xf numFmtId="4" fontId="3" fillId="0" borderId="0" xfId="0" applyNumberFormat="1" applyFont="1" applyFill="1"/>
    <xf numFmtId="0" fontId="7" fillId="0" borderId="5" xfId="0" applyFont="1" applyFill="1" applyBorder="1"/>
    <xf numFmtId="0" fontId="7" fillId="0" borderId="6" xfId="0" applyFont="1" applyFill="1" applyBorder="1"/>
    <xf numFmtId="4" fontId="6" fillId="0" borderId="2" xfId="0" applyNumberFormat="1" applyFont="1" applyBorder="1"/>
    <xf numFmtId="0" fontId="5" fillId="0" borderId="0" xfId="0" applyFont="1" applyAlignment="1"/>
    <xf numFmtId="0" fontId="7" fillId="0" borderId="5" xfId="0" applyFont="1" applyFill="1" applyBorder="1" applyAlignment="1">
      <alignment horizontal="center"/>
    </xf>
    <xf numFmtId="3" fontId="7" fillId="0" borderId="5" xfId="1" applyNumberFormat="1" applyFont="1" applyFill="1" applyBorder="1" applyAlignment="1">
      <alignment horizontal="left"/>
    </xf>
    <xf numFmtId="0" fontId="2" fillId="0" borderId="0" xfId="0" applyFont="1" applyAlignment="1"/>
    <xf numFmtId="0" fontId="3" fillId="0" borderId="0" xfId="0" applyFont="1" applyBorder="1"/>
    <xf numFmtId="0" fontId="7" fillId="0" borderId="4" xfId="0" applyFont="1" applyFill="1" applyBorder="1" applyAlignment="1">
      <alignment horizontal="center"/>
    </xf>
    <xf numFmtId="167" fontId="3" fillId="0" borderId="0" xfId="0" applyNumberFormat="1" applyFont="1" applyFill="1"/>
    <xf numFmtId="2" fontId="6" fillId="0" borderId="2" xfId="0" applyNumberFormat="1" applyFont="1" applyFill="1" applyBorder="1" applyAlignment="1">
      <alignment horizontal="center"/>
    </xf>
    <xf numFmtId="0" fontId="10" fillId="0" borderId="18" xfId="0" applyFont="1" applyFill="1" applyBorder="1" applyAlignment="1"/>
    <xf numFmtId="0" fontId="10" fillId="0" borderId="7" xfId="0" applyFont="1" applyFill="1" applyBorder="1" applyAlignment="1"/>
    <xf numFmtId="3" fontId="11" fillId="0" borderId="5" xfId="0" applyNumberFormat="1" applyFont="1" applyFill="1" applyBorder="1"/>
    <xf numFmtId="2" fontId="11" fillId="0" borderId="5" xfId="0" applyNumberFormat="1" applyFont="1" applyFill="1" applyBorder="1"/>
    <xf numFmtId="4" fontId="11" fillId="0" borderId="5" xfId="0" applyNumberFormat="1" applyFont="1" applyFill="1" applyBorder="1"/>
    <xf numFmtId="1" fontId="11" fillId="0" borderId="5" xfId="0" applyNumberFormat="1" applyFont="1" applyFill="1" applyBorder="1"/>
    <xf numFmtId="164" fontId="11" fillId="0" borderId="5" xfId="0" applyNumberFormat="1" applyFont="1" applyFill="1" applyBorder="1"/>
    <xf numFmtId="3" fontId="11" fillId="0" borderId="5" xfId="0" applyNumberFormat="1" applyFont="1" applyFill="1" applyBorder="1" applyAlignment="1"/>
    <xf numFmtId="4" fontId="11" fillId="0" borderId="6" xfId="0" applyNumberFormat="1" applyFont="1" applyFill="1" applyBorder="1"/>
    <xf numFmtId="1" fontId="11" fillId="0" borderId="6" xfId="0" applyNumberFormat="1" applyFont="1" applyFill="1" applyBorder="1"/>
    <xf numFmtId="3" fontId="11" fillId="0" borderId="2" xfId="0" applyNumberFormat="1" applyFont="1" applyFill="1" applyBorder="1"/>
    <xf numFmtId="2" fontId="6" fillId="0" borderId="2" xfId="0" applyNumberFormat="1" applyFont="1" applyFill="1" applyBorder="1"/>
    <xf numFmtId="4" fontId="11" fillId="0" borderId="2" xfId="0" applyNumberFormat="1" applyFont="1" applyFill="1" applyBorder="1"/>
    <xf numFmtId="1" fontId="11" fillId="0" borderId="2" xfId="0" applyNumberFormat="1" applyFont="1" applyFill="1" applyBorder="1"/>
    <xf numFmtId="3" fontId="6" fillId="0" borderId="2" xfId="0" applyNumberFormat="1" applyFont="1" applyFill="1" applyBorder="1" applyAlignment="1">
      <alignment horizontal="center" vertical="center"/>
    </xf>
    <xf numFmtId="4" fontId="6" fillId="0" borderId="2" xfId="0" applyNumberFormat="1" applyFont="1" applyFill="1" applyBorder="1"/>
    <xf numFmtId="1" fontId="6" fillId="0" borderId="2" xfId="0" applyNumberFormat="1" applyFont="1" applyFill="1" applyBorder="1"/>
    <xf numFmtId="0" fontId="11" fillId="0" borderId="2" xfId="0" applyFont="1" applyBorder="1"/>
    <xf numFmtId="0" fontId="6" fillId="0" borderId="2" xfId="0" applyFont="1" applyBorder="1"/>
    <xf numFmtId="1" fontId="6" fillId="0" borderId="2" xfId="0" applyNumberFormat="1" applyFont="1" applyBorder="1"/>
    <xf numFmtId="0" fontId="6" fillId="0" borderId="16" xfId="0" applyFont="1" applyBorder="1"/>
    <xf numFmtId="0" fontId="6" fillId="0" borderId="2" xfId="0" applyFont="1" applyBorder="1" applyAlignment="1">
      <alignment vertical="center"/>
    </xf>
    <xf numFmtId="4" fontId="12" fillId="0" borderId="2" xfId="0" applyNumberFormat="1" applyFont="1" applyBorder="1"/>
    <xf numFmtId="1" fontId="11" fillId="0" borderId="14" xfId="0" applyNumberFormat="1" applyFont="1" applyFill="1" applyBorder="1"/>
    <xf numFmtId="3" fontId="11" fillId="0" borderId="15" xfId="0" applyNumberFormat="1" applyFont="1" applyFill="1" applyBorder="1"/>
    <xf numFmtId="2" fontId="11" fillId="0" borderId="15" xfId="0" applyNumberFormat="1" applyFont="1" applyFill="1" applyBorder="1"/>
    <xf numFmtId="4" fontId="11" fillId="0" borderId="15" xfId="0" applyNumberFormat="1" applyFont="1" applyFill="1" applyBorder="1"/>
    <xf numFmtId="1" fontId="11" fillId="0" borderId="15" xfId="0" applyNumberFormat="1" applyFont="1" applyFill="1" applyBorder="1"/>
    <xf numFmtId="3" fontId="11" fillId="0" borderId="15" xfId="0" applyNumberFormat="1" applyFont="1" applyFill="1" applyBorder="1" applyAlignment="1"/>
    <xf numFmtId="0" fontId="11" fillId="0" borderId="16" xfId="0" applyFont="1" applyBorder="1"/>
    <xf numFmtId="1" fontId="6" fillId="0" borderId="16" xfId="0" applyNumberFormat="1" applyFont="1" applyBorder="1"/>
    <xf numFmtId="0" fontId="11" fillId="0" borderId="15" xfId="0" applyFont="1" applyBorder="1"/>
    <xf numFmtId="0" fontId="6" fillId="0" borderId="15" xfId="0" applyFont="1" applyBorder="1"/>
    <xf numFmtId="1" fontId="6" fillId="0" borderId="15" xfId="0" applyNumberFormat="1" applyFont="1" applyBorder="1"/>
    <xf numFmtId="3" fontId="6" fillId="0" borderId="15" xfId="0" applyNumberFormat="1" applyFont="1" applyFill="1" applyBorder="1" applyAlignment="1">
      <alignment horizontal="center" vertical="center"/>
    </xf>
    <xf numFmtId="3" fontId="11" fillId="0" borderId="7" xfId="0" applyNumberFormat="1" applyFont="1" applyFill="1" applyBorder="1" applyAlignment="1"/>
    <xf numFmtId="164" fontId="11" fillId="0" borderId="6" xfId="0" applyNumberFormat="1" applyFont="1" applyFill="1" applyBorder="1"/>
    <xf numFmtId="2" fontId="6" fillId="0" borderId="2" xfId="0" applyNumberFormat="1" applyFont="1" applyBorder="1"/>
    <xf numFmtId="1" fontId="11" fillId="0" borderId="16" xfId="0" applyNumberFormat="1" applyFont="1" applyFill="1" applyBorder="1"/>
    <xf numFmtId="1" fontId="11" fillId="0" borderId="3" xfId="0" applyNumberFormat="1" applyFont="1" applyFill="1" applyBorder="1"/>
    <xf numFmtId="167" fontId="11" fillId="0" borderId="5" xfId="0" applyNumberFormat="1" applyFont="1" applyFill="1" applyBorder="1"/>
    <xf numFmtId="3" fontId="9" fillId="0" borderId="3" xfId="0" applyNumberFormat="1" applyFont="1" applyFill="1" applyBorder="1" applyAlignment="1">
      <alignment horizontal="center"/>
    </xf>
    <xf numFmtId="167" fontId="11" fillId="0" borderId="14" xfId="0" applyNumberFormat="1" applyFont="1" applyFill="1" applyBorder="1"/>
    <xf numFmtId="167" fontId="6" fillId="0" borderId="2" xfId="0" applyNumberFormat="1" applyFont="1" applyFill="1" applyBorder="1" applyAlignment="1">
      <alignment horizontal="center"/>
    </xf>
    <xf numFmtId="3" fontId="11" fillId="0" borderId="5" xfId="1" applyNumberFormat="1" applyFont="1" applyFill="1" applyBorder="1" applyAlignment="1">
      <alignment horizontal="left"/>
    </xf>
    <xf numFmtId="0" fontId="11" fillId="0" borderId="5" xfId="0" applyFont="1" applyFill="1" applyBorder="1" applyAlignment="1">
      <alignment horizontal="center"/>
    </xf>
    <xf numFmtId="164" fontId="13" fillId="0" borderId="5" xfId="0" applyNumberFormat="1" applyFont="1" applyFill="1" applyBorder="1"/>
    <xf numFmtId="4" fontId="12" fillId="0" borderId="2" xfId="0" applyNumberFormat="1" applyFont="1" applyFill="1" applyBorder="1"/>
    <xf numFmtId="0" fontId="12" fillId="0" borderId="2" xfId="0" applyFont="1" applyBorder="1"/>
    <xf numFmtId="0" fontId="12" fillId="0" borderId="16" xfId="0" applyFont="1" applyBorder="1"/>
    <xf numFmtId="2" fontId="6" fillId="0" borderId="2" xfId="0" applyNumberFormat="1" applyFont="1" applyBorder="1" applyAlignment="1">
      <alignment vertical="center"/>
    </xf>
    <xf numFmtId="0" fontId="3" fillId="0" borderId="5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left"/>
    </xf>
    <xf numFmtId="0" fontId="6" fillId="0" borderId="0" xfId="0" applyFont="1" applyBorder="1" applyAlignment="1">
      <alignment horizontal="center" vertical="center"/>
    </xf>
    <xf numFmtId="4" fontId="12" fillId="0" borderId="0" xfId="0" applyNumberFormat="1" applyFont="1" applyBorder="1" applyAlignment="1">
      <alignment horizontal="center" vertical="center"/>
    </xf>
    <xf numFmtId="1" fontId="12" fillId="0" borderId="0" xfId="0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left" vertical="center"/>
    </xf>
    <xf numFmtId="4" fontId="6" fillId="0" borderId="0" xfId="0" applyNumberFormat="1" applyFont="1" applyBorder="1" applyAlignment="1">
      <alignment horizontal="center" vertical="center"/>
    </xf>
    <xf numFmtId="1" fontId="6" fillId="0" borderId="0" xfId="0" applyNumberFormat="1" applyFont="1" applyBorder="1" applyAlignment="1">
      <alignment horizontal="center" vertical="center"/>
    </xf>
    <xf numFmtId="4" fontId="6" fillId="0" borderId="16" xfId="0" applyNumberFormat="1" applyFont="1" applyBorder="1" applyAlignment="1">
      <alignment vertical="center"/>
    </xf>
    <xf numFmtId="4" fontId="6" fillId="0" borderId="17" xfId="0" applyNumberFormat="1" applyFont="1" applyBorder="1" applyAlignment="1">
      <alignment vertical="center"/>
    </xf>
    <xf numFmtId="4" fontId="6" fillId="0" borderId="3" xfId="0" applyNumberFormat="1" applyFont="1" applyBorder="1" applyAlignment="1">
      <alignment vertical="center"/>
    </xf>
    <xf numFmtId="1" fontId="6" fillId="0" borderId="16" xfId="0" applyNumberFormat="1" applyFont="1" applyBorder="1" applyAlignment="1">
      <alignment vertical="center"/>
    </xf>
    <xf numFmtId="1" fontId="6" fillId="0" borderId="17" xfId="0" applyNumberFormat="1" applyFont="1" applyBorder="1" applyAlignment="1">
      <alignment vertical="center"/>
    </xf>
    <xf numFmtId="1" fontId="6" fillId="0" borderId="3" xfId="0" applyNumberFormat="1" applyFont="1" applyBorder="1" applyAlignment="1">
      <alignment vertical="center"/>
    </xf>
    <xf numFmtId="0" fontId="7" fillId="0" borderId="20" xfId="0" applyFont="1" applyFill="1" applyBorder="1" applyAlignment="1">
      <alignment horizontal="center"/>
    </xf>
    <xf numFmtId="3" fontId="11" fillId="0" borderId="20" xfId="0" applyNumberFormat="1" applyFont="1" applyFill="1" applyBorder="1"/>
    <xf numFmtId="2" fontId="11" fillId="0" borderId="20" xfId="0" applyNumberFormat="1" applyFont="1" applyFill="1" applyBorder="1"/>
    <xf numFmtId="4" fontId="11" fillId="0" borderId="20" xfId="0" applyNumberFormat="1" applyFont="1" applyFill="1" applyBorder="1"/>
    <xf numFmtId="1" fontId="11" fillId="0" borderId="20" xfId="0" applyNumberFormat="1" applyFont="1" applyFill="1" applyBorder="1"/>
    <xf numFmtId="3" fontId="11" fillId="0" borderId="20" xfId="0" applyNumberFormat="1" applyFont="1" applyFill="1" applyBorder="1" applyAlignment="1"/>
    <xf numFmtId="0" fontId="7" fillId="0" borderId="2" xfId="0" applyFont="1" applyFill="1" applyBorder="1" applyAlignment="1">
      <alignment horizontal="center"/>
    </xf>
    <xf numFmtId="2" fontId="11" fillId="0" borderId="2" xfId="0" applyNumberFormat="1" applyFont="1" applyFill="1" applyBorder="1"/>
    <xf numFmtId="3" fontId="11" fillId="0" borderId="2" xfId="0" applyNumberFormat="1" applyFont="1" applyFill="1" applyBorder="1" applyAlignment="1"/>
    <xf numFmtId="0" fontId="7" fillId="0" borderId="20" xfId="0" applyFont="1" applyFill="1" applyBorder="1"/>
    <xf numFmtId="0" fontId="11" fillId="0" borderId="20" xfId="0" applyFont="1" applyFill="1" applyBorder="1" applyAlignment="1">
      <alignment horizontal="center"/>
    </xf>
    <xf numFmtId="164" fontId="11" fillId="0" borderId="20" xfId="0" applyNumberFormat="1" applyFont="1" applyFill="1" applyBorder="1"/>
    <xf numFmtId="167" fontId="6" fillId="0" borderId="2" xfId="0" applyNumberFormat="1" applyFont="1" applyBorder="1" applyAlignment="1">
      <alignment vertical="center"/>
    </xf>
    <xf numFmtId="1" fontId="6" fillId="0" borderId="2" xfId="0" applyNumberFormat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4" fontId="13" fillId="0" borderId="5" xfId="0" applyNumberFormat="1" applyFont="1" applyFill="1" applyBorder="1"/>
    <xf numFmtId="2" fontId="13" fillId="0" borderId="5" xfId="0" applyNumberFormat="1" applyFont="1" applyFill="1" applyBorder="1"/>
    <xf numFmtId="2" fontId="12" fillId="0" borderId="2" xfId="0" applyNumberFormat="1" applyFont="1" applyFill="1" applyBorder="1"/>
    <xf numFmtId="2" fontId="12" fillId="0" borderId="2" xfId="0" applyNumberFormat="1" applyFont="1" applyBorder="1" applyAlignment="1">
      <alignment vertical="center"/>
    </xf>
    <xf numFmtId="4" fontId="10" fillId="0" borderId="2" xfId="0" applyNumberFormat="1" applyFont="1" applyBorder="1"/>
    <xf numFmtId="3" fontId="13" fillId="0" borderId="5" xfId="0" applyNumberFormat="1" applyFont="1" applyFill="1" applyBorder="1" applyAlignment="1"/>
    <xf numFmtId="2" fontId="6" fillId="0" borderId="3" xfId="0" applyNumberFormat="1" applyFont="1" applyBorder="1" applyAlignment="1">
      <alignment vertical="center"/>
    </xf>
    <xf numFmtId="0" fontId="4" fillId="0" borderId="2" xfId="0" applyFont="1" applyFill="1" applyBorder="1" applyAlignment="1">
      <alignment horizontal="right"/>
    </xf>
    <xf numFmtId="4" fontId="13" fillId="0" borderId="2" xfId="0" applyNumberFormat="1" applyFont="1" applyFill="1" applyBorder="1"/>
    <xf numFmtId="4" fontId="9" fillId="0" borderId="5" xfId="0" applyNumberFormat="1" applyFont="1" applyFill="1" applyBorder="1"/>
    <xf numFmtId="0" fontId="6" fillId="0" borderId="16" xfId="0" applyFont="1" applyFill="1" applyBorder="1" applyAlignment="1">
      <alignment vertical="center"/>
    </xf>
    <xf numFmtId="3" fontId="11" fillId="2" borderId="5" xfId="0" applyNumberFormat="1" applyFont="1" applyFill="1" applyBorder="1" applyAlignment="1"/>
    <xf numFmtId="4" fontId="11" fillId="2" borderId="5" xfId="0" applyNumberFormat="1" applyFont="1" applyFill="1" applyBorder="1"/>
    <xf numFmtId="1" fontId="11" fillId="2" borderId="5" xfId="0" applyNumberFormat="1" applyFont="1" applyFill="1" applyBorder="1"/>
    <xf numFmtId="0" fontId="6" fillId="0" borderId="16" xfId="0" applyFont="1" applyBorder="1" applyAlignment="1">
      <alignment vertical="center"/>
    </xf>
    <xf numFmtId="2" fontId="11" fillId="2" borderId="5" xfId="0" applyNumberFormat="1" applyFont="1" applyFill="1" applyBorder="1"/>
    <xf numFmtId="4" fontId="13" fillId="2" borderId="5" xfId="0" applyNumberFormat="1" applyFont="1" applyFill="1" applyBorder="1"/>
    <xf numFmtId="0" fontId="3" fillId="2" borderId="0" xfId="0" applyFont="1" applyFill="1"/>
    <xf numFmtId="0" fontId="6" fillId="2" borderId="16" xfId="0" applyFont="1" applyFill="1" applyBorder="1" applyAlignment="1">
      <alignment vertical="center"/>
    </xf>
    <xf numFmtId="167" fontId="13" fillId="0" borderId="5" xfId="0" applyNumberFormat="1" applyFont="1" applyFill="1" applyBorder="1"/>
    <xf numFmtId="2" fontId="9" fillId="0" borderId="5" xfId="0" applyNumberFormat="1" applyFont="1" applyFill="1" applyBorder="1"/>
    <xf numFmtId="167" fontId="11" fillId="0" borderId="20" xfId="0" applyNumberFormat="1" applyFont="1" applyFill="1" applyBorder="1"/>
    <xf numFmtId="3" fontId="3" fillId="0" borderId="5" xfId="1" applyNumberFormat="1" applyFont="1" applyFill="1" applyBorder="1" applyAlignment="1">
      <alignment horizontal="left"/>
    </xf>
    <xf numFmtId="4" fontId="13" fillId="0" borderId="20" xfId="0" applyNumberFormat="1" applyFont="1" applyFill="1" applyBorder="1"/>
    <xf numFmtId="3" fontId="7" fillId="2" borderId="5" xfId="1" applyNumberFormat="1" applyFont="1" applyFill="1" applyBorder="1" applyAlignment="1">
      <alignment horizontal="left"/>
    </xf>
    <xf numFmtId="0" fontId="7" fillId="2" borderId="5" xfId="0" applyFont="1" applyFill="1" applyBorder="1"/>
    <xf numFmtId="3" fontId="3" fillId="2" borderId="5" xfId="1" applyNumberFormat="1" applyFont="1" applyFill="1" applyBorder="1" applyAlignment="1">
      <alignment horizontal="left"/>
    </xf>
    <xf numFmtId="3" fontId="13" fillId="0" borderId="14" xfId="0" applyNumberFormat="1" applyFont="1" applyFill="1" applyBorder="1" applyAlignment="1"/>
    <xf numFmtId="3" fontId="9" fillId="0" borderId="5" xfId="3" applyNumberFormat="1" applyFont="1" applyFill="1" applyBorder="1" applyAlignment="1">
      <alignment horizontal="left" vertical="center" wrapText="1"/>
    </xf>
    <xf numFmtId="4" fontId="3" fillId="0" borderId="0" xfId="0" applyNumberFormat="1" applyFont="1" applyFill="1" applyBorder="1"/>
    <xf numFmtId="3" fontId="9" fillId="0" borderId="2" xfId="3" applyNumberFormat="1" applyFont="1" applyFill="1" applyBorder="1" applyAlignment="1">
      <alignment horizontal="left" vertical="center" wrapText="1"/>
    </xf>
    <xf numFmtId="167" fontId="13" fillId="0" borderId="2" xfId="0" applyNumberFormat="1" applyFont="1" applyFill="1" applyBorder="1"/>
    <xf numFmtId="3" fontId="9" fillId="0" borderId="20" xfId="3" applyNumberFormat="1" applyFont="1" applyFill="1" applyBorder="1" applyAlignment="1">
      <alignment horizontal="left" vertical="center" wrapText="1"/>
    </xf>
    <xf numFmtId="167" fontId="13" fillId="0" borderId="20" xfId="0" applyNumberFormat="1" applyFont="1" applyFill="1" applyBorder="1"/>
    <xf numFmtId="0" fontId="7" fillId="0" borderId="4" xfId="0" applyFont="1" applyFill="1" applyBorder="1" applyAlignment="1">
      <alignment horizontal="left"/>
    </xf>
    <xf numFmtId="3" fontId="7" fillId="0" borderId="4" xfId="0" applyNumberFormat="1" applyFont="1" applyFill="1" applyBorder="1"/>
    <xf numFmtId="2" fontId="7" fillId="0" borderId="4" xfId="0" applyNumberFormat="1" applyFont="1" applyFill="1" applyBorder="1"/>
    <xf numFmtId="4" fontId="7" fillId="0" borderId="4" xfId="0" applyNumberFormat="1" applyFont="1" applyFill="1" applyBorder="1"/>
    <xf numFmtId="1" fontId="7" fillId="0" borderId="4" xfId="0" applyNumberFormat="1" applyFont="1" applyFill="1" applyBorder="1"/>
    <xf numFmtId="0" fontId="7" fillId="2" borderId="5" xfId="0" applyFont="1" applyFill="1" applyBorder="1" applyAlignment="1">
      <alignment horizontal="center"/>
    </xf>
    <xf numFmtId="3" fontId="11" fillId="2" borderId="5" xfId="0" applyNumberFormat="1" applyFont="1" applyFill="1" applyBorder="1"/>
    <xf numFmtId="167" fontId="11" fillId="2" borderId="5" xfId="0" applyNumberFormat="1" applyFont="1" applyFill="1" applyBorder="1"/>
    <xf numFmtId="3" fontId="11" fillId="2" borderId="20" xfId="0" applyNumberFormat="1" applyFont="1" applyFill="1" applyBorder="1" applyAlignment="1"/>
    <xf numFmtId="2" fontId="10" fillId="0" borderId="2" xfId="0" applyNumberFormat="1" applyFont="1" applyFill="1" applyBorder="1"/>
    <xf numFmtId="2" fontId="13" fillId="0" borderId="20" xfId="0" applyNumberFormat="1" applyFont="1" applyFill="1" applyBorder="1"/>
    <xf numFmtId="3" fontId="13" fillId="2" borderId="5" xfId="0" applyNumberFormat="1" applyFont="1" applyFill="1" applyBorder="1" applyAlignment="1"/>
    <xf numFmtId="4" fontId="13" fillId="0" borderId="6" xfId="0" applyNumberFormat="1" applyFont="1" applyFill="1" applyBorder="1"/>
    <xf numFmtId="3" fontId="13" fillId="0" borderId="20" xfId="0" applyNumberFormat="1" applyFont="1" applyFill="1" applyBorder="1" applyAlignment="1"/>
    <xf numFmtId="3" fontId="9" fillId="0" borderId="5" xfId="0" applyNumberFormat="1" applyFont="1" applyFill="1" applyBorder="1" applyAlignment="1"/>
    <xf numFmtId="3" fontId="9" fillId="2" borderId="5" xfId="0" applyNumberFormat="1" applyFont="1" applyFill="1" applyBorder="1" applyAlignment="1"/>
    <xf numFmtId="3" fontId="11" fillId="0" borderId="4" xfId="0" applyNumberFormat="1" applyFont="1" applyFill="1" applyBorder="1" applyAlignment="1"/>
    <xf numFmtId="0" fontId="2" fillId="0" borderId="0" xfId="0" applyFont="1" applyBorder="1" applyAlignment="1">
      <alignment horizontal="center" vertical="center"/>
    </xf>
    <xf numFmtId="3" fontId="6" fillId="0" borderId="3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6" fillId="0" borderId="2" xfId="0" applyFont="1" applyBorder="1" applyAlignment="1">
      <alignment horizontal="center" vertical="center"/>
    </xf>
    <xf numFmtId="3" fontId="13" fillId="0" borderId="5" xfId="0" applyNumberFormat="1" applyFont="1" applyFill="1" applyBorder="1"/>
    <xf numFmtId="0" fontId="13" fillId="0" borderId="23" xfId="0" applyFont="1" applyFill="1" applyBorder="1" applyAlignment="1">
      <alignment horizontal="center" vertical="center"/>
    </xf>
    <xf numFmtId="0" fontId="13" fillId="0" borderId="24" xfId="0" applyFont="1" applyFill="1" applyBorder="1" applyAlignment="1">
      <alignment horizontal="center" vertical="center"/>
    </xf>
    <xf numFmtId="0" fontId="13" fillId="0" borderId="25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2" fontId="2" fillId="0" borderId="16" xfId="0" applyNumberFormat="1" applyFont="1" applyBorder="1" applyAlignment="1">
      <alignment horizontal="center" vertical="center" wrapText="1"/>
    </xf>
    <xf numFmtId="2" fontId="2" fillId="0" borderId="17" xfId="0" applyNumberFormat="1" applyFont="1" applyBorder="1" applyAlignment="1">
      <alignment horizontal="center" vertical="center"/>
    </xf>
    <xf numFmtId="2" fontId="2" fillId="0" borderId="3" xfId="0" applyNumberFormat="1" applyFont="1" applyBorder="1" applyAlignment="1">
      <alignment horizontal="center" vertical="center"/>
    </xf>
    <xf numFmtId="2" fontId="2" fillId="0" borderId="16" xfId="0" applyNumberFormat="1" applyFont="1" applyFill="1" applyBorder="1" applyAlignment="1">
      <alignment horizontal="center" vertical="center" wrapText="1"/>
    </xf>
    <xf numFmtId="2" fontId="2" fillId="0" borderId="17" xfId="0" applyNumberFormat="1" applyFont="1" applyFill="1" applyBorder="1" applyAlignment="1">
      <alignment horizontal="center" vertical="center"/>
    </xf>
    <xf numFmtId="2" fontId="2" fillId="0" borderId="3" xfId="0" applyNumberFormat="1" applyFont="1" applyFill="1" applyBorder="1" applyAlignment="1">
      <alignment horizontal="center" vertical="center"/>
    </xf>
    <xf numFmtId="3" fontId="10" fillId="0" borderId="16" xfId="0" applyNumberFormat="1" applyFont="1" applyFill="1" applyBorder="1" applyAlignment="1">
      <alignment horizontal="center" vertical="center"/>
    </xf>
    <xf numFmtId="3" fontId="10" fillId="0" borderId="3" xfId="0" applyNumberFormat="1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20" xfId="0" applyFont="1" applyFill="1" applyBorder="1" applyAlignment="1">
      <alignment horizontal="center" vertical="center"/>
    </xf>
    <xf numFmtId="2" fontId="6" fillId="0" borderId="18" xfId="0" applyNumberFormat="1" applyFont="1" applyBorder="1" applyAlignment="1">
      <alignment horizontal="center"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18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164" fontId="12" fillId="0" borderId="16" xfId="0" applyNumberFormat="1" applyFont="1" applyBorder="1" applyAlignment="1">
      <alignment horizontal="center" vertical="center"/>
    </xf>
    <xf numFmtId="164" fontId="12" fillId="0" borderId="3" xfId="0" applyNumberFormat="1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left"/>
    </xf>
    <xf numFmtId="0" fontId="4" fillId="0" borderId="15" xfId="0" applyFont="1" applyFill="1" applyBorder="1" applyAlignment="1">
      <alignment horizontal="left"/>
    </xf>
    <xf numFmtId="0" fontId="4" fillId="0" borderId="7" xfId="0" applyFont="1" applyFill="1" applyBorder="1" applyAlignment="1">
      <alignment horizontal="left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2" fontId="12" fillId="0" borderId="10" xfId="0" applyNumberFormat="1" applyFont="1" applyBorder="1" applyAlignment="1">
      <alignment horizontal="center" vertical="center" wrapText="1"/>
    </xf>
    <xf numFmtId="2" fontId="12" fillId="0" borderId="8" xfId="0" applyNumberFormat="1" applyFont="1" applyBorder="1" applyAlignment="1">
      <alignment horizontal="center" vertical="center" wrapText="1"/>
    </xf>
    <xf numFmtId="2" fontId="12" fillId="0" borderId="11" xfId="0" applyNumberFormat="1" applyFont="1" applyBorder="1" applyAlignment="1">
      <alignment horizontal="center" vertical="center" wrapText="1"/>
    </xf>
    <xf numFmtId="2" fontId="12" fillId="0" borderId="12" xfId="0" applyNumberFormat="1" applyFont="1" applyBorder="1" applyAlignment="1">
      <alignment horizontal="center" vertical="center" wrapText="1"/>
    </xf>
    <xf numFmtId="2" fontId="12" fillId="0" borderId="1" xfId="0" applyNumberFormat="1" applyFont="1" applyBorder="1" applyAlignment="1">
      <alignment horizontal="center" vertical="center" wrapText="1"/>
    </xf>
    <xf numFmtId="2" fontId="12" fillId="0" borderId="13" xfId="0" applyNumberFormat="1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0" fillId="0" borderId="10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center" vertical="center"/>
    </xf>
    <xf numFmtId="0" fontId="10" fillId="0" borderId="13" xfId="0" applyFont="1" applyFill="1" applyBorder="1" applyAlignment="1">
      <alignment horizontal="center" vertical="center"/>
    </xf>
    <xf numFmtId="0" fontId="11" fillId="0" borderId="10" xfId="0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2" fontId="10" fillId="0" borderId="16" xfId="0" applyNumberFormat="1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167" fontId="6" fillId="0" borderId="18" xfId="0" applyNumberFormat="1" applyFont="1" applyBorder="1" applyAlignment="1">
      <alignment horizontal="center" vertical="center"/>
    </xf>
    <xf numFmtId="167" fontId="6" fillId="0" borderId="7" xfId="0" applyNumberFormat="1" applyFont="1" applyBorder="1" applyAlignment="1">
      <alignment horizontal="center" vertical="center"/>
    </xf>
    <xf numFmtId="4" fontId="6" fillId="0" borderId="2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4" fontId="12" fillId="0" borderId="16" xfId="0" applyNumberFormat="1" applyFont="1" applyBorder="1" applyAlignment="1">
      <alignment horizontal="center" vertical="center"/>
    </xf>
    <xf numFmtId="4" fontId="12" fillId="0" borderId="3" xfId="0" applyNumberFormat="1" applyFont="1" applyBorder="1" applyAlignment="1">
      <alignment horizontal="center" vertical="center"/>
    </xf>
    <xf numFmtId="1" fontId="6" fillId="0" borderId="16" xfId="0" applyNumberFormat="1" applyFont="1" applyFill="1" applyBorder="1" applyAlignment="1">
      <alignment horizontal="center"/>
    </xf>
    <xf numFmtId="1" fontId="6" fillId="0" borderId="3" xfId="0" applyNumberFormat="1" applyFont="1" applyFill="1" applyBorder="1" applyAlignment="1">
      <alignment horizontal="center"/>
    </xf>
    <xf numFmtId="0" fontId="5" fillId="0" borderId="18" xfId="0" applyFont="1" applyBorder="1" applyAlignment="1">
      <alignment horizontal="left" vertical="center"/>
    </xf>
    <xf numFmtId="0" fontId="5" fillId="0" borderId="15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1" fontId="11" fillId="0" borderId="16" xfId="0" applyNumberFormat="1" applyFont="1" applyFill="1" applyBorder="1" applyAlignment="1">
      <alignment horizontal="center"/>
    </xf>
    <xf numFmtId="1" fontId="11" fillId="0" borderId="3" xfId="0" applyNumberFormat="1" applyFont="1" applyFill="1" applyBorder="1" applyAlignment="1">
      <alignment horizontal="center"/>
    </xf>
    <xf numFmtId="4" fontId="6" fillId="0" borderId="16" xfId="0" applyNumberFormat="1" applyFont="1" applyBorder="1" applyAlignment="1">
      <alignment horizontal="center" vertical="center"/>
    </xf>
    <xf numFmtId="4" fontId="6" fillId="0" borderId="3" xfId="0" applyNumberFormat="1" applyFont="1" applyBorder="1" applyAlignment="1">
      <alignment horizontal="center" vertical="center"/>
    </xf>
    <xf numFmtId="164" fontId="6" fillId="0" borderId="16" xfId="0" applyNumberFormat="1" applyFont="1" applyBorder="1" applyAlignment="1">
      <alignment horizontal="center" vertical="center"/>
    </xf>
    <xf numFmtId="164" fontId="6" fillId="0" borderId="3" xfId="0" applyNumberFormat="1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5" fillId="0" borderId="15" xfId="0" applyFont="1" applyFill="1" applyBorder="1" applyAlignment="1">
      <alignment horizontal="left"/>
    </xf>
    <xf numFmtId="0" fontId="7" fillId="0" borderId="10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2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22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1" fontId="12" fillId="0" borderId="2" xfId="0" applyNumberFormat="1" applyFont="1" applyBorder="1" applyAlignment="1">
      <alignment horizontal="center" vertical="center"/>
    </xf>
    <xf numFmtId="3" fontId="6" fillId="0" borderId="16" xfId="0" applyNumberFormat="1" applyFont="1" applyFill="1" applyBorder="1" applyAlignment="1">
      <alignment horizontal="center" vertical="center"/>
    </xf>
    <xf numFmtId="3" fontId="6" fillId="0" borderId="3" xfId="0" applyNumberFormat="1" applyFont="1" applyFill="1" applyBorder="1" applyAlignment="1">
      <alignment horizontal="center" vertical="center"/>
    </xf>
    <xf numFmtId="2" fontId="6" fillId="0" borderId="10" xfId="0" applyNumberFormat="1" applyFont="1" applyBorder="1" applyAlignment="1">
      <alignment horizontal="center" vertical="center" wrapText="1"/>
    </xf>
    <xf numFmtId="2" fontId="6" fillId="0" borderId="8" xfId="0" applyNumberFormat="1" applyFont="1" applyBorder="1" applyAlignment="1">
      <alignment horizontal="center" vertical="center" wrapText="1"/>
    </xf>
    <xf numFmtId="2" fontId="6" fillId="0" borderId="11" xfId="0" applyNumberFormat="1" applyFont="1" applyBorder="1" applyAlignment="1">
      <alignment horizontal="center" vertical="center" wrapText="1"/>
    </xf>
    <xf numFmtId="2" fontId="6" fillId="0" borderId="12" xfId="0" applyNumberFormat="1" applyFont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2" fontId="6" fillId="0" borderId="13" xfId="0" applyNumberFormat="1" applyFont="1" applyBorder="1" applyAlignment="1">
      <alignment horizontal="center" vertical="center" wrapText="1"/>
    </xf>
    <xf numFmtId="2" fontId="12" fillId="0" borderId="16" xfId="0" applyNumberFormat="1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6" fillId="0" borderId="3" xfId="0" applyFont="1" applyBorder="1"/>
    <xf numFmtId="3" fontId="6" fillId="0" borderId="17" xfId="0" applyNumberFormat="1" applyFont="1" applyFill="1" applyBorder="1" applyAlignment="1">
      <alignment horizontal="center" vertical="center"/>
    </xf>
    <xf numFmtId="3" fontId="12" fillId="0" borderId="16" xfId="0" applyNumberFormat="1" applyFont="1" applyFill="1" applyBorder="1" applyAlignment="1">
      <alignment horizontal="center" vertical="center"/>
    </xf>
    <xf numFmtId="3" fontId="12" fillId="0" borderId="3" xfId="0" applyNumberFormat="1" applyFont="1" applyFill="1" applyBorder="1" applyAlignment="1">
      <alignment horizontal="center" vertical="center"/>
    </xf>
    <xf numFmtId="2" fontId="12" fillId="0" borderId="18" xfId="0" applyNumberFormat="1" applyFont="1" applyBorder="1" applyAlignment="1">
      <alignment horizontal="center"/>
    </xf>
    <xf numFmtId="2" fontId="12" fillId="0" borderId="7" xfId="0" applyNumberFormat="1" applyFont="1" applyBorder="1" applyAlignment="1">
      <alignment horizontal="center"/>
    </xf>
    <xf numFmtId="3" fontId="12" fillId="0" borderId="17" xfId="0" applyNumberFormat="1" applyFont="1" applyFill="1" applyBorder="1" applyAlignment="1">
      <alignment horizontal="center" vertical="center"/>
    </xf>
    <xf numFmtId="2" fontId="6" fillId="0" borderId="16" xfId="0" applyNumberFormat="1" applyFont="1" applyFill="1" applyBorder="1" applyAlignment="1">
      <alignment horizontal="center" vertical="center" wrapText="1"/>
    </xf>
    <xf numFmtId="2" fontId="6" fillId="0" borderId="17" xfId="0" applyNumberFormat="1" applyFont="1" applyFill="1" applyBorder="1" applyAlignment="1">
      <alignment horizontal="center" vertical="center"/>
    </xf>
    <xf numFmtId="2" fontId="6" fillId="0" borderId="3" xfId="0" applyNumberFormat="1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19" xfId="0" applyFont="1" applyFill="1" applyBorder="1" applyAlignment="1">
      <alignment horizontal="center" vertical="center"/>
    </xf>
    <xf numFmtId="0" fontId="7" fillId="0" borderId="26" xfId="0" applyFont="1" applyFill="1" applyBorder="1" applyAlignment="1">
      <alignment horizontal="center" vertical="center"/>
    </xf>
    <xf numFmtId="0" fontId="7" fillId="0" borderId="23" xfId="0" applyFont="1" applyFill="1" applyBorder="1" applyAlignment="1">
      <alignment horizontal="center" vertical="center"/>
    </xf>
    <xf numFmtId="0" fontId="7" fillId="0" borderId="24" xfId="0" applyFont="1" applyFill="1" applyBorder="1" applyAlignment="1">
      <alignment horizontal="center" vertical="center"/>
    </xf>
    <xf numFmtId="0" fontId="7" fillId="0" borderId="25" xfId="0" applyFont="1" applyFill="1" applyBorder="1" applyAlignment="1">
      <alignment horizontal="center" vertical="center"/>
    </xf>
    <xf numFmtId="0" fontId="7" fillId="0" borderId="27" xfId="0" applyFont="1" applyFill="1" applyBorder="1" applyAlignment="1">
      <alignment horizontal="center" vertical="center"/>
    </xf>
    <xf numFmtId="0" fontId="7" fillId="0" borderId="28" xfId="0" applyFont="1" applyFill="1" applyBorder="1" applyAlignment="1">
      <alignment horizontal="center" vertical="center"/>
    </xf>
    <xf numFmtId="0" fontId="7" fillId="0" borderId="29" xfId="0" applyFont="1" applyFill="1" applyBorder="1" applyAlignment="1">
      <alignment horizontal="center" vertical="center"/>
    </xf>
    <xf numFmtId="1" fontId="6" fillId="0" borderId="18" xfId="0" applyNumberFormat="1" applyFont="1" applyBorder="1" applyAlignment="1">
      <alignment horizontal="center" vertical="center"/>
    </xf>
    <xf numFmtId="1" fontId="6" fillId="0" borderId="7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4" fontId="12" fillId="0" borderId="17" xfId="0" applyNumberFormat="1" applyFont="1" applyBorder="1" applyAlignment="1">
      <alignment horizontal="center" vertical="center"/>
    </xf>
    <xf numFmtId="4" fontId="6" fillId="0" borderId="17" xfId="0" applyNumberFormat="1" applyFont="1" applyBorder="1" applyAlignment="1">
      <alignment horizontal="center" vertical="center"/>
    </xf>
    <xf numFmtId="164" fontId="6" fillId="0" borderId="2" xfId="0" applyNumberFormat="1" applyFont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/>
    </xf>
    <xf numFmtId="0" fontId="3" fillId="0" borderId="24" xfId="0" applyFont="1" applyFill="1" applyBorder="1" applyAlignment="1">
      <alignment horizontal="center" vertical="center"/>
    </xf>
    <xf numFmtId="0" fontId="3" fillId="0" borderId="25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4" fontId="10" fillId="0" borderId="16" xfId="0" applyNumberFormat="1" applyFont="1" applyBorder="1" applyAlignment="1">
      <alignment horizontal="center" vertical="center"/>
    </xf>
    <xf numFmtId="4" fontId="10" fillId="0" borderId="3" xfId="0" applyNumberFormat="1" applyFont="1" applyBorder="1" applyAlignment="1">
      <alignment horizontal="center" vertical="center"/>
    </xf>
    <xf numFmtId="1" fontId="10" fillId="0" borderId="2" xfId="0" applyNumberFormat="1" applyFont="1" applyBorder="1" applyAlignment="1">
      <alignment horizontal="center" vertical="center"/>
    </xf>
    <xf numFmtId="0" fontId="12" fillId="0" borderId="16" xfId="0" applyFont="1" applyFill="1" applyBorder="1" applyAlignment="1">
      <alignment horizontal="center" vertical="center" wrapText="1"/>
    </xf>
    <xf numFmtId="0" fontId="12" fillId="0" borderId="17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164" fontId="10" fillId="0" borderId="16" xfId="0" applyNumberFormat="1" applyFont="1" applyBorder="1" applyAlignment="1">
      <alignment horizontal="center" vertical="center"/>
    </xf>
    <xf numFmtId="164" fontId="10" fillId="0" borderId="3" xfId="0" applyNumberFormat="1" applyFont="1" applyBorder="1" applyAlignment="1">
      <alignment horizontal="center" vertical="center"/>
    </xf>
    <xf numFmtId="3" fontId="10" fillId="0" borderId="16" xfId="0" applyNumberFormat="1" applyFont="1" applyFill="1" applyBorder="1" applyAlignment="1">
      <alignment horizontal="center" vertical="center" textRotation="49"/>
    </xf>
    <xf numFmtId="3" fontId="10" fillId="0" borderId="3" xfId="0" applyNumberFormat="1" applyFont="1" applyFill="1" applyBorder="1" applyAlignment="1">
      <alignment horizontal="center" vertical="center" textRotation="49"/>
    </xf>
    <xf numFmtId="3" fontId="14" fillId="0" borderId="16" xfId="0" applyNumberFormat="1" applyFont="1" applyFill="1" applyBorder="1" applyAlignment="1">
      <alignment horizontal="center" vertical="center" textRotation="90"/>
    </xf>
    <xf numFmtId="3" fontId="14" fillId="0" borderId="3" xfId="0" applyNumberFormat="1" applyFont="1" applyFill="1" applyBorder="1" applyAlignment="1">
      <alignment horizontal="center" vertical="center" textRotation="90"/>
    </xf>
    <xf numFmtId="0" fontId="10" fillId="0" borderId="11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2" fontId="2" fillId="0" borderId="10" xfId="0" applyNumberFormat="1" applyFont="1" applyFill="1" applyBorder="1" applyAlignment="1">
      <alignment horizontal="center" vertical="center" wrapText="1"/>
    </xf>
    <xf numFmtId="2" fontId="2" fillId="0" borderId="11" xfId="0" applyNumberFormat="1" applyFont="1" applyFill="1" applyBorder="1" applyAlignment="1">
      <alignment horizontal="center" vertical="center" wrapText="1"/>
    </xf>
    <xf numFmtId="2" fontId="2" fillId="0" borderId="12" xfId="0" applyNumberFormat="1" applyFont="1" applyFill="1" applyBorder="1" applyAlignment="1">
      <alignment horizontal="center" vertical="center" wrapText="1"/>
    </xf>
    <xf numFmtId="2" fontId="2" fillId="0" borderId="13" xfId="0" applyNumberFormat="1" applyFont="1" applyFill="1" applyBorder="1" applyAlignment="1">
      <alignment horizontal="center" vertical="center" wrapText="1"/>
    </xf>
    <xf numFmtId="2" fontId="12" fillId="0" borderId="16" xfId="0" applyNumberFormat="1" applyFont="1" applyFill="1" applyBorder="1" applyAlignment="1">
      <alignment horizontal="center" vertical="center" wrapText="1"/>
    </xf>
    <xf numFmtId="2" fontId="12" fillId="0" borderId="17" xfId="0" applyNumberFormat="1" applyFont="1" applyFill="1" applyBorder="1" applyAlignment="1">
      <alignment horizontal="center" vertical="center"/>
    </xf>
    <xf numFmtId="2" fontId="12" fillId="0" borderId="3" xfId="0" applyNumberFormat="1" applyFont="1" applyFill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1" fontId="6" fillId="0" borderId="16" xfId="0" applyNumberFormat="1" applyFont="1" applyBorder="1" applyAlignment="1">
      <alignment horizontal="center" vertical="center"/>
    </xf>
    <xf numFmtId="1" fontId="6" fillId="0" borderId="3" xfId="0" applyNumberFormat="1" applyFont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2" fillId="0" borderId="0" xfId="0" applyFont="1" applyFill="1" applyAlignment="1">
      <alignment horizontal="left"/>
    </xf>
    <xf numFmtId="0" fontId="2" fillId="0" borderId="0" xfId="0" applyFont="1" applyBorder="1" applyAlignment="1">
      <alignment horizontal="center" vertical="center" wrapText="1"/>
    </xf>
    <xf numFmtId="1" fontId="13" fillId="2" borderId="5" xfId="0" applyNumberFormat="1" applyFont="1" applyFill="1" applyBorder="1"/>
    <xf numFmtId="1" fontId="11" fillId="2" borderId="6" xfId="0" applyNumberFormat="1" applyFont="1" applyFill="1" applyBorder="1"/>
    <xf numFmtId="167" fontId="3" fillId="0" borderId="0" xfId="0" applyNumberFormat="1" applyFont="1" applyFill="1" applyBorder="1"/>
    <xf numFmtId="3" fontId="17" fillId="0" borderId="2" xfId="0" applyNumberFormat="1" applyFont="1" applyFill="1" applyBorder="1" applyAlignment="1">
      <alignment horizontal="center" wrapText="1"/>
    </xf>
    <xf numFmtId="1" fontId="3" fillId="0" borderId="0" xfId="0" applyNumberFormat="1" applyFont="1" applyFill="1" applyBorder="1"/>
    <xf numFmtId="164" fontId="12" fillId="2" borderId="2" xfId="0" applyNumberFormat="1" applyFont="1" applyFill="1" applyBorder="1" applyAlignment="1"/>
    <xf numFmtId="164" fontId="12" fillId="2" borderId="7" xfId="0" applyNumberFormat="1" applyFont="1" applyFill="1" applyBorder="1" applyAlignment="1"/>
    <xf numFmtId="165" fontId="6" fillId="2" borderId="18" xfId="0" applyNumberFormat="1" applyFont="1" applyFill="1" applyBorder="1" applyAlignment="1">
      <alignment horizontal="center"/>
    </xf>
    <xf numFmtId="165" fontId="6" fillId="2" borderId="7" xfId="0" applyNumberFormat="1" applyFont="1" applyFill="1" applyBorder="1" applyAlignment="1">
      <alignment horizontal="center"/>
    </xf>
    <xf numFmtId="0" fontId="12" fillId="0" borderId="2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left" vertical="top"/>
    </xf>
    <xf numFmtId="2" fontId="3" fillId="0" borderId="0" xfId="0" applyNumberFormat="1" applyFont="1"/>
    <xf numFmtId="0" fontId="2" fillId="0" borderId="0" xfId="0" applyFont="1" applyBorder="1" applyAlignment="1">
      <alignment vertical="top"/>
    </xf>
    <xf numFmtId="0" fontId="2" fillId="0" borderId="0" xfId="0" applyFont="1" applyBorder="1" applyAlignment="1">
      <alignment horizontal="center" vertical="top"/>
    </xf>
    <xf numFmtId="0" fontId="2" fillId="0" borderId="0" xfId="0" applyFont="1" applyBorder="1" applyAlignment="1">
      <alignment horizontal="center" vertical="top"/>
    </xf>
    <xf numFmtId="0" fontId="5" fillId="0" borderId="0" xfId="0" applyFont="1" applyBorder="1" applyAlignment="1">
      <alignment horizontal="center" vertical="top"/>
    </xf>
    <xf numFmtId="165" fontId="12" fillId="2" borderId="18" xfId="0" applyNumberFormat="1" applyFont="1" applyFill="1" applyBorder="1" applyAlignment="1">
      <alignment horizontal="center"/>
    </xf>
    <xf numFmtId="165" fontId="12" fillId="2" borderId="7" xfId="0" applyNumberFormat="1" applyFont="1" applyFill="1" applyBorder="1" applyAlignment="1">
      <alignment horizontal="center"/>
    </xf>
    <xf numFmtId="0" fontId="10" fillId="0" borderId="2" xfId="0" applyFont="1" applyBorder="1" applyAlignment="1">
      <alignment horizontal="center" vertical="center"/>
    </xf>
    <xf numFmtId="2" fontId="3" fillId="2" borderId="0" xfId="0" applyNumberFormat="1" applyFont="1" applyFill="1"/>
    <xf numFmtId="0" fontId="3" fillId="2" borderId="0" xfId="0" applyFont="1" applyFill="1" applyBorder="1"/>
    <xf numFmtId="0" fontId="3" fillId="2" borderId="0" xfId="0" applyFont="1" applyFill="1" applyBorder="1" applyAlignment="1">
      <alignment horizontal="center"/>
    </xf>
    <xf numFmtId="0" fontId="11" fillId="2" borderId="0" xfId="0" applyFont="1" applyFill="1" applyBorder="1" applyAlignment="1">
      <alignment horizontal="center"/>
    </xf>
    <xf numFmtId="0" fontId="9" fillId="2" borderId="0" xfId="0" applyFont="1" applyFill="1" applyBorder="1"/>
    <xf numFmtId="166" fontId="3" fillId="2" borderId="0" xfId="0" applyNumberFormat="1" applyFont="1" applyFill="1" applyBorder="1" applyAlignment="1">
      <alignment horizontal="center"/>
    </xf>
    <xf numFmtId="2" fontId="3" fillId="2" borderId="0" xfId="0" applyNumberFormat="1" applyFont="1" applyFill="1" applyBorder="1"/>
    <xf numFmtId="0" fontId="3" fillId="2" borderId="0" xfId="0" applyFont="1" applyFill="1" applyBorder="1" applyAlignment="1">
      <alignment horizontal="center"/>
    </xf>
    <xf numFmtId="4" fontId="3" fillId="2" borderId="0" xfId="0" applyNumberFormat="1" applyFont="1" applyFill="1" applyBorder="1"/>
    <xf numFmtId="1" fontId="11" fillId="2" borderId="20" xfId="0" applyNumberFormat="1" applyFont="1" applyFill="1" applyBorder="1"/>
    <xf numFmtId="4" fontId="3" fillId="2" borderId="0" xfId="0" applyNumberFormat="1" applyFont="1" applyFill="1"/>
    <xf numFmtId="164" fontId="6" fillId="2" borderId="7" xfId="0" applyNumberFormat="1" applyFont="1" applyFill="1" applyBorder="1" applyAlignment="1"/>
    <xf numFmtId="164" fontId="6" fillId="2" borderId="2" xfId="0" applyNumberFormat="1" applyFont="1" applyFill="1" applyBorder="1" applyAlignment="1"/>
    <xf numFmtId="1" fontId="13" fillId="2" borderId="20" xfId="0" applyNumberFormat="1" applyFont="1" applyFill="1" applyBorder="1"/>
    <xf numFmtId="1" fontId="13" fillId="0" borderId="5" xfId="0" applyNumberFormat="1" applyFont="1" applyFill="1" applyBorder="1"/>
    <xf numFmtId="2" fontId="6" fillId="2" borderId="3" xfId="0" applyNumberFormat="1" applyFont="1" applyFill="1" applyBorder="1" applyAlignment="1">
      <alignment vertical="center"/>
    </xf>
    <xf numFmtId="0" fontId="5" fillId="2" borderId="0" xfId="0" applyFont="1" applyFill="1" applyAlignment="1">
      <alignment vertical="center"/>
    </xf>
    <xf numFmtId="3" fontId="2" fillId="0" borderId="0" xfId="0" applyNumberFormat="1" applyFont="1" applyBorder="1" applyAlignment="1">
      <alignment horizontal="center" vertical="center" wrapText="1"/>
    </xf>
    <xf numFmtId="0" fontId="1" fillId="0" borderId="3" xfId="0" applyFont="1" applyBorder="1"/>
  </cellXfs>
  <cellStyles count="4">
    <cellStyle name="Comma 2" xfId="2"/>
    <cellStyle name="Normal" xfId="0" builtinId="0"/>
    <cellStyle name="Normal_Sheet1" xfId="1"/>
    <cellStyle name="Normal_Sheet1_tinh an thang 7_tinh an thang 5 nam 2018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156"/>
  <sheetViews>
    <sheetView tabSelected="1" workbookViewId="0">
      <selection activeCell="Q1" sqref="Q1"/>
    </sheetView>
  </sheetViews>
  <sheetFormatPr defaultColWidth="9.109375" defaultRowHeight="22.2" customHeight="1"/>
  <cols>
    <col min="1" max="1" width="4" style="1" customWidth="1"/>
    <col min="2" max="2" width="12.6640625" style="1" customWidth="1"/>
    <col min="3" max="3" width="6.88671875" style="1" customWidth="1"/>
    <col min="4" max="4" width="7.33203125" style="1" customWidth="1"/>
    <col min="5" max="8" width="6.6640625" style="1" customWidth="1"/>
    <col min="9" max="9" width="7.77734375" style="1" customWidth="1"/>
    <col min="10" max="10" width="8.21875" style="1" customWidth="1"/>
    <col min="11" max="11" width="8" style="1" customWidth="1"/>
    <col min="12" max="12" width="5.6640625" style="1" customWidth="1"/>
    <col min="13" max="13" width="6.6640625" style="1" customWidth="1"/>
    <col min="14" max="14" width="7.33203125" style="1" customWidth="1"/>
    <col min="15" max="15" width="11.88671875" style="1" customWidth="1"/>
    <col min="16" max="16" width="9.109375" style="1"/>
    <col min="17" max="22" width="8.6640625" style="1" customWidth="1"/>
    <col min="23" max="16384" width="9.109375" style="1"/>
  </cols>
  <sheetData>
    <row r="1" spans="1:20" ht="19.8" customHeight="1">
      <c r="A1" s="11" t="s">
        <v>54</v>
      </c>
      <c r="B1" s="8"/>
      <c r="C1" s="8"/>
      <c r="D1" s="8"/>
      <c r="E1" s="8"/>
      <c r="F1" s="232" t="s">
        <v>30</v>
      </c>
      <c r="G1" s="232"/>
      <c r="H1" s="232"/>
      <c r="I1" s="232"/>
      <c r="J1" s="232"/>
      <c r="K1" s="232"/>
      <c r="L1" s="232"/>
      <c r="M1" s="232"/>
      <c r="N1" s="232"/>
      <c r="O1" s="327"/>
      <c r="P1" s="327"/>
      <c r="Q1" s="2"/>
      <c r="R1" s="2"/>
      <c r="S1" s="2"/>
      <c r="T1" s="2"/>
    </row>
    <row r="2" spans="1:20" ht="19.8" customHeight="1">
      <c r="A2" s="11"/>
      <c r="B2" s="8"/>
      <c r="C2" s="8"/>
      <c r="D2" s="8"/>
      <c r="E2" s="8"/>
      <c r="F2" s="152"/>
      <c r="G2" s="152"/>
      <c r="H2" s="152"/>
      <c r="I2" s="152"/>
      <c r="J2" s="152"/>
      <c r="K2" s="152"/>
      <c r="L2" s="152"/>
      <c r="M2" s="152"/>
      <c r="N2" s="152"/>
      <c r="O2" s="327"/>
      <c r="P2" s="327"/>
      <c r="Q2" s="2"/>
      <c r="R2" s="2"/>
      <c r="S2" s="2"/>
      <c r="T2" s="2"/>
    </row>
    <row r="3" spans="1:20" ht="19.8" customHeight="1">
      <c r="A3" s="8" t="s">
        <v>163</v>
      </c>
      <c r="B3" s="8"/>
      <c r="C3" s="8"/>
      <c r="D3" s="8"/>
      <c r="E3" s="8"/>
      <c r="F3" s="152"/>
      <c r="G3" s="152"/>
      <c r="H3" s="152"/>
      <c r="I3" s="152"/>
      <c r="J3" s="152"/>
      <c r="K3" s="152"/>
      <c r="L3" s="152"/>
      <c r="M3" s="152"/>
      <c r="N3" s="152"/>
      <c r="O3" s="327"/>
      <c r="P3" s="327"/>
      <c r="T3" s="2"/>
    </row>
    <row r="4" spans="1:20" ht="19.8" customHeight="1">
      <c r="A4" s="8"/>
      <c r="B4" s="8"/>
      <c r="C4" s="8"/>
      <c r="D4" s="8"/>
      <c r="E4" s="8"/>
      <c r="F4" s="152"/>
      <c r="G4" s="152"/>
      <c r="H4" s="152"/>
      <c r="I4" s="152"/>
      <c r="J4" s="152"/>
      <c r="K4" s="152"/>
      <c r="L4" s="152"/>
      <c r="M4" s="152"/>
      <c r="N4" s="152"/>
      <c r="O4" s="327"/>
      <c r="P4" s="327"/>
      <c r="T4" s="2"/>
    </row>
    <row r="5" spans="1:20" s="2" customFormat="1" ht="19.8" customHeight="1">
      <c r="A5" s="158" t="s">
        <v>86</v>
      </c>
      <c r="B5" s="158"/>
      <c r="C5" s="158"/>
      <c r="D5" s="158"/>
      <c r="E5" s="158" t="s">
        <v>87</v>
      </c>
      <c r="F5" s="158"/>
      <c r="G5" s="158"/>
      <c r="H5" s="158"/>
      <c r="I5" s="158"/>
      <c r="J5" s="158"/>
      <c r="K5" s="158"/>
      <c r="L5" s="158"/>
      <c r="M5" s="158"/>
      <c r="N5" s="158"/>
      <c r="O5" s="328"/>
    </row>
    <row r="6" spans="1:20" s="2" customFormat="1" ht="19.8" customHeight="1">
      <c r="A6" s="230" t="s">
        <v>80</v>
      </c>
      <c r="B6" s="230"/>
      <c r="C6" s="230"/>
      <c r="D6" s="230"/>
      <c r="E6" s="231" t="s">
        <v>123</v>
      </c>
      <c r="F6" s="231"/>
      <c r="G6" s="231"/>
      <c r="H6" s="231"/>
      <c r="I6" s="231"/>
      <c r="J6" s="248" t="s">
        <v>120</v>
      </c>
      <c r="K6" s="249"/>
      <c r="L6" s="249"/>
      <c r="M6" s="249"/>
      <c r="N6" s="250"/>
      <c r="O6" s="328"/>
    </row>
    <row r="7" spans="1:20" s="2" customFormat="1" ht="19.8" customHeight="1">
      <c r="A7" s="155" t="s">
        <v>127</v>
      </c>
      <c r="B7" s="156"/>
      <c r="C7" s="156"/>
      <c r="D7" s="157"/>
      <c r="E7" s="231"/>
      <c r="F7" s="231"/>
      <c r="G7" s="231"/>
      <c r="H7" s="231"/>
      <c r="I7" s="231"/>
      <c r="J7" s="251"/>
      <c r="K7" s="252"/>
      <c r="L7" s="252"/>
      <c r="M7" s="252"/>
      <c r="N7" s="253"/>
      <c r="O7" s="328"/>
    </row>
    <row r="8" spans="1:20" s="2" customFormat="1" ht="19.8" customHeight="1">
      <c r="A8" s="183" t="s">
        <v>144</v>
      </c>
      <c r="B8" s="183"/>
      <c r="C8" s="183"/>
      <c r="D8" s="183"/>
      <c r="E8" s="231"/>
      <c r="F8" s="231"/>
      <c r="G8" s="231"/>
      <c r="H8" s="231"/>
      <c r="I8" s="231"/>
      <c r="J8" s="251"/>
      <c r="K8" s="252"/>
      <c r="L8" s="252"/>
      <c r="M8" s="252"/>
      <c r="N8" s="253"/>
      <c r="O8" s="328"/>
    </row>
    <row r="9" spans="1:20" s="2" customFormat="1" ht="19.8" customHeight="1">
      <c r="A9" s="184" t="s">
        <v>143</v>
      </c>
      <c r="B9" s="184"/>
      <c r="C9" s="184"/>
      <c r="D9" s="184"/>
      <c r="E9" s="231"/>
      <c r="F9" s="231"/>
      <c r="G9" s="231"/>
      <c r="H9" s="231"/>
      <c r="I9" s="231"/>
      <c r="J9" s="254"/>
      <c r="K9" s="255"/>
      <c r="L9" s="255"/>
      <c r="M9" s="255"/>
      <c r="N9" s="256"/>
      <c r="O9" s="328"/>
    </row>
    <row r="10" spans="1:20" s="2" customFormat="1" ht="19.8" customHeight="1">
      <c r="A10" s="195" t="s">
        <v>106</v>
      </c>
      <c r="B10" s="196"/>
      <c r="C10" s="197"/>
      <c r="D10" s="104">
        <v>221</v>
      </c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328"/>
    </row>
    <row r="11" spans="1:20" ht="19.8" customHeight="1">
      <c r="A11" s="159" t="s">
        <v>0</v>
      </c>
      <c r="B11" s="162" t="s">
        <v>19</v>
      </c>
      <c r="C11" s="165" t="s">
        <v>8</v>
      </c>
      <c r="D11" s="165" t="s">
        <v>9</v>
      </c>
      <c r="E11" s="170" t="s">
        <v>11</v>
      </c>
      <c r="F11" s="171"/>
      <c r="G11" s="170" t="s">
        <v>13</v>
      </c>
      <c r="H11" s="171"/>
      <c r="I11" s="174" t="s">
        <v>16</v>
      </c>
      <c r="J11" s="174" t="s">
        <v>39</v>
      </c>
      <c r="K11" s="174" t="s">
        <v>40</v>
      </c>
      <c r="L11" s="177" t="s">
        <v>17</v>
      </c>
      <c r="M11" s="174" t="s">
        <v>48</v>
      </c>
      <c r="N11" s="159" t="s">
        <v>18</v>
      </c>
      <c r="O11" s="329"/>
    </row>
    <row r="12" spans="1:20" ht="19.8" customHeight="1">
      <c r="A12" s="160"/>
      <c r="B12" s="163"/>
      <c r="C12" s="166"/>
      <c r="D12" s="166"/>
      <c r="E12" s="172"/>
      <c r="F12" s="173"/>
      <c r="G12" s="172"/>
      <c r="H12" s="173"/>
      <c r="I12" s="175"/>
      <c r="J12" s="175"/>
      <c r="K12" s="175"/>
      <c r="L12" s="178"/>
      <c r="M12" s="175"/>
      <c r="N12" s="160"/>
      <c r="O12" s="148"/>
    </row>
    <row r="13" spans="1:20" ht="19.8" customHeight="1">
      <c r="A13" s="160"/>
      <c r="B13" s="163"/>
      <c r="C13" s="166"/>
      <c r="D13" s="166"/>
      <c r="E13" s="174" t="s">
        <v>10</v>
      </c>
      <c r="F13" s="174" t="s">
        <v>12</v>
      </c>
      <c r="G13" s="174" t="s">
        <v>14</v>
      </c>
      <c r="H13" s="174" t="s">
        <v>15</v>
      </c>
      <c r="I13" s="175"/>
      <c r="J13" s="175"/>
      <c r="K13" s="175"/>
      <c r="L13" s="178"/>
      <c r="M13" s="175"/>
      <c r="N13" s="160"/>
      <c r="O13" s="148"/>
    </row>
    <row r="14" spans="1:20" ht="19.8" customHeight="1">
      <c r="A14" s="161"/>
      <c r="B14" s="164"/>
      <c r="C14" s="167"/>
      <c r="D14" s="167"/>
      <c r="E14" s="176"/>
      <c r="F14" s="176"/>
      <c r="G14" s="176"/>
      <c r="H14" s="176"/>
      <c r="I14" s="176"/>
      <c r="J14" s="176"/>
      <c r="K14" s="176"/>
      <c r="L14" s="179"/>
      <c r="M14" s="176"/>
      <c r="N14" s="161"/>
      <c r="O14" s="148"/>
    </row>
    <row r="15" spans="1:20" ht="20.399999999999999" customHeight="1">
      <c r="A15" s="237" t="s">
        <v>33</v>
      </c>
      <c r="B15" s="238"/>
      <c r="C15" s="238"/>
      <c r="D15" s="238"/>
      <c r="E15" s="238"/>
      <c r="F15" s="238"/>
      <c r="G15" s="238"/>
      <c r="H15" s="238"/>
      <c r="I15" s="238"/>
      <c r="J15" s="238"/>
      <c r="K15" s="238"/>
      <c r="L15" s="238"/>
      <c r="M15" s="238"/>
      <c r="N15" s="239"/>
      <c r="O15" s="148"/>
    </row>
    <row r="16" spans="1:20" s="2" customFormat="1" ht="20.399999999999999" customHeight="1">
      <c r="A16" s="9">
        <v>1</v>
      </c>
      <c r="B16" s="6" t="s">
        <v>107</v>
      </c>
      <c r="C16" s="18"/>
      <c r="D16" s="112"/>
      <c r="E16" s="20"/>
      <c r="F16" s="20"/>
      <c r="G16" s="20"/>
      <c r="H16" s="20"/>
      <c r="I16" s="20"/>
      <c r="J16" s="20"/>
      <c r="K16" s="20"/>
      <c r="L16" s="21"/>
      <c r="M16" s="21"/>
      <c r="N16" s="23">
        <v>16720</v>
      </c>
      <c r="O16" s="126"/>
    </row>
    <row r="17" spans="1:20" s="2" customFormat="1" ht="20.399999999999999" customHeight="1">
      <c r="A17" s="9">
        <v>2</v>
      </c>
      <c r="B17" s="10" t="s">
        <v>2</v>
      </c>
      <c r="C17" s="18">
        <f>L17/100*100</f>
        <v>290</v>
      </c>
      <c r="D17" s="19">
        <f>C17/100*60</f>
        <v>174</v>
      </c>
      <c r="E17" s="20">
        <f>C17/100*15</f>
        <v>43.5</v>
      </c>
      <c r="F17" s="20"/>
      <c r="G17" s="20"/>
      <c r="H17" s="20"/>
      <c r="I17" s="20"/>
      <c r="J17" s="22">
        <f>C17/100*387</f>
        <v>1122.3</v>
      </c>
      <c r="K17" s="22">
        <f>C17/100*0.09</f>
        <v>0.26100000000000001</v>
      </c>
      <c r="L17" s="110">
        <v>290</v>
      </c>
      <c r="M17" s="56">
        <v>20</v>
      </c>
      <c r="N17" s="23">
        <f>L17*M17</f>
        <v>5800</v>
      </c>
      <c r="O17" s="126"/>
    </row>
    <row r="18" spans="1:20" s="2" customFormat="1" ht="20.399999999999999" customHeight="1">
      <c r="A18" s="9">
        <v>3</v>
      </c>
      <c r="B18" s="10" t="s">
        <v>119</v>
      </c>
      <c r="C18" s="18">
        <f>L18/100*100</f>
        <v>1590</v>
      </c>
      <c r="D18" s="98">
        <f>C18/100*899</f>
        <v>14294.1</v>
      </c>
      <c r="E18" s="20"/>
      <c r="F18" s="20"/>
      <c r="G18" s="97">
        <f>C18/100*100</f>
        <v>1590</v>
      </c>
      <c r="H18" s="20"/>
      <c r="I18" s="20"/>
      <c r="J18" s="20"/>
      <c r="K18" s="20"/>
      <c r="L18" s="110">
        <v>1590</v>
      </c>
      <c r="M18" s="19">
        <v>69</v>
      </c>
      <c r="N18" s="23">
        <f t="shared" ref="N18" si="0">L18*M18</f>
        <v>109710</v>
      </c>
      <c r="O18" s="334"/>
    </row>
    <row r="19" spans="1:20" s="2" customFormat="1" ht="20.399999999999999" customHeight="1">
      <c r="A19" s="9">
        <v>4</v>
      </c>
      <c r="B19" s="10" t="s">
        <v>5</v>
      </c>
      <c r="C19" s="18">
        <f>L19/100*90</f>
        <v>180</v>
      </c>
      <c r="D19" s="19">
        <f>C19/100*281</f>
        <v>505.8</v>
      </c>
      <c r="E19" s="20"/>
      <c r="F19" s="20">
        <f>C19/100*9.5</f>
        <v>17.100000000000001</v>
      </c>
      <c r="G19" s="20"/>
      <c r="H19" s="20">
        <f>C19/100*0.2</f>
        <v>0.36000000000000004</v>
      </c>
      <c r="I19" s="20">
        <f>C19/100*58.5</f>
        <v>105.3</v>
      </c>
      <c r="J19" s="22">
        <f>C19/100*321.3</f>
        <v>578.34</v>
      </c>
      <c r="K19" s="22">
        <f>C19/100*0.14</f>
        <v>0.25200000000000006</v>
      </c>
      <c r="L19" s="110">
        <v>200</v>
      </c>
      <c r="M19" s="56">
        <v>120</v>
      </c>
      <c r="N19" s="23">
        <f t="shared" ref="N19:N27" si="1">L19*M19</f>
        <v>24000</v>
      </c>
      <c r="O19" s="126"/>
    </row>
    <row r="20" spans="1:20" s="2" customFormat="1" ht="20.399999999999999" customHeight="1">
      <c r="A20" s="9">
        <v>5</v>
      </c>
      <c r="B20" s="10" t="s">
        <v>63</v>
      </c>
      <c r="C20" s="18">
        <f>L20/100*90</f>
        <v>117</v>
      </c>
      <c r="D20" s="19">
        <f>C20/100*253</f>
        <v>296.01</v>
      </c>
      <c r="E20" s="20"/>
      <c r="F20" s="20">
        <f>C20/100*32.4</f>
        <v>37.907999999999994</v>
      </c>
      <c r="G20" s="20"/>
      <c r="H20" s="20">
        <f>C20/100*3.6</f>
        <v>4.2119999999999997</v>
      </c>
      <c r="I20" s="20">
        <f>C20/100*21.1</f>
        <v>24.687000000000001</v>
      </c>
      <c r="J20" s="22">
        <f>C20/100*165.6</f>
        <v>193.75199999999998</v>
      </c>
      <c r="K20" s="22">
        <f>C20/100*0.14</f>
        <v>0.1638</v>
      </c>
      <c r="L20" s="110">
        <v>130</v>
      </c>
      <c r="M20" s="56">
        <v>275</v>
      </c>
      <c r="N20" s="23">
        <f t="shared" si="1"/>
        <v>35750</v>
      </c>
      <c r="O20" s="126"/>
    </row>
    <row r="21" spans="1:20" s="2" customFormat="1" ht="20.399999999999999" customHeight="1">
      <c r="A21" s="9">
        <v>6</v>
      </c>
      <c r="B21" s="5" t="s">
        <v>1</v>
      </c>
      <c r="C21" s="18">
        <f>L21/100*100</f>
        <v>20995</v>
      </c>
      <c r="D21" s="98">
        <f>C21/100*344</f>
        <v>72222.8</v>
      </c>
      <c r="E21" s="20"/>
      <c r="F21" s="113">
        <f>C21/100*7.9</f>
        <v>1658.605</v>
      </c>
      <c r="G21" s="20"/>
      <c r="H21" s="20">
        <f>C21/100*1</f>
        <v>209.95</v>
      </c>
      <c r="I21" s="113">
        <f>C21/100*73.3</f>
        <v>15389.334999999999</v>
      </c>
      <c r="J21" s="22">
        <f>C21/100*30</f>
        <v>6298.5</v>
      </c>
      <c r="K21" s="22">
        <f>C21/100*0.1</f>
        <v>20.995000000000001</v>
      </c>
      <c r="L21" s="330">
        <v>20995</v>
      </c>
      <c r="M21" s="56">
        <v>18</v>
      </c>
      <c r="N21" s="23">
        <f t="shared" si="1"/>
        <v>377910</v>
      </c>
      <c r="O21" s="126"/>
      <c r="R21" s="14"/>
      <c r="S21" s="14"/>
    </row>
    <row r="22" spans="1:20" s="2" customFormat="1" ht="20.399999999999999" customHeight="1">
      <c r="A22" s="9">
        <v>7</v>
      </c>
      <c r="B22" s="5" t="s">
        <v>56</v>
      </c>
      <c r="C22" s="18">
        <f>L22/100*86</f>
        <v>2863.7999999999997</v>
      </c>
      <c r="D22" s="19">
        <f>C22/100*166</f>
        <v>4753.9079999999994</v>
      </c>
      <c r="E22" s="20">
        <f>C22/100*14.8</f>
        <v>423.8424</v>
      </c>
      <c r="F22" s="20"/>
      <c r="G22" s="20">
        <f>C22/100*11.6</f>
        <v>332.20079999999996</v>
      </c>
      <c r="H22" s="20"/>
      <c r="I22" s="20">
        <f>C22/100*0.5</f>
        <v>14.318999999999999</v>
      </c>
      <c r="J22" s="22">
        <f>C22/100*55</f>
        <v>1575.09</v>
      </c>
      <c r="K22" s="22">
        <f>C22/100*0.16</f>
        <v>4.5820799999999995</v>
      </c>
      <c r="L22" s="110">
        <v>3330</v>
      </c>
      <c r="M22" s="56">
        <v>57</v>
      </c>
      <c r="N22" s="23">
        <f t="shared" si="1"/>
        <v>189810</v>
      </c>
      <c r="O22" s="126"/>
      <c r="Q22" s="3"/>
      <c r="R22" s="3"/>
      <c r="S22" s="4"/>
    </row>
    <row r="23" spans="1:20" s="2" customFormat="1" ht="20.399999999999999" customHeight="1">
      <c r="A23" s="9">
        <v>8</v>
      </c>
      <c r="B23" s="10" t="s">
        <v>64</v>
      </c>
      <c r="C23" s="18">
        <f>L23/100*98</f>
        <v>8663.2000000000007</v>
      </c>
      <c r="D23" s="98">
        <f>C23/100*139</f>
        <v>12041.848</v>
      </c>
      <c r="E23" s="97">
        <f>C23/100*19</f>
        <v>1646.008</v>
      </c>
      <c r="F23" s="20"/>
      <c r="G23" s="20">
        <f>C23/100*7</f>
        <v>606.42399999999998</v>
      </c>
      <c r="H23" s="20"/>
      <c r="I23" s="20"/>
      <c r="J23" s="22">
        <f>C23/100*7</f>
        <v>606.42399999999998</v>
      </c>
      <c r="K23" s="22">
        <f>C23/100*0.9</f>
        <v>77.968800000000002</v>
      </c>
      <c r="L23" s="110">
        <v>8840</v>
      </c>
      <c r="M23" s="56">
        <v>133</v>
      </c>
      <c r="N23" s="102">
        <f t="shared" si="1"/>
        <v>1175720</v>
      </c>
      <c r="O23" s="126"/>
    </row>
    <row r="24" spans="1:20" s="2" customFormat="1" ht="20.399999999999999" customHeight="1">
      <c r="A24" s="9">
        <v>9</v>
      </c>
      <c r="B24" s="122" t="s">
        <v>85</v>
      </c>
      <c r="C24" s="18">
        <f>L24/100*90</f>
        <v>1890</v>
      </c>
      <c r="D24" s="19">
        <f>C24/100*90</f>
        <v>1700.9999999999998</v>
      </c>
      <c r="E24" s="20">
        <f>C24/100*18.4</f>
        <v>347.75999999999993</v>
      </c>
      <c r="F24" s="20"/>
      <c r="G24" s="20">
        <f>C24/100*1.8</f>
        <v>34.019999999999996</v>
      </c>
      <c r="H24" s="20"/>
      <c r="I24" s="20"/>
      <c r="J24" s="62">
        <f>C24/100*1120</f>
        <v>21168</v>
      </c>
      <c r="K24" s="22">
        <f>C24/100*0.02</f>
        <v>0.378</v>
      </c>
      <c r="L24" s="110">
        <v>2100</v>
      </c>
      <c r="M24" s="21">
        <v>260</v>
      </c>
      <c r="N24" s="102">
        <f t="shared" si="1"/>
        <v>546000</v>
      </c>
      <c r="O24" s="126"/>
      <c r="Q24" s="3"/>
      <c r="R24" s="3"/>
      <c r="S24" s="4"/>
    </row>
    <row r="25" spans="1:20" s="2" customFormat="1" ht="20.399999999999999" customHeight="1">
      <c r="A25" s="9">
        <v>10</v>
      </c>
      <c r="B25" s="5" t="s">
        <v>142</v>
      </c>
      <c r="C25" s="18">
        <f>L25/100*90</f>
        <v>6975</v>
      </c>
      <c r="D25" s="19">
        <f>C25/100*29</f>
        <v>2022.75</v>
      </c>
      <c r="E25" s="20"/>
      <c r="F25" s="20">
        <f>C25/100*1.8</f>
        <v>125.55</v>
      </c>
      <c r="G25" s="20"/>
      <c r="H25" s="20">
        <f>C25/100*0.1</f>
        <v>6.9750000000000005</v>
      </c>
      <c r="I25" s="20">
        <f>C25/100*5.3</f>
        <v>369.67500000000001</v>
      </c>
      <c r="J25" s="20">
        <f>C25/100*48</f>
        <v>3348</v>
      </c>
      <c r="K25" s="20">
        <f>C25/100*0.05</f>
        <v>3.4875000000000003</v>
      </c>
      <c r="L25" s="110">
        <v>7750</v>
      </c>
      <c r="M25" s="56">
        <v>13</v>
      </c>
      <c r="N25" s="23">
        <f t="shared" si="1"/>
        <v>100750</v>
      </c>
      <c r="O25" s="126"/>
    </row>
    <row r="26" spans="1:20" s="2" customFormat="1" ht="20.399999999999999" customHeight="1">
      <c r="A26" s="9">
        <v>11</v>
      </c>
      <c r="B26" s="5" t="s">
        <v>83</v>
      </c>
      <c r="C26" s="18">
        <f>L26/100*81.7</f>
        <v>3611.1400000000003</v>
      </c>
      <c r="D26" s="19">
        <f>C26/100*27</f>
        <v>975.00780000000009</v>
      </c>
      <c r="E26" s="24"/>
      <c r="F26" s="24">
        <f>C26/100*0.3</f>
        <v>10.83342</v>
      </c>
      <c r="G26" s="24"/>
      <c r="H26" s="24">
        <f>C26/100*0.1</f>
        <v>3.6111400000000007</v>
      </c>
      <c r="I26" s="24">
        <f>C26/100*6.1</f>
        <v>220.27954</v>
      </c>
      <c r="J26" s="52">
        <f>C26/100*24</f>
        <v>866.67360000000008</v>
      </c>
      <c r="K26" s="52">
        <f>C26/100*0.06</f>
        <v>2.1666840000000001</v>
      </c>
      <c r="L26" s="331">
        <v>4420</v>
      </c>
      <c r="M26" s="21">
        <v>22</v>
      </c>
      <c r="N26" s="23">
        <f t="shared" si="1"/>
        <v>97240</v>
      </c>
      <c r="O26" s="126"/>
      <c r="Q26" s="3"/>
      <c r="R26" s="3"/>
      <c r="S26" s="4"/>
    </row>
    <row r="27" spans="1:20" s="2" customFormat="1" ht="20.399999999999999" customHeight="1">
      <c r="A27" s="9">
        <v>12</v>
      </c>
      <c r="B27" s="5" t="s">
        <v>116</v>
      </c>
      <c r="C27" s="18">
        <f>L27/100*100</f>
        <v>220.00000000000003</v>
      </c>
      <c r="D27" s="19">
        <f>C27/100*247</f>
        <v>543.40000000000009</v>
      </c>
      <c r="E27" s="24"/>
      <c r="F27" s="24">
        <f>C27/100*17.5</f>
        <v>38.5</v>
      </c>
      <c r="G27" s="24"/>
      <c r="H27" s="24">
        <f>C27/100*1.6</f>
        <v>3.5200000000000005</v>
      </c>
      <c r="I27" s="24">
        <f>C27/100*39.2</f>
        <v>86.240000000000009</v>
      </c>
      <c r="J27" s="52"/>
      <c r="K27" s="52"/>
      <c r="L27" s="331">
        <v>220</v>
      </c>
      <c r="M27" s="56">
        <v>50</v>
      </c>
      <c r="N27" s="23">
        <f t="shared" si="1"/>
        <v>11000</v>
      </c>
      <c r="O27" s="126"/>
      <c r="Q27" s="3"/>
      <c r="R27" s="3"/>
      <c r="S27" s="4"/>
      <c r="T27" s="3"/>
    </row>
    <row r="28" spans="1:20" s="2" customFormat="1" ht="20.399999999999999" customHeight="1">
      <c r="A28" s="16" t="s">
        <v>93</v>
      </c>
      <c r="B28" s="17"/>
      <c r="C28" s="26"/>
      <c r="D28" s="140">
        <f>SUM(D16:D27)</f>
        <v>109530.6238</v>
      </c>
      <c r="E28" s="28"/>
      <c r="F28" s="28"/>
      <c r="G28" s="28"/>
      <c r="H28" s="28"/>
      <c r="I28" s="28"/>
      <c r="J28" s="28"/>
      <c r="K28" s="28"/>
      <c r="L28" s="29"/>
      <c r="M28" s="240"/>
      <c r="N28" s="168">
        <f>SUM(N16:N27)</f>
        <v>2690410</v>
      </c>
      <c r="O28" s="126"/>
    </row>
    <row r="29" spans="1:20" s="2" customFormat="1" ht="20.399999999999999" customHeight="1">
      <c r="A29" s="16" t="s">
        <v>6</v>
      </c>
      <c r="B29" s="17"/>
      <c r="C29" s="26"/>
      <c r="D29" s="27">
        <f>D28/D10</f>
        <v>495.61368235294117</v>
      </c>
      <c r="E29" s="28"/>
      <c r="F29" s="28"/>
      <c r="G29" s="28"/>
      <c r="H29" s="28"/>
      <c r="I29" s="28"/>
      <c r="J29" s="28"/>
      <c r="K29" s="28"/>
      <c r="L29" s="29"/>
      <c r="M29" s="241"/>
      <c r="N29" s="169"/>
      <c r="O29" s="126"/>
    </row>
    <row r="30" spans="1:20" s="2" customFormat="1" ht="20.399999999999999" customHeight="1">
      <c r="A30" s="210" t="s">
        <v>44</v>
      </c>
      <c r="B30" s="211"/>
      <c r="C30" s="333" t="s">
        <v>125</v>
      </c>
      <c r="D30" s="15" t="s">
        <v>41</v>
      </c>
      <c r="E30" s="28"/>
      <c r="F30" s="28"/>
      <c r="G30" s="28"/>
      <c r="H30" s="28"/>
      <c r="I30" s="28"/>
      <c r="J30" s="28"/>
      <c r="K30" s="28"/>
      <c r="L30" s="29"/>
      <c r="M30" s="29"/>
      <c r="N30" s="30"/>
      <c r="O30" s="126"/>
    </row>
    <row r="31" spans="1:20" s="2" customFormat="1" ht="20.399999999999999" customHeight="1">
      <c r="A31" s="212"/>
      <c r="B31" s="213"/>
      <c r="C31" s="57" t="s">
        <v>53</v>
      </c>
      <c r="D31" s="15">
        <f>D29*100/1320</f>
        <v>37.54649108734403</v>
      </c>
      <c r="E31" s="28"/>
      <c r="F31" s="28"/>
      <c r="G31" s="28"/>
      <c r="H31" s="28"/>
      <c r="I31" s="28"/>
      <c r="J31" s="28"/>
      <c r="K31" s="28"/>
      <c r="L31" s="29"/>
      <c r="M31" s="29"/>
      <c r="N31" s="30"/>
      <c r="O31" s="126"/>
    </row>
    <row r="32" spans="1:20" s="2" customFormat="1" ht="20.399999999999999" customHeight="1">
      <c r="A32" s="247" t="s">
        <v>34</v>
      </c>
      <c r="B32" s="247"/>
      <c r="C32" s="40"/>
      <c r="D32" s="41"/>
      <c r="E32" s="42"/>
      <c r="F32" s="42"/>
      <c r="G32" s="42"/>
      <c r="H32" s="42"/>
      <c r="I32" s="42"/>
      <c r="J32" s="42"/>
      <c r="K32" s="42"/>
      <c r="L32" s="43"/>
      <c r="M32" s="43"/>
      <c r="N32" s="51"/>
      <c r="O32" s="126"/>
    </row>
    <row r="33" spans="1:23" s="2" customFormat="1" ht="20.399999999999999" customHeight="1">
      <c r="A33" s="9">
        <v>1</v>
      </c>
      <c r="B33" s="6" t="s">
        <v>107</v>
      </c>
      <c r="C33" s="18"/>
      <c r="D33" s="112"/>
      <c r="E33" s="20"/>
      <c r="F33" s="20"/>
      <c r="G33" s="20"/>
      <c r="H33" s="20"/>
      <c r="I33" s="20">
        <v>49</v>
      </c>
      <c r="J33" s="20"/>
      <c r="K33" s="20"/>
      <c r="L33" s="21"/>
      <c r="M33" s="21"/>
      <c r="N33" s="23">
        <v>14480</v>
      </c>
      <c r="O33" s="126"/>
    </row>
    <row r="34" spans="1:23" s="2" customFormat="1" ht="20.399999999999999" customHeight="1">
      <c r="A34" s="9">
        <v>2</v>
      </c>
      <c r="B34" s="5" t="s">
        <v>1</v>
      </c>
      <c r="C34" s="18">
        <f>L34/100*100</f>
        <v>3315</v>
      </c>
      <c r="D34" s="98">
        <f>C34/100*344</f>
        <v>11403.6</v>
      </c>
      <c r="E34" s="20"/>
      <c r="F34" s="20">
        <f>C34/100*7.9</f>
        <v>261.88499999999999</v>
      </c>
      <c r="G34" s="20"/>
      <c r="H34" s="20">
        <f>C34/100*1</f>
        <v>33.15</v>
      </c>
      <c r="I34" s="20">
        <f>C34/100*73.3</f>
        <v>2429.895</v>
      </c>
      <c r="J34" s="22">
        <f>C34/100*30</f>
        <v>994.5</v>
      </c>
      <c r="K34" s="22">
        <f>C34/100*0.1</f>
        <v>3.3149999999999999</v>
      </c>
      <c r="L34" s="110">
        <v>3315</v>
      </c>
      <c r="M34" s="58">
        <v>18</v>
      </c>
      <c r="N34" s="23">
        <f t="shared" ref="N34:N35" si="2">L34*M34</f>
        <v>59670</v>
      </c>
      <c r="O34" s="126"/>
    </row>
    <row r="35" spans="1:23" s="2" customFormat="1" ht="20.399999999999999" customHeight="1">
      <c r="A35" s="9">
        <v>3</v>
      </c>
      <c r="B35" s="5" t="s">
        <v>65</v>
      </c>
      <c r="C35" s="18">
        <f>L35/100*100</f>
        <v>2210</v>
      </c>
      <c r="D35" s="19">
        <f>C35/100*344</f>
        <v>7602.4000000000005</v>
      </c>
      <c r="E35" s="20"/>
      <c r="F35" s="20">
        <f>C35/100*8.6</f>
        <v>190.06</v>
      </c>
      <c r="G35" s="20"/>
      <c r="H35" s="20">
        <f>C35/100*1.5</f>
        <v>33.150000000000006</v>
      </c>
      <c r="I35" s="20">
        <f>C35/100*74.5</f>
        <v>1646.45</v>
      </c>
      <c r="J35" s="20">
        <f>C35/100*32</f>
        <v>707.2</v>
      </c>
      <c r="K35" s="20">
        <f>C35/100*0.14</f>
        <v>3.0940000000000003</v>
      </c>
      <c r="L35" s="110">
        <v>2210</v>
      </c>
      <c r="M35" s="56">
        <v>30</v>
      </c>
      <c r="N35" s="23">
        <f t="shared" si="2"/>
        <v>66300</v>
      </c>
      <c r="O35" s="126"/>
      <c r="P35" s="14"/>
    </row>
    <row r="36" spans="1:23" s="2" customFormat="1" ht="20.399999999999999" customHeight="1">
      <c r="A36" s="9">
        <v>4</v>
      </c>
      <c r="B36" s="10" t="s">
        <v>2</v>
      </c>
      <c r="C36" s="18">
        <f>L36/100*100</f>
        <v>270</v>
      </c>
      <c r="D36" s="19">
        <f>C36/100*60</f>
        <v>162</v>
      </c>
      <c r="E36" s="20">
        <f>C36/100*15</f>
        <v>40.5</v>
      </c>
      <c r="F36" s="20"/>
      <c r="G36" s="20"/>
      <c r="H36" s="20"/>
      <c r="I36" s="20"/>
      <c r="J36" s="22">
        <f>C36/100*387</f>
        <v>1044.9000000000001</v>
      </c>
      <c r="K36" s="22">
        <f>C36/100*0.09</f>
        <v>0.24299999999999999</v>
      </c>
      <c r="L36" s="110">
        <v>270</v>
      </c>
      <c r="M36" s="56">
        <v>20</v>
      </c>
      <c r="N36" s="23">
        <f>L36*M36</f>
        <v>5400</v>
      </c>
      <c r="O36" s="126"/>
    </row>
    <row r="37" spans="1:23" s="2" customFormat="1" ht="20.399999999999999" customHeight="1">
      <c r="A37" s="9">
        <v>5</v>
      </c>
      <c r="B37" s="121" t="s">
        <v>121</v>
      </c>
      <c r="C37" s="18">
        <f t="shared" ref="C37" si="3">L37/100*100</f>
        <v>220.00000000000003</v>
      </c>
      <c r="D37" s="98">
        <f>C37/100*900</f>
        <v>1980.0000000000002</v>
      </c>
      <c r="E37" s="20"/>
      <c r="F37" s="20"/>
      <c r="G37" s="97"/>
      <c r="H37" s="20">
        <f>C37/100*100</f>
        <v>220.00000000000003</v>
      </c>
      <c r="I37" s="20"/>
      <c r="J37" s="20"/>
      <c r="K37" s="20"/>
      <c r="L37" s="110">
        <v>220</v>
      </c>
      <c r="M37" s="56">
        <v>65</v>
      </c>
      <c r="N37" s="23">
        <f t="shared" ref="N37" si="4">L37*M37</f>
        <v>14300</v>
      </c>
      <c r="O37" s="334"/>
    </row>
    <row r="38" spans="1:23" s="2" customFormat="1" ht="20.399999999999999" customHeight="1">
      <c r="A38" s="9">
        <v>6</v>
      </c>
      <c r="B38" s="5" t="s">
        <v>62</v>
      </c>
      <c r="C38" s="18">
        <f>L38/100*48</f>
        <v>5308.7999999999993</v>
      </c>
      <c r="D38" s="98">
        <f>C38/100*199</f>
        <v>10564.511999999999</v>
      </c>
      <c r="E38" s="97">
        <f>C38/100*20.3</f>
        <v>1077.6863999999998</v>
      </c>
      <c r="F38" s="20"/>
      <c r="G38" s="20">
        <f>C38/100*13.1</f>
        <v>695.45279999999991</v>
      </c>
      <c r="H38" s="20"/>
      <c r="I38" s="20"/>
      <c r="J38" s="22">
        <f>C38/100*12</f>
        <v>637.05599999999993</v>
      </c>
      <c r="K38" s="22">
        <f>C38/100*0.15</f>
        <v>7.9631999999999987</v>
      </c>
      <c r="L38" s="363">
        <v>11060</v>
      </c>
      <c r="M38" s="110">
        <v>84</v>
      </c>
      <c r="N38" s="23">
        <f t="shared" ref="N38:N41" si="5">L38*M38</f>
        <v>929040</v>
      </c>
      <c r="O38" s="126"/>
      <c r="Q38" s="3"/>
      <c r="R38" s="3"/>
      <c r="S38" s="4"/>
    </row>
    <row r="39" spans="1:23" s="2" customFormat="1" ht="20.399999999999999" customHeight="1">
      <c r="A39" s="9">
        <v>7</v>
      </c>
      <c r="B39" s="5" t="s">
        <v>116</v>
      </c>
      <c r="C39" s="18">
        <f>L39/100*100</f>
        <v>130</v>
      </c>
      <c r="D39" s="19">
        <f>C39/100*247</f>
        <v>321.10000000000002</v>
      </c>
      <c r="E39" s="24"/>
      <c r="F39" s="24">
        <f>C39/100*17.5</f>
        <v>22.75</v>
      </c>
      <c r="G39" s="24"/>
      <c r="H39" s="24">
        <f>C39/100*1.6</f>
        <v>2.08</v>
      </c>
      <c r="I39" s="24">
        <f>C39/100*39.2</f>
        <v>50.960000000000008</v>
      </c>
      <c r="J39" s="52"/>
      <c r="K39" s="52"/>
      <c r="L39" s="331">
        <v>130</v>
      </c>
      <c r="M39" s="56">
        <v>50</v>
      </c>
      <c r="N39" s="23">
        <f t="shared" si="5"/>
        <v>6500</v>
      </c>
      <c r="O39" s="126"/>
      <c r="Q39" s="3"/>
      <c r="R39" s="3"/>
      <c r="S39" s="4"/>
      <c r="T39" s="3"/>
    </row>
    <row r="40" spans="1:23" s="2" customFormat="1" ht="20.399999999999999" customHeight="1">
      <c r="A40" s="9">
        <v>8</v>
      </c>
      <c r="B40" s="5" t="s">
        <v>66</v>
      </c>
      <c r="C40" s="18">
        <f>L40/100*75</f>
        <v>3315</v>
      </c>
      <c r="D40" s="19">
        <f>C40/100*12</f>
        <v>397.79999999999995</v>
      </c>
      <c r="E40" s="20"/>
      <c r="F40" s="20">
        <f>C40/100*0.6</f>
        <v>19.889999999999997</v>
      </c>
      <c r="G40" s="20"/>
      <c r="H40" s="20"/>
      <c r="I40" s="20">
        <f>C40/100*2.4</f>
        <v>79.559999999999988</v>
      </c>
      <c r="J40" s="20">
        <f>C40/100*26</f>
        <v>861.9</v>
      </c>
      <c r="K40" s="20">
        <f>C40/100*0.02</f>
        <v>0.66300000000000003</v>
      </c>
      <c r="L40" s="110">
        <v>4420</v>
      </c>
      <c r="M40" s="56">
        <v>22</v>
      </c>
      <c r="N40" s="23">
        <f t="shared" si="5"/>
        <v>97240</v>
      </c>
      <c r="O40" s="126"/>
    </row>
    <row r="41" spans="1:23" s="2" customFormat="1" ht="20.399999999999999" customHeight="1">
      <c r="A41" s="81">
        <v>9</v>
      </c>
      <c r="B41" s="129" t="s">
        <v>124</v>
      </c>
      <c r="C41" s="82">
        <f>L41/100*100</f>
        <v>3760</v>
      </c>
      <c r="D41" s="141">
        <f>C41/100*487</f>
        <v>18311.2</v>
      </c>
      <c r="E41" s="84"/>
      <c r="F41" s="84">
        <f>C41/100*19.5</f>
        <v>733.2</v>
      </c>
      <c r="G41" s="84"/>
      <c r="H41" s="84">
        <f>C41/100*23.2</f>
        <v>872.32</v>
      </c>
      <c r="I41" s="84">
        <f>C41/100*46</f>
        <v>1729.6000000000001</v>
      </c>
      <c r="J41" s="120">
        <f>C41/100*680</f>
        <v>25568</v>
      </c>
      <c r="K41" s="84">
        <f>C41/100*0.55</f>
        <v>20.680000000000003</v>
      </c>
      <c r="L41" s="85">
        <v>3760</v>
      </c>
      <c r="M41" s="130">
        <v>260</v>
      </c>
      <c r="N41" s="86">
        <f t="shared" si="5"/>
        <v>977600</v>
      </c>
      <c r="O41" s="126"/>
      <c r="P41" s="3"/>
    </row>
    <row r="42" spans="1:23" ht="19.2" customHeight="1">
      <c r="A42" s="159" t="s">
        <v>0</v>
      </c>
      <c r="B42" s="162" t="s">
        <v>19</v>
      </c>
      <c r="C42" s="165" t="s">
        <v>8</v>
      </c>
      <c r="D42" s="165" t="s">
        <v>9</v>
      </c>
      <c r="E42" s="170" t="s">
        <v>11</v>
      </c>
      <c r="F42" s="171"/>
      <c r="G42" s="170" t="s">
        <v>13</v>
      </c>
      <c r="H42" s="171"/>
      <c r="I42" s="174" t="s">
        <v>16</v>
      </c>
      <c r="J42" s="174" t="s">
        <v>39</v>
      </c>
      <c r="K42" s="174" t="s">
        <v>40</v>
      </c>
      <c r="L42" s="174" t="s">
        <v>17</v>
      </c>
      <c r="M42" s="174" t="s">
        <v>48</v>
      </c>
      <c r="N42" s="159" t="s">
        <v>18</v>
      </c>
      <c r="O42" s="329"/>
    </row>
    <row r="43" spans="1:23" ht="19.2" customHeight="1">
      <c r="A43" s="160"/>
      <c r="B43" s="163"/>
      <c r="C43" s="166"/>
      <c r="D43" s="166"/>
      <c r="E43" s="172"/>
      <c r="F43" s="173"/>
      <c r="G43" s="172"/>
      <c r="H43" s="173"/>
      <c r="I43" s="175"/>
      <c r="J43" s="175"/>
      <c r="K43" s="175"/>
      <c r="L43" s="175"/>
      <c r="M43" s="175"/>
      <c r="N43" s="160"/>
      <c r="O43" s="148"/>
    </row>
    <row r="44" spans="1:23" ht="19.2" customHeight="1">
      <c r="A44" s="160"/>
      <c r="B44" s="163"/>
      <c r="C44" s="166"/>
      <c r="D44" s="166"/>
      <c r="E44" s="174" t="s">
        <v>10</v>
      </c>
      <c r="F44" s="174" t="s">
        <v>12</v>
      </c>
      <c r="G44" s="174" t="s">
        <v>14</v>
      </c>
      <c r="H44" s="174" t="s">
        <v>15</v>
      </c>
      <c r="I44" s="175"/>
      <c r="J44" s="175"/>
      <c r="K44" s="175"/>
      <c r="L44" s="175"/>
      <c r="M44" s="175"/>
      <c r="N44" s="160"/>
      <c r="O44" s="148"/>
    </row>
    <row r="45" spans="1:23" ht="30.6" customHeight="1">
      <c r="A45" s="161"/>
      <c r="B45" s="164"/>
      <c r="C45" s="167"/>
      <c r="D45" s="167"/>
      <c r="E45" s="176"/>
      <c r="F45" s="176"/>
      <c r="G45" s="176"/>
      <c r="H45" s="176"/>
      <c r="I45" s="176"/>
      <c r="J45" s="176"/>
      <c r="K45" s="176"/>
      <c r="L45" s="176"/>
      <c r="M45" s="176"/>
      <c r="N45" s="161"/>
      <c r="O45" s="148"/>
    </row>
    <row r="46" spans="1:23" s="2" customFormat="1" ht="22.2" customHeight="1">
      <c r="A46" s="16" t="s">
        <v>94</v>
      </c>
      <c r="B46" s="17"/>
      <c r="C46" s="26"/>
      <c r="D46" s="99">
        <f>SUM(D33:D41)</f>
        <v>50742.611999999994</v>
      </c>
      <c r="E46" s="31"/>
      <c r="F46" s="31"/>
      <c r="G46" s="31"/>
      <c r="H46" s="31"/>
      <c r="I46" s="31"/>
      <c r="J46" s="31"/>
      <c r="K46" s="31"/>
      <c r="L46" s="32"/>
      <c r="M46" s="235"/>
      <c r="N46" s="168">
        <f>SUM(N33:N41)</f>
        <v>2170530</v>
      </c>
      <c r="O46" s="126"/>
    </row>
    <row r="47" spans="1:23" ht="22.2" customHeight="1">
      <c r="A47" s="16" t="s">
        <v>7</v>
      </c>
      <c r="B47" s="17"/>
      <c r="C47" s="33"/>
      <c r="D47" s="34">
        <f>D46/D10</f>
        <v>229.60457918552032</v>
      </c>
      <c r="E47" s="34"/>
      <c r="F47" s="34"/>
      <c r="G47" s="34"/>
      <c r="H47" s="34"/>
      <c r="I47" s="34"/>
      <c r="J47" s="34"/>
      <c r="K47" s="34"/>
      <c r="L47" s="35"/>
      <c r="M47" s="236"/>
      <c r="N47" s="169"/>
      <c r="O47" s="359"/>
      <c r="P47" s="2"/>
      <c r="Q47" s="2"/>
      <c r="R47" s="2"/>
      <c r="S47" s="2"/>
      <c r="T47" s="2"/>
      <c r="U47" s="2"/>
      <c r="V47" s="2"/>
    </row>
    <row r="48" spans="1:23" ht="22.2" customHeight="1">
      <c r="A48" s="210" t="s">
        <v>45</v>
      </c>
      <c r="B48" s="211"/>
      <c r="C48" s="333" t="s">
        <v>125</v>
      </c>
      <c r="D48" s="15" t="s">
        <v>51</v>
      </c>
      <c r="E48" s="34"/>
      <c r="F48" s="34"/>
      <c r="G48" s="34"/>
      <c r="H48" s="34"/>
      <c r="I48" s="34"/>
      <c r="J48" s="36"/>
      <c r="K48" s="36"/>
      <c r="L48" s="35"/>
      <c r="M48" s="35"/>
      <c r="N48" s="149"/>
      <c r="O48" s="4"/>
      <c r="P48" s="2"/>
      <c r="Q48" s="2"/>
      <c r="R48" s="2"/>
      <c r="S48" s="2"/>
      <c r="T48" s="2"/>
      <c r="U48" s="2"/>
      <c r="V48" s="2"/>
      <c r="W48" s="2"/>
    </row>
    <row r="49" spans="1:23" ht="22.2" customHeight="1">
      <c r="A49" s="212"/>
      <c r="B49" s="213"/>
      <c r="C49" s="57" t="s">
        <v>53</v>
      </c>
      <c r="D49" s="15">
        <f>D47*100/1320</f>
        <v>17.394286301933356</v>
      </c>
      <c r="E49" s="34"/>
      <c r="F49" s="34"/>
      <c r="G49" s="34"/>
      <c r="H49" s="34"/>
      <c r="I49" s="34"/>
      <c r="J49" s="36"/>
      <c r="K49" s="36"/>
      <c r="L49" s="35"/>
      <c r="M49" s="35"/>
      <c r="N49" s="149"/>
      <c r="O49" s="4"/>
      <c r="P49" s="2"/>
      <c r="Q49" s="2"/>
      <c r="R49" s="2"/>
      <c r="S49" s="2"/>
      <c r="T49" s="2"/>
      <c r="U49" s="2"/>
      <c r="V49" s="2"/>
      <c r="W49" s="2"/>
    </row>
    <row r="50" spans="1:23" ht="22.2" customHeight="1">
      <c r="A50" s="191" t="s">
        <v>95</v>
      </c>
      <c r="B50" s="192"/>
      <c r="C50" s="214"/>
      <c r="D50" s="216">
        <f>D28+D46</f>
        <v>160273.23579999999</v>
      </c>
      <c r="E50" s="101">
        <f>SUM(E16:E41)</f>
        <v>3579.2968000000001</v>
      </c>
      <c r="F50" s="101">
        <f>SUM(F17:F41)</f>
        <v>3116.2814199999993</v>
      </c>
      <c r="G50" s="101">
        <f>SUM(G17:G41)</f>
        <v>3258.0976000000001</v>
      </c>
      <c r="H50" s="101">
        <f>SUM(H17:H41)</f>
        <v>1389.3281400000001</v>
      </c>
      <c r="I50" s="233">
        <f>SUM(I17:I41)</f>
        <v>22195.300539999997</v>
      </c>
      <c r="J50" s="233">
        <f>SUM(J16:J41)</f>
        <v>65570.635600000009</v>
      </c>
      <c r="K50" s="242">
        <f>SUM(K16:K41)</f>
        <v>146.21306399999997</v>
      </c>
      <c r="L50" s="227"/>
      <c r="M50" s="227"/>
      <c r="N50" s="257">
        <f>N28+N46</f>
        <v>4860940</v>
      </c>
      <c r="U50" s="12"/>
      <c r="V50" s="12"/>
    </row>
    <row r="51" spans="1:23" ht="22.2" customHeight="1">
      <c r="A51" s="193"/>
      <c r="B51" s="194"/>
      <c r="C51" s="215"/>
      <c r="D51" s="217"/>
      <c r="E51" s="187">
        <f>E50+F50</f>
        <v>6695.5782199999994</v>
      </c>
      <c r="F51" s="188"/>
      <c r="G51" s="187">
        <f>G50+H50</f>
        <v>4647.4257400000006</v>
      </c>
      <c r="H51" s="188"/>
      <c r="I51" s="234"/>
      <c r="J51" s="234"/>
      <c r="K51" s="243"/>
      <c r="L51" s="227"/>
      <c r="M51" s="227"/>
      <c r="N51" s="257"/>
      <c r="U51" s="12"/>
      <c r="V51" s="12"/>
    </row>
    <row r="52" spans="1:23" ht="22.2" customHeight="1">
      <c r="A52" s="201" t="s">
        <v>68</v>
      </c>
      <c r="B52" s="202"/>
      <c r="C52" s="203"/>
      <c r="D52" s="111">
        <f>D50/D10</f>
        <v>725.21826153846155</v>
      </c>
      <c r="E52" s="335">
        <f>E50/D10</f>
        <v>16.195913122171945</v>
      </c>
      <c r="F52" s="336">
        <f>F50/D10</f>
        <v>14.100820904977372</v>
      </c>
      <c r="G52" s="335">
        <f>G50/D10</f>
        <v>14.742523076923078</v>
      </c>
      <c r="H52" s="360">
        <f>H50/D10</f>
        <v>6.2865526696832585</v>
      </c>
      <c r="I52" s="189">
        <f>I50/D10</f>
        <v>100.43122416289592</v>
      </c>
      <c r="J52" s="244">
        <f>J50/D10</f>
        <v>296.69970859728511</v>
      </c>
      <c r="K52" s="244">
        <f>K50/D10</f>
        <v>0.6615975746606334</v>
      </c>
      <c r="L52" s="227"/>
      <c r="M52" s="227"/>
      <c r="N52" s="257"/>
      <c r="P52" s="350"/>
      <c r="Q52" s="351"/>
      <c r="R52" s="351"/>
      <c r="S52" s="351"/>
      <c r="T52" s="351"/>
      <c r="U52" s="352"/>
      <c r="V52" s="352"/>
    </row>
    <row r="53" spans="1:23" ht="22.2" customHeight="1">
      <c r="A53" s="204"/>
      <c r="B53" s="205"/>
      <c r="C53" s="206"/>
      <c r="D53" s="364"/>
      <c r="E53" s="337">
        <f>E52+F52</f>
        <v>30.296734027149316</v>
      </c>
      <c r="F53" s="338"/>
      <c r="G53" s="337">
        <f>G52+H52</f>
        <v>21.029075746606338</v>
      </c>
      <c r="H53" s="338"/>
      <c r="I53" s="190"/>
      <c r="J53" s="245"/>
      <c r="K53" s="245"/>
      <c r="L53" s="227"/>
      <c r="M53" s="227"/>
      <c r="N53" s="257"/>
      <c r="P53" s="353"/>
      <c r="Q53" s="351"/>
      <c r="R53" s="351"/>
      <c r="S53" s="351"/>
      <c r="T53" s="351"/>
      <c r="U53" s="351"/>
      <c r="V53" s="351"/>
    </row>
    <row r="54" spans="1:23" ht="22.2" customHeight="1">
      <c r="A54" s="207" t="s">
        <v>71</v>
      </c>
      <c r="B54" s="208"/>
      <c r="C54" s="209"/>
      <c r="D54" s="153" t="s">
        <v>27</v>
      </c>
      <c r="E54" s="158" t="s">
        <v>21</v>
      </c>
      <c r="F54" s="158"/>
      <c r="G54" s="158" t="s">
        <v>22</v>
      </c>
      <c r="H54" s="158"/>
      <c r="I54" s="150" t="s">
        <v>23</v>
      </c>
      <c r="J54" s="339">
        <v>600</v>
      </c>
      <c r="K54" s="339">
        <v>0.7</v>
      </c>
      <c r="L54" s="227"/>
      <c r="M54" s="227"/>
      <c r="N54" s="257"/>
      <c r="O54" s="340"/>
      <c r="P54" s="350"/>
      <c r="Q54" s="356"/>
      <c r="R54" s="356"/>
      <c r="S54" s="356"/>
      <c r="T54" s="356"/>
      <c r="U54" s="350"/>
      <c r="V54" s="350"/>
    </row>
    <row r="55" spans="1:23" ht="22.2" customHeight="1">
      <c r="A55" s="180" t="s">
        <v>69</v>
      </c>
      <c r="B55" s="246"/>
      <c r="C55" s="181"/>
      <c r="D55" s="37"/>
      <c r="E55" s="185">
        <f>E53*4.1</f>
        <v>124.21660951131219</v>
      </c>
      <c r="F55" s="186"/>
      <c r="G55" s="185">
        <f>G53*9</f>
        <v>189.26168171945704</v>
      </c>
      <c r="H55" s="186"/>
      <c r="I55" s="66">
        <f>I52*4.1</f>
        <v>411.76801906787324</v>
      </c>
      <c r="J55" s="218"/>
      <c r="K55" s="218"/>
      <c r="L55" s="227"/>
      <c r="M55" s="227"/>
      <c r="N55" s="257"/>
      <c r="O55" s="340"/>
      <c r="P55" s="355"/>
      <c r="Q55" s="350"/>
      <c r="R55" s="350"/>
      <c r="S55" s="350"/>
      <c r="T55" s="350"/>
      <c r="U55" s="350"/>
      <c r="V55" s="350"/>
    </row>
    <row r="56" spans="1:23" ht="22.2" customHeight="1">
      <c r="A56" s="221" t="s">
        <v>72</v>
      </c>
      <c r="B56" s="222"/>
      <c r="C56" s="180" t="s">
        <v>52</v>
      </c>
      <c r="D56" s="181"/>
      <c r="E56" s="225">
        <f>E55*100/D52</f>
        <v>17.128169007741462</v>
      </c>
      <c r="F56" s="226"/>
      <c r="G56" s="225">
        <f>G55*100/D52</f>
        <v>26.09720297417244</v>
      </c>
      <c r="H56" s="226"/>
      <c r="I56" s="93">
        <f>I55*100/D52</f>
        <v>56.778495648242213</v>
      </c>
      <c r="J56" s="219"/>
      <c r="K56" s="219"/>
      <c r="L56" s="227"/>
      <c r="M56" s="227"/>
      <c r="N56" s="257"/>
      <c r="O56" s="340"/>
    </row>
    <row r="57" spans="1:23" ht="22.2" customHeight="1">
      <c r="A57" s="223"/>
      <c r="B57" s="224"/>
      <c r="C57" s="180" t="s">
        <v>70</v>
      </c>
      <c r="D57" s="181"/>
      <c r="E57" s="180" t="s">
        <v>73</v>
      </c>
      <c r="F57" s="181"/>
      <c r="G57" s="180" t="s">
        <v>74</v>
      </c>
      <c r="H57" s="181"/>
      <c r="I57" s="153" t="s">
        <v>75</v>
      </c>
      <c r="J57" s="220"/>
      <c r="K57" s="220"/>
      <c r="L57" s="227"/>
      <c r="M57" s="227"/>
      <c r="N57" s="257"/>
      <c r="O57" s="340"/>
      <c r="P57" s="341"/>
    </row>
    <row r="58" spans="1:23" ht="22.2" customHeight="1">
      <c r="A58" s="69"/>
      <c r="B58" s="72"/>
      <c r="C58" s="69"/>
      <c r="D58" s="69"/>
      <c r="E58" s="69"/>
      <c r="F58" s="69"/>
      <c r="G58" s="69"/>
      <c r="H58" s="69"/>
      <c r="I58" s="69"/>
      <c r="J58" s="69"/>
      <c r="K58" s="69"/>
      <c r="L58" s="70"/>
      <c r="M58" s="70"/>
      <c r="N58" s="71"/>
      <c r="O58" s="340"/>
    </row>
    <row r="59" spans="1:23" ht="21" customHeight="1">
      <c r="A59" s="228" t="s">
        <v>98</v>
      </c>
      <c r="B59" s="228"/>
      <c r="C59" s="228"/>
      <c r="D59" s="228"/>
      <c r="E59" s="228"/>
      <c r="F59" s="228"/>
      <c r="G59" s="228"/>
      <c r="H59" s="228"/>
      <c r="I59" s="228"/>
      <c r="J59" s="228"/>
      <c r="K59" s="228"/>
      <c r="L59" s="228"/>
      <c r="M59" s="228"/>
      <c r="N59" s="228"/>
      <c r="O59" s="340"/>
    </row>
    <row r="60" spans="1:23" ht="21" customHeight="1">
      <c r="A60" s="95" t="s">
        <v>99</v>
      </c>
      <c r="B60" s="229" t="s">
        <v>109</v>
      </c>
      <c r="C60" s="229"/>
      <c r="D60" s="229"/>
      <c r="E60" s="229"/>
      <c r="F60" s="229"/>
      <c r="G60" s="229"/>
      <c r="H60" s="229"/>
      <c r="I60" s="229"/>
      <c r="J60" s="229"/>
      <c r="K60" s="229"/>
      <c r="L60" s="229"/>
      <c r="M60" s="229"/>
      <c r="N60" s="229"/>
      <c r="O60" s="340"/>
    </row>
    <row r="61" spans="1:23" ht="21" customHeight="1">
      <c r="A61" s="96"/>
      <c r="B61" s="199" t="s">
        <v>164</v>
      </c>
      <c r="C61" s="199"/>
      <c r="D61" s="199"/>
      <c r="E61" s="199"/>
      <c r="F61" s="199"/>
      <c r="G61" s="199"/>
      <c r="H61" s="199"/>
      <c r="I61" s="199"/>
      <c r="J61" s="199"/>
      <c r="K61" s="199"/>
      <c r="L61" s="199"/>
      <c r="M61" s="199"/>
      <c r="N61" s="199"/>
      <c r="O61" s="340"/>
    </row>
    <row r="62" spans="1:23" ht="21" customHeight="1">
      <c r="A62" s="96"/>
      <c r="B62" s="199" t="s">
        <v>147</v>
      </c>
      <c r="C62" s="199"/>
      <c r="D62" s="199"/>
      <c r="E62" s="199"/>
      <c r="F62" s="199"/>
      <c r="G62" s="199"/>
      <c r="H62" s="199"/>
      <c r="I62" s="199"/>
      <c r="J62" s="199"/>
      <c r="K62" s="199"/>
      <c r="L62" s="199"/>
      <c r="M62" s="199"/>
      <c r="N62" s="199"/>
      <c r="O62" s="340"/>
    </row>
    <row r="63" spans="1:23" ht="21" customHeight="1">
      <c r="A63" s="96"/>
      <c r="B63" s="199" t="s">
        <v>145</v>
      </c>
      <c r="C63" s="199"/>
      <c r="D63" s="199"/>
      <c r="E63" s="199"/>
      <c r="F63" s="199"/>
      <c r="G63" s="199"/>
      <c r="H63" s="199"/>
      <c r="I63" s="199"/>
      <c r="J63" s="199"/>
      <c r="K63" s="199"/>
      <c r="L63" s="199"/>
      <c r="M63" s="199"/>
      <c r="N63" s="199"/>
      <c r="O63" s="340"/>
    </row>
    <row r="64" spans="1:23" ht="21" customHeight="1">
      <c r="A64" s="69"/>
      <c r="B64" s="200" t="s">
        <v>101</v>
      </c>
      <c r="C64" s="200"/>
      <c r="D64" s="200"/>
      <c r="E64" s="200"/>
      <c r="F64" s="200"/>
      <c r="G64" s="200"/>
      <c r="H64" s="200"/>
      <c r="I64" s="200"/>
      <c r="J64" s="200"/>
      <c r="K64" s="200"/>
      <c r="L64" s="200"/>
      <c r="M64" s="200"/>
      <c r="N64" s="200"/>
      <c r="O64" s="340"/>
    </row>
    <row r="65" spans="1:20" ht="21" customHeight="1">
      <c r="A65" s="69"/>
      <c r="B65" s="69"/>
      <c r="C65" s="69"/>
      <c r="D65" s="69"/>
      <c r="E65" s="69"/>
      <c r="F65" s="69"/>
      <c r="G65" s="69"/>
      <c r="H65" s="69"/>
      <c r="I65" s="69"/>
      <c r="J65" s="69"/>
      <c r="K65" s="69"/>
      <c r="L65" s="73"/>
      <c r="M65" s="73"/>
      <c r="N65" s="74"/>
      <c r="O65" s="340"/>
    </row>
    <row r="66" spans="1:20" ht="21" customHeight="1">
      <c r="A66" s="198" t="s">
        <v>55</v>
      </c>
      <c r="B66" s="198"/>
      <c r="C66" s="198"/>
      <c r="D66" s="198"/>
      <c r="E66" s="342"/>
      <c r="F66" s="342"/>
      <c r="G66" s="342"/>
      <c r="H66" s="342"/>
      <c r="I66" s="342"/>
      <c r="J66" s="343" t="s">
        <v>32</v>
      </c>
      <c r="K66" s="343"/>
      <c r="L66" s="343"/>
      <c r="M66" s="343"/>
      <c r="N66" s="343"/>
      <c r="O66" s="340"/>
    </row>
    <row r="67" spans="1:20" ht="21" customHeight="1">
      <c r="A67" s="148"/>
      <c r="B67" s="148"/>
      <c r="C67" s="148"/>
      <c r="D67" s="342"/>
      <c r="E67" s="342"/>
      <c r="F67" s="342"/>
      <c r="G67" s="342"/>
      <c r="H67" s="344"/>
      <c r="I67" s="344"/>
      <c r="J67" s="344"/>
      <c r="K67" s="344"/>
      <c r="L67" s="344"/>
      <c r="M67" s="344"/>
      <c r="N67" s="344"/>
      <c r="O67" s="340"/>
    </row>
    <row r="68" spans="1:20" ht="21" customHeight="1">
      <c r="A68" s="148"/>
      <c r="B68" s="148"/>
      <c r="C68" s="148"/>
      <c r="D68" s="342"/>
      <c r="E68" s="342"/>
      <c r="F68" s="342"/>
      <c r="G68" s="342"/>
      <c r="H68" s="344"/>
      <c r="I68" s="344"/>
      <c r="J68" s="344"/>
      <c r="K68" s="344"/>
      <c r="L68" s="344"/>
      <c r="M68" s="344"/>
      <c r="N68" s="344"/>
      <c r="O68" s="340"/>
    </row>
    <row r="69" spans="1:20" ht="21" customHeight="1">
      <c r="A69" s="148"/>
      <c r="B69" s="148"/>
      <c r="C69" s="148"/>
      <c r="D69" s="342"/>
      <c r="E69" s="342"/>
      <c r="F69" s="342"/>
      <c r="G69" s="342"/>
      <c r="H69" s="344"/>
      <c r="I69" s="344"/>
      <c r="J69" s="345" t="s">
        <v>108</v>
      </c>
      <c r="K69" s="345"/>
      <c r="L69" s="345"/>
      <c r="M69" s="345"/>
      <c r="N69" s="345"/>
      <c r="O69" s="340"/>
    </row>
    <row r="70" spans="1:20" ht="22.2" customHeight="1">
      <c r="A70" s="182" t="s">
        <v>81</v>
      </c>
      <c r="B70" s="182"/>
      <c r="C70" s="182"/>
      <c r="D70" s="182"/>
      <c r="E70" s="342"/>
      <c r="F70" s="342"/>
      <c r="G70" s="342"/>
      <c r="H70" s="344"/>
      <c r="I70" s="344"/>
      <c r="J70" s="345"/>
      <c r="K70" s="345"/>
      <c r="L70" s="345"/>
      <c r="M70" s="345"/>
      <c r="N70" s="345"/>
      <c r="O70" s="340"/>
    </row>
    <row r="71" spans="1:20" ht="22.2" customHeight="1">
      <c r="A71" s="69"/>
      <c r="B71" s="69"/>
      <c r="C71" s="69"/>
      <c r="D71" s="69"/>
      <c r="E71" s="69"/>
      <c r="F71" s="69"/>
      <c r="G71" s="69"/>
      <c r="H71" s="69"/>
      <c r="I71" s="69"/>
      <c r="J71" s="69"/>
      <c r="K71" s="69"/>
      <c r="L71" s="73"/>
      <c r="M71" s="73"/>
      <c r="N71" s="74"/>
      <c r="O71" s="340"/>
    </row>
    <row r="72" spans="1:20" ht="22.2" customHeight="1">
      <c r="A72" s="69"/>
      <c r="B72" s="69"/>
      <c r="C72" s="69"/>
      <c r="D72" s="69"/>
      <c r="E72" s="69"/>
      <c r="F72" s="69"/>
      <c r="G72" s="69"/>
      <c r="H72" s="69"/>
      <c r="I72" s="69"/>
      <c r="J72" s="345" t="s">
        <v>111</v>
      </c>
      <c r="K72" s="345"/>
      <c r="L72" s="345"/>
      <c r="M72" s="345"/>
      <c r="N72" s="345"/>
      <c r="O72" s="340"/>
    </row>
    <row r="73" spans="1:20" ht="22.2" customHeight="1">
      <c r="A73" s="69"/>
      <c r="B73" s="69"/>
      <c r="C73" s="69"/>
      <c r="D73" s="69"/>
      <c r="E73" s="69"/>
      <c r="F73" s="69"/>
      <c r="G73" s="69"/>
      <c r="H73" s="69"/>
      <c r="I73" s="69"/>
      <c r="J73" s="69"/>
      <c r="K73" s="69"/>
      <c r="L73" s="73"/>
      <c r="M73" s="73"/>
      <c r="N73" s="74"/>
      <c r="O73" s="340"/>
    </row>
    <row r="74" spans="1:20" ht="22.2" customHeight="1">
      <c r="A74" s="69"/>
      <c r="B74" s="69"/>
      <c r="C74" s="69"/>
      <c r="D74" s="69"/>
      <c r="E74" s="69"/>
      <c r="F74" s="69"/>
      <c r="G74" s="69"/>
      <c r="H74" s="69"/>
      <c r="I74" s="69"/>
      <c r="J74" s="69"/>
      <c r="K74" s="69"/>
      <c r="L74" s="73"/>
      <c r="M74" s="73"/>
      <c r="N74" s="74"/>
      <c r="O74" s="340"/>
    </row>
    <row r="75" spans="1:20" ht="22.2" customHeight="1">
      <c r="A75" s="69"/>
      <c r="B75" s="69"/>
      <c r="C75" s="69"/>
      <c r="D75" s="69"/>
      <c r="E75" s="69"/>
      <c r="F75" s="69"/>
      <c r="G75" s="69"/>
      <c r="H75" s="69"/>
      <c r="I75" s="69"/>
      <c r="J75" s="69"/>
      <c r="K75" s="69"/>
      <c r="L75" s="73"/>
      <c r="M75" s="73"/>
      <c r="N75" s="74"/>
      <c r="O75" s="340"/>
    </row>
    <row r="76" spans="1:20" ht="22.2" customHeight="1">
      <c r="A76" s="69"/>
      <c r="B76" s="69"/>
      <c r="C76" s="69"/>
      <c r="D76" s="69"/>
      <c r="E76" s="69"/>
      <c r="F76" s="69"/>
      <c r="G76" s="69"/>
      <c r="H76" s="69"/>
      <c r="I76" s="69"/>
      <c r="J76" s="69"/>
      <c r="K76" s="69"/>
      <c r="L76" s="73"/>
      <c r="M76" s="73"/>
      <c r="N76" s="74"/>
      <c r="O76" s="340"/>
    </row>
    <row r="77" spans="1:20" ht="22.2" customHeight="1">
      <c r="A77" s="69"/>
      <c r="B77" s="69"/>
      <c r="C77" s="69"/>
      <c r="D77" s="69"/>
      <c r="E77" s="69"/>
      <c r="F77" s="69"/>
      <c r="G77" s="69"/>
      <c r="H77" s="69"/>
      <c r="I77" s="69"/>
      <c r="J77" s="69"/>
      <c r="K77" s="69"/>
      <c r="L77" s="73"/>
      <c r="M77" s="73"/>
      <c r="N77" s="74"/>
      <c r="O77" s="340"/>
    </row>
    <row r="78" spans="1:20" ht="22.2" customHeight="1">
      <c r="A78" s="69"/>
      <c r="B78" s="69"/>
      <c r="C78" s="69"/>
      <c r="D78" s="69"/>
      <c r="E78" s="69"/>
      <c r="F78" s="69"/>
      <c r="G78" s="69"/>
      <c r="H78" s="69"/>
      <c r="I78" s="69"/>
      <c r="J78" s="69"/>
      <c r="K78" s="69"/>
      <c r="L78" s="73"/>
      <c r="M78" s="73"/>
      <c r="N78" s="74"/>
      <c r="O78" s="340"/>
    </row>
    <row r="79" spans="1:20" ht="22.2" customHeight="1">
      <c r="A79" s="69"/>
      <c r="B79" s="69"/>
      <c r="C79" s="69"/>
      <c r="D79" s="69"/>
      <c r="E79" s="69"/>
      <c r="F79" s="69"/>
      <c r="G79" s="69"/>
      <c r="H79" s="69"/>
      <c r="I79" s="69"/>
      <c r="J79" s="69"/>
      <c r="K79" s="69"/>
      <c r="L79" s="73"/>
      <c r="M79" s="73"/>
      <c r="N79" s="74"/>
      <c r="O79" s="340"/>
    </row>
    <row r="80" spans="1:20" ht="17.399999999999999" customHeight="1">
      <c r="A80" s="11" t="s">
        <v>54</v>
      </c>
      <c r="B80" s="8"/>
      <c r="C80" s="8"/>
      <c r="D80" s="8"/>
      <c r="E80" s="8"/>
      <c r="F80" s="232" t="s">
        <v>31</v>
      </c>
      <c r="G80" s="232"/>
      <c r="H80" s="232"/>
      <c r="I80" s="232"/>
      <c r="J80" s="232"/>
      <c r="K80" s="232"/>
      <c r="L80" s="232"/>
      <c r="M80" s="232"/>
      <c r="N80" s="232"/>
      <c r="O80" s="327"/>
      <c r="P80" s="365"/>
      <c r="Q80" s="365"/>
      <c r="R80" s="114"/>
      <c r="S80" s="114"/>
      <c r="T80" s="2"/>
    </row>
    <row r="81" spans="1:20" ht="17.399999999999999" customHeight="1">
      <c r="A81" s="8" t="s">
        <v>163</v>
      </c>
      <c r="B81" s="8"/>
      <c r="C81" s="8"/>
      <c r="D81" s="8"/>
      <c r="E81" s="8"/>
      <c r="F81" s="152"/>
      <c r="G81" s="152"/>
      <c r="H81" s="152"/>
      <c r="I81" s="152"/>
      <c r="J81" s="152"/>
      <c r="K81" s="152"/>
      <c r="L81" s="152"/>
      <c r="M81" s="152"/>
      <c r="N81" s="152"/>
      <c r="O81" s="327"/>
      <c r="P81" s="327"/>
      <c r="T81" s="2"/>
    </row>
    <row r="82" spans="1:20" s="2" customFormat="1" ht="17.399999999999999" customHeight="1">
      <c r="A82" s="158" t="s">
        <v>86</v>
      </c>
      <c r="B82" s="158"/>
      <c r="C82" s="158"/>
      <c r="D82" s="158"/>
      <c r="E82" s="158" t="s">
        <v>79</v>
      </c>
      <c r="F82" s="158"/>
      <c r="G82" s="158"/>
      <c r="H82" s="158"/>
      <c r="I82" s="158"/>
      <c r="J82" s="158"/>
      <c r="K82" s="158"/>
      <c r="L82" s="158"/>
      <c r="M82" s="158"/>
      <c r="N82" s="158"/>
      <c r="O82" s="328"/>
    </row>
    <row r="83" spans="1:20" s="2" customFormat="1" ht="17.399999999999999" customHeight="1">
      <c r="A83" s="158"/>
      <c r="B83" s="158"/>
      <c r="C83" s="158"/>
      <c r="D83" s="158"/>
      <c r="E83" s="158" t="s">
        <v>88</v>
      </c>
      <c r="F83" s="158"/>
      <c r="G83" s="158"/>
      <c r="H83" s="158"/>
      <c r="I83" s="158"/>
      <c r="J83" s="158" t="s">
        <v>89</v>
      </c>
      <c r="K83" s="158"/>
      <c r="L83" s="158"/>
      <c r="M83" s="158"/>
      <c r="N83" s="158"/>
      <c r="O83" s="328"/>
    </row>
    <row r="84" spans="1:20" s="2" customFormat="1" ht="17.399999999999999" customHeight="1">
      <c r="A84" s="230" t="s">
        <v>80</v>
      </c>
      <c r="B84" s="230"/>
      <c r="C84" s="230"/>
      <c r="D84" s="230"/>
      <c r="E84" s="231" t="s">
        <v>123</v>
      </c>
      <c r="F84" s="231"/>
      <c r="G84" s="231"/>
      <c r="H84" s="231"/>
      <c r="I84" s="231"/>
      <c r="J84" s="230" t="s">
        <v>80</v>
      </c>
      <c r="K84" s="230"/>
      <c r="L84" s="230"/>
      <c r="M84" s="230"/>
      <c r="N84" s="230"/>
      <c r="O84" s="328"/>
    </row>
    <row r="85" spans="1:20" s="2" customFormat="1" ht="17.399999999999999" customHeight="1">
      <c r="A85" s="155" t="s">
        <v>127</v>
      </c>
      <c r="B85" s="156"/>
      <c r="C85" s="156"/>
      <c r="D85" s="157"/>
      <c r="E85" s="231"/>
      <c r="F85" s="231"/>
      <c r="G85" s="231"/>
      <c r="H85" s="231"/>
      <c r="I85" s="231"/>
      <c r="J85" s="183" t="s">
        <v>90</v>
      </c>
      <c r="K85" s="183"/>
      <c r="L85" s="183"/>
      <c r="M85" s="183"/>
      <c r="N85" s="183"/>
      <c r="O85" s="328"/>
    </row>
    <row r="86" spans="1:20" s="2" customFormat="1" ht="17.399999999999999" customHeight="1">
      <c r="A86" s="184" t="s">
        <v>143</v>
      </c>
      <c r="B86" s="184"/>
      <c r="C86" s="184"/>
      <c r="D86" s="184"/>
      <c r="E86" s="231"/>
      <c r="F86" s="231"/>
      <c r="G86" s="231"/>
      <c r="H86" s="231"/>
      <c r="I86" s="231"/>
      <c r="J86" s="184" t="s">
        <v>133</v>
      </c>
      <c r="K86" s="184"/>
      <c r="L86" s="184"/>
      <c r="M86" s="184"/>
      <c r="N86" s="184"/>
      <c r="O86" s="252"/>
      <c r="P86" s="252"/>
      <c r="Q86" s="252"/>
      <c r="R86" s="252"/>
    </row>
    <row r="87" spans="1:20" ht="17.399999999999999" customHeight="1">
      <c r="A87" s="195" t="s">
        <v>106</v>
      </c>
      <c r="B87" s="196"/>
      <c r="C87" s="197"/>
      <c r="D87" s="104">
        <v>62</v>
      </c>
      <c r="E87" s="8"/>
      <c r="F87" s="152"/>
      <c r="G87" s="152"/>
      <c r="H87" s="152"/>
      <c r="I87" s="152"/>
      <c r="J87" s="152"/>
      <c r="K87" s="152"/>
      <c r="L87" s="152"/>
      <c r="M87" s="152"/>
      <c r="N87" s="152"/>
      <c r="O87" s="327"/>
      <c r="P87" s="327"/>
      <c r="T87" s="2"/>
    </row>
    <row r="88" spans="1:20" ht="17.399999999999999" customHeight="1">
      <c r="A88" s="159" t="s">
        <v>0</v>
      </c>
      <c r="B88" s="162" t="s">
        <v>19</v>
      </c>
      <c r="C88" s="165" t="s">
        <v>8</v>
      </c>
      <c r="D88" s="165" t="s">
        <v>9</v>
      </c>
      <c r="E88" s="170" t="s">
        <v>11</v>
      </c>
      <c r="F88" s="171"/>
      <c r="G88" s="170" t="s">
        <v>13</v>
      </c>
      <c r="H88" s="171"/>
      <c r="I88" s="174" t="s">
        <v>16</v>
      </c>
      <c r="J88" s="174" t="s">
        <v>39</v>
      </c>
      <c r="K88" s="174" t="s">
        <v>40</v>
      </c>
      <c r="L88" s="174" t="s">
        <v>17</v>
      </c>
      <c r="M88" s="174" t="s">
        <v>48</v>
      </c>
      <c r="N88" s="159" t="s">
        <v>18</v>
      </c>
      <c r="O88" s="329"/>
    </row>
    <row r="89" spans="1:20" ht="17.399999999999999" customHeight="1">
      <c r="A89" s="160"/>
      <c r="B89" s="163"/>
      <c r="C89" s="166"/>
      <c r="D89" s="166"/>
      <c r="E89" s="172"/>
      <c r="F89" s="173"/>
      <c r="G89" s="172"/>
      <c r="H89" s="173"/>
      <c r="I89" s="175"/>
      <c r="J89" s="175"/>
      <c r="K89" s="175"/>
      <c r="L89" s="175"/>
      <c r="M89" s="175"/>
      <c r="N89" s="160"/>
      <c r="O89" s="148"/>
    </row>
    <row r="90" spans="1:20" ht="17.399999999999999" customHeight="1">
      <c r="A90" s="160"/>
      <c r="B90" s="163"/>
      <c r="C90" s="166"/>
      <c r="D90" s="166"/>
      <c r="E90" s="174" t="s">
        <v>10</v>
      </c>
      <c r="F90" s="174" t="s">
        <v>12</v>
      </c>
      <c r="G90" s="174" t="s">
        <v>14</v>
      </c>
      <c r="H90" s="174" t="s">
        <v>15</v>
      </c>
      <c r="I90" s="175"/>
      <c r="J90" s="175"/>
      <c r="K90" s="175"/>
      <c r="L90" s="175"/>
      <c r="M90" s="175"/>
      <c r="N90" s="160"/>
      <c r="O90" s="148"/>
    </row>
    <row r="91" spans="1:20" ht="17.399999999999999" customHeight="1">
      <c r="A91" s="161"/>
      <c r="B91" s="164"/>
      <c r="C91" s="167"/>
      <c r="D91" s="167"/>
      <c r="E91" s="176"/>
      <c r="F91" s="176"/>
      <c r="G91" s="176"/>
      <c r="H91" s="176"/>
      <c r="I91" s="176"/>
      <c r="J91" s="176"/>
      <c r="K91" s="176"/>
      <c r="L91" s="176"/>
      <c r="M91" s="176"/>
      <c r="N91" s="161"/>
      <c r="O91" s="148"/>
    </row>
    <row r="92" spans="1:20" ht="18.600000000000001" customHeight="1">
      <c r="A92" s="237" t="s">
        <v>38</v>
      </c>
      <c r="B92" s="238"/>
      <c r="C92" s="238"/>
      <c r="D92" s="238"/>
      <c r="E92" s="238"/>
      <c r="F92" s="238"/>
      <c r="G92" s="238"/>
      <c r="H92" s="238"/>
      <c r="I92" s="238"/>
      <c r="J92" s="238"/>
      <c r="K92" s="238"/>
      <c r="L92" s="238"/>
      <c r="M92" s="238"/>
      <c r="N92" s="239"/>
      <c r="O92" s="148"/>
    </row>
    <row r="93" spans="1:20" s="2" customFormat="1" ht="18.600000000000001" customHeight="1">
      <c r="A93" s="9">
        <v>1</v>
      </c>
      <c r="B93" s="10" t="s">
        <v>2</v>
      </c>
      <c r="C93" s="18">
        <f>L93/100*100</f>
        <v>80</v>
      </c>
      <c r="D93" s="19">
        <f>C93/100*60</f>
        <v>48</v>
      </c>
      <c r="E93" s="20">
        <f>C93/100*15</f>
        <v>12</v>
      </c>
      <c r="F93" s="20"/>
      <c r="G93" s="20"/>
      <c r="H93" s="20"/>
      <c r="I93" s="20"/>
      <c r="J93" s="22">
        <f>C93/100*387</f>
        <v>309.60000000000002</v>
      </c>
      <c r="K93" s="22">
        <f>C93/100*0.09</f>
        <v>7.1999999999999995E-2</v>
      </c>
      <c r="L93" s="110">
        <v>80</v>
      </c>
      <c r="M93" s="56">
        <v>20</v>
      </c>
      <c r="N93" s="23">
        <f>L93*M93</f>
        <v>1600</v>
      </c>
      <c r="O93" s="126"/>
    </row>
    <row r="94" spans="1:20" s="2" customFormat="1" ht="18.600000000000001" customHeight="1">
      <c r="A94" s="9">
        <v>2</v>
      </c>
      <c r="B94" s="121" t="s">
        <v>119</v>
      </c>
      <c r="C94" s="18">
        <f>L94/100*100</f>
        <v>320</v>
      </c>
      <c r="D94" s="19">
        <f>C94/100*899</f>
        <v>2876.8</v>
      </c>
      <c r="E94" s="20"/>
      <c r="F94" s="20"/>
      <c r="G94" s="20">
        <f>C94/100*100</f>
        <v>320</v>
      </c>
      <c r="H94" s="20"/>
      <c r="I94" s="20"/>
      <c r="J94" s="20"/>
      <c r="K94" s="20"/>
      <c r="L94" s="110">
        <v>320</v>
      </c>
      <c r="M94" s="19">
        <v>69</v>
      </c>
      <c r="N94" s="23">
        <f t="shared" ref="N94:N103" si="6">L94*M94</f>
        <v>22080</v>
      </c>
      <c r="O94" s="334"/>
    </row>
    <row r="95" spans="1:20" s="2" customFormat="1" ht="18.600000000000001" customHeight="1">
      <c r="A95" s="9">
        <v>3</v>
      </c>
      <c r="B95" s="121" t="s">
        <v>121</v>
      </c>
      <c r="C95" s="18">
        <f>L95/100*100</f>
        <v>150</v>
      </c>
      <c r="D95" s="98">
        <f>C95/100*900</f>
        <v>1350</v>
      </c>
      <c r="E95" s="20"/>
      <c r="F95" s="20"/>
      <c r="G95" s="97"/>
      <c r="H95" s="20">
        <f>C95/100*100</f>
        <v>150</v>
      </c>
      <c r="I95" s="20"/>
      <c r="J95" s="20"/>
      <c r="K95" s="20"/>
      <c r="L95" s="110">
        <v>150</v>
      </c>
      <c r="M95" s="56">
        <v>65</v>
      </c>
      <c r="N95" s="23">
        <f t="shared" si="6"/>
        <v>9750</v>
      </c>
      <c r="O95" s="334"/>
    </row>
    <row r="96" spans="1:20" s="2" customFormat="1" ht="18.600000000000001" customHeight="1">
      <c r="A96" s="9">
        <v>3</v>
      </c>
      <c r="B96" s="122" t="s">
        <v>1</v>
      </c>
      <c r="C96" s="18">
        <f>L96/100*100</f>
        <v>2666</v>
      </c>
      <c r="D96" s="98">
        <f>C96/100*353.1</f>
        <v>9413.6460000000006</v>
      </c>
      <c r="E96" s="20"/>
      <c r="F96" s="97">
        <f>C96/100*7.9</f>
        <v>210.614</v>
      </c>
      <c r="G96" s="20"/>
      <c r="H96" s="20">
        <f>C96/100*1</f>
        <v>26.66</v>
      </c>
      <c r="I96" s="97">
        <f>C96/100*75.9</f>
        <v>2023.4940000000001</v>
      </c>
      <c r="J96" s="22">
        <f>C96/100*30</f>
        <v>799.8</v>
      </c>
      <c r="K96" s="22">
        <f>C96/100*0.1</f>
        <v>2.6660000000000004</v>
      </c>
      <c r="L96" s="330">
        <v>2666</v>
      </c>
      <c r="M96" s="56">
        <v>18</v>
      </c>
      <c r="N96" s="23">
        <f t="shared" si="6"/>
        <v>47988</v>
      </c>
      <c r="O96" s="126"/>
    </row>
    <row r="97" spans="1:23" s="2" customFormat="1" ht="18.600000000000001" customHeight="1">
      <c r="A97" s="9">
        <v>4</v>
      </c>
      <c r="B97" s="121" t="s">
        <v>5</v>
      </c>
      <c r="C97" s="18">
        <f>L97/100*90</f>
        <v>11.700000000000001</v>
      </c>
      <c r="D97" s="19">
        <f>C97/100*281</f>
        <v>32.877000000000002</v>
      </c>
      <c r="E97" s="20"/>
      <c r="F97" s="20">
        <f>C97/100*9.5</f>
        <v>1.1115000000000002</v>
      </c>
      <c r="G97" s="20"/>
      <c r="H97" s="20">
        <f>C97/100*0.2</f>
        <v>2.3400000000000004E-2</v>
      </c>
      <c r="I97" s="20">
        <f>C97/100*58.5</f>
        <v>6.8445</v>
      </c>
      <c r="J97" s="22">
        <f>C97/100*321.3</f>
        <v>37.592100000000002</v>
      </c>
      <c r="K97" s="22">
        <f>C97/100*0.14</f>
        <v>1.6380000000000002E-2</v>
      </c>
      <c r="L97" s="110">
        <v>13</v>
      </c>
      <c r="M97" s="56">
        <v>120</v>
      </c>
      <c r="N97" s="23">
        <f t="shared" si="6"/>
        <v>1560</v>
      </c>
      <c r="O97" s="126"/>
    </row>
    <row r="98" spans="1:23" s="2" customFormat="1" ht="18.600000000000001" customHeight="1">
      <c r="A98" s="9">
        <v>5</v>
      </c>
      <c r="B98" s="121" t="s">
        <v>63</v>
      </c>
      <c r="C98" s="18">
        <f>L98/100*90</f>
        <v>13.5</v>
      </c>
      <c r="D98" s="19">
        <f>C98/100*253</f>
        <v>34.155000000000001</v>
      </c>
      <c r="E98" s="20"/>
      <c r="F98" s="20">
        <f>C98/100*32.4</f>
        <v>4.3739999999999997</v>
      </c>
      <c r="G98" s="20"/>
      <c r="H98" s="20">
        <f>C98/100*3.6</f>
        <v>0.48600000000000004</v>
      </c>
      <c r="I98" s="20">
        <f>C98/100*21.1</f>
        <v>2.8485000000000005</v>
      </c>
      <c r="J98" s="22">
        <f>C98/100*165.6</f>
        <v>22.356000000000002</v>
      </c>
      <c r="K98" s="22">
        <f>C98/100*0.14</f>
        <v>1.8900000000000004E-2</v>
      </c>
      <c r="L98" s="110">
        <v>15</v>
      </c>
      <c r="M98" s="56">
        <v>275</v>
      </c>
      <c r="N98" s="23">
        <f t="shared" si="6"/>
        <v>4125</v>
      </c>
      <c r="O98" s="126"/>
    </row>
    <row r="99" spans="1:23" s="2" customFormat="1" ht="18.600000000000001" customHeight="1">
      <c r="A99" s="9">
        <v>7</v>
      </c>
      <c r="B99" s="122" t="s">
        <v>56</v>
      </c>
      <c r="C99" s="18">
        <f>L99/100*86</f>
        <v>696.6</v>
      </c>
      <c r="D99" s="19">
        <f>C99/100*166</f>
        <v>1156.356</v>
      </c>
      <c r="E99" s="20">
        <f>C99/100*14.8</f>
        <v>103.0968</v>
      </c>
      <c r="F99" s="20"/>
      <c r="G99" s="20">
        <f>C99/100*11.6</f>
        <v>80.805599999999998</v>
      </c>
      <c r="H99" s="20"/>
      <c r="I99" s="20">
        <f>C99/100*0.5</f>
        <v>3.4830000000000001</v>
      </c>
      <c r="J99" s="22">
        <f>C99/100*55</f>
        <v>383.13</v>
      </c>
      <c r="K99" s="22">
        <f>C99/100*0.16</f>
        <v>1.11456</v>
      </c>
      <c r="L99" s="110">
        <v>810</v>
      </c>
      <c r="M99" s="56">
        <v>57</v>
      </c>
      <c r="N99" s="23">
        <f t="shared" si="6"/>
        <v>46170</v>
      </c>
      <c r="O99" s="126"/>
      <c r="Q99" s="3"/>
      <c r="R99" s="3"/>
      <c r="S99" s="4"/>
    </row>
    <row r="100" spans="1:23" s="2" customFormat="1" ht="18.600000000000001" customHeight="1">
      <c r="A100" s="9">
        <v>8</v>
      </c>
      <c r="B100" s="121" t="s">
        <v>64</v>
      </c>
      <c r="C100" s="18">
        <f>L100/100*98</f>
        <v>1577.8000000000002</v>
      </c>
      <c r="D100" s="19">
        <f>C100/100*139</f>
        <v>2193.1420000000003</v>
      </c>
      <c r="E100" s="20">
        <f>C100/100*19</f>
        <v>299.78200000000004</v>
      </c>
      <c r="F100" s="20"/>
      <c r="G100" s="20">
        <f>C100/100*7</f>
        <v>110.44600000000001</v>
      </c>
      <c r="H100" s="20"/>
      <c r="I100" s="20"/>
      <c r="J100" s="22">
        <f>C100/100*7</f>
        <v>110.44600000000001</v>
      </c>
      <c r="K100" s="22">
        <f>C100/100*0.9</f>
        <v>14.200200000000002</v>
      </c>
      <c r="L100" s="110">
        <v>1610</v>
      </c>
      <c r="M100" s="56">
        <v>133</v>
      </c>
      <c r="N100" s="23">
        <f t="shared" si="6"/>
        <v>214130</v>
      </c>
      <c r="O100" s="126"/>
    </row>
    <row r="101" spans="1:23" s="2" customFormat="1" ht="18.600000000000001" customHeight="1">
      <c r="A101" s="9">
        <v>9</v>
      </c>
      <c r="B101" s="122" t="s">
        <v>85</v>
      </c>
      <c r="C101" s="18">
        <f>L101/100*90</f>
        <v>513</v>
      </c>
      <c r="D101" s="19">
        <f>C101/100*90</f>
        <v>461.7</v>
      </c>
      <c r="E101" s="20">
        <f>C101/100*18.4</f>
        <v>94.391999999999996</v>
      </c>
      <c r="F101" s="20"/>
      <c r="G101" s="20">
        <f>C101/100*1.8</f>
        <v>9.234</v>
      </c>
      <c r="H101" s="20"/>
      <c r="I101" s="20"/>
      <c r="J101" s="62">
        <f>C101/100*1120</f>
        <v>5745.5999999999995</v>
      </c>
      <c r="K101" s="22">
        <f>C101/100*0.02</f>
        <v>0.1026</v>
      </c>
      <c r="L101" s="110">
        <v>570</v>
      </c>
      <c r="M101" s="21">
        <v>260</v>
      </c>
      <c r="N101" s="102">
        <f t="shared" si="6"/>
        <v>148200</v>
      </c>
      <c r="O101" s="126"/>
      <c r="Q101" s="3"/>
      <c r="R101" s="3"/>
      <c r="S101" s="4"/>
    </row>
    <row r="102" spans="1:23" s="2" customFormat="1" ht="18" customHeight="1">
      <c r="A102" s="9">
        <v>10</v>
      </c>
      <c r="B102" s="5" t="s">
        <v>142</v>
      </c>
      <c r="C102" s="18">
        <f>L102/100*90</f>
        <v>1565.9999999999998</v>
      </c>
      <c r="D102" s="19">
        <f>C102/100*29</f>
        <v>454.13999999999993</v>
      </c>
      <c r="E102" s="20"/>
      <c r="F102" s="20">
        <f>C102/100*1.8</f>
        <v>28.187999999999999</v>
      </c>
      <c r="G102" s="20"/>
      <c r="H102" s="20">
        <f>C102/100*0.1</f>
        <v>1.5659999999999998</v>
      </c>
      <c r="I102" s="20">
        <f>C102/100*5.3</f>
        <v>82.99799999999999</v>
      </c>
      <c r="J102" s="20">
        <f>C102/100*48</f>
        <v>751.68</v>
      </c>
      <c r="K102" s="20">
        <f>C102/100*0.05</f>
        <v>0.78299999999999992</v>
      </c>
      <c r="L102" s="110">
        <v>1740</v>
      </c>
      <c r="M102" s="56">
        <v>13</v>
      </c>
      <c r="N102" s="23">
        <f t="shared" si="6"/>
        <v>22620</v>
      </c>
      <c r="O102" s="126"/>
    </row>
    <row r="103" spans="1:23" s="2" customFormat="1" ht="18.600000000000001" customHeight="1">
      <c r="A103" s="9">
        <v>11</v>
      </c>
      <c r="B103" s="5" t="s">
        <v>116</v>
      </c>
      <c r="C103" s="18">
        <f>L103/100*100</f>
        <v>50</v>
      </c>
      <c r="D103" s="19">
        <f>C103/100*247</f>
        <v>123.5</v>
      </c>
      <c r="E103" s="24"/>
      <c r="F103" s="24">
        <f>C103/100*17.5</f>
        <v>8.75</v>
      </c>
      <c r="G103" s="24"/>
      <c r="H103" s="24">
        <f>C103/100*1.6</f>
        <v>0.8</v>
      </c>
      <c r="I103" s="24">
        <f>C103/100*39.2</f>
        <v>19.600000000000001</v>
      </c>
      <c r="J103" s="52"/>
      <c r="K103" s="52"/>
      <c r="L103" s="331">
        <v>50</v>
      </c>
      <c r="M103" s="56">
        <v>50</v>
      </c>
      <c r="N103" s="23">
        <f t="shared" si="6"/>
        <v>2500</v>
      </c>
      <c r="O103" s="126"/>
      <c r="Q103" s="3"/>
      <c r="R103" s="3"/>
      <c r="S103" s="4"/>
      <c r="T103" s="3"/>
    </row>
    <row r="104" spans="1:23" s="2" customFormat="1" ht="18.600000000000001" customHeight="1">
      <c r="A104" s="9">
        <v>12</v>
      </c>
      <c r="B104" s="6" t="s">
        <v>107</v>
      </c>
      <c r="C104" s="18"/>
      <c r="D104" s="112"/>
      <c r="E104" s="20"/>
      <c r="F104" s="20"/>
      <c r="G104" s="20"/>
      <c r="H104" s="20"/>
      <c r="I104" s="20"/>
      <c r="J104" s="22"/>
      <c r="K104" s="22"/>
      <c r="L104" s="21"/>
      <c r="M104" s="21"/>
      <c r="N104" s="23">
        <v>4200</v>
      </c>
      <c r="O104" s="126"/>
    </row>
    <row r="105" spans="1:23" s="2" customFormat="1" ht="18.600000000000001" customHeight="1">
      <c r="A105" s="16" t="s">
        <v>102</v>
      </c>
      <c r="B105" s="17"/>
      <c r="C105" s="26"/>
      <c r="D105" s="99">
        <f>SUM(D93:D104)</f>
        <v>18144.316000000003</v>
      </c>
      <c r="E105" s="31"/>
      <c r="F105" s="31"/>
      <c r="G105" s="31"/>
      <c r="H105" s="31"/>
      <c r="I105" s="31"/>
      <c r="J105" s="31"/>
      <c r="K105" s="31"/>
      <c r="L105" s="32"/>
      <c r="M105" s="235"/>
      <c r="N105" s="258">
        <f>SUM(N93:N104)</f>
        <v>524923</v>
      </c>
      <c r="O105" s="126"/>
    </row>
    <row r="106" spans="1:23" ht="18.600000000000001" customHeight="1">
      <c r="A106" s="16" t="s">
        <v>36</v>
      </c>
      <c r="B106" s="17"/>
      <c r="C106" s="33"/>
      <c r="D106" s="34">
        <f>D105/D87</f>
        <v>292.65025806451615</v>
      </c>
      <c r="E106" s="34"/>
      <c r="F106" s="34"/>
      <c r="G106" s="34"/>
      <c r="H106" s="34"/>
      <c r="I106" s="34"/>
      <c r="J106" s="34"/>
      <c r="K106" s="34"/>
      <c r="L106" s="35"/>
      <c r="M106" s="236"/>
      <c r="N106" s="259"/>
      <c r="O106" s="359"/>
      <c r="P106" s="2"/>
      <c r="Q106" s="2"/>
      <c r="R106" s="2"/>
      <c r="S106" s="2"/>
      <c r="T106" s="2"/>
      <c r="U106" s="2"/>
      <c r="V106" s="2"/>
    </row>
    <row r="107" spans="1:23" ht="18.600000000000001" customHeight="1">
      <c r="A107" s="210" t="s">
        <v>46</v>
      </c>
      <c r="B107" s="211"/>
      <c r="C107" s="333" t="s">
        <v>125</v>
      </c>
      <c r="D107" s="15" t="s">
        <v>41</v>
      </c>
      <c r="E107" s="34"/>
      <c r="F107" s="34"/>
      <c r="G107" s="34"/>
      <c r="H107" s="34"/>
      <c r="I107" s="34"/>
      <c r="J107" s="36"/>
      <c r="K107" s="36"/>
      <c r="L107" s="35"/>
      <c r="M107" s="35"/>
      <c r="N107" s="149"/>
      <c r="O107" s="4"/>
      <c r="P107" s="2"/>
      <c r="Q107" s="2"/>
      <c r="R107" s="2"/>
      <c r="S107" s="2"/>
      <c r="T107" s="2"/>
      <c r="U107" s="2"/>
      <c r="V107" s="2"/>
      <c r="W107" s="2"/>
    </row>
    <row r="108" spans="1:23" ht="18.600000000000001" customHeight="1">
      <c r="A108" s="212"/>
      <c r="B108" s="213"/>
      <c r="C108" s="57" t="s">
        <v>53</v>
      </c>
      <c r="D108" s="59">
        <f>D106*100/930</f>
        <v>31.467769684356576</v>
      </c>
      <c r="E108" s="34"/>
      <c r="F108" s="34"/>
      <c r="G108" s="34"/>
      <c r="H108" s="34"/>
      <c r="I108" s="34"/>
      <c r="J108" s="36"/>
      <c r="K108" s="36"/>
      <c r="L108" s="35"/>
      <c r="M108" s="35"/>
      <c r="N108" s="149"/>
      <c r="O108" s="4"/>
      <c r="P108" s="2"/>
      <c r="Q108" s="2"/>
      <c r="R108" s="2"/>
      <c r="S108" s="2"/>
      <c r="T108" s="2"/>
      <c r="U108" s="2"/>
      <c r="V108" s="2"/>
      <c r="W108" s="2"/>
    </row>
    <row r="109" spans="1:23" s="2" customFormat="1" ht="18.600000000000001" customHeight="1">
      <c r="A109" s="247" t="s">
        <v>37</v>
      </c>
      <c r="B109" s="247"/>
      <c r="C109" s="40"/>
      <c r="D109" s="41"/>
      <c r="E109" s="42"/>
      <c r="F109" s="42"/>
      <c r="G109" s="42"/>
      <c r="H109" s="42"/>
      <c r="I109" s="42"/>
      <c r="J109" s="42"/>
      <c r="K109" s="42"/>
      <c r="L109" s="43"/>
      <c r="M109" s="43"/>
      <c r="N109" s="44"/>
      <c r="O109" s="126"/>
    </row>
    <row r="110" spans="1:23" s="2" customFormat="1" ht="18.600000000000001" customHeight="1">
      <c r="A110" s="9">
        <v>1</v>
      </c>
      <c r="B110" s="10" t="s">
        <v>2</v>
      </c>
      <c r="C110" s="18">
        <f>L110/100*100</f>
        <v>80</v>
      </c>
      <c r="D110" s="19">
        <f>C110/100*60</f>
        <v>48</v>
      </c>
      <c r="E110" s="20">
        <f>C110/100*15</f>
        <v>12</v>
      </c>
      <c r="F110" s="20"/>
      <c r="G110" s="20"/>
      <c r="H110" s="20"/>
      <c r="I110" s="20"/>
      <c r="J110" s="22">
        <f>C110/100*387</f>
        <v>309.60000000000002</v>
      </c>
      <c r="K110" s="22">
        <f>C110/100*0.09</f>
        <v>7.1999999999999995E-2</v>
      </c>
      <c r="L110" s="110">
        <v>80</v>
      </c>
      <c r="M110" s="56">
        <v>20</v>
      </c>
      <c r="N110" s="23">
        <f>L110*M110</f>
        <v>1600</v>
      </c>
      <c r="O110" s="126"/>
    </row>
    <row r="111" spans="1:23" s="2" customFormat="1" ht="18.600000000000001" customHeight="1">
      <c r="A111" s="9">
        <v>2</v>
      </c>
      <c r="B111" s="10" t="s">
        <v>119</v>
      </c>
      <c r="C111" s="18">
        <f>L111/100*100</f>
        <v>250</v>
      </c>
      <c r="D111" s="19">
        <f>C111/100*899</f>
        <v>2247.5</v>
      </c>
      <c r="E111" s="20"/>
      <c r="F111" s="20"/>
      <c r="G111" s="20">
        <f>C111/100*100</f>
        <v>250</v>
      </c>
      <c r="H111" s="20"/>
      <c r="I111" s="20"/>
      <c r="J111" s="22"/>
      <c r="K111" s="22"/>
      <c r="L111" s="110">
        <v>250</v>
      </c>
      <c r="M111" s="56">
        <v>69</v>
      </c>
      <c r="N111" s="23">
        <f t="shared" ref="N111" si="7">L111*M111</f>
        <v>17250</v>
      </c>
      <c r="O111" s="126"/>
    </row>
    <row r="112" spans="1:23" s="2" customFormat="1" ht="18.600000000000001" customHeight="1">
      <c r="A112" s="9">
        <v>3</v>
      </c>
      <c r="B112" s="5" t="s">
        <v>1</v>
      </c>
      <c r="C112" s="18">
        <f>L112/100*100</f>
        <v>2604</v>
      </c>
      <c r="D112" s="19">
        <f>C112/100*353.1</f>
        <v>9194.7240000000002</v>
      </c>
      <c r="E112" s="20"/>
      <c r="F112" s="20">
        <f>C112/100*7.9</f>
        <v>205.71600000000001</v>
      </c>
      <c r="G112" s="20"/>
      <c r="H112" s="20">
        <f>C112/100*1</f>
        <v>26.04</v>
      </c>
      <c r="I112" s="20">
        <f>C112/100*75.9</f>
        <v>1976.4360000000001</v>
      </c>
      <c r="J112" s="22">
        <f>C112/100*30</f>
        <v>781.19999999999993</v>
      </c>
      <c r="K112" s="22">
        <f>C112/100*0.1</f>
        <v>2.6040000000000001</v>
      </c>
      <c r="L112" s="110">
        <v>2604</v>
      </c>
      <c r="M112" s="56">
        <v>18</v>
      </c>
      <c r="N112" s="23">
        <f t="shared" ref="N112:N117" si="8">L112*M112</f>
        <v>46872</v>
      </c>
      <c r="O112" s="126"/>
    </row>
    <row r="113" spans="1:23" s="2" customFormat="1" ht="18.600000000000001" customHeight="1">
      <c r="A113" s="9">
        <v>4</v>
      </c>
      <c r="B113" s="5" t="s">
        <v>116</v>
      </c>
      <c r="C113" s="18">
        <f>L113/100*100</f>
        <v>50</v>
      </c>
      <c r="D113" s="19">
        <f>C113/100*247</f>
        <v>123.5</v>
      </c>
      <c r="E113" s="24"/>
      <c r="F113" s="24">
        <f>C113/100*17.5</f>
        <v>8.75</v>
      </c>
      <c r="G113" s="24"/>
      <c r="H113" s="24">
        <f>C113/100*1.6</f>
        <v>0.8</v>
      </c>
      <c r="I113" s="24">
        <f>C113/100*39.2</f>
        <v>19.600000000000001</v>
      </c>
      <c r="J113" s="52"/>
      <c r="K113" s="52"/>
      <c r="L113" s="331">
        <v>50</v>
      </c>
      <c r="M113" s="56">
        <v>50</v>
      </c>
      <c r="N113" s="23">
        <f t="shared" si="8"/>
        <v>2500</v>
      </c>
      <c r="O113" s="126"/>
      <c r="Q113" s="3"/>
      <c r="R113" s="3"/>
      <c r="S113" s="4"/>
      <c r="T113" s="3"/>
    </row>
    <row r="114" spans="1:23" s="2" customFormat="1" ht="18.600000000000001" customHeight="1">
      <c r="A114" s="9">
        <v>5</v>
      </c>
      <c r="B114" s="10" t="s">
        <v>63</v>
      </c>
      <c r="C114" s="18">
        <f>L114/100*90</f>
        <v>13.5</v>
      </c>
      <c r="D114" s="19">
        <f>C114/100*253</f>
        <v>34.155000000000001</v>
      </c>
      <c r="E114" s="20"/>
      <c r="F114" s="20">
        <f>C114/100*32.4</f>
        <v>4.3739999999999997</v>
      </c>
      <c r="G114" s="20"/>
      <c r="H114" s="20">
        <f>C114/100*3.6</f>
        <v>0.48600000000000004</v>
      </c>
      <c r="I114" s="20">
        <f>C114/100*21.1</f>
        <v>2.8485000000000005</v>
      </c>
      <c r="J114" s="22">
        <f>C114/100*165.6</f>
        <v>22.356000000000002</v>
      </c>
      <c r="K114" s="22">
        <f>C114/100*0.14</f>
        <v>1.8900000000000004E-2</v>
      </c>
      <c r="L114" s="110">
        <v>15</v>
      </c>
      <c r="M114" s="56">
        <v>275</v>
      </c>
      <c r="N114" s="23">
        <f t="shared" si="8"/>
        <v>4125</v>
      </c>
      <c r="O114" s="126"/>
    </row>
    <row r="115" spans="1:23" s="2" customFormat="1" ht="18.600000000000001" customHeight="1">
      <c r="A115" s="9">
        <v>6</v>
      </c>
      <c r="B115" s="5" t="s">
        <v>66</v>
      </c>
      <c r="C115" s="18">
        <f>L115/100*75</f>
        <v>1485</v>
      </c>
      <c r="D115" s="19">
        <f>C115/100*12</f>
        <v>178.2</v>
      </c>
      <c r="E115" s="20"/>
      <c r="F115" s="20">
        <f>C115/100*0.6</f>
        <v>8.91</v>
      </c>
      <c r="G115" s="20"/>
      <c r="H115" s="20"/>
      <c r="I115" s="20">
        <f>C115/100*2.4</f>
        <v>35.64</v>
      </c>
      <c r="J115" s="20">
        <f>C115/100*26</f>
        <v>386.09999999999997</v>
      </c>
      <c r="K115" s="20">
        <f>C115/100*0.02</f>
        <v>0.29699999999999999</v>
      </c>
      <c r="L115" s="110">
        <v>1980</v>
      </c>
      <c r="M115" s="56">
        <v>22</v>
      </c>
      <c r="N115" s="23">
        <f t="shared" si="8"/>
        <v>43560</v>
      </c>
      <c r="O115" s="126"/>
    </row>
    <row r="116" spans="1:23" s="2" customFormat="1" ht="18.600000000000001" customHeight="1">
      <c r="A116" s="9">
        <v>7</v>
      </c>
      <c r="B116" s="10" t="s">
        <v>64</v>
      </c>
      <c r="C116" s="18">
        <f>L116/100*98</f>
        <v>607.6</v>
      </c>
      <c r="D116" s="19">
        <f>C116/100*139</f>
        <v>844.56400000000008</v>
      </c>
      <c r="E116" s="20">
        <f>C116/100*19</f>
        <v>115.44400000000002</v>
      </c>
      <c r="F116" s="20"/>
      <c r="G116" s="20">
        <f>C116/100*7</f>
        <v>42.532000000000004</v>
      </c>
      <c r="H116" s="20"/>
      <c r="I116" s="20"/>
      <c r="J116" s="22">
        <f>C116/100*7</f>
        <v>42.532000000000004</v>
      </c>
      <c r="K116" s="22">
        <f>C116/100*0.9</f>
        <v>5.4684000000000008</v>
      </c>
      <c r="L116" s="110">
        <v>620</v>
      </c>
      <c r="M116" s="56">
        <v>133</v>
      </c>
      <c r="N116" s="23">
        <f t="shared" si="8"/>
        <v>82460</v>
      </c>
      <c r="O116" s="126"/>
    </row>
    <row r="117" spans="1:23" s="2" customFormat="1" ht="18.600000000000001" customHeight="1">
      <c r="A117" s="9">
        <v>8</v>
      </c>
      <c r="B117" s="10" t="s">
        <v>82</v>
      </c>
      <c r="C117" s="18">
        <f>L117/100*48</f>
        <v>2083.1999999999998</v>
      </c>
      <c r="D117" s="19">
        <f>C117/100*199</f>
        <v>4145.5679999999993</v>
      </c>
      <c r="E117" s="20">
        <f>C117/100*20.3</f>
        <v>422.88959999999997</v>
      </c>
      <c r="F117" s="20"/>
      <c r="G117" s="20">
        <f>C117/100*13.1</f>
        <v>272.89919999999995</v>
      </c>
      <c r="H117" s="20"/>
      <c r="I117" s="20"/>
      <c r="J117" s="22">
        <f>C117/100*12</f>
        <v>249.98399999999998</v>
      </c>
      <c r="K117" s="22">
        <f>C117/100*0.15</f>
        <v>3.1247999999999996</v>
      </c>
      <c r="L117" s="110">
        <v>4340</v>
      </c>
      <c r="M117" s="56">
        <v>84</v>
      </c>
      <c r="N117" s="23">
        <f t="shared" si="8"/>
        <v>364560</v>
      </c>
      <c r="O117" s="126"/>
      <c r="Q117" s="126"/>
    </row>
    <row r="118" spans="1:23" s="2" customFormat="1" ht="18.600000000000001" customHeight="1">
      <c r="A118" s="9">
        <v>9</v>
      </c>
      <c r="B118" s="6" t="s">
        <v>107</v>
      </c>
      <c r="C118" s="18"/>
      <c r="D118" s="112"/>
      <c r="E118" s="20"/>
      <c r="F118" s="20"/>
      <c r="G118" s="20"/>
      <c r="H118" s="20"/>
      <c r="I118" s="20"/>
      <c r="J118" s="22"/>
      <c r="K118" s="22"/>
      <c r="L118" s="21"/>
      <c r="M118" s="21"/>
      <c r="N118" s="23">
        <v>4200</v>
      </c>
      <c r="O118" s="126"/>
    </row>
    <row r="119" spans="1:23" s="2" customFormat="1" ht="18.600000000000001" customHeight="1">
      <c r="A119" s="16" t="s">
        <v>103</v>
      </c>
      <c r="B119" s="17"/>
      <c r="C119" s="26"/>
      <c r="D119" s="99">
        <f>SUM(D110:D118)</f>
        <v>16816.211000000003</v>
      </c>
      <c r="E119" s="31"/>
      <c r="F119" s="31"/>
      <c r="G119" s="31"/>
      <c r="H119" s="31"/>
      <c r="I119" s="31"/>
      <c r="J119" s="31"/>
      <c r="K119" s="31"/>
      <c r="L119" s="32"/>
      <c r="M119" s="235"/>
      <c r="N119" s="258">
        <f>SUM(N110:N118)</f>
        <v>567127</v>
      </c>
      <c r="O119" s="126"/>
    </row>
    <row r="120" spans="1:23" ht="18.600000000000001" customHeight="1">
      <c r="A120" s="16" t="s">
        <v>35</v>
      </c>
      <c r="B120" s="17"/>
      <c r="C120" s="45"/>
      <c r="D120" s="36">
        <f>D119/D87</f>
        <v>271.22920967741942</v>
      </c>
      <c r="E120" s="36"/>
      <c r="F120" s="36"/>
      <c r="G120" s="36"/>
      <c r="H120" s="36"/>
      <c r="I120" s="36"/>
      <c r="J120" s="36"/>
      <c r="K120" s="36"/>
      <c r="L120" s="46"/>
      <c r="M120" s="236"/>
      <c r="N120" s="269"/>
      <c r="O120" s="359"/>
      <c r="P120" s="2"/>
      <c r="Q120" s="2"/>
      <c r="R120" s="2"/>
      <c r="S120" s="2"/>
      <c r="T120" s="2"/>
      <c r="U120" s="2"/>
      <c r="V120" s="2"/>
    </row>
    <row r="121" spans="1:23" ht="18.600000000000001" customHeight="1">
      <c r="A121" s="210" t="s">
        <v>47</v>
      </c>
      <c r="B121" s="211"/>
      <c r="C121" s="333" t="s">
        <v>125</v>
      </c>
      <c r="D121" s="15" t="s">
        <v>42</v>
      </c>
      <c r="E121" s="34"/>
      <c r="F121" s="34"/>
      <c r="G121" s="34"/>
      <c r="H121" s="34"/>
      <c r="I121" s="34"/>
      <c r="J121" s="36"/>
      <c r="K121" s="36"/>
      <c r="L121" s="35"/>
      <c r="M121" s="35"/>
      <c r="N121" s="149"/>
      <c r="O121" s="4"/>
      <c r="P121" s="2"/>
      <c r="Q121" s="2"/>
      <c r="R121" s="2"/>
      <c r="S121" s="2"/>
      <c r="T121" s="2"/>
      <c r="U121" s="2"/>
      <c r="V121" s="2"/>
      <c r="W121" s="2"/>
    </row>
    <row r="122" spans="1:23" ht="18.600000000000001" customHeight="1">
      <c r="A122" s="212"/>
      <c r="B122" s="213"/>
      <c r="C122" s="57" t="s">
        <v>53</v>
      </c>
      <c r="D122" s="59">
        <f>D120*100/930</f>
        <v>29.164431148109614</v>
      </c>
      <c r="E122" s="34"/>
      <c r="F122" s="34"/>
      <c r="G122" s="34"/>
      <c r="H122" s="34"/>
      <c r="I122" s="34"/>
      <c r="J122" s="36"/>
      <c r="K122" s="36"/>
      <c r="L122" s="35"/>
      <c r="M122" s="35"/>
      <c r="N122" s="149"/>
      <c r="O122" s="4"/>
      <c r="P122" s="2"/>
      <c r="Q122" s="2"/>
      <c r="R122" s="2"/>
      <c r="S122" s="2"/>
      <c r="T122" s="2"/>
      <c r="U122" s="2"/>
      <c r="V122" s="2"/>
      <c r="W122" s="2"/>
    </row>
    <row r="123" spans="1:23" ht="18.600000000000001" customHeight="1">
      <c r="A123" s="247" t="s">
        <v>34</v>
      </c>
      <c r="B123" s="247"/>
      <c r="C123" s="47"/>
      <c r="D123" s="48"/>
      <c r="E123" s="48"/>
      <c r="F123" s="48"/>
      <c r="G123" s="48"/>
      <c r="H123" s="48"/>
      <c r="I123" s="48"/>
      <c r="J123" s="48"/>
      <c r="K123" s="48"/>
      <c r="L123" s="49"/>
      <c r="M123" s="49"/>
      <c r="N123" s="50"/>
      <c r="O123" s="359"/>
      <c r="P123" s="2"/>
      <c r="Q123" s="2"/>
      <c r="R123" s="2"/>
      <c r="S123" s="2"/>
      <c r="T123" s="2"/>
      <c r="U123" s="2"/>
      <c r="V123" s="2"/>
    </row>
    <row r="124" spans="1:23" s="2" customFormat="1" ht="18.600000000000001" customHeight="1">
      <c r="A124" s="81">
        <v>1</v>
      </c>
      <c r="B124" s="129" t="s">
        <v>124</v>
      </c>
      <c r="C124" s="82">
        <f>L124/100*100</f>
        <v>1050</v>
      </c>
      <c r="D124" s="83">
        <f>C124/100*487</f>
        <v>5113.5</v>
      </c>
      <c r="E124" s="84"/>
      <c r="F124" s="84">
        <f>C124/100*19.5</f>
        <v>204.75</v>
      </c>
      <c r="G124" s="84"/>
      <c r="H124" s="84">
        <f>C124/100*23.2</f>
        <v>243.6</v>
      </c>
      <c r="I124" s="84">
        <f>C124/100*46</f>
        <v>483</v>
      </c>
      <c r="J124" s="120">
        <f>C124/100*680</f>
        <v>7140</v>
      </c>
      <c r="K124" s="84">
        <f>C124/100*0.55</f>
        <v>5.7750000000000004</v>
      </c>
      <c r="L124" s="85">
        <v>1050</v>
      </c>
      <c r="M124" s="130">
        <v>260</v>
      </c>
      <c r="N124" s="86">
        <f t="shared" ref="N124" si="9">L124*M124</f>
        <v>273000</v>
      </c>
      <c r="O124" s="126"/>
      <c r="P124" s="3"/>
    </row>
    <row r="125" spans="1:23" ht="17.399999999999999" customHeight="1">
      <c r="A125" s="159" t="s">
        <v>0</v>
      </c>
      <c r="B125" s="162" t="s">
        <v>19</v>
      </c>
      <c r="C125" s="165" t="s">
        <v>8</v>
      </c>
      <c r="D125" s="165" t="s">
        <v>9</v>
      </c>
      <c r="E125" s="170" t="s">
        <v>11</v>
      </c>
      <c r="F125" s="171"/>
      <c r="G125" s="170" t="s">
        <v>13</v>
      </c>
      <c r="H125" s="171"/>
      <c r="I125" s="174" t="s">
        <v>16</v>
      </c>
      <c r="J125" s="174" t="s">
        <v>39</v>
      </c>
      <c r="K125" s="174" t="s">
        <v>40</v>
      </c>
      <c r="L125" s="174" t="s">
        <v>17</v>
      </c>
      <c r="M125" s="174" t="s">
        <v>48</v>
      </c>
      <c r="N125" s="159" t="s">
        <v>18</v>
      </c>
      <c r="O125" s="366"/>
    </row>
    <row r="126" spans="1:23" ht="17.399999999999999" customHeight="1">
      <c r="A126" s="160"/>
      <c r="B126" s="163"/>
      <c r="C126" s="166"/>
      <c r="D126" s="166"/>
      <c r="E126" s="172"/>
      <c r="F126" s="173"/>
      <c r="G126" s="172"/>
      <c r="H126" s="173"/>
      <c r="I126" s="175"/>
      <c r="J126" s="175"/>
      <c r="K126" s="175"/>
      <c r="L126" s="175"/>
      <c r="M126" s="175"/>
      <c r="N126" s="160"/>
      <c r="O126" s="148"/>
    </row>
    <row r="127" spans="1:23" ht="17.399999999999999" customHeight="1">
      <c r="A127" s="160"/>
      <c r="B127" s="163"/>
      <c r="C127" s="166"/>
      <c r="D127" s="166"/>
      <c r="E127" s="174" t="s">
        <v>10</v>
      </c>
      <c r="F127" s="174" t="s">
        <v>12</v>
      </c>
      <c r="G127" s="174" t="s">
        <v>14</v>
      </c>
      <c r="H127" s="174" t="s">
        <v>15</v>
      </c>
      <c r="I127" s="175"/>
      <c r="J127" s="175"/>
      <c r="K127" s="175"/>
      <c r="L127" s="175"/>
      <c r="M127" s="175"/>
      <c r="N127" s="160"/>
      <c r="O127" s="148"/>
    </row>
    <row r="128" spans="1:23" ht="17.399999999999999" customHeight="1">
      <c r="A128" s="161"/>
      <c r="B128" s="164"/>
      <c r="C128" s="167"/>
      <c r="D128" s="167"/>
      <c r="E128" s="176"/>
      <c r="F128" s="176"/>
      <c r="G128" s="176"/>
      <c r="H128" s="176"/>
      <c r="I128" s="176"/>
      <c r="J128" s="176"/>
      <c r="K128" s="176"/>
      <c r="L128" s="176"/>
      <c r="M128" s="176"/>
      <c r="N128" s="161"/>
      <c r="O128" s="148"/>
    </row>
    <row r="129" spans="1:23" s="2" customFormat="1" ht="18" customHeight="1">
      <c r="A129" s="16" t="s">
        <v>94</v>
      </c>
      <c r="B129" s="17"/>
      <c r="C129" s="26"/>
      <c r="D129" s="27">
        <f>SUM(D123:D124)</f>
        <v>5113.5</v>
      </c>
      <c r="E129" s="31"/>
      <c r="F129" s="31"/>
      <c r="G129" s="31"/>
      <c r="H129" s="31"/>
      <c r="I129" s="31"/>
      <c r="J129" s="31"/>
      <c r="K129" s="31"/>
      <c r="L129" s="32"/>
      <c r="M129" s="235"/>
      <c r="N129" s="258">
        <f>SUM(N123:N124)</f>
        <v>273000</v>
      </c>
      <c r="O129" s="126"/>
    </row>
    <row r="130" spans="1:23" ht="18" customHeight="1">
      <c r="A130" s="16" t="s">
        <v>7</v>
      </c>
      <c r="B130" s="17"/>
      <c r="C130" s="33"/>
      <c r="D130" s="34">
        <f>D129/D87</f>
        <v>82.475806451612897</v>
      </c>
      <c r="E130" s="34"/>
      <c r="F130" s="34"/>
      <c r="G130" s="34"/>
      <c r="H130" s="34"/>
      <c r="I130" s="34"/>
      <c r="J130" s="34"/>
      <c r="K130" s="34"/>
      <c r="L130" s="35"/>
      <c r="M130" s="236"/>
      <c r="N130" s="259"/>
      <c r="O130" s="359"/>
      <c r="P130" s="2"/>
      <c r="Q130" s="2"/>
      <c r="R130" s="2"/>
      <c r="S130" s="2"/>
      <c r="T130" s="2"/>
      <c r="U130" s="2"/>
      <c r="V130" s="2"/>
    </row>
    <row r="131" spans="1:23" ht="18" customHeight="1">
      <c r="A131" s="210" t="s">
        <v>45</v>
      </c>
      <c r="B131" s="211"/>
      <c r="C131" s="333" t="s">
        <v>125</v>
      </c>
      <c r="D131" s="15" t="s">
        <v>43</v>
      </c>
      <c r="E131" s="34"/>
      <c r="F131" s="34"/>
      <c r="G131" s="34"/>
      <c r="H131" s="34"/>
      <c r="I131" s="34"/>
      <c r="J131" s="36"/>
      <c r="K131" s="36"/>
      <c r="L131" s="35"/>
      <c r="M131" s="35"/>
      <c r="N131" s="149"/>
      <c r="O131" s="4"/>
      <c r="P131" s="2"/>
      <c r="Q131" s="2"/>
      <c r="R131" s="2"/>
      <c r="S131" s="2"/>
      <c r="T131" s="2"/>
      <c r="U131" s="2"/>
      <c r="V131" s="2"/>
      <c r="W131" s="2"/>
    </row>
    <row r="132" spans="1:23" ht="18" customHeight="1">
      <c r="A132" s="212"/>
      <c r="B132" s="213"/>
      <c r="C132" s="57" t="s">
        <v>53</v>
      </c>
      <c r="D132" s="15">
        <f>D130*100/930</f>
        <v>8.8683662851196665</v>
      </c>
      <c r="E132" s="34"/>
      <c r="F132" s="34"/>
      <c r="G132" s="34"/>
      <c r="H132" s="34"/>
      <c r="I132" s="34"/>
      <c r="J132" s="36"/>
      <c r="K132" s="36"/>
      <c r="L132" s="35"/>
      <c r="M132" s="35"/>
      <c r="N132" s="149"/>
      <c r="O132" s="4"/>
      <c r="P132" s="2"/>
      <c r="Q132" s="2"/>
      <c r="R132" s="2"/>
      <c r="S132" s="2"/>
      <c r="T132" s="2"/>
      <c r="U132" s="2"/>
      <c r="V132" s="2"/>
      <c r="W132" s="2"/>
    </row>
    <row r="133" spans="1:23" ht="18" customHeight="1">
      <c r="A133" s="191" t="s">
        <v>95</v>
      </c>
      <c r="B133" s="192"/>
      <c r="C133" s="214"/>
      <c r="D133" s="266">
        <f>D105+D119+D129</f>
        <v>40074.027000000002</v>
      </c>
      <c r="E133" s="101">
        <f>SUM(E93:E130)</f>
        <v>1059.6043999999999</v>
      </c>
      <c r="F133" s="7">
        <f>SUM(F93:F130)</f>
        <v>685.53750000000014</v>
      </c>
      <c r="G133" s="101">
        <f>SUM(G93:G130)</f>
        <v>1085.9168</v>
      </c>
      <c r="H133" s="7">
        <f>SUM(H93:H130)</f>
        <v>450.46140000000003</v>
      </c>
      <c r="I133" s="242">
        <f>SUM(I93:I130)</f>
        <v>4656.7925000000005</v>
      </c>
      <c r="J133" s="233">
        <f>SUM(J93:J124)</f>
        <v>17091.9761</v>
      </c>
      <c r="K133" s="242">
        <f>SUM(K93:K124)</f>
        <v>36.333739999999999</v>
      </c>
      <c r="L133" s="227"/>
      <c r="M133" s="227"/>
      <c r="N133" s="257">
        <f>N105+N119+N129</f>
        <v>1365050</v>
      </c>
      <c r="U133" s="12"/>
      <c r="V133" s="12"/>
    </row>
    <row r="134" spans="1:23" ht="18" customHeight="1">
      <c r="A134" s="193"/>
      <c r="B134" s="194"/>
      <c r="C134" s="215"/>
      <c r="D134" s="267"/>
      <c r="E134" s="187">
        <f>E133+F133</f>
        <v>1745.1419000000001</v>
      </c>
      <c r="F134" s="188"/>
      <c r="G134" s="187">
        <f>G133+H133</f>
        <v>1536.3782000000001</v>
      </c>
      <c r="H134" s="188"/>
      <c r="I134" s="367"/>
      <c r="J134" s="268"/>
      <c r="K134" s="367"/>
      <c r="L134" s="227"/>
      <c r="M134" s="227"/>
      <c r="N134" s="257"/>
      <c r="P134" s="350"/>
      <c r="Q134" s="351"/>
      <c r="R134" s="351"/>
      <c r="S134" s="351"/>
      <c r="T134" s="351"/>
      <c r="U134" s="352"/>
      <c r="V134" s="352"/>
    </row>
    <row r="135" spans="1:23" ht="18" customHeight="1">
      <c r="A135" s="260" t="s">
        <v>68</v>
      </c>
      <c r="B135" s="261"/>
      <c r="C135" s="262"/>
      <c r="D135" s="111">
        <f>D133/D87</f>
        <v>646.35527419354844</v>
      </c>
      <c r="E135" s="361">
        <f>E133/D87</f>
        <v>17.090393548387095</v>
      </c>
      <c r="F135" s="360">
        <f>F133/D87</f>
        <v>11.057056451612905</v>
      </c>
      <c r="G135" s="361">
        <f>G133/D87</f>
        <v>17.514787096774192</v>
      </c>
      <c r="H135" s="360">
        <f>H133/D87</f>
        <v>7.2655064516129038</v>
      </c>
      <c r="I135" s="244">
        <f>I133/D87</f>
        <v>75.109556451612917</v>
      </c>
      <c r="J135" s="244">
        <f>J133/D87</f>
        <v>275.67703387096776</v>
      </c>
      <c r="K135" s="244">
        <f>K133/D87</f>
        <v>0.58602806451612899</v>
      </c>
      <c r="L135" s="227"/>
      <c r="M135" s="227"/>
      <c r="N135" s="257"/>
      <c r="P135" s="353"/>
      <c r="Q135" s="351"/>
      <c r="R135" s="351"/>
      <c r="S135" s="354"/>
      <c r="T135" s="354"/>
      <c r="U135" s="351"/>
      <c r="V135" s="351"/>
    </row>
    <row r="136" spans="1:23" ht="18" customHeight="1">
      <c r="A136" s="263"/>
      <c r="B136" s="264"/>
      <c r="C136" s="265"/>
      <c r="D136" s="103"/>
      <c r="E136" s="337">
        <f>E135+F135</f>
        <v>28.147449999999999</v>
      </c>
      <c r="F136" s="338"/>
      <c r="G136" s="337">
        <f>G135+H135</f>
        <v>24.780293548387096</v>
      </c>
      <c r="H136" s="338"/>
      <c r="I136" s="367"/>
      <c r="J136" s="367"/>
      <c r="K136" s="367"/>
      <c r="L136" s="227"/>
      <c r="M136" s="227"/>
      <c r="N136" s="257"/>
      <c r="P136" s="350"/>
      <c r="Q136" s="350"/>
      <c r="R136" s="350"/>
      <c r="S136" s="350"/>
      <c r="T136" s="350"/>
      <c r="U136" s="350"/>
      <c r="V136" s="350"/>
    </row>
    <row r="137" spans="1:23" ht="18" customHeight="1">
      <c r="A137" s="207" t="s">
        <v>71</v>
      </c>
      <c r="B137" s="208"/>
      <c r="C137" s="209"/>
      <c r="D137" s="153" t="s">
        <v>28</v>
      </c>
      <c r="E137" s="316" t="s">
        <v>24</v>
      </c>
      <c r="F137" s="316"/>
      <c r="G137" s="316" t="s">
        <v>25</v>
      </c>
      <c r="H137" s="316"/>
      <c r="I137" s="153" t="s">
        <v>26</v>
      </c>
      <c r="J137" s="151">
        <v>500</v>
      </c>
      <c r="K137" s="151">
        <v>0.5</v>
      </c>
      <c r="L137" s="227"/>
      <c r="M137" s="227"/>
      <c r="N137" s="257"/>
      <c r="O137" s="340"/>
      <c r="P137" s="350"/>
      <c r="Q137" s="356"/>
      <c r="R137" s="356"/>
      <c r="S137" s="356"/>
      <c r="T137" s="350"/>
      <c r="U137" s="350"/>
      <c r="V137" s="350"/>
    </row>
    <row r="138" spans="1:23" ht="18" customHeight="1">
      <c r="A138" s="180" t="s">
        <v>69</v>
      </c>
      <c r="B138" s="246"/>
      <c r="C138" s="181"/>
      <c r="D138" s="37"/>
      <c r="E138" s="185">
        <f>E136*4.1</f>
        <v>115.40454499999998</v>
      </c>
      <c r="F138" s="186"/>
      <c r="G138" s="185">
        <f>G136*9</f>
        <v>223.02264193548388</v>
      </c>
      <c r="H138" s="186"/>
      <c r="I138" s="66">
        <f>I135*4.1</f>
        <v>307.94918145161296</v>
      </c>
      <c r="J138" s="218"/>
      <c r="K138" s="218"/>
      <c r="L138" s="227"/>
      <c r="M138" s="227"/>
      <c r="N138" s="257"/>
      <c r="O138" s="340"/>
      <c r="P138" s="355"/>
      <c r="Q138" s="350"/>
      <c r="R138" s="350"/>
      <c r="S138" s="350"/>
      <c r="T138" s="350"/>
      <c r="U138" s="350"/>
      <c r="V138" s="350"/>
    </row>
    <row r="139" spans="1:23" ht="18" customHeight="1">
      <c r="A139" s="221" t="s">
        <v>78</v>
      </c>
      <c r="B139" s="222"/>
      <c r="C139" s="180" t="s">
        <v>52</v>
      </c>
      <c r="D139" s="181"/>
      <c r="E139" s="225">
        <f>E138*100/D135</f>
        <v>17.854661299699174</v>
      </c>
      <c r="F139" s="226"/>
      <c r="G139" s="225">
        <f>G138*100/D135</f>
        <v>34.504652602045709</v>
      </c>
      <c r="H139" s="226"/>
      <c r="I139" s="93">
        <f>I138*100/D135</f>
        <v>47.643949658465822</v>
      </c>
      <c r="J139" s="219"/>
      <c r="K139" s="219"/>
      <c r="L139" s="227"/>
      <c r="M139" s="227"/>
      <c r="N139" s="257"/>
      <c r="O139" s="340"/>
    </row>
    <row r="140" spans="1:23" ht="18" customHeight="1">
      <c r="A140" s="223"/>
      <c r="B140" s="224"/>
      <c r="C140" s="180" t="s">
        <v>70</v>
      </c>
      <c r="D140" s="181"/>
      <c r="E140" s="180" t="s">
        <v>73</v>
      </c>
      <c r="F140" s="181"/>
      <c r="G140" s="180" t="s">
        <v>76</v>
      </c>
      <c r="H140" s="181"/>
      <c r="I140" s="153" t="s">
        <v>77</v>
      </c>
      <c r="J140" s="220"/>
      <c r="K140" s="220"/>
      <c r="L140" s="227"/>
      <c r="M140" s="227"/>
      <c r="N140" s="257"/>
      <c r="O140" s="340"/>
      <c r="P140" s="341"/>
    </row>
    <row r="141" spans="1:23" ht="22.2" customHeight="1">
      <c r="A141" s="69"/>
      <c r="B141" s="72"/>
      <c r="C141" s="69"/>
      <c r="D141" s="69"/>
      <c r="E141" s="69"/>
      <c r="F141" s="69"/>
      <c r="G141" s="69"/>
      <c r="H141" s="69"/>
      <c r="I141" s="69"/>
      <c r="J141" s="69"/>
      <c r="K141" s="69"/>
      <c r="L141" s="70"/>
      <c r="M141" s="70"/>
      <c r="N141" s="71"/>
      <c r="O141" s="340"/>
    </row>
    <row r="142" spans="1:23" ht="21" customHeight="1">
      <c r="A142" s="228" t="s">
        <v>98</v>
      </c>
      <c r="B142" s="228"/>
      <c r="C142" s="228"/>
      <c r="D142" s="228"/>
      <c r="E142" s="228"/>
      <c r="F142" s="228"/>
      <c r="G142" s="228"/>
      <c r="H142" s="228"/>
      <c r="I142" s="228"/>
      <c r="J142" s="228"/>
      <c r="K142" s="228"/>
      <c r="L142" s="228"/>
      <c r="M142" s="228"/>
      <c r="N142" s="228"/>
      <c r="O142" s="340"/>
    </row>
    <row r="143" spans="1:23" ht="21" customHeight="1">
      <c r="A143" s="95" t="s">
        <v>99</v>
      </c>
      <c r="B143" s="229" t="s">
        <v>110</v>
      </c>
      <c r="C143" s="229"/>
      <c r="D143" s="229"/>
      <c r="E143" s="229"/>
      <c r="F143" s="229"/>
      <c r="G143" s="229"/>
      <c r="H143" s="229"/>
      <c r="I143" s="229"/>
      <c r="J143" s="229"/>
      <c r="K143" s="229"/>
      <c r="L143" s="229"/>
      <c r="M143" s="229"/>
      <c r="N143" s="229"/>
      <c r="O143" s="340"/>
    </row>
    <row r="144" spans="1:23" ht="21" customHeight="1">
      <c r="A144" s="96"/>
      <c r="B144" s="199" t="s">
        <v>165</v>
      </c>
      <c r="C144" s="199"/>
      <c r="D144" s="199"/>
      <c r="E144" s="199"/>
      <c r="F144" s="199"/>
      <c r="G144" s="199"/>
      <c r="H144" s="199"/>
      <c r="I144" s="199"/>
      <c r="J144" s="199"/>
      <c r="K144" s="199"/>
      <c r="L144" s="199"/>
      <c r="M144" s="199"/>
      <c r="N144" s="199"/>
      <c r="O144" s="340"/>
    </row>
    <row r="145" spans="1:15" ht="21" customHeight="1">
      <c r="A145" s="96"/>
      <c r="B145" s="199" t="s">
        <v>166</v>
      </c>
      <c r="C145" s="199"/>
      <c r="D145" s="199"/>
      <c r="E145" s="199"/>
      <c r="F145" s="199"/>
      <c r="G145" s="199"/>
      <c r="H145" s="199"/>
      <c r="I145" s="199"/>
      <c r="J145" s="199"/>
      <c r="K145" s="199"/>
      <c r="L145" s="199"/>
      <c r="M145" s="199"/>
      <c r="N145" s="199"/>
      <c r="O145" s="340"/>
    </row>
    <row r="146" spans="1:15" ht="21" customHeight="1">
      <c r="A146" s="96"/>
      <c r="B146" s="199" t="s">
        <v>167</v>
      </c>
      <c r="C146" s="199"/>
      <c r="D146" s="199"/>
      <c r="E146" s="199"/>
      <c r="F146" s="199"/>
      <c r="G146" s="199"/>
      <c r="H146" s="199"/>
      <c r="I146" s="199"/>
      <c r="J146" s="199"/>
      <c r="K146" s="199"/>
      <c r="L146" s="199"/>
      <c r="M146" s="199"/>
      <c r="N146" s="199"/>
      <c r="O146" s="340"/>
    </row>
    <row r="147" spans="1:15" ht="21" customHeight="1">
      <c r="A147" s="69"/>
      <c r="B147" s="200" t="s">
        <v>101</v>
      </c>
      <c r="C147" s="200"/>
      <c r="D147" s="200"/>
      <c r="E147" s="200"/>
      <c r="F147" s="200"/>
      <c r="G147" s="200"/>
      <c r="H147" s="200"/>
      <c r="I147" s="200"/>
      <c r="J147" s="200"/>
      <c r="K147" s="200"/>
      <c r="L147" s="200"/>
      <c r="M147" s="200"/>
      <c r="N147" s="200"/>
      <c r="O147" s="340"/>
    </row>
    <row r="148" spans="1:15" ht="21" customHeight="1">
      <c r="A148" s="69"/>
      <c r="B148" s="69"/>
      <c r="C148" s="69"/>
      <c r="D148" s="69"/>
      <c r="E148" s="69"/>
      <c r="F148" s="69"/>
      <c r="G148" s="69"/>
      <c r="H148" s="69"/>
      <c r="I148" s="69"/>
      <c r="J148" s="69"/>
      <c r="K148" s="69"/>
      <c r="L148" s="73"/>
      <c r="M148" s="73"/>
      <c r="N148" s="74"/>
      <c r="O148" s="340"/>
    </row>
    <row r="149" spans="1:15" ht="21" customHeight="1">
      <c r="A149" s="198" t="s">
        <v>55</v>
      </c>
      <c r="B149" s="198"/>
      <c r="C149" s="198"/>
      <c r="D149" s="198"/>
      <c r="E149" s="342"/>
      <c r="F149" s="342"/>
      <c r="G149" s="342"/>
      <c r="H149" s="342"/>
      <c r="I149" s="342"/>
      <c r="J149" s="343" t="s">
        <v>32</v>
      </c>
      <c r="K149" s="343"/>
      <c r="L149" s="343"/>
      <c r="M149" s="343"/>
      <c r="N149" s="343"/>
      <c r="O149" s="340"/>
    </row>
    <row r="150" spans="1:15" ht="21" customHeight="1">
      <c r="A150" s="148"/>
      <c r="B150" s="148"/>
      <c r="C150" s="148"/>
      <c r="D150" s="342"/>
      <c r="E150" s="342"/>
      <c r="F150" s="342"/>
      <c r="G150" s="342"/>
      <c r="H150" s="344"/>
      <c r="I150" s="344"/>
      <c r="J150" s="344"/>
      <c r="K150" s="344"/>
      <c r="L150" s="344"/>
      <c r="M150" s="344"/>
      <c r="N150" s="344"/>
      <c r="O150" s="340"/>
    </row>
    <row r="151" spans="1:15" ht="21" customHeight="1">
      <c r="A151" s="148"/>
      <c r="B151" s="148"/>
      <c r="C151" s="148"/>
      <c r="D151" s="342"/>
      <c r="E151" s="342"/>
      <c r="F151" s="342"/>
      <c r="G151" s="342"/>
      <c r="H151" s="344"/>
      <c r="I151" s="344"/>
      <c r="J151" s="344"/>
      <c r="K151" s="344"/>
      <c r="L151" s="344"/>
      <c r="M151" s="344"/>
      <c r="N151" s="344"/>
      <c r="O151" s="340"/>
    </row>
    <row r="152" spans="1:15" ht="21" customHeight="1">
      <c r="A152" s="148"/>
      <c r="B152" s="148"/>
      <c r="C152" s="148"/>
      <c r="D152" s="342"/>
      <c r="E152" s="342"/>
      <c r="F152" s="342"/>
      <c r="G152" s="342"/>
      <c r="H152" s="344"/>
      <c r="I152" s="344"/>
      <c r="J152" s="345" t="s">
        <v>108</v>
      </c>
      <c r="K152" s="345"/>
      <c r="L152" s="345"/>
      <c r="M152" s="345"/>
      <c r="N152" s="345"/>
      <c r="O152" s="340"/>
    </row>
    <row r="153" spans="1:15" ht="22.2" customHeight="1">
      <c r="A153" s="182" t="s">
        <v>81</v>
      </c>
      <c r="B153" s="182"/>
      <c r="C153" s="182"/>
      <c r="D153" s="182"/>
      <c r="E153" s="342"/>
      <c r="F153" s="342"/>
      <c r="G153" s="342"/>
      <c r="H153" s="344"/>
      <c r="I153" s="344"/>
      <c r="O153" s="340"/>
    </row>
    <row r="155" spans="1:15" ht="22.2" customHeight="1">
      <c r="J155" s="345" t="s">
        <v>111</v>
      </c>
      <c r="K155" s="345"/>
      <c r="L155" s="345"/>
      <c r="M155" s="345"/>
      <c r="N155" s="345"/>
    </row>
    <row r="156" spans="1:15" ht="22.2" customHeight="1">
      <c r="J156" s="345"/>
      <c r="K156" s="345"/>
      <c r="L156" s="345"/>
      <c r="M156" s="345"/>
      <c r="N156" s="345"/>
    </row>
  </sheetData>
  <mergeCells count="208">
    <mergeCell ref="J152:N152"/>
    <mergeCell ref="J155:N155"/>
    <mergeCell ref="B145:N145"/>
    <mergeCell ref="B146:N146"/>
    <mergeCell ref="B147:N147"/>
    <mergeCell ref="A149:D149"/>
    <mergeCell ref="J149:N149"/>
    <mergeCell ref="C88:C91"/>
    <mergeCell ref="D88:D91"/>
    <mergeCell ref="G90:G91"/>
    <mergeCell ref="H90:H91"/>
    <mergeCell ref="A109:B109"/>
    <mergeCell ref="I88:I91"/>
    <mergeCell ref="A142:N142"/>
    <mergeCell ref="B143:N143"/>
    <mergeCell ref="B144:N144"/>
    <mergeCell ref="A137:C137"/>
    <mergeCell ref="I133:I134"/>
    <mergeCell ref="E137:F137"/>
    <mergeCell ref="G137:H137"/>
    <mergeCell ref="N119:N120"/>
    <mergeCell ref="A131:B132"/>
    <mergeCell ref="M105:M106"/>
    <mergeCell ref="E136:F136"/>
    <mergeCell ref="N133:N140"/>
    <mergeCell ref="C125:C128"/>
    <mergeCell ref="D125:D128"/>
    <mergeCell ref="H127:H128"/>
    <mergeCell ref="A135:C136"/>
    <mergeCell ref="N129:N130"/>
    <mergeCell ref="L133:L140"/>
    <mergeCell ref="D133:D134"/>
    <mergeCell ref="J135:J136"/>
    <mergeCell ref="K135:K136"/>
    <mergeCell ref="J133:J134"/>
    <mergeCell ref="E140:F140"/>
    <mergeCell ref="G140:H140"/>
    <mergeCell ref="U52:V52"/>
    <mergeCell ref="U53:V53"/>
    <mergeCell ref="Q135:R135"/>
    <mergeCell ref="S135:T135"/>
    <mergeCell ref="Q52:R52"/>
    <mergeCell ref="S52:T52"/>
    <mergeCell ref="Q53:R53"/>
    <mergeCell ref="S53:T53"/>
    <mergeCell ref="Q134:R134"/>
    <mergeCell ref="S134:T134"/>
    <mergeCell ref="U134:V134"/>
    <mergeCell ref="U135:V135"/>
    <mergeCell ref="O86:R86"/>
    <mergeCell ref="A123:B123"/>
    <mergeCell ref="C133:C134"/>
    <mergeCell ref="M129:M130"/>
    <mergeCell ref="J125:J128"/>
    <mergeCell ref="E127:E128"/>
    <mergeCell ref="F127:F128"/>
    <mergeCell ref="G127:G128"/>
    <mergeCell ref="G136:H136"/>
    <mergeCell ref="N88:N91"/>
    <mergeCell ref="E90:E91"/>
    <mergeCell ref="K133:K134"/>
    <mergeCell ref="A133:B134"/>
    <mergeCell ref="N125:N128"/>
    <mergeCell ref="A92:N92"/>
    <mergeCell ref="N105:N106"/>
    <mergeCell ref="E134:F134"/>
    <mergeCell ref="G134:H134"/>
    <mergeCell ref="I135:I136"/>
    <mergeCell ref="E125:F126"/>
    <mergeCell ref="G125:H126"/>
    <mergeCell ref="I125:I128"/>
    <mergeCell ref="M119:M120"/>
    <mergeCell ref="A125:A128"/>
    <mergeCell ref="B125:B128"/>
    <mergeCell ref="A5:D5"/>
    <mergeCell ref="E5:N5"/>
    <mergeCell ref="A6:D6"/>
    <mergeCell ref="E6:I9"/>
    <mergeCell ref="J6:N9"/>
    <mergeCell ref="M133:M140"/>
    <mergeCell ref="B42:B45"/>
    <mergeCell ref="C42:C45"/>
    <mergeCell ref="D42:D45"/>
    <mergeCell ref="E42:F43"/>
    <mergeCell ref="A107:B108"/>
    <mergeCell ref="A121:B122"/>
    <mergeCell ref="G57:H57"/>
    <mergeCell ref="N50:N57"/>
    <mergeCell ref="A138:C138"/>
    <mergeCell ref="E138:F138"/>
    <mergeCell ref="G138:H138"/>
    <mergeCell ref="J138:J140"/>
    <mergeCell ref="K138:K140"/>
    <mergeCell ref="A139:B140"/>
    <mergeCell ref="C139:D139"/>
    <mergeCell ref="E139:F139"/>
    <mergeCell ref="G139:H139"/>
    <mergeCell ref="C140:D140"/>
    <mergeCell ref="F1:N1"/>
    <mergeCell ref="F80:N80"/>
    <mergeCell ref="I50:I51"/>
    <mergeCell ref="M46:M47"/>
    <mergeCell ref="L88:L91"/>
    <mergeCell ref="A15:N15"/>
    <mergeCell ref="A30:B31"/>
    <mergeCell ref="M28:M29"/>
    <mergeCell ref="J50:J51"/>
    <mergeCell ref="K50:K51"/>
    <mergeCell ref="J52:J53"/>
    <mergeCell ref="K52:K53"/>
    <mergeCell ref="J88:J91"/>
    <mergeCell ref="K88:K91"/>
    <mergeCell ref="M88:M91"/>
    <mergeCell ref="A55:C55"/>
    <mergeCell ref="N42:N45"/>
    <mergeCell ref="E44:E45"/>
    <mergeCell ref="A32:B32"/>
    <mergeCell ref="G55:H55"/>
    <mergeCell ref="L50:L57"/>
    <mergeCell ref="N46:N47"/>
    <mergeCell ref="E11:F12"/>
    <mergeCell ref="A88:A91"/>
    <mergeCell ref="E54:F54"/>
    <mergeCell ref="G54:H54"/>
    <mergeCell ref="B62:N62"/>
    <mergeCell ref="B63:N63"/>
    <mergeCell ref="E88:F89"/>
    <mergeCell ref="G88:H89"/>
    <mergeCell ref="A84:D84"/>
    <mergeCell ref="E84:I86"/>
    <mergeCell ref="J84:N84"/>
    <mergeCell ref="J66:N66"/>
    <mergeCell ref="A70:D70"/>
    <mergeCell ref="J70:N70"/>
    <mergeCell ref="J69:N69"/>
    <mergeCell ref="J72:N72"/>
    <mergeCell ref="L42:L45"/>
    <mergeCell ref="M42:M45"/>
    <mergeCell ref="A52:C53"/>
    <mergeCell ref="A54:C54"/>
    <mergeCell ref="A87:C87"/>
    <mergeCell ref="A86:D86"/>
    <mergeCell ref="B88:B91"/>
    <mergeCell ref="I42:I45"/>
    <mergeCell ref="E57:F57"/>
    <mergeCell ref="A48:B49"/>
    <mergeCell ref="J85:N85"/>
    <mergeCell ref="C50:C51"/>
    <mergeCell ref="D50:D51"/>
    <mergeCell ref="J55:J57"/>
    <mergeCell ref="K55:K57"/>
    <mergeCell ref="A56:B57"/>
    <mergeCell ref="C56:D56"/>
    <mergeCell ref="E56:F56"/>
    <mergeCell ref="G56:H56"/>
    <mergeCell ref="E53:F53"/>
    <mergeCell ref="M50:M57"/>
    <mergeCell ref="A59:N59"/>
    <mergeCell ref="B60:N60"/>
    <mergeCell ref="G53:H53"/>
    <mergeCell ref="A153:D153"/>
    <mergeCell ref="J156:N156"/>
    <mergeCell ref="A8:D8"/>
    <mergeCell ref="A9:D9"/>
    <mergeCell ref="K125:K128"/>
    <mergeCell ref="L125:L128"/>
    <mergeCell ref="M125:M128"/>
    <mergeCell ref="A85:D85"/>
    <mergeCell ref="J11:J14"/>
    <mergeCell ref="K11:K14"/>
    <mergeCell ref="M11:M14"/>
    <mergeCell ref="A42:A45"/>
    <mergeCell ref="J86:N86"/>
    <mergeCell ref="E55:F55"/>
    <mergeCell ref="G51:H51"/>
    <mergeCell ref="I52:I53"/>
    <mergeCell ref="E51:F51"/>
    <mergeCell ref="A50:B51"/>
    <mergeCell ref="A10:C10"/>
    <mergeCell ref="A66:D66"/>
    <mergeCell ref="B61:N61"/>
    <mergeCell ref="B64:N64"/>
    <mergeCell ref="F44:F45"/>
    <mergeCell ref="F90:F91"/>
    <mergeCell ref="A7:D7"/>
    <mergeCell ref="A82:D83"/>
    <mergeCell ref="E82:N82"/>
    <mergeCell ref="E83:I83"/>
    <mergeCell ref="J83:N83"/>
    <mergeCell ref="A11:A14"/>
    <mergeCell ref="B11:B14"/>
    <mergeCell ref="C11:C14"/>
    <mergeCell ref="N28:N29"/>
    <mergeCell ref="D11:D14"/>
    <mergeCell ref="G11:H12"/>
    <mergeCell ref="I11:I14"/>
    <mergeCell ref="L11:L14"/>
    <mergeCell ref="N11:N14"/>
    <mergeCell ref="E13:E14"/>
    <mergeCell ref="F13:F14"/>
    <mergeCell ref="G13:G14"/>
    <mergeCell ref="H13:H14"/>
    <mergeCell ref="J42:J45"/>
    <mergeCell ref="K42:K45"/>
    <mergeCell ref="G44:G45"/>
    <mergeCell ref="H44:H45"/>
    <mergeCell ref="C57:D57"/>
    <mergeCell ref="G42:H43"/>
  </mergeCells>
  <pageMargins left="0.125" right="0.11666666666666667" top="0.44791666666666669" bottom="0.4062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W158"/>
  <sheetViews>
    <sheetView zoomScale="106" zoomScaleNormal="106" workbookViewId="0">
      <selection activeCell="P1" sqref="P1"/>
    </sheetView>
  </sheetViews>
  <sheetFormatPr defaultColWidth="9.109375" defaultRowHeight="19.2" customHeight="1"/>
  <cols>
    <col min="1" max="1" width="2.88671875" style="1" customWidth="1"/>
    <col min="2" max="2" width="11.77734375" style="1" customWidth="1"/>
    <col min="3" max="3" width="6.21875" style="1" customWidth="1"/>
    <col min="4" max="4" width="7.33203125" style="1" customWidth="1"/>
    <col min="5" max="6" width="6.109375" style="1" customWidth="1"/>
    <col min="7" max="8" width="6.6640625" style="1" customWidth="1"/>
    <col min="9" max="9" width="7.6640625" style="1" customWidth="1"/>
    <col min="10" max="10" width="8.33203125" style="1" customWidth="1"/>
    <col min="11" max="11" width="6.33203125" style="1" customWidth="1"/>
    <col min="12" max="12" width="6.44140625" style="1" customWidth="1"/>
    <col min="13" max="13" width="5" style="1" customWidth="1"/>
    <col min="14" max="14" width="6.88671875" style="1" customWidth="1"/>
    <col min="15" max="15" width="11.88671875" style="1" customWidth="1"/>
    <col min="16" max="16" width="9.109375" style="1"/>
    <col min="17" max="22" width="8.6640625" style="1" customWidth="1"/>
    <col min="23" max="16384" width="9.109375" style="1"/>
  </cols>
  <sheetData>
    <row r="1" spans="1:20" ht="19.8" customHeight="1">
      <c r="A1" s="11" t="s">
        <v>58</v>
      </c>
      <c r="B1" s="8"/>
      <c r="C1" s="8"/>
      <c r="D1" s="8"/>
      <c r="E1" s="8"/>
      <c r="F1" s="232" t="s">
        <v>30</v>
      </c>
      <c r="G1" s="232"/>
      <c r="H1" s="232"/>
      <c r="I1" s="232"/>
      <c r="J1" s="232"/>
      <c r="K1" s="232"/>
      <c r="L1" s="232"/>
      <c r="M1" s="232"/>
      <c r="N1" s="232"/>
      <c r="O1" s="327"/>
      <c r="P1" s="327"/>
      <c r="T1" s="2"/>
    </row>
    <row r="2" spans="1:20" ht="10.199999999999999" customHeight="1">
      <c r="A2" s="11"/>
      <c r="B2" s="8"/>
      <c r="C2" s="8"/>
      <c r="D2" s="8"/>
      <c r="E2" s="8"/>
      <c r="F2" s="152"/>
      <c r="G2" s="152"/>
      <c r="H2" s="152"/>
      <c r="I2" s="152"/>
      <c r="J2" s="152"/>
      <c r="K2" s="152"/>
      <c r="L2" s="152"/>
      <c r="M2" s="152"/>
      <c r="N2" s="152"/>
      <c r="O2" s="327"/>
      <c r="P2" s="327"/>
      <c r="T2" s="2"/>
    </row>
    <row r="3" spans="1:20" ht="19.8" customHeight="1">
      <c r="A3" s="8" t="s">
        <v>168</v>
      </c>
      <c r="B3" s="8"/>
      <c r="C3" s="8"/>
      <c r="D3" s="8"/>
      <c r="E3" s="8"/>
      <c r="F3" s="152"/>
      <c r="G3" s="152"/>
      <c r="H3" s="152"/>
      <c r="I3" s="152"/>
      <c r="J3" s="152"/>
      <c r="K3" s="152"/>
      <c r="L3" s="152"/>
      <c r="M3" s="152"/>
      <c r="N3" s="152"/>
      <c r="O3" s="327"/>
      <c r="P3" s="327"/>
      <c r="T3" s="2"/>
    </row>
    <row r="4" spans="1:20" ht="10.199999999999999" customHeight="1">
      <c r="A4" s="8"/>
      <c r="B4" s="8"/>
      <c r="C4" s="8"/>
      <c r="D4" s="8"/>
      <c r="E4" s="8"/>
      <c r="F4" s="152"/>
      <c r="G4" s="152"/>
      <c r="H4" s="152"/>
      <c r="I4" s="152"/>
      <c r="J4" s="152"/>
      <c r="K4" s="152"/>
      <c r="L4" s="152"/>
      <c r="M4" s="152"/>
      <c r="N4" s="152"/>
      <c r="O4" s="327"/>
      <c r="P4" s="327"/>
      <c r="T4" s="2"/>
    </row>
    <row r="5" spans="1:20" s="2" customFormat="1" ht="19.8" customHeight="1">
      <c r="A5" s="158" t="s">
        <v>86</v>
      </c>
      <c r="B5" s="158"/>
      <c r="C5" s="158"/>
      <c r="D5" s="158"/>
      <c r="E5" s="158" t="s">
        <v>87</v>
      </c>
      <c r="F5" s="158"/>
      <c r="G5" s="158"/>
      <c r="H5" s="158"/>
      <c r="I5" s="158"/>
      <c r="J5" s="158"/>
      <c r="K5" s="158"/>
      <c r="L5" s="158"/>
      <c r="M5" s="158"/>
      <c r="N5" s="158"/>
      <c r="O5" s="328"/>
    </row>
    <row r="6" spans="1:20" s="2" customFormat="1" ht="19.8" customHeight="1">
      <c r="A6" s="230" t="s">
        <v>80</v>
      </c>
      <c r="B6" s="230"/>
      <c r="C6" s="230"/>
      <c r="D6" s="230"/>
      <c r="E6" s="231" t="s">
        <v>67</v>
      </c>
      <c r="F6" s="231"/>
      <c r="G6" s="231"/>
      <c r="H6" s="231"/>
      <c r="I6" s="231"/>
      <c r="J6" s="296" t="s">
        <v>153</v>
      </c>
      <c r="K6" s="249"/>
      <c r="L6" s="249"/>
      <c r="M6" s="249"/>
      <c r="N6" s="250"/>
      <c r="O6" s="328"/>
    </row>
    <row r="7" spans="1:20" s="2" customFormat="1" ht="19.8" customHeight="1">
      <c r="A7" s="281" t="s">
        <v>129</v>
      </c>
      <c r="B7" s="282"/>
      <c r="C7" s="282"/>
      <c r="D7" s="283"/>
      <c r="E7" s="231"/>
      <c r="F7" s="231"/>
      <c r="G7" s="231"/>
      <c r="H7" s="231"/>
      <c r="I7" s="231"/>
      <c r="J7" s="251"/>
      <c r="K7" s="252"/>
      <c r="L7" s="252"/>
      <c r="M7" s="252"/>
      <c r="N7" s="253"/>
      <c r="O7" s="328"/>
    </row>
    <row r="8" spans="1:20" s="2" customFormat="1" ht="19.8" customHeight="1">
      <c r="A8" s="183" t="s">
        <v>128</v>
      </c>
      <c r="B8" s="183"/>
      <c r="C8" s="183"/>
      <c r="D8" s="183"/>
      <c r="E8" s="231"/>
      <c r="F8" s="231"/>
      <c r="G8" s="231"/>
      <c r="H8" s="231"/>
      <c r="I8" s="231"/>
      <c r="J8" s="251"/>
      <c r="K8" s="252"/>
      <c r="L8" s="252"/>
      <c r="M8" s="252"/>
      <c r="N8" s="253"/>
      <c r="O8" s="328"/>
    </row>
    <row r="9" spans="1:20" s="2" customFormat="1" ht="19.8" customHeight="1">
      <c r="A9" s="184" t="s">
        <v>150</v>
      </c>
      <c r="B9" s="184"/>
      <c r="C9" s="184"/>
      <c r="D9" s="184"/>
      <c r="E9" s="231"/>
      <c r="F9" s="231"/>
      <c r="G9" s="231"/>
      <c r="H9" s="231"/>
      <c r="I9" s="231"/>
      <c r="J9" s="254"/>
      <c r="K9" s="255"/>
      <c r="L9" s="255"/>
      <c r="M9" s="255"/>
      <c r="N9" s="256"/>
      <c r="O9" s="328"/>
    </row>
    <row r="10" spans="1:20" s="2" customFormat="1" ht="19.8" customHeight="1">
      <c r="A10" s="195" t="s">
        <v>106</v>
      </c>
      <c r="B10" s="196"/>
      <c r="C10" s="197"/>
      <c r="D10" s="104">
        <v>225</v>
      </c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328"/>
    </row>
    <row r="11" spans="1:20" ht="19.8" customHeight="1">
      <c r="A11" s="159" t="s">
        <v>59</v>
      </c>
      <c r="B11" s="162" t="s">
        <v>19</v>
      </c>
      <c r="C11" s="275" t="s">
        <v>8</v>
      </c>
      <c r="D11" s="165" t="s">
        <v>9</v>
      </c>
      <c r="E11" s="170" t="s">
        <v>11</v>
      </c>
      <c r="F11" s="171"/>
      <c r="G11" s="170" t="s">
        <v>13</v>
      </c>
      <c r="H11" s="171"/>
      <c r="I11" s="174" t="s">
        <v>16</v>
      </c>
      <c r="J11" s="174" t="s">
        <v>39</v>
      </c>
      <c r="K11" s="174" t="s">
        <v>40</v>
      </c>
      <c r="L11" s="174" t="s">
        <v>17</v>
      </c>
      <c r="M11" s="174" t="s">
        <v>48</v>
      </c>
      <c r="N11" s="159" t="s">
        <v>18</v>
      </c>
      <c r="O11" s="329"/>
    </row>
    <row r="12" spans="1:20" ht="19.8" customHeight="1">
      <c r="A12" s="160"/>
      <c r="B12" s="163"/>
      <c r="C12" s="276"/>
      <c r="D12" s="166"/>
      <c r="E12" s="172"/>
      <c r="F12" s="173"/>
      <c r="G12" s="172"/>
      <c r="H12" s="173"/>
      <c r="I12" s="175"/>
      <c r="J12" s="175"/>
      <c r="K12" s="175"/>
      <c r="L12" s="175"/>
      <c r="M12" s="175"/>
      <c r="N12" s="160"/>
      <c r="O12" s="148"/>
    </row>
    <row r="13" spans="1:20" ht="19.8" customHeight="1">
      <c r="A13" s="160"/>
      <c r="B13" s="163"/>
      <c r="C13" s="276"/>
      <c r="D13" s="166"/>
      <c r="E13" s="174" t="s">
        <v>10</v>
      </c>
      <c r="F13" s="174" t="s">
        <v>12</v>
      </c>
      <c r="G13" s="174" t="s">
        <v>14</v>
      </c>
      <c r="H13" s="174" t="s">
        <v>15</v>
      </c>
      <c r="I13" s="175"/>
      <c r="J13" s="175"/>
      <c r="K13" s="175"/>
      <c r="L13" s="175"/>
      <c r="M13" s="175"/>
      <c r="N13" s="160"/>
      <c r="O13" s="148"/>
    </row>
    <row r="14" spans="1:20" ht="19.8" customHeight="1">
      <c r="A14" s="161"/>
      <c r="B14" s="164"/>
      <c r="C14" s="277"/>
      <c r="D14" s="167"/>
      <c r="E14" s="176"/>
      <c r="F14" s="176"/>
      <c r="G14" s="176"/>
      <c r="H14" s="176"/>
      <c r="I14" s="176"/>
      <c r="J14" s="176"/>
      <c r="K14" s="176"/>
      <c r="L14" s="176"/>
      <c r="M14" s="176"/>
      <c r="N14" s="161"/>
      <c r="O14" s="148"/>
    </row>
    <row r="15" spans="1:20" ht="19.8" customHeight="1">
      <c r="A15" s="237" t="s">
        <v>33</v>
      </c>
      <c r="B15" s="238"/>
      <c r="C15" s="238"/>
      <c r="D15" s="238"/>
      <c r="E15" s="238"/>
      <c r="F15" s="238"/>
      <c r="G15" s="238"/>
      <c r="H15" s="238"/>
      <c r="I15" s="238"/>
      <c r="J15" s="238"/>
      <c r="K15" s="238"/>
      <c r="L15" s="238"/>
      <c r="M15" s="238"/>
      <c r="N15" s="239"/>
      <c r="O15" s="148"/>
    </row>
    <row r="16" spans="1:20" s="2" customFormat="1" ht="19.8" customHeight="1">
      <c r="A16" s="9">
        <v>1</v>
      </c>
      <c r="B16" s="10" t="s">
        <v>2</v>
      </c>
      <c r="C16" s="18">
        <f>L16/100*100</f>
        <v>290</v>
      </c>
      <c r="D16" s="19">
        <f>C16/100*60</f>
        <v>174</v>
      </c>
      <c r="E16" s="20">
        <f>C16/100*15</f>
        <v>43.5</v>
      </c>
      <c r="F16" s="20"/>
      <c r="G16" s="20"/>
      <c r="H16" s="20"/>
      <c r="I16" s="20"/>
      <c r="J16" s="22">
        <f>C16/100*387</f>
        <v>1122.3</v>
      </c>
      <c r="K16" s="22">
        <f>C16/100*0.09</f>
        <v>0.26100000000000001</v>
      </c>
      <c r="L16" s="110">
        <v>290</v>
      </c>
      <c r="M16" s="56">
        <v>20</v>
      </c>
      <c r="N16" s="108">
        <f>L16*M16</f>
        <v>5800</v>
      </c>
      <c r="O16" s="126"/>
    </row>
    <row r="17" spans="1:20" s="2" customFormat="1" ht="19.8" customHeight="1">
      <c r="A17" s="9">
        <v>2</v>
      </c>
      <c r="B17" s="119" t="s">
        <v>119</v>
      </c>
      <c r="C17" s="18">
        <f>L17/100*100</f>
        <v>940</v>
      </c>
      <c r="D17" s="19">
        <f>C17/100*899</f>
        <v>8450.6</v>
      </c>
      <c r="E17" s="20"/>
      <c r="F17" s="20"/>
      <c r="G17" s="20">
        <f>C17/100*100</f>
        <v>940</v>
      </c>
      <c r="H17" s="20"/>
      <c r="I17" s="20"/>
      <c r="J17" s="22"/>
      <c r="K17" s="22"/>
      <c r="L17" s="110">
        <v>940</v>
      </c>
      <c r="M17" s="56">
        <v>69</v>
      </c>
      <c r="N17" s="108">
        <f t="shared" ref="N17:N26" si="0">L17*M17</f>
        <v>64860</v>
      </c>
      <c r="O17" s="126"/>
    </row>
    <row r="18" spans="1:20" s="2" customFormat="1" ht="19.8" customHeight="1">
      <c r="A18" s="9">
        <v>3</v>
      </c>
      <c r="B18" s="5" t="s">
        <v>1</v>
      </c>
      <c r="C18" s="18">
        <f>L18/100*100</f>
        <v>21375</v>
      </c>
      <c r="D18" s="98">
        <f>C18/100*330</f>
        <v>70537.5</v>
      </c>
      <c r="E18" s="20"/>
      <c r="F18" s="106">
        <f>C18/100*7.9</f>
        <v>1688.625</v>
      </c>
      <c r="G18" s="20"/>
      <c r="H18" s="20">
        <f>C18/100*1</f>
        <v>213.75</v>
      </c>
      <c r="I18" s="97">
        <f>C18/100*75.9</f>
        <v>16223.625000000002</v>
      </c>
      <c r="J18" s="22">
        <f>C18/100*30</f>
        <v>6412.5</v>
      </c>
      <c r="K18" s="22">
        <f>C18/100*0.1</f>
        <v>21.375</v>
      </c>
      <c r="L18" s="110">
        <v>21375</v>
      </c>
      <c r="M18" s="56">
        <v>18</v>
      </c>
      <c r="N18" s="142">
        <f t="shared" si="0"/>
        <v>384750</v>
      </c>
      <c r="O18" s="126"/>
    </row>
    <row r="19" spans="1:20" s="2" customFormat="1" ht="19.8" customHeight="1">
      <c r="A19" s="9">
        <v>4</v>
      </c>
      <c r="B19" s="10" t="s">
        <v>64</v>
      </c>
      <c r="C19" s="18">
        <f>L19/100*98</f>
        <v>4851</v>
      </c>
      <c r="D19" s="19">
        <f>C19/100*139</f>
        <v>6742.8899999999994</v>
      </c>
      <c r="E19" s="97">
        <f>C19/100*19</f>
        <v>921.68999999999994</v>
      </c>
      <c r="F19" s="20"/>
      <c r="G19" s="20">
        <f>C19/100*7</f>
        <v>339.57</v>
      </c>
      <c r="H19" s="20"/>
      <c r="I19" s="20"/>
      <c r="J19" s="22">
        <f>C19/100*7</f>
        <v>339.57</v>
      </c>
      <c r="K19" s="22">
        <f>C19/100*0.9</f>
        <v>43.658999999999999</v>
      </c>
      <c r="L19" s="110">
        <v>4950</v>
      </c>
      <c r="M19" s="116">
        <v>133</v>
      </c>
      <c r="N19" s="142">
        <f t="shared" si="0"/>
        <v>658350</v>
      </c>
      <c r="O19" s="126"/>
    </row>
    <row r="20" spans="1:20" s="2" customFormat="1" ht="19.8" customHeight="1">
      <c r="A20" s="9">
        <v>5</v>
      </c>
      <c r="B20" s="121" t="s">
        <v>154</v>
      </c>
      <c r="C20" s="18">
        <f>L20/100*31</f>
        <v>1044.7</v>
      </c>
      <c r="D20" s="19">
        <f>C20/100*87</f>
        <v>908.88900000000012</v>
      </c>
      <c r="E20" s="97">
        <f>C20/100*12.3</f>
        <v>128.49810000000002</v>
      </c>
      <c r="F20" s="20"/>
      <c r="G20" s="20">
        <f>C20/100*3.3</f>
        <v>34.475100000000005</v>
      </c>
      <c r="H20" s="20"/>
      <c r="I20" s="20">
        <f>C20/100*2</f>
        <v>20.894000000000002</v>
      </c>
      <c r="J20" s="22">
        <f>C20/100*120</f>
        <v>1253.6400000000001</v>
      </c>
      <c r="K20" s="22">
        <f>C20/100*0.01</f>
        <v>0.10447000000000001</v>
      </c>
      <c r="L20" s="110">
        <v>3370</v>
      </c>
      <c r="M20" s="116">
        <v>160</v>
      </c>
      <c r="N20" s="142">
        <f>L20*M20</f>
        <v>539200</v>
      </c>
      <c r="O20" s="126"/>
    </row>
    <row r="21" spans="1:20" s="2" customFormat="1" ht="19.8" customHeight="1">
      <c r="A21" s="9">
        <v>6</v>
      </c>
      <c r="B21" s="122" t="s">
        <v>29</v>
      </c>
      <c r="C21" s="18">
        <f>L21/100*88</f>
        <v>5544</v>
      </c>
      <c r="D21" s="98">
        <f>C21/100*184</f>
        <v>10200.959999999999</v>
      </c>
      <c r="E21" s="97">
        <f>C21/100*13</f>
        <v>720.72</v>
      </c>
      <c r="F21" s="20"/>
      <c r="G21" s="20">
        <f>C21/100*14.2</f>
        <v>787.24799999999993</v>
      </c>
      <c r="H21" s="20"/>
      <c r="I21" s="20">
        <f>C21/100*1</f>
        <v>55.44</v>
      </c>
      <c r="J21" s="22">
        <f>C21/100*71</f>
        <v>3936.24</v>
      </c>
      <c r="K21" s="22">
        <f>C21/100*0.15</f>
        <v>8.3159999999999989</v>
      </c>
      <c r="L21" s="110">
        <v>6300</v>
      </c>
      <c r="M21" s="56">
        <v>57</v>
      </c>
      <c r="N21" s="142">
        <f t="shared" si="0"/>
        <v>359100</v>
      </c>
      <c r="O21" s="126"/>
      <c r="Q21" s="3"/>
      <c r="R21" s="3"/>
      <c r="S21" s="4"/>
    </row>
    <row r="22" spans="1:20" s="2" customFormat="1" ht="19.8" customHeight="1">
      <c r="A22" s="9">
        <v>7</v>
      </c>
      <c r="B22" s="121" t="s">
        <v>3</v>
      </c>
      <c r="C22" s="18">
        <f>L22/100*98</f>
        <v>2205</v>
      </c>
      <c r="D22" s="19">
        <f>C22/100*118</f>
        <v>2601.9</v>
      </c>
      <c r="E22" s="97">
        <f>C22/100*21</f>
        <v>463.05</v>
      </c>
      <c r="F22" s="20"/>
      <c r="G22" s="20">
        <f>C22/100*3.8</f>
        <v>83.789999999999992</v>
      </c>
      <c r="H22" s="20"/>
      <c r="I22" s="20"/>
      <c r="J22" s="20">
        <f>C22/100*12</f>
        <v>264.60000000000002</v>
      </c>
      <c r="K22" s="20">
        <f>C22/100*0.1</f>
        <v>2.2050000000000001</v>
      </c>
      <c r="L22" s="110">
        <v>2250</v>
      </c>
      <c r="M22" s="116">
        <v>270</v>
      </c>
      <c r="N22" s="142">
        <f t="shared" si="0"/>
        <v>607500</v>
      </c>
      <c r="O22" s="126"/>
    </row>
    <row r="23" spans="1:20" s="2" customFormat="1" ht="19.8" customHeight="1">
      <c r="A23" s="9">
        <v>8</v>
      </c>
      <c r="B23" s="122" t="s">
        <v>148</v>
      </c>
      <c r="C23" s="18">
        <f>L23/100*80</f>
        <v>2704</v>
      </c>
      <c r="D23" s="19">
        <f>C23/100*25</f>
        <v>676</v>
      </c>
      <c r="E23" s="24"/>
      <c r="F23" s="24">
        <f>C23/100*2.8</f>
        <v>75.711999999999989</v>
      </c>
      <c r="G23" s="24"/>
      <c r="H23" s="24">
        <f>C23/100*0.3</f>
        <v>8.1120000000000001</v>
      </c>
      <c r="I23" s="24">
        <f>C23/100*3</f>
        <v>81.12</v>
      </c>
      <c r="J23" s="24">
        <f>C23/100*182</f>
        <v>4921.28</v>
      </c>
      <c r="K23" s="24">
        <f>C23/100*0.13</f>
        <v>3.5152000000000001</v>
      </c>
      <c r="L23" s="331">
        <v>3380</v>
      </c>
      <c r="M23" s="21">
        <v>30</v>
      </c>
      <c r="N23" s="142">
        <f t="shared" si="0"/>
        <v>101400</v>
      </c>
      <c r="O23" s="126"/>
      <c r="Q23" s="3"/>
      <c r="R23" s="3"/>
      <c r="S23" s="4"/>
    </row>
    <row r="24" spans="1:20" s="2" customFormat="1" ht="19.8" customHeight="1">
      <c r="A24" s="9">
        <v>9</v>
      </c>
      <c r="B24" s="122" t="s">
        <v>149</v>
      </c>
      <c r="C24" s="18">
        <f>L24/100*83</f>
        <v>3735</v>
      </c>
      <c r="D24" s="19">
        <f>C24/100*14</f>
        <v>522.9</v>
      </c>
      <c r="E24" s="24"/>
      <c r="F24" s="24">
        <f>C24/100*2</f>
        <v>74.7</v>
      </c>
      <c r="G24" s="24"/>
      <c r="H24" s="24"/>
      <c r="I24" s="24">
        <f>C24/100*1.4</f>
        <v>52.29</v>
      </c>
      <c r="J24" s="24">
        <f>C24/100*176</f>
        <v>6573.6</v>
      </c>
      <c r="K24" s="24">
        <f>C24/100*0.06</f>
        <v>2.2410000000000001</v>
      </c>
      <c r="L24" s="331">
        <v>4500</v>
      </c>
      <c r="M24" s="21">
        <v>28</v>
      </c>
      <c r="N24" s="142">
        <f t="shared" si="0"/>
        <v>126000</v>
      </c>
      <c r="O24" s="126"/>
      <c r="Q24" s="3"/>
      <c r="R24" s="3"/>
      <c r="S24" s="4"/>
    </row>
    <row r="25" spans="1:20" s="2" customFormat="1" ht="19.8" customHeight="1">
      <c r="A25" s="67">
        <v>10</v>
      </c>
      <c r="B25" s="5" t="s">
        <v>66</v>
      </c>
      <c r="C25" s="18">
        <f>L25/100*75</f>
        <v>3375</v>
      </c>
      <c r="D25" s="19">
        <f>C25/100*12</f>
        <v>405</v>
      </c>
      <c r="E25" s="20"/>
      <c r="F25" s="20">
        <f>C25/100*0.6</f>
        <v>20.25</v>
      </c>
      <c r="G25" s="20"/>
      <c r="H25" s="20"/>
      <c r="I25" s="20">
        <f>C25/100*2.4</f>
        <v>81</v>
      </c>
      <c r="J25" s="20">
        <f>C25/100*26</f>
        <v>877.5</v>
      </c>
      <c r="K25" s="20">
        <f>C25/100*0.02</f>
        <v>0.67500000000000004</v>
      </c>
      <c r="L25" s="110">
        <v>4500</v>
      </c>
      <c r="M25" s="56">
        <v>22</v>
      </c>
      <c r="N25" s="108">
        <f t="shared" si="0"/>
        <v>99000</v>
      </c>
      <c r="O25" s="126"/>
    </row>
    <row r="26" spans="1:20" s="2" customFormat="1" ht="19.8" customHeight="1">
      <c r="A26" s="67">
        <v>11</v>
      </c>
      <c r="B26" s="5" t="s">
        <v>116</v>
      </c>
      <c r="C26" s="18">
        <f>L26/100*100</f>
        <v>220.00000000000003</v>
      </c>
      <c r="D26" s="19">
        <f>C26/100*247</f>
        <v>543.40000000000009</v>
      </c>
      <c r="E26" s="24"/>
      <c r="F26" s="24">
        <f>C26/100*17.5</f>
        <v>38.5</v>
      </c>
      <c r="G26" s="24"/>
      <c r="H26" s="24">
        <f>C26/100*1.6</f>
        <v>3.5200000000000005</v>
      </c>
      <c r="I26" s="24">
        <f>C26/100*39.2</f>
        <v>86.240000000000009</v>
      </c>
      <c r="J26" s="52"/>
      <c r="K26" s="52"/>
      <c r="L26" s="331">
        <v>220</v>
      </c>
      <c r="M26" s="56">
        <v>50</v>
      </c>
      <c r="N26" s="23">
        <f t="shared" si="0"/>
        <v>11000</v>
      </c>
      <c r="O26" s="126"/>
      <c r="Q26" s="3"/>
      <c r="R26" s="3"/>
      <c r="S26" s="4"/>
      <c r="T26" s="3"/>
    </row>
    <row r="27" spans="1:20" s="2" customFormat="1" ht="19.8" customHeight="1">
      <c r="A27" s="67">
        <v>12</v>
      </c>
      <c r="B27" s="6" t="s">
        <v>107</v>
      </c>
      <c r="C27" s="18"/>
      <c r="D27" s="19"/>
      <c r="E27" s="20"/>
      <c r="F27" s="20"/>
      <c r="G27" s="20"/>
      <c r="H27" s="20"/>
      <c r="I27" s="20"/>
      <c r="J27" s="22"/>
      <c r="K27" s="22"/>
      <c r="L27" s="21"/>
      <c r="M27" s="21"/>
      <c r="N27" s="108">
        <v>16720</v>
      </c>
      <c r="O27" s="126"/>
    </row>
    <row r="28" spans="1:20" s="2" customFormat="1" ht="19.8" customHeight="1">
      <c r="A28" s="16" t="s">
        <v>104</v>
      </c>
      <c r="B28" s="17"/>
      <c r="C28" s="26"/>
      <c r="D28" s="140">
        <f>SUM(D16:D27)</f>
        <v>101764.03899999999</v>
      </c>
      <c r="E28" s="28"/>
      <c r="F28" s="28"/>
      <c r="G28" s="28"/>
      <c r="H28" s="28"/>
      <c r="I28" s="28"/>
      <c r="J28" s="28"/>
      <c r="K28" s="28"/>
      <c r="L28" s="29"/>
      <c r="M28" s="54"/>
      <c r="N28" s="168">
        <f>SUM(N16:N27)</f>
        <v>2973680</v>
      </c>
      <c r="O28" s="126"/>
    </row>
    <row r="29" spans="1:20" s="2" customFormat="1" ht="19.8" customHeight="1">
      <c r="A29" s="16" t="s">
        <v>6</v>
      </c>
      <c r="B29" s="17"/>
      <c r="C29" s="26"/>
      <c r="D29" s="27">
        <f>D28/D10</f>
        <v>452.28461777777773</v>
      </c>
      <c r="E29" s="28"/>
      <c r="F29" s="28"/>
      <c r="G29" s="28"/>
      <c r="H29" s="28"/>
      <c r="I29" s="28"/>
      <c r="J29" s="28"/>
      <c r="K29" s="28"/>
      <c r="L29" s="29"/>
      <c r="M29" s="55"/>
      <c r="N29" s="169"/>
      <c r="O29" s="126"/>
    </row>
    <row r="30" spans="1:20" s="2" customFormat="1" ht="19.8" customHeight="1">
      <c r="A30" s="210" t="s">
        <v>44</v>
      </c>
      <c r="B30" s="211"/>
      <c r="C30" s="333" t="s">
        <v>125</v>
      </c>
      <c r="D30" s="15" t="s">
        <v>41</v>
      </c>
      <c r="E30" s="28"/>
      <c r="F30" s="28"/>
      <c r="G30" s="28"/>
      <c r="H30" s="28"/>
      <c r="I30" s="28"/>
      <c r="J30" s="28"/>
      <c r="K30" s="28"/>
      <c r="L30" s="29"/>
      <c r="M30" s="29"/>
      <c r="N30" s="30"/>
      <c r="O30" s="126"/>
    </row>
    <row r="31" spans="1:20" s="2" customFormat="1" ht="19.8" customHeight="1">
      <c r="A31" s="212"/>
      <c r="B31" s="213"/>
      <c r="C31" s="57" t="s">
        <v>53</v>
      </c>
      <c r="D31" s="15">
        <f>D29*100/1320</f>
        <v>34.263986195286193</v>
      </c>
      <c r="E31" s="28"/>
      <c r="F31" s="28"/>
      <c r="G31" s="28"/>
      <c r="H31" s="28"/>
      <c r="I31" s="28"/>
      <c r="J31" s="28"/>
      <c r="K31" s="28"/>
      <c r="L31" s="29"/>
      <c r="M31" s="29"/>
      <c r="N31" s="30"/>
      <c r="O31" s="126"/>
    </row>
    <row r="32" spans="1:20" s="2" customFormat="1" ht="19.8" customHeight="1">
      <c r="A32" s="247" t="s">
        <v>34</v>
      </c>
      <c r="B32" s="247"/>
      <c r="C32" s="40"/>
      <c r="D32" s="41"/>
      <c r="E32" s="42"/>
      <c r="F32" s="42"/>
      <c r="G32" s="42"/>
      <c r="H32" s="42"/>
      <c r="I32" s="42"/>
      <c r="J32" s="42"/>
      <c r="K32" s="42"/>
      <c r="L32" s="43"/>
      <c r="M32" s="43"/>
      <c r="N32" s="51"/>
      <c r="O32" s="126"/>
    </row>
    <row r="33" spans="1:22" s="2" customFormat="1" ht="19.8" customHeight="1">
      <c r="A33" s="9">
        <v>1</v>
      </c>
      <c r="B33" s="10" t="s">
        <v>2</v>
      </c>
      <c r="C33" s="18">
        <f>L33/100*100</f>
        <v>270</v>
      </c>
      <c r="D33" s="19">
        <f>C33/100*60</f>
        <v>162</v>
      </c>
      <c r="E33" s="20">
        <f>C33/100*15</f>
        <v>40.5</v>
      </c>
      <c r="F33" s="20"/>
      <c r="G33" s="20"/>
      <c r="H33" s="20"/>
      <c r="I33" s="20"/>
      <c r="J33" s="22">
        <f>C33/100*387</f>
        <v>1044.9000000000001</v>
      </c>
      <c r="K33" s="22">
        <f>C33/100*0.09</f>
        <v>0.24299999999999999</v>
      </c>
      <c r="L33" s="110">
        <v>270</v>
      </c>
      <c r="M33" s="56">
        <v>20</v>
      </c>
      <c r="N33" s="23">
        <f>L33*M33</f>
        <v>5400</v>
      </c>
      <c r="O33" s="126"/>
    </row>
    <row r="34" spans="1:22" s="2" customFormat="1" ht="19.8" customHeight="1">
      <c r="A34" s="9">
        <v>2</v>
      </c>
      <c r="B34" s="119" t="s">
        <v>119</v>
      </c>
      <c r="C34" s="18">
        <f>L34/100*100</f>
        <v>320</v>
      </c>
      <c r="D34" s="19">
        <f>C34/100*899</f>
        <v>2876.8</v>
      </c>
      <c r="E34" s="20"/>
      <c r="F34" s="20"/>
      <c r="G34" s="20">
        <f>C34/100*100</f>
        <v>320</v>
      </c>
      <c r="H34" s="20"/>
      <c r="I34" s="20"/>
      <c r="J34" s="20"/>
      <c r="K34" s="20"/>
      <c r="L34" s="110">
        <v>320</v>
      </c>
      <c r="M34" s="117">
        <v>69</v>
      </c>
      <c r="N34" s="23">
        <f t="shared" ref="N34:N41" si="1">L34*M34</f>
        <v>22080</v>
      </c>
      <c r="O34" s="334"/>
    </row>
    <row r="35" spans="1:22" s="2" customFormat="1" ht="19.8" customHeight="1">
      <c r="A35" s="9">
        <v>3</v>
      </c>
      <c r="B35" s="121" t="s">
        <v>121</v>
      </c>
      <c r="C35" s="18">
        <f>L35/100*100</f>
        <v>1200</v>
      </c>
      <c r="D35" s="98">
        <f>C35/100*900</f>
        <v>10800</v>
      </c>
      <c r="E35" s="20"/>
      <c r="F35" s="20"/>
      <c r="G35" s="97"/>
      <c r="H35" s="97">
        <f>C35/100*100</f>
        <v>1200</v>
      </c>
      <c r="I35" s="20"/>
      <c r="J35" s="20"/>
      <c r="K35" s="20"/>
      <c r="L35" s="110">
        <v>1200</v>
      </c>
      <c r="M35" s="56">
        <v>65</v>
      </c>
      <c r="N35" s="23">
        <f t="shared" si="1"/>
        <v>78000</v>
      </c>
      <c r="O35" s="334"/>
    </row>
    <row r="36" spans="1:22" s="2" customFormat="1" ht="19.8" customHeight="1">
      <c r="A36" s="9">
        <v>4</v>
      </c>
      <c r="B36" s="5" t="s">
        <v>116</v>
      </c>
      <c r="C36" s="18">
        <f>L36/100*100</f>
        <v>140</v>
      </c>
      <c r="D36" s="19">
        <f>C36/100*247</f>
        <v>345.79999999999995</v>
      </c>
      <c r="E36" s="24"/>
      <c r="F36" s="24">
        <f>C36/100*17.5</f>
        <v>24.5</v>
      </c>
      <c r="G36" s="24"/>
      <c r="H36" s="24">
        <f>C36/100*1.6</f>
        <v>2.2399999999999998</v>
      </c>
      <c r="I36" s="24">
        <f>C36/100*39.2</f>
        <v>54.88</v>
      </c>
      <c r="J36" s="52"/>
      <c r="K36" s="52"/>
      <c r="L36" s="331">
        <v>140</v>
      </c>
      <c r="M36" s="56">
        <v>50</v>
      </c>
      <c r="N36" s="23">
        <f t="shared" si="1"/>
        <v>7000</v>
      </c>
      <c r="O36" s="126"/>
      <c r="Q36" s="3"/>
      <c r="R36" s="3"/>
      <c r="S36" s="4"/>
      <c r="T36" s="3"/>
    </row>
    <row r="37" spans="1:22" s="2" customFormat="1" ht="19.8" customHeight="1">
      <c r="A37" s="9">
        <v>5</v>
      </c>
      <c r="B37" s="122" t="s">
        <v>151</v>
      </c>
      <c r="C37" s="18">
        <f>L37/100*100</f>
        <v>19130</v>
      </c>
      <c r="D37" s="98">
        <f>C37/100*110</f>
        <v>21043</v>
      </c>
      <c r="E37" s="24"/>
      <c r="F37" s="143">
        <f>C37/100*1.7</f>
        <v>325.21000000000004</v>
      </c>
      <c r="G37" s="24"/>
      <c r="H37" s="24"/>
      <c r="I37" s="24">
        <f>C37/100*25.7</f>
        <v>4916.41</v>
      </c>
      <c r="J37" s="52">
        <f>C37/100*12</f>
        <v>2295.6000000000004</v>
      </c>
      <c r="K37" s="52">
        <f>C37/100*0.04</f>
        <v>7.652000000000001</v>
      </c>
      <c r="L37" s="331">
        <v>19130</v>
      </c>
      <c r="M37" s="56">
        <v>14</v>
      </c>
      <c r="N37" s="102">
        <f t="shared" ref="N37" si="2">L37*M37</f>
        <v>267820</v>
      </c>
      <c r="O37" s="126"/>
      <c r="Q37" s="3"/>
      <c r="R37" s="3"/>
      <c r="S37" s="4"/>
      <c r="T37" s="3"/>
    </row>
    <row r="38" spans="1:22" s="2" customFormat="1" ht="19.8" customHeight="1">
      <c r="A38" s="9">
        <v>6</v>
      </c>
      <c r="B38" s="122" t="s">
        <v>57</v>
      </c>
      <c r="C38" s="18">
        <f>L38/100*45</f>
        <v>3964.4999999999995</v>
      </c>
      <c r="D38" s="98">
        <f>C38/100*276</f>
        <v>10942.019999999999</v>
      </c>
      <c r="E38" s="143">
        <f>C38/100*17.8</f>
        <v>705.68099999999993</v>
      </c>
      <c r="F38" s="24"/>
      <c r="G38" s="24">
        <f>C38/100*21.8</f>
        <v>864.26099999999997</v>
      </c>
      <c r="H38" s="24"/>
      <c r="I38" s="24"/>
      <c r="J38" s="52">
        <f>C38/100*13</f>
        <v>515.38499999999999</v>
      </c>
      <c r="K38" s="52">
        <f>C38/100*0.07</f>
        <v>2.77515</v>
      </c>
      <c r="L38" s="331">
        <v>8810</v>
      </c>
      <c r="M38" s="56">
        <v>63</v>
      </c>
      <c r="N38" s="102">
        <f t="shared" si="1"/>
        <v>555030</v>
      </c>
      <c r="O38" s="126"/>
      <c r="Q38" s="3"/>
      <c r="R38" s="3"/>
      <c r="S38" s="4"/>
      <c r="T38" s="3"/>
    </row>
    <row r="39" spans="1:22" s="2" customFormat="1" ht="19.8" customHeight="1">
      <c r="A39" s="9">
        <v>7</v>
      </c>
      <c r="B39" s="121" t="s">
        <v>4</v>
      </c>
      <c r="C39" s="18">
        <f>L39/100*98.5</f>
        <v>1773</v>
      </c>
      <c r="D39" s="19">
        <f>C39/100*39</f>
        <v>691.47</v>
      </c>
      <c r="E39" s="24"/>
      <c r="F39" s="24">
        <f>C39/100*1.5</f>
        <v>26.594999999999999</v>
      </c>
      <c r="G39" s="24"/>
      <c r="H39" s="24">
        <f>C39/100*0.2</f>
        <v>3.5460000000000003</v>
      </c>
      <c r="I39" s="24">
        <f>C39/100*7.8</f>
        <v>138.29400000000001</v>
      </c>
      <c r="J39" s="52">
        <f>C39/100*43</f>
        <v>762.39</v>
      </c>
      <c r="K39" s="52">
        <f>C39/100*0.06</f>
        <v>1.0638000000000001</v>
      </c>
      <c r="L39" s="331">
        <v>1800</v>
      </c>
      <c r="M39" s="56">
        <v>17</v>
      </c>
      <c r="N39" s="23">
        <f t="shared" si="1"/>
        <v>30600</v>
      </c>
      <c r="O39" s="126"/>
    </row>
    <row r="40" spans="1:22" s="2" customFormat="1" ht="19.8" customHeight="1">
      <c r="A40" s="9">
        <v>8</v>
      </c>
      <c r="B40" s="121" t="s">
        <v>20</v>
      </c>
      <c r="C40" s="18">
        <f>L40/100*95</f>
        <v>2565</v>
      </c>
      <c r="D40" s="19">
        <f>C40/100*20</f>
        <v>513</v>
      </c>
      <c r="E40" s="24"/>
      <c r="F40" s="24">
        <f>C40/100*0.6</f>
        <v>15.389999999999999</v>
      </c>
      <c r="G40" s="24"/>
      <c r="H40" s="24">
        <f>C40/100*0.2</f>
        <v>5.13</v>
      </c>
      <c r="I40" s="24">
        <f>C40/100*4</f>
        <v>102.6</v>
      </c>
      <c r="J40" s="52">
        <f>C40/100*12</f>
        <v>307.79999999999995</v>
      </c>
      <c r="K40" s="52">
        <f>C40/100*0.04</f>
        <v>1.026</v>
      </c>
      <c r="L40" s="331">
        <v>2700</v>
      </c>
      <c r="M40" s="56">
        <v>22</v>
      </c>
      <c r="N40" s="23">
        <f t="shared" si="1"/>
        <v>59400</v>
      </c>
      <c r="O40" s="126"/>
    </row>
    <row r="41" spans="1:22" s="2" customFormat="1" ht="19.8" customHeight="1">
      <c r="A41" s="9">
        <v>9</v>
      </c>
      <c r="B41" s="5" t="s">
        <v>67</v>
      </c>
      <c r="C41" s="18">
        <f>L41/100*80</f>
        <v>23400</v>
      </c>
      <c r="D41" s="19">
        <f>C41/100*40</f>
        <v>9360</v>
      </c>
      <c r="E41" s="20"/>
      <c r="F41" s="97">
        <f>C41/100*1.3</f>
        <v>304.2</v>
      </c>
      <c r="G41" s="20"/>
      <c r="H41" s="20"/>
      <c r="I41" s="20">
        <f>C41/100*2.8</f>
        <v>655.19999999999993</v>
      </c>
      <c r="J41" s="20">
        <f>C41/100*11</f>
        <v>2574</v>
      </c>
      <c r="K41" s="20"/>
      <c r="L41" s="330">
        <v>29250</v>
      </c>
      <c r="M41" s="56">
        <v>32</v>
      </c>
      <c r="N41" s="102">
        <f t="shared" si="1"/>
        <v>936000</v>
      </c>
      <c r="O41" s="357"/>
      <c r="P41" s="349"/>
    </row>
    <row r="42" spans="1:22" s="2" customFormat="1" ht="19.8" customHeight="1">
      <c r="A42" s="91">
        <v>10</v>
      </c>
      <c r="B42" s="90" t="s">
        <v>107</v>
      </c>
      <c r="C42" s="82"/>
      <c r="D42" s="83"/>
      <c r="E42" s="84"/>
      <c r="F42" s="84"/>
      <c r="G42" s="84"/>
      <c r="H42" s="84"/>
      <c r="I42" s="84"/>
      <c r="J42" s="84"/>
      <c r="K42" s="84"/>
      <c r="L42" s="85"/>
      <c r="M42" s="85"/>
      <c r="N42" s="139">
        <v>14480</v>
      </c>
      <c r="O42" s="126"/>
    </row>
    <row r="43" spans="1:22" ht="19.8" customHeight="1">
      <c r="A43" s="159" t="s">
        <v>59</v>
      </c>
      <c r="B43" s="162" t="s">
        <v>19</v>
      </c>
      <c r="C43" s="275" t="s">
        <v>8</v>
      </c>
      <c r="D43" s="165" t="s">
        <v>9</v>
      </c>
      <c r="E43" s="170" t="s">
        <v>11</v>
      </c>
      <c r="F43" s="171"/>
      <c r="G43" s="170" t="s">
        <v>13</v>
      </c>
      <c r="H43" s="171"/>
      <c r="I43" s="174" t="s">
        <v>16</v>
      </c>
      <c r="J43" s="174" t="s">
        <v>39</v>
      </c>
      <c r="K43" s="174" t="s">
        <v>40</v>
      </c>
      <c r="L43" s="174" t="s">
        <v>17</v>
      </c>
      <c r="M43" s="174" t="s">
        <v>48</v>
      </c>
      <c r="N43" s="159" t="s">
        <v>18</v>
      </c>
      <c r="O43" s="329"/>
    </row>
    <row r="44" spans="1:22" ht="19.8" customHeight="1">
      <c r="A44" s="160"/>
      <c r="B44" s="163"/>
      <c r="C44" s="276"/>
      <c r="D44" s="166"/>
      <c r="E44" s="172"/>
      <c r="F44" s="173"/>
      <c r="G44" s="172"/>
      <c r="H44" s="173"/>
      <c r="I44" s="175"/>
      <c r="J44" s="175"/>
      <c r="K44" s="175"/>
      <c r="L44" s="175"/>
      <c r="M44" s="175"/>
      <c r="N44" s="160"/>
      <c r="O44" s="148"/>
    </row>
    <row r="45" spans="1:22" ht="19.8" customHeight="1">
      <c r="A45" s="160"/>
      <c r="B45" s="163"/>
      <c r="C45" s="276"/>
      <c r="D45" s="166"/>
      <c r="E45" s="174" t="s">
        <v>10</v>
      </c>
      <c r="F45" s="174" t="s">
        <v>12</v>
      </c>
      <c r="G45" s="174" t="s">
        <v>14</v>
      </c>
      <c r="H45" s="174" t="s">
        <v>15</v>
      </c>
      <c r="I45" s="175"/>
      <c r="J45" s="175"/>
      <c r="K45" s="175"/>
      <c r="L45" s="175"/>
      <c r="M45" s="175"/>
      <c r="N45" s="160"/>
      <c r="O45" s="148"/>
    </row>
    <row r="46" spans="1:22" ht="19.8" customHeight="1">
      <c r="A46" s="161"/>
      <c r="B46" s="164"/>
      <c r="C46" s="277"/>
      <c r="D46" s="167"/>
      <c r="E46" s="176"/>
      <c r="F46" s="176"/>
      <c r="G46" s="176"/>
      <c r="H46" s="176"/>
      <c r="I46" s="176"/>
      <c r="J46" s="176"/>
      <c r="K46" s="176"/>
      <c r="L46" s="176"/>
      <c r="M46" s="176"/>
      <c r="N46" s="161"/>
      <c r="O46" s="148"/>
    </row>
    <row r="47" spans="1:22" s="2" customFormat="1" ht="19.2" customHeight="1">
      <c r="A47" s="16" t="s">
        <v>96</v>
      </c>
      <c r="B47" s="17"/>
      <c r="C47" s="26"/>
      <c r="D47" s="99">
        <f>SUM(D33:D42)</f>
        <v>56734.09</v>
      </c>
      <c r="E47" s="31"/>
      <c r="F47" s="31"/>
      <c r="G47" s="31"/>
      <c r="H47" s="31"/>
      <c r="I47" s="31"/>
      <c r="J47" s="31"/>
      <c r="K47" s="31"/>
      <c r="L47" s="32"/>
      <c r="M47" s="235"/>
      <c r="N47" s="168">
        <f>SUM(N33:N42)</f>
        <v>1975810</v>
      </c>
      <c r="O47" s="126"/>
    </row>
    <row r="48" spans="1:22" ht="19.2" customHeight="1">
      <c r="A48" s="16" t="s">
        <v>7</v>
      </c>
      <c r="B48" s="17"/>
      <c r="C48" s="33"/>
      <c r="D48" s="34">
        <f>D47/D10</f>
        <v>252.15151111111109</v>
      </c>
      <c r="E48" s="34"/>
      <c r="F48" s="34"/>
      <c r="G48" s="34"/>
      <c r="H48" s="34"/>
      <c r="I48" s="34"/>
      <c r="J48" s="34"/>
      <c r="K48" s="34"/>
      <c r="L48" s="35"/>
      <c r="M48" s="236"/>
      <c r="N48" s="169"/>
      <c r="O48" s="4"/>
      <c r="P48" s="2"/>
      <c r="Q48" s="2"/>
      <c r="R48" s="2"/>
      <c r="S48" s="2"/>
      <c r="T48" s="2"/>
      <c r="U48" s="2"/>
      <c r="V48" s="2"/>
    </row>
    <row r="49" spans="1:23" ht="19.2" customHeight="1">
      <c r="A49" s="210" t="s">
        <v>45</v>
      </c>
      <c r="B49" s="211"/>
      <c r="C49" s="333" t="s">
        <v>125</v>
      </c>
      <c r="D49" s="15" t="s">
        <v>51</v>
      </c>
      <c r="E49" s="34"/>
      <c r="F49" s="34"/>
      <c r="G49" s="34"/>
      <c r="H49" s="34"/>
      <c r="I49" s="34"/>
      <c r="J49" s="36"/>
      <c r="K49" s="36"/>
      <c r="L49" s="35"/>
      <c r="M49" s="35"/>
      <c r="N49" s="149"/>
      <c r="O49" s="4"/>
      <c r="P49" s="2"/>
      <c r="Q49" s="2"/>
      <c r="R49" s="2"/>
      <c r="S49" s="2"/>
      <c r="T49" s="2"/>
      <c r="U49" s="2"/>
      <c r="V49" s="2"/>
      <c r="W49" s="2"/>
    </row>
    <row r="50" spans="1:23" ht="19.2" customHeight="1">
      <c r="A50" s="212"/>
      <c r="B50" s="213"/>
      <c r="C50" s="57" t="s">
        <v>53</v>
      </c>
      <c r="D50" s="15">
        <f>D48*100/1320</f>
        <v>19.102387205387206</v>
      </c>
      <c r="E50" s="34"/>
      <c r="F50" s="34"/>
      <c r="G50" s="34"/>
      <c r="H50" s="34"/>
      <c r="I50" s="34"/>
      <c r="J50" s="36"/>
      <c r="K50" s="36"/>
      <c r="L50" s="35"/>
      <c r="M50" s="35"/>
      <c r="N50" s="149"/>
      <c r="O50" s="4"/>
      <c r="P50" s="2"/>
      <c r="Q50" s="2"/>
      <c r="R50" s="2"/>
      <c r="S50" s="2"/>
      <c r="T50" s="2"/>
      <c r="U50" s="2"/>
      <c r="V50" s="2"/>
      <c r="W50" s="2"/>
    </row>
    <row r="51" spans="1:23" ht="19.2" customHeight="1">
      <c r="A51" s="289" t="s">
        <v>95</v>
      </c>
      <c r="B51" s="290"/>
      <c r="C51" s="214"/>
      <c r="D51" s="216">
        <f>D28+D47</f>
        <v>158498.12899999999</v>
      </c>
      <c r="E51" s="101">
        <f>SUM(E16:E42)</f>
        <v>3023.6390999999999</v>
      </c>
      <c r="F51" s="101">
        <f t="shared" ref="F51:H51" si="3">SUM(F16:F42)</f>
        <v>2593.6819999999998</v>
      </c>
      <c r="G51" s="101">
        <f t="shared" si="3"/>
        <v>3369.3440999999998</v>
      </c>
      <c r="H51" s="101">
        <f t="shared" si="3"/>
        <v>1436.2980000000002</v>
      </c>
      <c r="I51" s="233">
        <f>SUM(I16:I42)</f>
        <v>22467.993000000006</v>
      </c>
      <c r="J51" s="233">
        <f>SUM(J16:J42)</f>
        <v>33201.305</v>
      </c>
      <c r="K51" s="242">
        <f>SUM(K16:K42)</f>
        <v>95.111620000000002</v>
      </c>
      <c r="L51" s="227"/>
      <c r="M51" s="227"/>
      <c r="N51" s="257">
        <f>N28+N47</f>
        <v>4949490</v>
      </c>
      <c r="P51" s="2"/>
      <c r="Q51" s="2"/>
      <c r="R51" s="2"/>
      <c r="S51" s="2"/>
      <c r="T51" s="2"/>
      <c r="U51" s="2"/>
      <c r="V51" s="2"/>
    </row>
    <row r="52" spans="1:23" ht="19.2" customHeight="1">
      <c r="A52" s="291"/>
      <c r="B52" s="292"/>
      <c r="C52" s="215"/>
      <c r="D52" s="217"/>
      <c r="E52" s="272">
        <f>E51+F51</f>
        <v>5617.3210999999992</v>
      </c>
      <c r="F52" s="273"/>
      <c r="G52" s="187">
        <f>G51+H51</f>
        <v>4805.6421</v>
      </c>
      <c r="H52" s="188"/>
      <c r="I52" s="234"/>
      <c r="J52" s="293"/>
      <c r="K52" s="294"/>
      <c r="L52" s="227"/>
      <c r="M52" s="227"/>
      <c r="N52" s="257"/>
      <c r="U52" s="12"/>
      <c r="V52" s="12"/>
    </row>
    <row r="53" spans="1:23" ht="19.2" customHeight="1">
      <c r="A53" s="201" t="s">
        <v>68</v>
      </c>
      <c r="B53" s="202"/>
      <c r="C53" s="203"/>
      <c r="D53" s="111">
        <f>D51/D10</f>
        <v>704.43612888888879</v>
      </c>
      <c r="E53" s="335">
        <f>E51/D10</f>
        <v>13.438395999999999</v>
      </c>
      <c r="F53" s="336">
        <f>F51/D10</f>
        <v>11.527475555555554</v>
      </c>
      <c r="G53" s="335">
        <f>G51/D10</f>
        <v>14.974862666666667</v>
      </c>
      <c r="H53" s="360">
        <f>H51/D10</f>
        <v>6.3835466666666676</v>
      </c>
      <c r="I53" s="189">
        <f>I51/D10</f>
        <v>99.857746666666699</v>
      </c>
      <c r="J53" s="295">
        <f>J51/D10</f>
        <v>147.56135555555556</v>
      </c>
      <c r="K53" s="295">
        <f>K51/D10</f>
        <v>0.42271831111111113</v>
      </c>
      <c r="L53" s="227"/>
      <c r="M53" s="227"/>
      <c r="N53" s="257"/>
      <c r="U53" s="12"/>
      <c r="V53" s="12"/>
    </row>
    <row r="54" spans="1:23" ht="19.2" customHeight="1">
      <c r="A54" s="204"/>
      <c r="B54" s="205"/>
      <c r="C54" s="206"/>
      <c r="D54" s="103"/>
      <c r="E54" s="337">
        <f>E53+F53</f>
        <v>24.965871555555552</v>
      </c>
      <c r="F54" s="338"/>
      <c r="G54" s="337">
        <f>G53+H53</f>
        <v>21.358409333333334</v>
      </c>
      <c r="H54" s="338"/>
      <c r="I54" s="190"/>
      <c r="J54" s="295"/>
      <c r="K54" s="295"/>
      <c r="L54" s="227"/>
      <c r="M54" s="227"/>
      <c r="N54" s="257"/>
      <c r="P54" s="350"/>
      <c r="Q54" s="351"/>
      <c r="R54" s="351"/>
      <c r="S54" s="351"/>
      <c r="T54" s="351"/>
      <c r="U54" s="352"/>
      <c r="V54" s="352"/>
    </row>
    <row r="55" spans="1:23" ht="19.2" customHeight="1">
      <c r="A55" s="207" t="s">
        <v>71</v>
      </c>
      <c r="B55" s="208"/>
      <c r="C55" s="209"/>
      <c r="D55" s="153" t="s">
        <v>27</v>
      </c>
      <c r="E55" s="158" t="s">
        <v>21</v>
      </c>
      <c r="F55" s="158"/>
      <c r="G55" s="158" t="s">
        <v>22</v>
      </c>
      <c r="H55" s="158"/>
      <c r="I55" s="150" t="s">
        <v>23</v>
      </c>
      <c r="J55" s="339">
        <v>600</v>
      </c>
      <c r="K55" s="339">
        <v>0.7</v>
      </c>
      <c r="L55" s="227"/>
      <c r="M55" s="227"/>
      <c r="N55" s="257"/>
      <c r="O55" s="340"/>
      <c r="P55" s="353"/>
      <c r="Q55" s="351"/>
      <c r="R55" s="351"/>
      <c r="S55" s="351"/>
      <c r="T55" s="351"/>
      <c r="U55" s="351"/>
      <c r="V55" s="351"/>
    </row>
    <row r="56" spans="1:23" ht="19.2" customHeight="1">
      <c r="A56" s="180" t="s">
        <v>69</v>
      </c>
      <c r="B56" s="246"/>
      <c r="C56" s="181"/>
      <c r="D56" s="37"/>
      <c r="E56" s="185">
        <f>E54*4.1</f>
        <v>102.36007337777775</v>
      </c>
      <c r="F56" s="186"/>
      <c r="G56" s="185">
        <f>G54*9</f>
        <v>192.225684</v>
      </c>
      <c r="H56" s="186"/>
      <c r="I56" s="66">
        <f>I53*4.1</f>
        <v>409.41676133333345</v>
      </c>
      <c r="J56" s="218"/>
      <c r="K56" s="218"/>
      <c r="L56" s="227"/>
      <c r="M56" s="227"/>
      <c r="N56" s="257"/>
      <c r="O56" s="340"/>
      <c r="P56" s="355"/>
      <c r="Q56" s="356"/>
      <c r="R56" s="356"/>
      <c r="S56" s="356"/>
      <c r="T56" s="350"/>
      <c r="U56" s="350"/>
      <c r="V56" s="350"/>
    </row>
    <row r="57" spans="1:23" ht="19.2" customHeight="1">
      <c r="A57" s="221" t="s">
        <v>78</v>
      </c>
      <c r="B57" s="222"/>
      <c r="C57" s="180" t="s">
        <v>52</v>
      </c>
      <c r="D57" s="181"/>
      <c r="E57" s="287">
        <f>E56*100/D53</f>
        <v>14.530781312882247</v>
      </c>
      <c r="F57" s="288"/>
      <c r="G57" s="287">
        <f>G56*100/D53</f>
        <v>27.287879783110881</v>
      </c>
      <c r="H57" s="288"/>
      <c r="I57" s="94">
        <f>I56*100/D53</f>
        <v>58.119784682127097</v>
      </c>
      <c r="J57" s="219"/>
      <c r="K57" s="219"/>
      <c r="L57" s="227"/>
      <c r="M57" s="227"/>
      <c r="N57" s="257"/>
      <c r="O57" s="340"/>
      <c r="P57" s="350"/>
      <c r="Q57" s="350"/>
      <c r="R57" s="350"/>
      <c r="S57" s="350"/>
      <c r="T57" s="350"/>
      <c r="U57" s="350"/>
      <c r="V57" s="350"/>
    </row>
    <row r="58" spans="1:23" ht="19.2" customHeight="1">
      <c r="A58" s="223"/>
      <c r="B58" s="224"/>
      <c r="C58" s="180" t="s">
        <v>70</v>
      </c>
      <c r="D58" s="181"/>
      <c r="E58" s="180" t="s">
        <v>73</v>
      </c>
      <c r="F58" s="181"/>
      <c r="G58" s="180" t="s">
        <v>74</v>
      </c>
      <c r="H58" s="181"/>
      <c r="I58" s="153" t="s">
        <v>75</v>
      </c>
      <c r="J58" s="220"/>
      <c r="K58" s="220"/>
      <c r="L58" s="227"/>
      <c r="M58" s="227"/>
      <c r="N58" s="257"/>
      <c r="O58" s="340"/>
    </row>
    <row r="59" spans="1:23" ht="19.2" customHeight="1">
      <c r="A59" s="69"/>
      <c r="B59" s="69"/>
      <c r="C59" s="69"/>
      <c r="D59" s="69"/>
      <c r="E59" s="69"/>
      <c r="F59" s="69"/>
      <c r="G59" s="69"/>
      <c r="H59" s="69"/>
      <c r="I59" s="69"/>
      <c r="J59" s="69"/>
      <c r="K59" s="69"/>
      <c r="L59" s="73"/>
      <c r="M59" s="73"/>
      <c r="N59" s="74"/>
      <c r="O59" s="340"/>
      <c r="P59" s="341"/>
    </row>
    <row r="60" spans="1:23" ht="21" customHeight="1">
      <c r="A60" s="228" t="s">
        <v>98</v>
      </c>
      <c r="B60" s="228"/>
      <c r="C60" s="228"/>
      <c r="D60" s="228"/>
      <c r="E60" s="228"/>
      <c r="F60" s="228"/>
      <c r="G60" s="228"/>
      <c r="H60" s="228"/>
      <c r="I60" s="228"/>
      <c r="J60" s="228"/>
      <c r="K60" s="228"/>
      <c r="L60" s="228"/>
      <c r="M60" s="228"/>
      <c r="N60" s="228"/>
      <c r="O60" s="340"/>
    </row>
    <row r="61" spans="1:23" ht="21" customHeight="1">
      <c r="A61" s="95" t="s">
        <v>99</v>
      </c>
      <c r="B61" s="229" t="s">
        <v>100</v>
      </c>
      <c r="C61" s="229"/>
      <c r="D61" s="229"/>
      <c r="E61" s="229"/>
      <c r="F61" s="229"/>
      <c r="G61" s="229"/>
      <c r="H61" s="229"/>
      <c r="I61" s="229"/>
      <c r="J61" s="229"/>
      <c r="K61" s="229"/>
      <c r="L61" s="229"/>
      <c r="M61" s="229"/>
      <c r="N61" s="229"/>
      <c r="O61" s="340"/>
    </row>
    <row r="62" spans="1:23" ht="21" customHeight="1">
      <c r="A62" s="96"/>
      <c r="B62" s="199" t="s">
        <v>169</v>
      </c>
      <c r="C62" s="199"/>
      <c r="D62" s="199"/>
      <c r="E62" s="199"/>
      <c r="F62" s="199"/>
      <c r="G62" s="199"/>
      <c r="H62" s="199"/>
      <c r="I62" s="199"/>
      <c r="J62" s="199"/>
      <c r="K62" s="199"/>
      <c r="L62" s="199"/>
      <c r="M62" s="199"/>
      <c r="N62" s="199"/>
      <c r="O62" s="340"/>
    </row>
    <row r="63" spans="1:23" ht="21" customHeight="1">
      <c r="A63" s="96"/>
      <c r="B63" s="199" t="s">
        <v>146</v>
      </c>
      <c r="C63" s="199"/>
      <c r="D63" s="199"/>
      <c r="E63" s="199"/>
      <c r="F63" s="199"/>
      <c r="G63" s="199"/>
      <c r="H63" s="199"/>
      <c r="I63" s="199"/>
      <c r="J63" s="199"/>
      <c r="K63" s="199"/>
      <c r="L63" s="199"/>
      <c r="M63" s="199"/>
      <c r="N63" s="199"/>
      <c r="O63" s="340"/>
    </row>
    <row r="64" spans="1:23" ht="21" customHeight="1">
      <c r="A64" s="96"/>
      <c r="B64" s="199" t="s">
        <v>141</v>
      </c>
      <c r="C64" s="199"/>
      <c r="D64" s="199"/>
      <c r="E64" s="199"/>
      <c r="F64" s="199"/>
      <c r="G64" s="199"/>
      <c r="H64" s="199"/>
      <c r="I64" s="199"/>
      <c r="J64" s="199"/>
      <c r="K64" s="199"/>
      <c r="L64" s="199"/>
      <c r="M64" s="199"/>
      <c r="N64" s="199"/>
      <c r="O64" s="340"/>
    </row>
    <row r="65" spans="1:15" ht="21" customHeight="1">
      <c r="A65" s="69"/>
      <c r="B65" s="200" t="s">
        <v>101</v>
      </c>
      <c r="C65" s="200"/>
      <c r="D65" s="200"/>
      <c r="E65" s="200"/>
      <c r="F65" s="200"/>
      <c r="G65" s="200"/>
      <c r="H65" s="200"/>
      <c r="I65" s="200"/>
      <c r="J65" s="200"/>
      <c r="K65" s="200"/>
      <c r="L65" s="200"/>
      <c r="M65" s="200"/>
      <c r="N65" s="200"/>
      <c r="O65" s="340"/>
    </row>
    <row r="66" spans="1:15" ht="21" customHeight="1">
      <c r="A66" s="69"/>
      <c r="B66" s="69"/>
      <c r="C66" s="69"/>
      <c r="D66" s="69"/>
      <c r="E66" s="69"/>
      <c r="F66" s="69"/>
      <c r="G66" s="69"/>
      <c r="H66" s="69"/>
      <c r="I66" s="69"/>
      <c r="J66" s="69"/>
      <c r="K66" s="69"/>
      <c r="L66" s="73"/>
      <c r="M66" s="73"/>
      <c r="N66" s="74"/>
      <c r="O66" s="340"/>
    </row>
    <row r="67" spans="1:15" ht="21" customHeight="1">
      <c r="A67" s="198" t="s">
        <v>55</v>
      </c>
      <c r="B67" s="198"/>
      <c r="C67" s="198"/>
      <c r="D67" s="198"/>
      <c r="E67" s="342"/>
      <c r="F67" s="342"/>
      <c r="G67" s="342"/>
      <c r="H67" s="342"/>
      <c r="I67" s="342"/>
      <c r="J67" s="343" t="s">
        <v>32</v>
      </c>
      <c r="K67" s="343"/>
      <c r="L67" s="343"/>
      <c r="M67" s="343"/>
      <c r="N67" s="343"/>
      <c r="O67" s="340"/>
    </row>
    <row r="68" spans="1:15" ht="21" customHeight="1">
      <c r="A68" s="148"/>
      <c r="B68" s="148"/>
      <c r="C68" s="148"/>
      <c r="D68" s="342"/>
      <c r="E68" s="342"/>
      <c r="F68" s="342"/>
      <c r="G68" s="342"/>
      <c r="H68" s="344"/>
      <c r="I68" s="344"/>
      <c r="J68" s="344"/>
      <c r="K68" s="344"/>
      <c r="L68" s="344"/>
      <c r="M68" s="344"/>
      <c r="N68" s="344"/>
      <c r="O68" s="340"/>
    </row>
    <row r="69" spans="1:15" ht="21" customHeight="1">
      <c r="A69" s="148"/>
      <c r="B69" s="148"/>
      <c r="C69" s="148"/>
      <c r="D69" s="342"/>
      <c r="E69" s="342"/>
      <c r="F69" s="342"/>
      <c r="G69" s="342"/>
      <c r="H69" s="344"/>
      <c r="I69" s="344"/>
      <c r="J69" s="344"/>
      <c r="K69" s="344"/>
      <c r="L69" s="344"/>
      <c r="M69" s="344"/>
      <c r="N69" s="344"/>
      <c r="O69" s="340"/>
    </row>
    <row r="70" spans="1:15" ht="21" customHeight="1">
      <c r="A70" s="148"/>
      <c r="B70" s="148"/>
      <c r="C70" s="148"/>
      <c r="D70" s="342"/>
      <c r="E70" s="342"/>
      <c r="F70" s="342"/>
      <c r="G70" s="342"/>
      <c r="H70" s="344"/>
      <c r="I70" s="344"/>
      <c r="J70" s="345" t="s">
        <v>108</v>
      </c>
      <c r="K70" s="345"/>
      <c r="L70" s="345"/>
      <c r="M70" s="345"/>
      <c r="N70" s="345"/>
      <c r="O70" s="340"/>
    </row>
    <row r="71" spans="1:15" ht="21" customHeight="1">
      <c r="A71" s="182" t="s">
        <v>81</v>
      </c>
      <c r="B71" s="182"/>
      <c r="C71" s="182"/>
      <c r="D71" s="182"/>
      <c r="E71" s="342"/>
      <c r="F71" s="342"/>
      <c r="G71" s="342"/>
      <c r="H71" s="344"/>
      <c r="I71" s="344"/>
      <c r="O71" s="340"/>
    </row>
    <row r="72" spans="1:15" ht="19.2" customHeight="1">
      <c r="A72" s="148"/>
      <c r="B72" s="148"/>
      <c r="C72" s="148"/>
      <c r="D72" s="342"/>
      <c r="E72" s="342"/>
      <c r="F72" s="342"/>
      <c r="G72" s="342"/>
      <c r="H72" s="344"/>
      <c r="I72" s="344"/>
      <c r="J72" s="344"/>
      <c r="K72" s="344"/>
      <c r="L72" s="344"/>
      <c r="M72" s="344"/>
      <c r="N72" s="344"/>
      <c r="O72" s="340"/>
    </row>
    <row r="73" spans="1:15" ht="19.2" customHeight="1">
      <c r="A73" s="148"/>
      <c r="B73" s="148"/>
      <c r="C73" s="148"/>
      <c r="D73" s="342"/>
      <c r="E73" s="342"/>
      <c r="F73" s="342"/>
      <c r="G73" s="342"/>
      <c r="H73" s="344"/>
      <c r="I73" s="344"/>
      <c r="J73" s="344"/>
      <c r="K73" s="344"/>
      <c r="L73" s="344"/>
      <c r="M73" s="344"/>
      <c r="N73" s="344"/>
      <c r="O73" s="340"/>
    </row>
    <row r="74" spans="1:15" ht="19.2" customHeight="1">
      <c r="A74" s="148"/>
      <c r="B74" s="148"/>
      <c r="C74" s="148"/>
      <c r="D74" s="342"/>
      <c r="E74" s="342"/>
      <c r="F74" s="342"/>
      <c r="G74" s="342"/>
      <c r="H74" s="344"/>
      <c r="I74" s="344"/>
      <c r="J74" s="345" t="s">
        <v>111</v>
      </c>
      <c r="K74" s="345"/>
      <c r="L74" s="345"/>
      <c r="M74" s="345"/>
      <c r="N74" s="345"/>
      <c r="O74" s="340"/>
    </row>
    <row r="75" spans="1:15" ht="19.2" customHeight="1">
      <c r="A75" s="148"/>
      <c r="B75" s="148"/>
      <c r="C75" s="148"/>
      <c r="D75" s="342"/>
      <c r="E75" s="342"/>
      <c r="F75" s="342"/>
      <c r="G75" s="342"/>
      <c r="H75" s="344"/>
      <c r="I75" s="344"/>
      <c r="J75" s="344"/>
      <c r="K75" s="344"/>
      <c r="L75" s="344"/>
      <c r="M75" s="344"/>
      <c r="N75" s="344"/>
      <c r="O75" s="340"/>
    </row>
    <row r="76" spans="1:15" ht="19.2" customHeight="1">
      <c r="A76" s="148"/>
      <c r="B76" s="148"/>
      <c r="C76" s="148"/>
      <c r="D76" s="342"/>
      <c r="E76" s="342"/>
      <c r="F76" s="342"/>
      <c r="G76" s="342"/>
      <c r="H76" s="344"/>
      <c r="I76" s="344"/>
      <c r="J76" s="344"/>
      <c r="K76" s="344"/>
      <c r="L76" s="344"/>
      <c r="M76" s="344"/>
      <c r="N76" s="344"/>
      <c r="O76" s="340"/>
    </row>
    <row r="77" spans="1:15" ht="19.2" customHeight="1">
      <c r="A77" s="148"/>
      <c r="B77" s="148"/>
      <c r="C77" s="148"/>
      <c r="D77" s="342"/>
      <c r="E77" s="342"/>
      <c r="F77" s="342"/>
      <c r="G77" s="342"/>
      <c r="H77" s="344"/>
      <c r="I77" s="344"/>
      <c r="J77" s="344"/>
      <c r="K77" s="344"/>
      <c r="L77" s="344"/>
      <c r="M77" s="344"/>
      <c r="N77" s="344"/>
      <c r="O77" s="340"/>
    </row>
    <row r="78" spans="1:15" ht="19.2" customHeight="1">
      <c r="A78" s="148"/>
      <c r="B78" s="148"/>
      <c r="C78" s="148"/>
      <c r="D78" s="342"/>
      <c r="E78" s="342"/>
      <c r="F78" s="342"/>
      <c r="G78" s="342"/>
      <c r="H78" s="344"/>
      <c r="I78" s="344"/>
      <c r="J78" s="344"/>
      <c r="K78" s="344"/>
      <c r="L78" s="344"/>
      <c r="M78" s="344"/>
      <c r="N78" s="344"/>
      <c r="O78" s="340"/>
    </row>
    <row r="79" spans="1:15" ht="19.2" customHeight="1">
      <c r="A79" s="148"/>
      <c r="B79" s="148"/>
      <c r="C79" s="148"/>
      <c r="D79" s="342"/>
      <c r="E79" s="342"/>
      <c r="F79" s="342"/>
      <c r="G79" s="342"/>
      <c r="H79" s="344"/>
      <c r="I79" s="344"/>
      <c r="J79" s="344"/>
      <c r="K79" s="344"/>
      <c r="L79" s="344"/>
      <c r="M79" s="344"/>
      <c r="N79" s="344"/>
      <c r="O79" s="340"/>
    </row>
    <row r="80" spans="1:15" ht="19.2" customHeight="1">
      <c r="A80" s="148"/>
      <c r="B80" s="148"/>
      <c r="C80" s="148"/>
      <c r="D80" s="342"/>
      <c r="E80" s="342"/>
      <c r="F80" s="342"/>
      <c r="G80" s="342"/>
      <c r="H80" s="344"/>
      <c r="I80" s="344"/>
      <c r="J80" s="344"/>
      <c r="K80" s="344"/>
      <c r="L80" s="344"/>
      <c r="M80" s="344"/>
      <c r="N80" s="344"/>
      <c r="O80" s="340"/>
    </row>
    <row r="81" spans="1:20" ht="19.2" customHeight="1">
      <c r="A81" s="148"/>
      <c r="B81" s="148"/>
      <c r="C81" s="148"/>
      <c r="D81" s="342"/>
      <c r="E81" s="342"/>
      <c r="F81" s="342"/>
      <c r="G81" s="342"/>
      <c r="H81" s="344"/>
      <c r="I81" s="344"/>
      <c r="J81" s="344"/>
      <c r="K81" s="344"/>
      <c r="L81" s="344"/>
      <c r="M81" s="344"/>
      <c r="N81" s="344"/>
      <c r="O81" s="340"/>
    </row>
    <row r="82" spans="1:20" ht="19.2" customHeight="1">
      <c r="A82" s="148"/>
      <c r="B82" s="148"/>
      <c r="C82" s="148"/>
      <c r="D82" s="342"/>
      <c r="E82" s="342"/>
      <c r="F82" s="342"/>
      <c r="G82" s="342"/>
      <c r="H82" s="344"/>
      <c r="I82" s="344"/>
      <c r="J82" s="344"/>
      <c r="K82" s="344"/>
      <c r="L82" s="344"/>
      <c r="M82" s="344"/>
      <c r="N82" s="344"/>
      <c r="O82" s="340"/>
    </row>
    <row r="83" spans="1:20" ht="19.2" customHeight="1">
      <c r="A83" s="148"/>
      <c r="B83" s="148"/>
      <c r="C83" s="148"/>
      <c r="D83" s="342"/>
      <c r="E83" s="342"/>
      <c r="F83" s="342"/>
      <c r="G83" s="342"/>
      <c r="H83" s="344"/>
      <c r="I83" s="344"/>
      <c r="J83" s="344"/>
      <c r="K83" s="344"/>
      <c r="L83" s="344"/>
      <c r="M83" s="344"/>
      <c r="N83" s="344"/>
      <c r="O83" s="340"/>
    </row>
    <row r="84" spans="1:20" ht="19.2" customHeight="1">
      <c r="A84" s="148"/>
      <c r="B84" s="148"/>
      <c r="C84" s="148"/>
      <c r="D84" s="342"/>
      <c r="E84" s="342"/>
      <c r="F84" s="342"/>
      <c r="G84" s="342"/>
      <c r="H84" s="344"/>
      <c r="I84" s="344"/>
      <c r="J84" s="344"/>
      <c r="K84" s="344"/>
      <c r="L84" s="344"/>
      <c r="M84" s="344"/>
      <c r="N84" s="344"/>
      <c r="O84" s="340"/>
    </row>
    <row r="85" spans="1:20" ht="19.2" customHeight="1">
      <c r="A85" s="11" t="s">
        <v>54</v>
      </c>
      <c r="B85" s="8"/>
      <c r="C85" s="8"/>
      <c r="D85" s="8"/>
      <c r="E85" s="8"/>
      <c r="F85" s="232" t="s">
        <v>31</v>
      </c>
      <c r="G85" s="232"/>
      <c r="H85" s="232"/>
      <c r="I85" s="232"/>
      <c r="J85" s="232"/>
      <c r="K85" s="232"/>
      <c r="L85" s="232"/>
      <c r="M85" s="232"/>
      <c r="N85" s="232"/>
      <c r="O85" s="327"/>
      <c r="P85" s="327"/>
      <c r="T85" s="2"/>
    </row>
    <row r="86" spans="1:20" ht="19.2" customHeight="1">
      <c r="A86" s="8" t="s">
        <v>168</v>
      </c>
      <c r="B86" s="8"/>
      <c r="C86" s="8"/>
      <c r="D86" s="8"/>
      <c r="E86" s="8"/>
      <c r="F86" s="152"/>
      <c r="G86" s="152"/>
      <c r="H86" s="152"/>
      <c r="I86" s="152"/>
      <c r="J86" s="152"/>
      <c r="K86" s="152"/>
      <c r="L86" s="152"/>
      <c r="M86" s="152"/>
      <c r="N86" s="152"/>
      <c r="O86" s="327"/>
      <c r="P86" s="327"/>
      <c r="T86" s="2"/>
    </row>
    <row r="87" spans="1:20" s="2" customFormat="1" ht="19.2" customHeight="1">
      <c r="A87" s="158" t="s">
        <v>86</v>
      </c>
      <c r="B87" s="158"/>
      <c r="C87" s="158"/>
      <c r="D87" s="158"/>
      <c r="E87" s="158" t="s">
        <v>79</v>
      </c>
      <c r="F87" s="158"/>
      <c r="G87" s="158"/>
      <c r="H87" s="158"/>
      <c r="I87" s="158"/>
      <c r="J87" s="158"/>
      <c r="K87" s="158"/>
      <c r="L87" s="158"/>
      <c r="M87" s="158"/>
      <c r="N87" s="158"/>
      <c r="O87" s="328"/>
    </row>
    <row r="88" spans="1:20" s="2" customFormat="1" ht="19.2" customHeight="1">
      <c r="A88" s="158"/>
      <c r="B88" s="158"/>
      <c r="C88" s="158"/>
      <c r="D88" s="158"/>
      <c r="E88" s="158" t="s">
        <v>88</v>
      </c>
      <c r="F88" s="158"/>
      <c r="G88" s="158"/>
      <c r="H88" s="158"/>
      <c r="I88" s="158"/>
      <c r="J88" s="158" t="s">
        <v>89</v>
      </c>
      <c r="K88" s="158"/>
      <c r="L88" s="158"/>
      <c r="M88" s="158"/>
      <c r="N88" s="158"/>
      <c r="O88" s="328"/>
    </row>
    <row r="89" spans="1:20" s="2" customFormat="1" ht="19.2" customHeight="1">
      <c r="A89" s="230" t="s">
        <v>80</v>
      </c>
      <c r="B89" s="230"/>
      <c r="C89" s="230"/>
      <c r="D89" s="230"/>
      <c r="E89" s="231" t="s">
        <v>67</v>
      </c>
      <c r="F89" s="231"/>
      <c r="G89" s="231"/>
      <c r="H89" s="231"/>
      <c r="I89" s="231"/>
      <c r="J89" s="278" t="s">
        <v>80</v>
      </c>
      <c r="K89" s="279"/>
      <c r="L89" s="279"/>
      <c r="M89" s="279"/>
      <c r="N89" s="280"/>
      <c r="O89" s="328"/>
    </row>
    <row r="90" spans="1:20" s="2" customFormat="1" ht="19.2" customHeight="1">
      <c r="A90" s="281" t="s">
        <v>130</v>
      </c>
      <c r="B90" s="282"/>
      <c r="C90" s="282"/>
      <c r="D90" s="283"/>
      <c r="E90" s="231"/>
      <c r="F90" s="231"/>
      <c r="G90" s="231"/>
      <c r="H90" s="231"/>
      <c r="I90" s="231"/>
      <c r="J90" s="281" t="s">
        <v>131</v>
      </c>
      <c r="K90" s="282"/>
      <c r="L90" s="282"/>
      <c r="M90" s="282"/>
      <c r="N90" s="283"/>
      <c r="O90" s="328"/>
    </row>
    <row r="91" spans="1:20" s="2" customFormat="1" ht="19.2" customHeight="1">
      <c r="A91" s="184" t="s">
        <v>152</v>
      </c>
      <c r="B91" s="184"/>
      <c r="C91" s="184"/>
      <c r="D91" s="184"/>
      <c r="E91" s="231"/>
      <c r="F91" s="231"/>
      <c r="G91" s="231"/>
      <c r="H91" s="231"/>
      <c r="I91" s="231"/>
      <c r="J91" s="284" t="s">
        <v>132</v>
      </c>
      <c r="K91" s="285"/>
      <c r="L91" s="285"/>
      <c r="M91" s="285"/>
      <c r="N91" s="286"/>
      <c r="O91" s="328"/>
    </row>
    <row r="92" spans="1:20" ht="19.2" customHeight="1">
      <c r="A92" s="195" t="s">
        <v>106</v>
      </c>
      <c r="B92" s="196"/>
      <c r="C92" s="197"/>
      <c r="D92" s="104">
        <v>60</v>
      </c>
      <c r="E92" s="8"/>
      <c r="F92" s="152"/>
      <c r="G92" s="152"/>
      <c r="H92" s="152"/>
      <c r="I92" s="152"/>
      <c r="J92" s="152"/>
      <c r="K92" s="152"/>
      <c r="L92" s="152"/>
      <c r="M92" s="152"/>
      <c r="N92" s="152"/>
      <c r="O92" s="327"/>
      <c r="P92" s="327"/>
      <c r="T92" s="2"/>
    </row>
    <row r="93" spans="1:20" ht="19.2" customHeight="1">
      <c r="A93" s="159" t="s">
        <v>59</v>
      </c>
      <c r="B93" s="162" t="s">
        <v>19</v>
      </c>
      <c r="C93" s="275" t="s">
        <v>8</v>
      </c>
      <c r="D93" s="165" t="s">
        <v>9</v>
      </c>
      <c r="E93" s="170" t="s">
        <v>11</v>
      </c>
      <c r="F93" s="171"/>
      <c r="G93" s="170" t="s">
        <v>13</v>
      </c>
      <c r="H93" s="171"/>
      <c r="I93" s="174" t="s">
        <v>16</v>
      </c>
      <c r="J93" s="174" t="s">
        <v>39</v>
      </c>
      <c r="K93" s="174" t="s">
        <v>40</v>
      </c>
      <c r="L93" s="174" t="s">
        <v>17</v>
      </c>
      <c r="M93" s="174" t="s">
        <v>49</v>
      </c>
      <c r="N93" s="159" t="s">
        <v>18</v>
      </c>
      <c r="O93" s="329"/>
    </row>
    <row r="94" spans="1:20" ht="19.2" customHeight="1">
      <c r="A94" s="160"/>
      <c r="B94" s="163"/>
      <c r="C94" s="276"/>
      <c r="D94" s="166"/>
      <c r="E94" s="172"/>
      <c r="F94" s="173"/>
      <c r="G94" s="172"/>
      <c r="H94" s="173"/>
      <c r="I94" s="175"/>
      <c r="J94" s="175"/>
      <c r="K94" s="175"/>
      <c r="L94" s="175"/>
      <c r="M94" s="175"/>
      <c r="N94" s="160"/>
      <c r="O94" s="148"/>
    </row>
    <row r="95" spans="1:20" ht="19.2" customHeight="1">
      <c r="A95" s="160"/>
      <c r="B95" s="163"/>
      <c r="C95" s="276"/>
      <c r="D95" s="166"/>
      <c r="E95" s="174" t="s">
        <v>10</v>
      </c>
      <c r="F95" s="174" t="s">
        <v>12</v>
      </c>
      <c r="G95" s="174" t="s">
        <v>14</v>
      </c>
      <c r="H95" s="174" t="s">
        <v>15</v>
      </c>
      <c r="I95" s="175"/>
      <c r="J95" s="175"/>
      <c r="K95" s="175"/>
      <c r="L95" s="175"/>
      <c r="M95" s="175"/>
      <c r="N95" s="160"/>
      <c r="O95" s="148"/>
    </row>
    <row r="96" spans="1:20" ht="19.2" customHeight="1">
      <c r="A96" s="161"/>
      <c r="B96" s="164"/>
      <c r="C96" s="277"/>
      <c r="D96" s="167"/>
      <c r="E96" s="176"/>
      <c r="F96" s="176"/>
      <c r="G96" s="176"/>
      <c r="H96" s="176"/>
      <c r="I96" s="176"/>
      <c r="J96" s="176"/>
      <c r="K96" s="176"/>
      <c r="L96" s="176"/>
      <c r="M96" s="176"/>
      <c r="N96" s="161"/>
      <c r="O96" s="148"/>
    </row>
    <row r="97" spans="1:23" ht="19.2" customHeight="1">
      <c r="A97" s="237" t="s">
        <v>38</v>
      </c>
      <c r="B97" s="238"/>
      <c r="C97" s="238"/>
      <c r="D97" s="238"/>
      <c r="E97" s="238"/>
      <c r="F97" s="238"/>
      <c r="G97" s="238"/>
      <c r="H97" s="238"/>
      <c r="I97" s="238"/>
      <c r="J97" s="238"/>
      <c r="K97" s="238"/>
      <c r="L97" s="238"/>
      <c r="M97" s="238"/>
      <c r="N97" s="239"/>
      <c r="O97" s="148"/>
    </row>
    <row r="98" spans="1:23" s="2" customFormat="1" ht="19.2" customHeight="1">
      <c r="A98" s="9">
        <v>1</v>
      </c>
      <c r="B98" s="10" t="s">
        <v>2</v>
      </c>
      <c r="C98" s="18">
        <f>L98/100*100</f>
        <v>80</v>
      </c>
      <c r="D98" s="19">
        <f>C98/100*60</f>
        <v>48</v>
      </c>
      <c r="E98" s="20">
        <f>C98/100*15</f>
        <v>12</v>
      </c>
      <c r="F98" s="20"/>
      <c r="G98" s="20"/>
      <c r="H98" s="20"/>
      <c r="I98" s="20"/>
      <c r="J98" s="22">
        <f>C98/100*387</f>
        <v>309.60000000000002</v>
      </c>
      <c r="K98" s="22">
        <f>C98/100*0.09</f>
        <v>7.1999999999999995E-2</v>
      </c>
      <c r="L98" s="110">
        <v>80</v>
      </c>
      <c r="M98" s="56">
        <v>20</v>
      </c>
      <c r="N98" s="23">
        <f>L98*M98</f>
        <v>1600</v>
      </c>
      <c r="O98" s="126"/>
    </row>
    <row r="99" spans="1:23" s="2" customFormat="1" ht="19.2" customHeight="1">
      <c r="A99" s="9">
        <v>2</v>
      </c>
      <c r="B99" s="119" t="s">
        <v>119</v>
      </c>
      <c r="C99" s="18">
        <f>L99/100*100</f>
        <v>390</v>
      </c>
      <c r="D99" s="19">
        <f>C99/100*899</f>
        <v>3506.1</v>
      </c>
      <c r="E99" s="20"/>
      <c r="F99" s="20"/>
      <c r="G99" s="20">
        <f>C99/100*100</f>
        <v>390</v>
      </c>
      <c r="H99" s="20"/>
      <c r="I99" s="20"/>
      <c r="J99" s="20"/>
      <c r="K99" s="20"/>
      <c r="L99" s="110">
        <v>390</v>
      </c>
      <c r="M99" s="117">
        <v>69</v>
      </c>
      <c r="N99" s="23">
        <f t="shared" ref="N99:N106" si="4">L99*M99</f>
        <v>26910</v>
      </c>
      <c r="O99" s="334"/>
    </row>
    <row r="100" spans="1:23" s="2" customFormat="1" ht="19.2" customHeight="1">
      <c r="A100" s="9">
        <v>3</v>
      </c>
      <c r="B100" s="5" t="s">
        <v>1</v>
      </c>
      <c r="C100" s="18">
        <f>L100/100*100</f>
        <v>2580</v>
      </c>
      <c r="D100" s="19">
        <f>C100/100*344</f>
        <v>8875.2000000000007</v>
      </c>
      <c r="E100" s="97"/>
      <c r="F100" s="97">
        <f>C100/100*7.9</f>
        <v>203.82000000000002</v>
      </c>
      <c r="G100" s="20"/>
      <c r="H100" s="20">
        <f>C100/100*1</f>
        <v>25.8</v>
      </c>
      <c r="I100" s="20">
        <f>C100/100*72.8</f>
        <v>1878.24</v>
      </c>
      <c r="J100" s="22">
        <f>C100/100*30</f>
        <v>774</v>
      </c>
      <c r="K100" s="22">
        <f>C100/100*0.1</f>
        <v>2.58</v>
      </c>
      <c r="L100" s="110">
        <v>2580</v>
      </c>
      <c r="M100" s="56">
        <v>18</v>
      </c>
      <c r="N100" s="23">
        <f t="shared" si="4"/>
        <v>46440</v>
      </c>
      <c r="O100" s="126"/>
    </row>
    <row r="101" spans="1:23" s="2" customFormat="1" ht="19.2" customHeight="1">
      <c r="A101" s="9">
        <v>4</v>
      </c>
      <c r="B101" s="10" t="s">
        <v>64</v>
      </c>
      <c r="C101" s="18">
        <f>L101/100*98</f>
        <v>1293.5999999999999</v>
      </c>
      <c r="D101" s="19">
        <f>C101/100*139</f>
        <v>1798.104</v>
      </c>
      <c r="E101" s="97">
        <f>C101/100*19</f>
        <v>245.78399999999999</v>
      </c>
      <c r="F101" s="97"/>
      <c r="G101" s="20">
        <f>C101/100*7</f>
        <v>90.551999999999992</v>
      </c>
      <c r="H101" s="20"/>
      <c r="I101" s="20"/>
      <c r="J101" s="22">
        <f>C101/100*7</f>
        <v>90.551999999999992</v>
      </c>
      <c r="K101" s="22">
        <f>C101/100*0.9</f>
        <v>11.6424</v>
      </c>
      <c r="L101" s="110">
        <v>1320</v>
      </c>
      <c r="M101" s="116">
        <v>133</v>
      </c>
      <c r="N101" s="102">
        <f t="shared" si="4"/>
        <v>175560</v>
      </c>
      <c r="O101" s="126"/>
    </row>
    <row r="102" spans="1:23" s="2" customFormat="1" ht="19.2" customHeight="1">
      <c r="A102" s="9">
        <v>5</v>
      </c>
      <c r="B102" s="5" t="s">
        <v>29</v>
      </c>
      <c r="C102" s="18">
        <f>L102/100*88</f>
        <v>1478.4</v>
      </c>
      <c r="D102" s="19">
        <f>C102/100*184</f>
        <v>2720.2560000000003</v>
      </c>
      <c r="E102" s="97">
        <f>C102/100*13</f>
        <v>192.19200000000001</v>
      </c>
      <c r="F102" s="97"/>
      <c r="G102" s="20">
        <f>C102/100*14.2</f>
        <v>209.93279999999999</v>
      </c>
      <c r="H102" s="20"/>
      <c r="I102" s="20">
        <f>C102/100*1</f>
        <v>14.784000000000001</v>
      </c>
      <c r="J102" s="22">
        <f>C102/100*71</f>
        <v>1049.664</v>
      </c>
      <c r="K102" s="22">
        <f>C102/100*0.15</f>
        <v>2.2176</v>
      </c>
      <c r="L102" s="110">
        <v>1680</v>
      </c>
      <c r="M102" s="21">
        <v>57</v>
      </c>
      <c r="N102" s="23">
        <f t="shared" si="4"/>
        <v>95760</v>
      </c>
      <c r="O102" s="126"/>
      <c r="Q102" s="3"/>
      <c r="R102" s="3"/>
      <c r="S102" s="4"/>
    </row>
    <row r="103" spans="1:23" s="2" customFormat="1" ht="19.8" customHeight="1">
      <c r="A103" s="9">
        <v>6</v>
      </c>
      <c r="B103" s="121" t="s">
        <v>154</v>
      </c>
      <c r="C103" s="18">
        <f>L103/100*31</f>
        <v>260.40000000000003</v>
      </c>
      <c r="D103" s="19">
        <f>C103/100*87</f>
        <v>226.54800000000006</v>
      </c>
      <c r="E103" s="20">
        <f>C103/100*12.3</f>
        <v>32.02920000000001</v>
      </c>
      <c r="F103" s="20"/>
      <c r="G103" s="20">
        <f>C103/100*3.3</f>
        <v>8.5932000000000013</v>
      </c>
      <c r="H103" s="20"/>
      <c r="I103" s="20">
        <f>C103/100*2</f>
        <v>5.2080000000000011</v>
      </c>
      <c r="J103" s="22">
        <f>C103/100*120</f>
        <v>312.48000000000008</v>
      </c>
      <c r="K103" s="22">
        <f>C103/100*0.01</f>
        <v>2.6040000000000008E-2</v>
      </c>
      <c r="L103" s="110">
        <v>840</v>
      </c>
      <c r="M103" s="116">
        <v>160</v>
      </c>
      <c r="N103" s="142">
        <f>L103*M103</f>
        <v>134400</v>
      </c>
      <c r="O103" s="126"/>
    </row>
    <row r="104" spans="1:23" s="2" customFormat="1" ht="19.8" customHeight="1">
      <c r="A104" s="9">
        <v>7</v>
      </c>
      <c r="B104" s="122" t="s">
        <v>148</v>
      </c>
      <c r="C104" s="18">
        <f>L104/100*80</f>
        <v>480</v>
      </c>
      <c r="D104" s="19">
        <f>C104/100*25</f>
        <v>120</v>
      </c>
      <c r="E104" s="24"/>
      <c r="F104" s="24">
        <f>C104/100*2.8</f>
        <v>13.44</v>
      </c>
      <c r="G104" s="24"/>
      <c r="H104" s="24">
        <f>C104/100*0.3</f>
        <v>1.44</v>
      </c>
      <c r="I104" s="24">
        <f>C104/100*3</f>
        <v>14.399999999999999</v>
      </c>
      <c r="J104" s="24">
        <f>C104/100*182</f>
        <v>873.6</v>
      </c>
      <c r="K104" s="24">
        <f>C104/100*0.13</f>
        <v>0.624</v>
      </c>
      <c r="L104" s="331">
        <v>600</v>
      </c>
      <c r="M104" s="21">
        <v>30</v>
      </c>
      <c r="N104" s="108">
        <f t="shared" ref="N104:N105" si="5">L104*M104</f>
        <v>18000</v>
      </c>
      <c r="O104" s="126"/>
      <c r="Q104" s="3"/>
      <c r="R104" s="3"/>
      <c r="S104" s="4"/>
    </row>
    <row r="105" spans="1:23" s="2" customFormat="1" ht="19.8" customHeight="1">
      <c r="A105" s="9">
        <v>8</v>
      </c>
      <c r="B105" s="122" t="s">
        <v>149</v>
      </c>
      <c r="C105" s="18">
        <f>L105/100*83</f>
        <v>896.40000000000009</v>
      </c>
      <c r="D105" s="19">
        <f>C105/100*14</f>
        <v>125.49600000000001</v>
      </c>
      <c r="E105" s="24"/>
      <c r="F105" s="24">
        <f>C105/100*2</f>
        <v>17.928000000000001</v>
      </c>
      <c r="G105" s="24"/>
      <c r="H105" s="24"/>
      <c r="I105" s="24">
        <f>C105/100*1.4</f>
        <v>12.5496</v>
      </c>
      <c r="J105" s="24">
        <f>C105/100*176</f>
        <v>1577.664</v>
      </c>
      <c r="K105" s="24">
        <f>C105/100*0.06</f>
        <v>0.53783999999999998</v>
      </c>
      <c r="L105" s="331">
        <v>1080</v>
      </c>
      <c r="M105" s="21">
        <v>28</v>
      </c>
      <c r="N105" s="108">
        <f t="shared" si="5"/>
        <v>30240</v>
      </c>
      <c r="O105" s="126"/>
      <c r="Q105" s="3"/>
      <c r="R105" s="3"/>
      <c r="S105" s="4"/>
    </row>
    <row r="106" spans="1:23" s="2" customFormat="1" ht="19.2" customHeight="1">
      <c r="A106" s="9">
        <v>9</v>
      </c>
      <c r="B106" s="5" t="s">
        <v>116</v>
      </c>
      <c r="C106" s="18">
        <f>L106/100*100</f>
        <v>40</v>
      </c>
      <c r="D106" s="19">
        <f>C106/100*247</f>
        <v>98.800000000000011</v>
      </c>
      <c r="E106" s="24"/>
      <c r="F106" s="24">
        <f>C106/100*17.5</f>
        <v>7</v>
      </c>
      <c r="G106" s="24"/>
      <c r="H106" s="24">
        <f>C106/100*1.6</f>
        <v>0.64000000000000012</v>
      </c>
      <c r="I106" s="24">
        <f>C106/100*39.2</f>
        <v>15.680000000000001</v>
      </c>
      <c r="J106" s="52"/>
      <c r="K106" s="52"/>
      <c r="L106" s="331">
        <v>40</v>
      </c>
      <c r="M106" s="56">
        <v>50</v>
      </c>
      <c r="N106" s="23">
        <f t="shared" si="4"/>
        <v>2000</v>
      </c>
      <c r="O106" s="126"/>
      <c r="Q106" s="3"/>
      <c r="R106" s="3"/>
      <c r="S106" s="4"/>
      <c r="T106" s="3"/>
    </row>
    <row r="107" spans="1:23" s="2" customFormat="1" ht="19.2" customHeight="1">
      <c r="A107" s="61">
        <v>10</v>
      </c>
      <c r="B107" s="6" t="s">
        <v>107</v>
      </c>
      <c r="C107" s="18"/>
      <c r="D107" s="19"/>
      <c r="E107" s="20"/>
      <c r="F107" s="20"/>
      <c r="G107" s="20"/>
      <c r="H107" s="20"/>
      <c r="I107" s="20"/>
      <c r="J107" s="22"/>
      <c r="K107" s="22"/>
      <c r="L107" s="21"/>
      <c r="M107" s="21"/>
      <c r="N107" s="108">
        <v>4560</v>
      </c>
      <c r="O107" s="126"/>
    </row>
    <row r="108" spans="1:23" s="2" customFormat="1" ht="19.2" customHeight="1">
      <c r="A108" s="16" t="s">
        <v>102</v>
      </c>
      <c r="B108" s="17"/>
      <c r="C108" s="26"/>
      <c r="D108" s="99">
        <f>SUM(D98:D107)</f>
        <v>17518.503999999997</v>
      </c>
      <c r="E108" s="31"/>
      <c r="F108" s="31"/>
      <c r="G108" s="31"/>
      <c r="H108" s="31"/>
      <c r="I108" s="31"/>
      <c r="J108" s="31"/>
      <c r="K108" s="31"/>
      <c r="L108" s="32"/>
      <c r="M108" s="235"/>
      <c r="N108" s="270">
        <f>SUM(N98:N107)</f>
        <v>535470</v>
      </c>
      <c r="O108" s="126"/>
    </row>
    <row r="109" spans="1:23" ht="19.2" customHeight="1">
      <c r="A109" s="16" t="s">
        <v>36</v>
      </c>
      <c r="B109" s="17"/>
      <c r="C109" s="33"/>
      <c r="D109" s="34">
        <f>D108/D92</f>
        <v>291.97506666666663</v>
      </c>
      <c r="E109" s="34"/>
      <c r="F109" s="34"/>
      <c r="G109" s="34"/>
      <c r="H109" s="34"/>
      <c r="I109" s="34"/>
      <c r="J109" s="34"/>
      <c r="K109" s="34"/>
      <c r="L109" s="35"/>
      <c r="M109" s="236"/>
      <c r="N109" s="271"/>
      <c r="O109" s="4"/>
      <c r="P109" s="2"/>
      <c r="Q109" s="2"/>
      <c r="R109" s="2"/>
      <c r="S109" s="2"/>
      <c r="T109" s="2"/>
      <c r="U109" s="2"/>
      <c r="V109" s="2"/>
    </row>
    <row r="110" spans="1:23" ht="19.2" customHeight="1">
      <c r="A110" s="210" t="s">
        <v>46</v>
      </c>
      <c r="B110" s="211"/>
      <c r="C110" s="333" t="s">
        <v>125</v>
      </c>
      <c r="D110" s="15" t="s">
        <v>41</v>
      </c>
      <c r="E110" s="34"/>
      <c r="F110" s="34"/>
      <c r="G110" s="34"/>
      <c r="H110" s="34"/>
      <c r="I110" s="34"/>
      <c r="J110" s="36"/>
      <c r="K110" s="36"/>
      <c r="L110" s="35"/>
      <c r="M110" s="35"/>
      <c r="N110" s="149"/>
      <c r="O110" s="4"/>
      <c r="P110" s="2"/>
      <c r="Q110" s="2"/>
      <c r="R110" s="2"/>
      <c r="S110" s="2"/>
      <c r="T110" s="2"/>
      <c r="U110" s="2"/>
      <c r="V110" s="2"/>
      <c r="W110" s="2"/>
    </row>
    <row r="111" spans="1:23" ht="19.2" customHeight="1">
      <c r="A111" s="212"/>
      <c r="B111" s="213"/>
      <c r="C111" s="57" t="s">
        <v>53</v>
      </c>
      <c r="D111" s="59">
        <f>D109*100/930</f>
        <v>31.39516845878136</v>
      </c>
      <c r="E111" s="34"/>
      <c r="F111" s="34"/>
      <c r="G111" s="34"/>
      <c r="H111" s="34"/>
      <c r="I111" s="34"/>
      <c r="J111" s="36"/>
      <c r="K111" s="36"/>
      <c r="L111" s="35"/>
      <c r="M111" s="35"/>
      <c r="N111" s="149"/>
      <c r="O111" s="4"/>
      <c r="P111" s="2"/>
      <c r="Q111" s="2"/>
      <c r="R111" s="2"/>
      <c r="S111" s="2"/>
      <c r="T111" s="2"/>
      <c r="U111" s="2"/>
      <c r="V111" s="2"/>
      <c r="W111" s="2"/>
    </row>
    <row r="112" spans="1:23" s="2" customFormat="1" ht="19.2" customHeight="1">
      <c r="A112" s="247" t="s">
        <v>37</v>
      </c>
      <c r="B112" s="247"/>
      <c r="C112" s="40"/>
      <c r="D112" s="41"/>
      <c r="E112" s="42"/>
      <c r="F112" s="42"/>
      <c r="G112" s="42"/>
      <c r="H112" s="42"/>
      <c r="I112" s="42"/>
      <c r="J112" s="42"/>
      <c r="K112" s="42"/>
      <c r="L112" s="43"/>
      <c r="M112" s="43"/>
      <c r="N112" s="44"/>
      <c r="O112" s="126"/>
    </row>
    <row r="113" spans="1:23" s="2" customFormat="1" ht="19.2" customHeight="1">
      <c r="A113" s="9">
        <v>1</v>
      </c>
      <c r="B113" s="10" t="s">
        <v>2</v>
      </c>
      <c r="C113" s="18">
        <f>L113/100*100</f>
        <v>70</v>
      </c>
      <c r="D113" s="19">
        <f>C113/100*60</f>
        <v>42</v>
      </c>
      <c r="E113" s="20">
        <f>C113/100*15</f>
        <v>10.5</v>
      </c>
      <c r="F113" s="20"/>
      <c r="G113" s="20"/>
      <c r="H113" s="20"/>
      <c r="I113" s="20"/>
      <c r="J113" s="22">
        <f>C113/100*387</f>
        <v>270.89999999999998</v>
      </c>
      <c r="K113" s="22">
        <f>C113/100*0.09</f>
        <v>6.3E-2</v>
      </c>
      <c r="L113" s="110">
        <v>70</v>
      </c>
      <c r="M113" s="56">
        <v>20</v>
      </c>
      <c r="N113" s="23">
        <f>L113*M113</f>
        <v>1400</v>
      </c>
      <c r="O113" s="126"/>
    </row>
    <row r="114" spans="1:23" s="2" customFormat="1" ht="19.2" customHeight="1">
      <c r="A114" s="9">
        <v>2</v>
      </c>
      <c r="B114" s="123" t="s">
        <v>119</v>
      </c>
      <c r="C114" s="18">
        <f>L114/100*100</f>
        <v>100</v>
      </c>
      <c r="D114" s="19">
        <f>C114/100*899</f>
        <v>899</v>
      </c>
      <c r="E114" s="20"/>
      <c r="F114" s="20"/>
      <c r="G114" s="20">
        <f>C114/100*100</f>
        <v>100</v>
      </c>
      <c r="H114" s="20"/>
      <c r="I114" s="20"/>
      <c r="J114" s="22"/>
      <c r="K114" s="22"/>
      <c r="L114" s="110">
        <v>100</v>
      </c>
      <c r="M114" s="56">
        <v>69</v>
      </c>
      <c r="N114" s="23">
        <f t="shared" ref="N114:N120" si="6">L114*M114</f>
        <v>6900</v>
      </c>
      <c r="O114" s="126"/>
    </row>
    <row r="115" spans="1:23" s="2" customFormat="1" ht="19.2" customHeight="1">
      <c r="A115" s="9">
        <v>3</v>
      </c>
      <c r="B115" s="121" t="s">
        <v>121</v>
      </c>
      <c r="C115" s="18">
        <f>L115/100*100</f>
        <v>270</v>
      </c>
      <c r="D115" s="98">
        <f>C115/100*900</f>
        <v>2430</v>
      </c>
      <c r="E115" s="20"/>
      <c r="F115" s="20"/>
      <c r="G115" s="97"/>
      <c r="H115" s="20">
        <f>C115/100*100</f>
        <v>270</v>
      </c>
      <c r="I115" s="20"/>
      <c r="J115" s="20"/>
      <c r="K115" s="20"/>
      <c r="L115" s="110">
        <v>270</v>
      </c>
      <c r="M115" s="56">
        <v>65</v>
      </c>
      <c r="N115" s="23">
        <f t="shared" si="6"/>
        <v>17550</v>
      </c>
      <c r="O115" s="334"/>
    </row>
    <row r="116" spans="1:23" s="2" customFormat="1" ht="19.2" customHeight="1">
      <c r="A116" s="9">
        <v>4</v>
      </c>
      <c r="B116" s="122" t="s">
        <v>61</v>
      </c>
      <c r="C116" s="18">
        <f>L116/100*98</f>
        <v>235.2</v>
      </c>
      <c r="D116" s="19">
        <f>C116/100*573</f>
        <v>1347.6959999999999</v>
      </c>
      <c r="E116" s="24"/>
      <c r="F116" s="24">
        <f>C116/100*27.5</f>
        <v>64.679999999999993</v>
      </c>
      <c r="G116" s="24"/>
      <c r="H116" s="24">
        <f>C116/100*44.5</f>
        <v>104.66399999999999</v>
      </c>
      <c r="I116" s="24">
        <f>C116/100*15.5</f>
        <v>36.455999999999996</v>
      </c>
      <c r="J116" s="52">
        <f>C116/100*68</f>
        <v>159.93599999999998</v>
      </c>
      <c r="K116" s="52">
        <f>C116/100*0.44</f>
        <v>1.03488</v>
      </c>
      <c r="L116" s="331">
        <v>240</v>
      </c>
      <c r="M116" s="21">
        <v>70</v>
      </c>
      <c r="N116" s="23">
        <f t="shared" si="6"/>
        <v>16800</v>
      </c>
      <c r="O116" s="126"/>
      <c r="Q116" s="3"/>
      <c r="R116" s="3"/>
      <c r="S116" s="4"/>
    </row>
    <row r="117" spans="1:23" s="2" customFormat="1" ht="19.2" customHeight="1">
      <c r="A117" s="9">
        <v>5</v>
      </c>
      <c r="B117" s="122" t="s">
        <v>1</v>
      </c>
      <c r="C117" s="18">
        <f>L117/100*100</f>
        <v>2520</v>
      </c>
      <c r="D117" s="19">
        <f>C117/100*344</f>
        <v>8668.7999999999993</v>
      </c>
      <c r="E117" s="20"/>
      <c r="F117" s="97">
        <f>C117/100*7.9</f>
        <v>199.08</v>
      </c>
      <c r="G117" s="20"/>
      <c r="H117" s="20">
        <f>C117/100*1</f>
        <v>25.2</v>
      </c>
      <c r="I117" s="20">
        <f>C117/100*72.8</f>
        <v>1834.56</v>
      </c>
      <c r="J117" s="22">
        <f>C117/100*30</f>
        <v>756</v>
      </c>
      <c r="K117" s="22">
        <f>C117/100*0.1</f>
        <v>2.52</v>
      </c>
      <c r="L117" s="110">
        <v>2520</v>
      </c>
      <c r="M117" s="56">
        <v>18</v>
      </c>
      <c r="N117" s="23">
        <f t="shared" si="6"/>
        <v>45360</v>
      </c>
      <c r="O117" s="126"/>
    </row>
    <row r="118" spans="1:23" s="2" customFormat="1" ht="19.2" customHeight="1">
      <c r="A118" s="9">
        <v>6</v>
      </c>
      <c r="B118" s="122" t="s">
        <v>91</v>
      </c>
      <c r="C118" s="18">
        <f>L118/100*87</f>
        <v>1461.6000000000001</v>
      </c>
      <c r="D118" s="19">
        <f>C118/100*14</f>
        <v>204.62400000000002</v>
      </c>
      <c r="E118" s="20"/>
      <c r="F118" s="97">
        <f>C118/100*1.9</f>
        <v>27.770400000000002</v>
      </c>
      <c r="G118" s="20"/>
      <c r="H118" s="20"/>
      <c r="I118" s="20">
        <f>C118/100*1.6</f>
        <v>23.385600000000004</v>
      </c>
      <c r="J118" s="97">
        <f>C118/100*48.7</f>
        <v>711.79920000000016</v>
      </c>
      <c r="K118" s="20">
        <f>C118/100*0.03</f>
        <v>0.43848000000000004</v>
      </c>
      <c r="L118" s="21">
        <v>1680</v>
      </c>
      <c r="M118" s="56">
        <v>25</v>
      </c>
      <c r="N118" s="23">
        <f t="shared" si="6"/>
        <v>42000</v>
      </c>
      <c r="O118" s="126"/>
    </row>
    <row r="119" spans="1:23" s="2" customFormat="1" ht="19.2" customHeight="1">
      <c r="A119" s="9">
        <v>7</v>
      </c>
      <c r="B119" s="5" t="s">
        <v>116</v>
      </c>
      <c r="C119" s="18">
        <f>L119/100*100</f>
        <v>40</v>
      </c>
      <c r="D119" s="19">
        <f>C119/100*247</f>
        <v>98.800000000000011</v>
      </c>
      <c r="E119" s="24"/>
      <c r="F119" s="24">
        <f>C119/100*17.5</f>
        <v>7</v>
      </c>
      <c r="G119" s="24"/>
      <c r="H119" s="24">
        <f>C119/100*1.6</f>
        <v>0.64000000000000012</v>
      </c>
      <c r="I119" s="24">
        <f>C119/100*39.2</f>
        <v>15.680000000000001</v>
      </c>
      <c r="J119" s="52"/>
      <c r="K119" s="52"/>
      <c r="L119" s="331">
        <v>40</v>
      </c>
      <c r="M119" s="56">
        <v>50</v>
      </c>
      <c r="N119" s="23">
        <f t="shared" si="6"/>
        <v>2000</v>
      </c>
      <c r="O119" s="126"/>
      <c r="Q119" s="3"/>
      <c r="R119" s="3"/>
      <c r="S119" s="4"/>
      <c r="T119" s="3"/>
    </row>
    <row r="120" spans="1:23" s="2" customFormat="1" ht="19.2" customHeight="1">
      <c r="A120" s="9">
        <v>8</v>
      </c>
      <c r="B120" s="10" t="s">
        <v>64</v>
      </c>
      <c r="C120" s="18">
        <f>L120/100*98</f>
        <v>2655.8</v>
      </c>
      <c r="D120" s="19">
        <f>C120/100*139</f>
        <v>3691.5620000000004</v>
      </c>
      <c r="E120" s="97">
        <f>C120/100*19</f>
        <v>504.60200000000009</v>
      </c>
      <c r="F120" s="20"/>
      <c r="G120" s="20">
        <f>C120/100*7</f>
        <v>185.90600000000003</v>
      </c>
      <c r="H120" s="20"/>
      <c r="I120" s="20"/>
      <c r="J120" s="22">
        <f>C120/100*7</f>
        <v>185.90600000000003</v>
      </c>
      <c r="K120" s="22">
        <f>C120/100*0.9</f>
        <v>23.902200000000004</v>
      </c>
      <c r="L120" s="110">
        <v>2710</v>
      </c>
      <c r="M120" s="116">
        <v>133</v>
      </c>
      <c r="N120" s="102">
        <f t="shared" si="6"/>
        <v>360430</v>
      </c>
      <c r="O120" s="126"/>
    </row>
    <row r="121" spans="1:23" s="2" customFormat="1" ht="19.2" customHeight="1">
      <c r="A121" s="61">
        <v>9</v>
      </c>
      <c r="B121" s="6" t="s">
        <v>107</v>
      </c>
      <c r="C121" s="18"/>
      <c r="D121" s="19"/>
      <c r="E121" s="20"/>
      <c r="F121" s="20"/>
      <c r="G121" s="20"/>
      <c r="H121" s="20"/>
      <c r="I121" s="20"/>
      <c r="J121" s="20"/>
      <c r="K121" s="20"/>
      <c r="L121" s="21"/>
      <c r="M121" s="21"/>
      <c r="N121" s="108">
        <v>4560</v>
      </c>
      <c r="O121" s="126"/>
    </row>
    <row r="122" spans="1:23" s="2" customFormat="1" ht="19.2" customHeight="1">
      <c r="A122" s="16" t="s">
        <v>103</v>
      </c>
      <c r="B122" s="17"/>
      <c r="C122" s="26"/>
      <c r="D122" s="99">
        <f>SUM(D113:D121)</f>
        <v>17382.482</v>
      </c>
      <c r="E122" s="31"/>
      <c r="F122" s="31"/>
      <c r="G122" s="31"/>
      <c r="H122" s="31"/>
      <c r="I122" s="31"/>
      <c r="J122" s="31"/>
      <c r="K122" s="31"/>
      <c r="L122" s="32"/>
      <c r="M122" s="235"/>
      <c r="N122" s="270">
        <f>SUM(N113:N121)</f>
        <v>497000</v>
      </c>
      <c r="O122" s="126"/>
    </row>
    <row r="123" spans="1:23" ht="19.2" customHeight="1">
      <c r="A123" s="16" t="s">
        <v>35</v>
      </c>
      <c r="B123" s="17"/>
      <c r="C123" s="45"/>
      <c r="D123" s="36">
        <f>D122/D92</f>
        <v>289.70803333333333</v>
      </c>
      <c r="E123" s="36"/>
      <c r="F123" s="36"/>
      <c r="G123" s="36"/>
      <c r="H123" s="36"/>
      <c r="I123" s="36"/>
      <c r="J123" s="36"/>
      <c r="K123" s="36"/>
      <c r="L123" s="46"/>
      <c r="M123" s="236"/>
      <c r="N123" s="274"/>
      <c r="O123" s="4"/>
      <c r="P123" s="2"/>
      <c r="Q123" s="2"/>
      <c r="R123" s="2"/>
      <c r="S123" s="2"/>
      <c r="T123" s="2"/>
      <c r="U123" s="2"/>
      <c r="V123" s="2"/>
    </row>
    <row r="124" spans="1:23" ht="19.2" customHeight="1">
      <c r="A124" s="210" t="s">
        <v>47</v>
      </c>
      <c r="B124" s="211"/>
      <c r="C124" s="333" t="s">
        <v>125</v>
      </c>
      <c r="D124" s="15" t="s">
        <v>42</v>
      </c>
      <c r="E124" s="34"/>
      <c r="F124" s="34"/>
      <c r="G124" s="34"/>
      <c r="H124" s="34"/>
      <c r="I124" s="34"/>
      <c r="J124" s="36"/>
      <c r="K124" s="36"/>
      <c r="L124" s="35"/>
      <c r="M124" s="35"/>
      <c r="N124" s="149"/>
      <c r="O124" s="4"/>
      <c r="P124" s="2"/>
      <c r="Q124" s="2"/>
      <c r="R124" s="2"/>
      <c r="S124" s="2"/>
      <c r="T124" s="2"/>
      <c r="U124" s="2"/>
      <c r="V124" s="2"/>
      <c r="W124" s="2"/>
    </row>
    <row r="125" spans="1:23" ht="19.2" customHeight="1">
      <c r="A125" s="212"/>
      <c r="B125" s="213"/>
      <c r="C125" s="57" t="s">
        <v>53</v>
      </c>
      <c r="D125" s="59">
        <f>D123*100/930</f>
        <v>31.151401433691756</v>
      </c>
      <c r="E125" s="34"/>
      <c r="F125" s="34"/>
      <c r="G125" s="34"/>
      <c r="H125" s="34"/>
      <c r="I125" s="34"/>
      <c r="J125" s="36"/>
      <c r="K125" s="36"/>
      <c r="L125" s="35"/>
      <c r="M125" s="35"/>
      <c r="N125" s="149"/>
      <c r="O125" s="4"/>
      <c r="P125" s="2"/>
      <c r="Q125" s="2"/>
      <c r="R125" s="2"/>
      <c r="S125" s="2"/>
      <c r="T125" s="2"/>
      <c r="U125" s="2"/>
      <c r="V125" s="2"/>
      <c r="W125" s="2"/>
    </row>
    <row r="126" spans="1:23" ht="19.2" customHeight="1">
      <c r="A126" s="247" t="s">
        <v>34</v>
      </c>
      <c r="B126" s="247"/>
      <c r="C126" s="47"/>
      <c r="D126" s="48"/>
      <c r="E126" s="48"/>
      <c r="F126" s="48"/>
      <c r="G126" s="48"/>
      <c r="H126" s="48"/>
      <c r="I126" s="48"/>
      <c r="J126" s="48"/>
      <c r="K126" s="48"/>
      <c r="L126" s="49"/>
      <c r="M126" s="49"/>
      <c r="N126" s="50"/>
      <c r="O126" s="4"/>
      <c r="P126" s="2"/>
      <c r="Q126" s="2"/>
      <c r="R126" s="2"/>
      <c r="S126" s="2"/>
      <c r="T126" s="2"/>
      <c r="U126" s="2"/>
      <c r="V126" s="2"/>
    </row>
    <row r="127" spans="1:23" s="2" customFormat="1" ht="19.2" customHeight="1">
      <c r="A127" s="81">
        <v>1</v>
      </c>
      <c r="B127" s="90" t="s">
        <v>67</v>
      </c>
      <c r="C127" s="82">
        <f>L127/100*80</f>
        <v>7200</v>
      </c>
      <c r="D127" s="83">
        <f>C127/100*40</f>
        <v>2880</v>
      </c>
      <c r="E127" s="84"/>
      <c r="F127" s="84">
        <f>C127/100*1.3</f>
        <v>93.600000000000009</v>
      </c>
      <c r="G127" s="84"/>
      <c r="H127" s="84"/>
      <c r="I127" s="84">
        <f>C127/100*8.7</f>
        <v>626.4</v>
      </c>
      <c r="J127" s="84">
        <f>C127/100*11</f>
        <v>792</v>
      </c>
      <c r="K127" s="84"/>
      <c r="L127" s="362">
        <v>9000</v>
      </c>
      <c r="M127" s="118">
        <v>32</v>
      </c>
      <c r="N127" s="144">
        <f t="shared" ref="N127" si="7">L127*M127</f>
        <v>288000</v>
      </c>
      <c r="O127" s="126"/>
      <c r="P127" s="3"/>
    </row>
    <row r="128" spans="1:23" ht="19.2" customHeight="1">
      <c r="A128" s="159" t="s">
        <v>59</v>
      </c>
      <c r="B128" s="162" t="s">
        <v>19</v>
      </c>
      <c r="C128" s="275" t="s">
        <v>8</v>
      </c>
      <c r="D128" s="165" t="s">
        <v>9</v>
      </c>
      <c r="E128" s="170" t="s">
        <v>11</v>
      </c>
      <c r="F128" s="171"/>
      <c r="G128" s="170" t="s">
        <v>13</v>
      </c>
      <c r="H128" s="171"/>
      <c r="I128" s="174" t="s">
        <v>16</v>
      </c>
      <c r="J128" s="174" t="s">
        <v>39</v>
      </c>
      <c r="K128" s="174" t="s">
        <v>40</v>
      </c>
      <c r="L128" s="174" t="s">
        <v>17</v>
      </c>
      <c r="M128" s="174" t="s">
        <v>49</v>
      </c>
      <c r="N128" s="159" t="s">
        <v>18</v>
      </c>
      <c r="O128" s="329"/>
    </row>
    <row r="129" spans="1:23" ht="19.2" customHeight="1">
      <c r="A129" s="160"/>
      <c r="B129" s="163"/>
      <c r="C129" s="276"/>
      <c r="D129" s="166"/>
      <c r="E129" s="172"/>
      <c r="F129" s="173"/>
      <c r="G129" s="172"/>
      <c r="H129" s="173"/>
      <c r="I129" s="175"/>
      <c r="J129" s="175"/>
      <c r="K129" s="175"/>
      <c r="L129" s="175"/>
      <c r="M129" s="175"/>
      <c r="N129" s="160"/>
      <c r="O129" s="148"/>
    </row>
    <row r="130" spans="1:23" ht="19.2" customHeight="1">
      <c r="A130" s="160"/>
      <c r="B130" s="163"/>
      <c r="C130" s="276"/>
      <c r="D130" s="166"/>
      <c r="E130" s="174" t="s">
        <v>10</v>
      </c>
      <c r="F130" s="174" t="s">
        <v>12</v>
      </c>
      <c r="G130" s="174" t="s">
        <v>14</v>
      </c>
      <c r="H130" s="174" t="s">
        <v>15</v>
      </c>
      <c r="I130" s="175"/>
      <c r="J130" s="175"/>
      <c r="K130" s="175"/>
      <c r="L130" s="175"/>
      <c r="M130" s="175"/>
      <c r="N130" s="160"/>
      <c r="O130" s="148"/>
    </row>
    <row r="131" spans="1:23" ht="19.2" customHeight="1">
      <c r="A131" s="161"/>
      <c r="B131" s="164"/>
      <c r="C131" s="277"/>
      <c r="D131" s="167"/>
      <c r="E131" s="176"/>
      <c r="F131" s="176"/>
      <c r="G131" s="176"/>
      <c r="H131" s="176"/>
      <c r="I131" s="176"/>
      <c r="J131" s="176"/>
      <c r="K131" s="176"/>
      <c r="L131" s="176"/>
      <c r="M131" s="176"/>
      <c r="N131" s="161"/>
      <c r="O131" s="148"/>
    </row>
    <row r="132" spans="1:23" s="2" customFormat="1" ht="19.2" customHeight="1">
      <c r="A132" s="16" t="s">
        <v>94</v>
      </c>
      <c r="B132" s="17"/>
      <c r="C132" s="26"/>
      <c r="D132" s="27">
        <f>SUM(D126:D127)</f>
        <v>2880</v>
      </c>
      <c r="E132" s="31"/>
      <c r="F132" s="31"/>
      <c r="G132" s="31"/>
      <c r="H132" s="31"/>
      <c r="I132" s="31"/>
      <c r="J132" s="31"/>
      <c r="K132" s="31"/>
      <c r="L132" s="32"/>
      <c r="M132" s="235"/>
      <c r="N132" s="270">
        <f>SUM(N126:N127)</f>
        <v>288000</v>
      </c>
      <c r="O132" s="126"/>
    </row>
    <row r="133" spans="1:23" ht="19.2" customHeight="1">
      <c r="A133" s="16" t="s">
        <v>7</v>
      </c>
      <c r="B133" s="17"/>
      <c r="C133" s="33"/>
      <c r="D133" s="34">
        <f>D132/D92</f>
        <v>48</v>
      </c>
      <c r="E133" s="34"/>
      <c r="F133" s="34"/>
      <c r="G133" s="34"/>
      <c r="H133" s="34"/>
      <c r="I133" s="34"/>
      <c r="J133" s="34"/>
      <c r="K133" s="34"/>
      <c r="L133" s="35"/>
      <c r="M133" s="236"/>
      <c r="N133" s="271"/>
      <c r="O133" s="4"/>
      <c r="P133" s="2"/>
      <c r="Q133" s="2"/>
      <c r="R133" s="2"/>
      <c r="S133" s="2"/>
      <c r="T133" s="2"/>
      <c r="U133" s="2"/>
      <c r="V133" s="2"/>
    </row>
    <row r="134" spans="1:23" ht="19.2" customHeight="1">
      <c r="A134" s="210" t="s">
        <v>45</v>
      </c>
      <c r="B134" s="211"/>
      <c r="C134" s="333" t="s">
        <v>125</v>
      </c>
      <c r="D134" s="15" t="s">
        <v>43</v>
      </c>
      <c r="E134" s="34"/>
      <c r="F134" s="34"/>
      <c r="G134" s="34"/>
      <c r="H134" s="34"/>
      <c r="I134" s="34"/>
      <c r="J134" s="36"/>
      <c r="K134" s="36"/>
      <c r="L134" s="35"/>
      <c r="M134" s="35"/>
      <c r="N134" s="149"/>
      <c r="O134" s="4"/>
      <c r="P134" s="2"/>
      <c r="Q134" s="2"/>
      <c r="R134" s="2"/>
      <c r="S134" s="2"/>
      <c r="T134" s="2"/>
      <c r="U134" s="2"/>
      <c r="V134" s="2"/>
      <c r="W134" s="2"/>
    </row>
    <row r="135" spans="1:23" ht="19.2" customHeight="1">
      <c r="A135" s="212"/>
      <c r="B135" s="213"/>
      <c r="C135" s="57" t="s">
        <v>53</v>
      </c>
      <c r="D135" s="59">
        <f>D133*100/930</f>
        <v>5.161290322580645</v>
      </c>
      <c r="E135" s="34"/>
      <c r="F135" s="34"/>
      <c r="G135" s="34"/>
      <c r="H135" s="34"/>
      <c r="I135" s="34"/>
      <c r="J135" s="36"/>
      <c r="K135" s="36"/>
      <c r="L135" s="35"/>
      <c r="M135" s="35"/>
      <c r="N135" s="149"/>
      <c r="O135" s="4"/>
      <c r="P135" s="2"/>
      <c r="Q135" s="2"/>
      <c r="R135" s="2"/>
      <c r="S135" s="2"/>
      <c r="T135" s="2"/>
      <c r="U135" s="2"/>
      <c r="V135" s="2"/>
      <c r="W135" s="2"/>
    </row>
    <row r="136" spans="1:23" ht="19.2" customHeight="1">
      <c r="A136" s="191" t="s">
        <v>97</v>
      </c>
      <c r="B136" s="192"/>
      <c r="C136" s="214"/>
      <c r="D136" s="266">
        <f>D108+D122+D132</f>
        <v>37780.985999999997</v>
      </c>
      <c r="E136" s="38">
        <f>SUM(E98:E133)</f>
        <v>997.10720000000015</v>
      </c>
      <c r="F136" s="38">
        <f>SUM(F98:F133)</f>
        <v>634.3184</v>
      </c>
      <c r="G136" s="7">
        <f>SUM(G98:G133)</f>
        <v>984.98400000000004</v>
      </c>
      <c r="H136" s="7">
        <f>SUM(H98:H133)</f>
        <v>428.38399999999996</v>
      </c>
      <c r="I136" s="242">
        <f>SUM(I98:I133)</f>
        <v>4477.3432000000003</v>
      </c>
      <c r="J136" s="242">
        <f>SUM(J98:J127)</f>
        <v>7864.1011999999992</v>
      </c>
      <c r="K136" s="242">
        <f>SUM(K98:K127)</f>
        <v>45.658439999999999</v>
      </c>
      <c r="L136" s="227"/>
      <c r="M136" s="227"/>
      <c r="N136" s="257">
        <f>N108+N122+N132</f>
        <v>1320470</v>
      </c>
      <c r="U136" s="12"/>
      <c r="V136" s="12"/>
    </row>
    <row r="137" spans="1:23" ht="19.2" customHeight="1">
      <c r="A137" s="193"/>
      <c r="B137" s="194"/>
      <c r="C137" s="215"/>
      <c r="D137" s="267"/>
      <c r="E137" s="272">
        <f>E136+F136</f>
        <v>1631.4256</v>
      </c>
      <c r="F137" s="273"/>
      <c r="G137" s="187">
        <f>G136+H136</f>
        <v>1413.3679999999999</v>
      </c>
      <c r="H137" s="188"/>
      <c r="I137" s="243"/>
      <c r="J137" s="243"/>
      <c r="K137" s="243"/>
      <c r="L137" s="227"/>
      <c r="M137" s="227"/>
      <c r="N137" s="257"/>
      <c r="P137" s="350"/>
      <c r="Q137" s="351"/>
      <c r="R137" s="351"/>
      <c r="S137" s="351"/>
      <c r="T137" s="351"/>
      <c r="U137" s="352"/>
      <c r="V137" s="352"/>
    </row>
    <row r="138" spans="1:23" ht="19.2" customHeight="1">
      <c r="A138" s="260" t="s">
        <v>68</v>
      </c>
      <c r="B138" s="261"/>
      <c r="C138" s="262"/>
      <c r="D138" s="111">
        <f>D136/D92</f>
        <v>629.68309999999997</v>
      </c>
      <c r="E138" s="335">
        <f>E136/D92</f>
        <v>16.618453333333335</v>
      </c>
      <c r="F138" s="336">
        <f>F136/D92</f>
        <v>10.571973333333334</v>
      </c>
      <c r="G138" s="361">
        <f>G136/D92</f>
        <v>16.416399999999999</v>
      </c>
      <c r="H138" s="360">
        <f>H136/D92</f>
        <v>7.139733333333333</v>
      </c>
      <c r="I138" s="244">
        <f>I136/D92</f>
        <v>74.622386666666671</v>
      </c>
      <c r="J138" s="244">
        <f>J136/D92</f>
        <v>131.06835333333331</v>
      </c>
      <c r="K138" s="244">
        <f>K136/D92</f>
        <v>0.76097399999999993</v>
      </c>
      <c r="L138" s="227"/>
      <c r="M138" s="227"/>
      <c r="N138" s="257"/>
      <c r="P138" s="353"/>
      <c r="Q138" s="351"/>
      <c r="R138" s="351"/>
      <c r="S138" s="354"/>
      <c r="T138" s="354"/>
      <c r="U138" s="351"/>
      <c r="V138" s="351"/>
    </row>
    <row r="139" spans="1:23" ht="19.2" customHeight="1">
      <c r="A139" s="263"/>
      <c r="B139" s="264"/>
      <c r="C139" s="265"/>
      <c r="D139" s="103"/>
      <c r="E139" s="337">
        <f>E138+F138</f>
        <v>27.190426666666667</v>
      </c>
      <c r="F139" s="338"/>
      <c r="G139" s="337">
        <f>G138+H138</f>
        <v>23.556133333333332</v>
      </c>
      <c r="H139" s="338"/>
      <c r="I139" s="245"/>
      <c r="J139" s="245"/>
      <c r="K139" s="245"/>
      <c r="L139" s="227"/>
      <c r="M139" s="227"/>
      <c r="N139" s="257"/>
      <c r="P139" s="350"/>
      <c r="Q139" s="350"/>
      <c r="R139" s="350"/>
      <c r="S139" s="350"/>
      <c r="T139" s="350"/>
      <c r="U139" s="350"/>
      <c r="V139" s="350"/>
    </row>
    <row r="140" spans="1:23" ht="19.2" customHeight="1">
      <c r="A140" s="207" t="s">
        <v>71</v>
      </c>
      <c r="B140" s="208"/>
      <c r="C140" s="209"/>
      <c r="D140" s="153" t="s">
        <v>28</v>
      </c>
      <c r="E140" s="316" t="s">
        <v>24</v>
      </c>
      <c r="F140" s="316"/>
      <c r="G140" s="316" t="s">
        <v>25</v>
      </c>
      <c r="H140" s="316"/>
      <c r="I140" s="153" t="s">
        <v>26</v>
      </c>
      <c r="J140" s="151">
        <v>500</v>
      </c>
      <c r="K140" s="151">
        <v>0.5</v>
      </c>
      <c r="L140" s="227"/>
      <c r="M140" s="227"/>
      <c r="N140" s="257"/>
      <c r="O140" s="340"/>
      <c r="P140" s="350"/>
      <c r="Q140" s="350"/>
      <c r="R140" s="350"/>
      <c r="S140" s="350"/>
      <c r="T140" s="350"/>
      <c r="U140" s="350"/>
      <c r="V140" s="350"/>
    </row>
    <row r="141" spans="1:23" ht="19.2" customHeight="1">
      <c r="A141" s="180" t="s">
        <v>69</v>
      </c>
      <c r="B141" s="246"/>
      <c r="C141" s="181"/>
      <c r="D141" s="37"/>
      <c r="E141" s="185">
        <f>E139*4.1</f>
        <v>111.48074933333332</v>
      </c>
      <c r="F141" s="186"/>
      <c r="G141" s="185">
        <f>G139*9</f>
        <v>212.00519999999997</v>
      </c>
      <c r="H141" s="186"/>
      <c r="I141" s="66">
        <f>I138*4.1</f>
        <v>305.95178533333331</v>
      </c>
      <c r="J141" s="218"/>
      <c r="K141" s="218"/>
      <c r="L141" s="227"/>
      <c r="M141" s="227"/>
      <c r="N141" s="257"/>
      <c r="O141" s="340"/>
      <c r="P141" s="355"/>
      <c r="Q141" s="356"/>
      <c r="R141" s="356"/>
      <c r="S141" s="356"/>
      <c r="T141" s="350"/>
      <c r="U141" s="350"/>
      <c r="V141" s="350"/>
    </row>
    <row r="142" spans="1:23" ht="19.2" customHeight="1">
      <c r="A142" s="221" t="s">
        <v>78</v>
      </c>
      <c r="B142" s="222"/>
      <c r="C142" s="180" t="s">
        <v>52</v>
      </c>
      <c r="D142" s="181"/>
      <c r="E142" s="225">
        <f>E141*100/D138</f>
        <v>17.704262562125827</v>
      </c>
      <c r="F142" s="226"/>
      <c r="G142" s="225">
        <f>G141*100/D138</f>
        <v>33.668554865137715</v>
      </c>
      <c r="H142" s="226"/>
      <c r="I142" s="93">
        <f>I141*100/D138</f>
        <v>48.588216093672095</v>
      </c>
      <c r="J142" s="219"/>
      <c r="K142" s="219"/>
      <c r="L142" s="227"/>
      <c r="M142" s="227"/>
      <c r="N142" s="257"/>
      <c r="O142" s="340"/>
      <c r="P142" s="350"/>
      <c r="Q142" s="350"/>
      <c r="R142" s="350"/>
      <c r="S142" s="350"/>
      <c r="T142" s="350"/>
      <c r="U142" s="350"/>
      <c r="V142" s="350"/>
    </row>
    <row r="143" spans="1:23" ht="19.2" customHeight="1">
      <c r="A143" s="223"/>
      <c r="B143" s="224"/>
      <c r="C143" s="180" t="s">
        <v>70</v>
      </c>
      <c r="D143" s="181"/>
      <c r="E143" s="180" t="s">
        <v>73</v>
      </c>
      <c r="F143" s="181"/>
      <c r="G143" s="180" t="s">
        <v>76</v>
      </c>
      <c r="H143" s="181"/>
      <c r="I143" s="153" t="s">
        <v>77</v>
      </c>
      <c r="J143" s="220"/>
      <c r="K143" s="220"/>
      <c r="L143" s="227"/>
      <c r="M143" s="227"/>
      <c r="N143" s="257"/>
      <c r="O143" s="340"/>
      <c r="P143" s="341"/>
    </row>
    <row r="144" spans="1:23" ht="19.2" customHeight="1">
      <c r="A144" s="69"/>
      <c r="B144" s="69"/>
      <c r="C144" s="69"/>
      <c r="D144" s="69"/>
      <c r="E144" s="69"/>
      <c r="F144" s="69"/>
      <c r="G144" s="69"/>
      <c r="H144" s="69"/>
      <c r="I144" s="69"/>
      <c r="J144" s="69"/>
      <c r="K144" s="69"/>
      <c r="L144" s="73"/>
      <c r="M144" s="73"/>
      <c r="N144" s="74"/>
      <c r="O144" s="340"/>
    </row>
    <row r="145" spans="1:15" ht="21" customHeight="1">
      <c r="A145" s="228" t="s">
        <v>98</v>
      </c>
      <c r="B145" s="228"/>
      <c r="C145" s="228"/>
      <c r="D145" s="228"/>
      <c r="E145" s="228"/>
      <c r="F145" s="228"/>
      <c r="G145" s="228"/>
      <c r="H145" s="228"/>
      <c r="I145" s="228"/>
      <c r="J145" s="228"/>
      <c r="K145" s="228"/>
      <c r="L145" s="228"/>
      <c r="M145" s="228"/>
      <c r="N145" s="228"/>
      <c r="O145" s="340"/>
    </row>
    <row r="146" spans="1:15" ht="21" customHeight="1">
      <c r="A146" s="95" t="s">
        <v>99</v>
      </c>
      <c r="B146" s="229" t="s">
        <v>100</v>
      </c>
      <c r="C146" s="229"/>
      <c r="D146" s="229"/>
      <c r="E146" s="229"/>
      <c r="F146" s="229"/>
      <c r="G146" s="229"/>
      <c r="H146" s="229"/>
      <c r="I146" s="229"/>
      <c r="J146" s="229"/>
      <c r="K146" s="229"/>
      <c r="L146" s="229"/>
      <c r="M146" s="229"/>
      <c r="N146" s="229"/>
      <c r="O146" s="340"/>
    </row>
    <row r="147" spans="1:15" ht="21" customHeight="1">
      <c r="A147" s="96"/>
      <c r="B147" s="199" t="s">
        <v>170</v>
      </c>
      <c r="C147" s="199"/>
      <c r="D147" s="199"/>
      <c r="E147" s="199"/>
      <c r="F147" s="199"/>
      <c r="G147" s="199"/>
      <c r="H147" s="199"/>
      <c r="I147" s="199"/>
      <c r="J147" s="199"/>
      <c r="K147" s="199"/>
      <c r="L147" s="199"/>
      <c r="M147" s="199"/>
      <c r="N147" s="199"/>
      <c r="O147" s="340"/>
    </row>
    <row r="148" spans="1:15" ht="21" customHeight="1">
      <c r="A148" s="96"/>
      <c r="B148" s="199" t="s">
        <v>171</v>
      </c>
      <c r="C148" s="199"/>
      <c r="D148" s="199"/>
      <c r="E148" s="199"/>
      <c r="F148" s="199"/>
      <c r="G148" s="199"/>
      <c r="H148" s="199"/>
      <c r="I148" s="199"/>
      <c r="J148" s="199"/>
      <c r="K148" s="199"/>
      <c r="L148" s="199"/>
      <c r="M148" s="199"/>
      <c r="N148" s="199"/>
      <c r="O148" s="340"/>
    </row>
    <row r="149" spans="1:15" ht="21" customHeight="1">
      <c r="A149" s="96"/>
      <c r="B149" s="199" t="s">
        <v>172</v>
      </c>
      <c r="C149" s="199"/>
      <c r="D149" s="199"/>
      <c r="E149" s="199"/>
      <c r="F149" s="199"/>
      <c r="G149" s="199"/>
      <c r="H149" s="199"/>
      <c r="I149" s="199"/>
      <c r="J149" s="199"/>
      <c r="K149" s="199"/>
      <c r="L149" s="199"/>
      <c r="M149" s="199"/>
      <c r="N149" s="199"/>
      <c r="O149" s="340"/>
    </row>
    <row r="150" spans="1:15" ht="21" customHeight="1">
      <c r="A150" s="69"/>
      <c r="B150" s="200" t="s">
        <v>112</v>
      </c>
      <c r="C150" s="200"/>
      <c r="D150" s="200"/>
      <c r="E150" s="200"/>
      <c r="F150" s="200"/>
      <c r="G150" s="200"/>
      <c r="H150" s="200"/>
      <c r="I150" s="200"/>
      <c r="J150" s="200"/>
      <c r="K150" s="200"/>
      <c r="L150" s="200"/>
      <c r="M150" s="200"/>
      <c r="N150" s="200"/>
      <c r="O150" s="340"/>
    </row>
    <row r="151" spans="1:15" ht="21" customHeight="1">
      <c r="A151" s="69"/>
      <c r="B151" s="69"/>
      <c r="C151" s="69"/>
      <c r="D151" s="69"/>
      <c r="E151" s="69"/>
      <c r="F151" s="69"/>
      <c r="G151" s="69"/>
      <c r="H151" s="69"/>
      <c r="I151" s="69"/>
      <c r="J151" s="69"/>
      <c r="K151" s="69"/>
      <c r="L151" s="73"/>
      <c r="M151" s="73"/>
      <c r="N151" s="74"/>
      <c r="O151" s="340"/>
    </row>
    <row r="152" spans="1:15" ht="21" customHeight="1">
      <c r="A152" s="198" t="s">
        <v>55</v>
      </c>
      <c r="B152" s="198"/>
      <c r="C152" s="198"/>
      <c r="D152" s="198"/>
      <c r="E152" s="342"/>
      <c r="F152" s="342"/>
      <c r="G152" s="342"/>
      <c r="H152" s="342"/>
      <c r="I152" s="342"/>
      <c r="J152" s="343" t="s">
        <v>32</v>
      </c>
      <c r="K152" s="343"/>
      <c r="L152" s="343"/>
      <c r="M152" s="343"/>
      <c r="N152" s="343"/>
      <c r="O152" s="340"/>
    </row>
    <row r="153" spans="1:15" ht="21" customHeight="1">
      <c r="A153" s="148"/>
      <c r="B153" s="148"/>
      <c r="C153" s="148"/>
      <c r="D153" s="342"/>
      <c r="E153" s="342"/>
      <c r="F153" s="342"/>
      <c r="G153" s="342"/>
      <c r="H153" s="344"/>
      <c r="I153" s="344"/>
      <c r="J153" s="344"/>
      <c r="K153" s="344"/>
      <c r="L153" s="344"/>
      <c r="M153" s="344"/>
      <c r="N153" s="344"/>
      <c r="O153" s="340"/>
    </row>
    <row r="154" spans="1:15" ht="21" customHeight="1">
      <c r="A154" s="148"/>
      <c r="B154" s="148"/>
      <c r="C154" s="148"/>
      <c r="D154" s="342"/>
      <c r="E154" s="342"/>
      <c r="F154" s="342"/>
      <c r="G154" s="342"/>
      <c r="H154" s="344"/>
      <c r="I154" s="344"/>
      <c r="J154" s="344"/>
      <c r="K154" s="344"/>
      <c r="L154" s="344"/>
      <c r="M154" s="344"/>
      <c r="N154" s="344"/>
      <c r="O154" s="340"/>
    </row>
    <row r="155" spans="1:15" ht="21" customHeight="1">
      <c r="A155" s="148"/>
      <c r="B155" s="148"/>
      <c r="C155" s="148"/>
      <c r="D155" s="342"/>
      <c r="E155" s="342"/>
      <c r="F155" s="342"/>
      <c r="G155" s="342"/>
      <c r="H155" s="344"/>
      <c r="I155" s="344"/>
      <c r="J155" s="345" t="s">
        <v>108</v>
      </c>
      <c r="K155" s="345"/>
      <c r="L155" s="345"/>
      <c r="M155" s="345"/>
      <c r="N155" s="345"/>
      <c r="O155" s="340"/>
    </row>
    <row r="156" spans="1:15" ht="21" customHeight="1">
      <c r="A156" s="182" t="s">
        <v>81</v>
      </c>
      <c r="B156" s="182"/>
      <c r="C156" s="182"/>
      <c r="D156" s="182"/>
      <c r="E156" s="342"/>
      <c r="F156" s="342"/>
      <c r="G156" s="342"/>
      <c r="H156" s="344"/>
      <c r="I156" s="344"/>
      <c r="J156" s="345"/>
      <c r="K156" s="345"/>
      <c r="L156" s="345"/>
      <c r="M156" s="345"/>
      <c r="N156" s="345"/>
      <c r="O156" s="340"/>
    </row>
    <row r="158" spans="1:15" ht="19.2" customHeight="1">
      <c r="J158" s="345" t="s">
        <v>111</v>
      </c>
      <c r="K158" s="345"/>
      <c r="L158" s="345"/>
      <c r="M158" s="345"/>
      <c r="N158" s="345"/>
    </row>
  </sheetData>
  <mergeCells count="205">
    <mergeCell ref="F1:N1"/>
    <mergeCell ref="A5:D5"/>
    <mergeCell ref="E5:N5"/>
    <mergeCell ref="A6:D6"/>
    <mergeCell ref="E6:I9"/>
    <mergeCell ref="J6:N9"/>
    <mergeCell ref="A7:D7"/>
    <mergeCell ref="A8:D8"/>
    <mergeCell ref="A9:D9"/>
    <mergeCell ref="A10:C10"/>
    <mergeCell ref="A11:A14"/>
    <mergeCell ref="B11:B14"/>
    <mergeCell ref="C11:C14"/>
    <mergeCell ref="D11:D14"/>
    <mergeCell ref="E11:F12"/>
    <mergeCell ref="G11:H12"/>
    <mergeCell ref="I11:I14"/>
    <mergeCell ref="J11:J14"/>
    <mergeCell ref="K11:K14"/>
    <mergeCell ref="L11:L14"/>
    <mergeCell ref="M11:M14"/>
    <mergeCell ref="N11:N14"/>
    <mergeCell ref="E13:E14"/>
    <mergeCell ref="F13:F14"/>
    <mergeCell ref="G13:G14"/>
    <mergeCell ref="H13:H14"/>
    <mergeCell ref="A15:N15"/>
    <mergeCell ref="N28:N29"/>
    <mergeCell ref="A30:B31"/>
    <mergeCell ref="A32:B32"/>
    <mergeCell ref="A43:A46"/>
    <mergeCell ref="B43:B46"/>
    <mergeCell ref="C43:C46"/>
    <mergeCell ref="D43:D46"/>
    <mergeCell ref="E43:F44"/>
    <mergeCell ref="G43:H44"/>
    <mergeCell ref="I43:I46"/>
    <mergeCell ref="J43:J46"/>
    <mergeCell ref="K43:K46"/>
    <mergeCell ref="L43:L46"/>
    <mergeCell ref="M43:M46"/>
    <mergeCell ref="N43:N46"/>
    <mergeCell ref="E45:E46"/>
    <mergeCell ref="F45:F46"/>
    <mergeCell ref="G45:G46"/>
    <mergeCell ref="H45:H46"/>
    <mergeCell ref="M47:M48"/>
    <mergeCell ref="N47:N48"/>
    <mergeCell ref="A49:B50"/>
    <mergeCell ref="A51:B52"/>
    <mergeCell ref="C51:C52"/>
    <mergeCell ref="D51:D52"/>
    <mergeCell ref="I51:I52"/>
    <mergeCell ref="J51:J52"/>
    <mergeCell ref="K51:K52"/>
    <mergeCell ref="L51:L58"/>
    <mergeCell ref="M51:M58"/>
    <mergeCell ref="N51:N58"/>
    <mergeCell ref="E52:F52"/>
    <mergeCell ref="G52:H52"/>
    <mergeCell ref="A53:C54"/>
    <mergeCell ref="I53:I54"/>
    <mergeCell ref="J53:J54"/>
    <mergeCell ref="K53:K54"/>
    <mergeCell ref="E54:F54"/>
    <mergeCell ref="G54:H54"/>
    <mergeCell ref="A56:C56"/>
    <mergeCell ref="E56:F56"/>
    <mergeCell ref="G56:H56"/>
    <mergeCell ref="J56:J58"/>
    <mergeCell ref="Q54:R54"/>
    <mergeCell ref="S54:T54"/>
    <mergeCell ref="U54:V54"/>
    <mergeCell ref="A55:C55"/>
    <mergeCell ref="E55:F55"/>
    <mergeCell ref="G55:H55"/>
    <mergeCell ref="Q55:R55"/>
    <mergeCell ref="S55:T55"/>
    <mergeCell ref="U55:V55"/>
    <mergeCell ref="K56:K58"/>
    <mergeCell ref="A57:B58"/>
    <mergeCell ref="C57:D57"/>
    <mergeCell ref="E57:F57"/>
    <mergeCell ref="G57:H57"/>
    <mergeCell ref="C58:D58"/>
    <mergeCell ref="E58:F58"/>
    <mergeCell ref="G58:H58"/>
    <mergeCell ref="A60:N60"/>
    <mergeCell ref="B61:N61"/>
    <mergeCell ref="B62:N62"/>
    <mergeCell ref="B63:N63"/>
    <mergeCell ref="B64:N64"/>
    <mergeCell ref="B65:N65"/>
    <mergeCell ref="A67:D67"/>
    <mergeCell ref="J67:N67"/>
    <mergeCell ref="J70:N70"/>
    <mergeCell ref="A71:D71"/>
    <mergeCell ref="J74:N74"/>
    <mergeCell ref="F85:N85"/>
    <mergeCell ref="A87:D88"/>
    <mergeCell ref="E87:N87"/>
    <mergeCell ref="E88:I88"/>
    <mergeCell ref="J88:N88"/>
    <mergeCell ref="A89:D89"/>
    <mergeCell ref="E89:I91"/>
    <mergeCell ref="J89:N89"/>
    <mergeCell ref="A90:D90"/>
    <mergeCell ref="J90:N90"/>
    <mergeCell ref="A91:D91"/>
    <mergeCell ref="J91:N91"/>
    <mergeCell ref="A92:C92"/>
    <mergeCell ref="A93:A96"/>
    <mergeCell ref="B93:B96"/>
    <mergeCell ref="C93:C96"/>
    <mergeCell ref="D93:D96"/>
    <mergeCell ref="E93:F94"/>
    <mergeCell ref="G93:H94"/>
    <mergeCell ref="I93:I96"/>
    <mergeCell ref="J93:J96"/>
    <mergeCell ref="K93:K96"/>
    <mergeCell ref="L93:L96"/>
    <mergeCell ref="M93:M96"/>
    <mergeCell ref="N93:N96"/>
    <mergeCell ref="E95:E96"/>
    <mergeCell ref="F95:F96"/>
    <mergeCell ref="G95:G96"/>
    <mergeCell ref="H95:H96"/>
    <mergeCell ref="A97:N97"/>
    <mergeCell ref="M108:M109"/>
    <mergeCell ref="N108:N109"/>
    <mergeCell ref="A110:B111"/>
    <mergeCell ref="A112:B112"/>
    <mergeCell ref="M122:M123"/>
    <mergeCell ref="N122:N123"/>
    <mergeCell ref="A124:B125"/>
    <mergeCell ref="A126:B126"/>
    <mergeCell ref="A128:A131"/>
    <mergeCell ref="B128:B131"/>
    <mergeCell ref="C128:C131"/>
    <mergeCell ref="D128:D131"/>
    <mergeCell ref="E128:F129"/>
    <mergeCell ref="G128:H129"/>
    <mergeCell ref="I128:I131"/>
    <mergeCell ref="J128:J131"/>
    <mergeCell ref="K128:K131"/>
    <mergeCell ref="L128:L131"/>
    <mergeCell ref="M128:M131"/>
    <mergeCell ref="N128:N131"/>
    <mergeCell ref="E130:E131"/>
    <mergeCell ref="F130:F131"/>
    <mergeCell ref="G130:G131"/>
    <mergeCell ref="H130:H131"/>
    <mergeCell ref="M132:M133"/>
    <mergeCell ref="N132:N133"/>
    <mergeCell ref="A134:B135"/>
    <mergeCell ref="A136:B137"/>
    <mergeCell ref="C136:C137"/>
    <mergeCell ref="D136:D137"/>
    <mergeCell ref="I136:I137"/>
    <mergeCell ref="J136:J137"/>
    <mergeCell ref="K136:K137"/>
    <mergeCell ref="L136:L143"/>
    <mergeCell ref="M136:M143"/>
    <mergeCell ref="N136:N143"/>
    <mergeCell ref="E137:F137"/>
    <mergeCell ref="G137:H137"/>
    <mergeCell ref="A140:C140"/>
    <mergeCell ref="E140:F140"/>
    <mergeCell ref="G140:H140"/>
    <mergeCell ref="A141:C141"/>
    <mergeCell ref="E141:F141"/>
    <mergeCell ref="G141:H141"/>
    <mergeCell ref="J141:J143"/>
    <mergeCell ref="K141:K143"/>
    <mergeCell ref="A142:B143"/>
    <mergeCell ref="C142:D142"/>
    <mergeCell ref="Q137:R137"/>
    <mergeCell ref="S137:T137"/>
    <mergeCell ref="U137:V137"/>
    <mergeCell ref="A138:C139"/>
    <mergeCell ref="I138:I139"/>
    <mergeCell ref="J138:J139"/>
    <mergeCell ref="K138:K139"/>
    <mergeCell ref="Q138:R138"/>
    <mergeCell ref="S138:T138"/>
    <mergeCell ref="U138:V138"/>
    <mergeCell ref="E139:F139"/>
    <mergeCell ref="G139:H139"/>
    <mergeCell ref="B149:N149"/>
    <mergeCell ref="B150:N150"/>
    <mergeCell ref="A152:D152"/>
    <mergeCell ref="J152:N152"/>
    <mergeCell ref="J155:N155"/>
    <mergeCell ref="A156:D156"/>
    <mergeCell ref="J156:N156"/>
    <mergeCell ref="J158:N158"/>
    <mergeCell ref="E142:F142"/>
    <mergeCell ref="G142:H142"/>
    <mergeCell ref="C143:D143"/>
    <mergeCell ref="E143:F143"/>
    <mergeCell ref="G143:H143"/>
    <mergeCell ref="A145:N145"/>
    <mergeCell ref="B146:N146"/>
    <mergeCell ref="B147:N147"/>
    <mergeCell ref="B148:N148"/>
  </mergeCells>
  <pageMargins left="0.5" right="7.4999999999999997E-2" top="0.44166666666666665" bottom="0.47499999999999998" header="0.3" footer="0.3"/>
  <pageSetup paperSize="9" orientation="portrait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W165"/>
  <sheetViews>
    <sheetView workbookViewId="0">
      <selection activeCell="Q5" sqref="Q5"/>
    </sheetView>
  </sheetViews>
  <sheetFormatPr defaultColWidth="9.109375" defaultRowHeight="20.399999999999999" customHeight="1"/>
  <cols>
    <col min="1" max="1" width="3.21875" style="1" customWidth="1"/>
    <col min="2" max="2" width="12.44140625" style="1" customWidth="1"/>
    <col min="3" max="3" width="7.109375" style="1" customWidth="1"/>
    <col min="4" max="4" width="7.6640625" style="1" customWidth="1"/>
    <col min="5" max="8" width="6.5546875" style="1" customWidth="1"/>
    <col min="9" max="9" width="6.6640625" style="1" customWidth="1"/>
    <col min="10" max="10" width="7.5546875" style="1" customWidth="1"/>
    <col min="11" max="11" width="6.77734375" style="1" customWidth="1"/>
    <col min="12" max="12" width="5" style="1" customWidth="1"/>
    <col min="13" max="13" width="5.21875" style="1" customWidth="1"/>
    <col min="14" max="14" width="6.44140625" style="1" customWidth="1"/>
    <col min="15" max="15" width="11.88671875" style="1" customWidth="1"/>
    <col min="16" max="16" width="9.109375" style="1"/>
    <col min="17" max="22" width="9" style="1" customWidth="1"/>
    <col min="23" max="16384" width="9.109375" style="1"/>
  </cols>
  <sheetData>
    <row r="1" spans="1:20" ht="23.4" customHeight="1">
      <c r="A1" s="11" t="s">
        <v>54</v>
      </c>
      <c r="B1" s="8"/>
      <c r="C1" s="8"/>
      <c r="D1" s="8"/>
      <c r="E1" s="8"/>
      <c r="F1" s="232" t="s">
        <v>30</v>
      </c>
      <c r="G1" s="232"/>
      <c r="H1" s="232"/>
      <c r="I1" s="232"/>
      <c r="J1" s="232"/>
      <c r="K1" s="232"/>
      <c r="L1" s="232"/>
      <c r="M1" s="232"/>
      <c r="N1" s="232"/>
      <c r="O1" s="327"/>
      <c r="P1" s="327"/>
      <c r="T1" s="2"/>
    </row>
    <row r="2" spans="1:20" ht="12.6" customHeight="1">
      <c r="A2" s="11"/>
      <c r="B2" s="8"/>
      <c r="C2" s="8"/>
      <c r="D2" s="8"/>
      <c r="E2" s="8"/>
      <c r="F2" s="152"/>
      <c r="G2" s="152"/>
      <c r="H2" s="152"/>
      <c r="I2" s="152"/>
      <c r="J2" s="152"/>
      <c r="K2" s="152"/>
      <c r="L2" s="152"/>
      <c r="M2" s="152"/>
      <c r="N2" s="152"/>
      <c r="O2" s="327"/>
      <c r="P2" s="327"/>
      <c r="T2" s="2"/>
    </row>
    <row r="3" spans="1:20" ht="23.4" customHeight="1">
      <c r="A3" s="8" t="s">
        <v>173</v>
      </c>
      <c r="B3" s="8"/>
      <c r="C3" s="8"/>
      <c r="D3" s="8"/>
      <c r="E3" s="8"/>
      <c r="F3" s="152"/>
      <c r="G3" s="152"/>
      <c r="H3" s="152"/>
      <c r="I3" s="152"/>
      <c r="J3" s="152"/>
      <c r="K3" s="152"/>
      <c r="L3" s="152"/>
      <c r="M3" s="152"/>
      <c r="N3" s="152"/>
      <c r="O3" s="327"/>
      <c r="P3" s="327"/>
      <c r="T3" s="2"/>
    </row>
    <row r="4" spans="1:20" ht="12.6" customHeight="1">
      <c r="A4" s="8"/>
      <c r="B4" s="8"/>
      <c r="C4" s="8"/>
      <c r="D4" s="8"/>
      <c r="E4" s="8"/>
      <c r="F4" s="152"/>
      <c r="G4" s="152"/>
      <c r="H4" s="152"/>
      <c r="I4" s="152"/>
      <c r="J4" s="152"/>
      <c r="K4" s="152"/>
      <c r="L4" s="152"/>
      <c r="M4" s="152"/>
      <c r="N4" s="152"/>
      <c r="O4" s="327"/>
      <c r="P4" s="327"/>
      <c r="T4" s="2"/>
    </row>
    <row r="5" spans="1:20" s="2" customFormat="1" ht="19.2" customHeight="1">
      <c r="A5" s="158" t="s">
        <v>86</v>
      </c>
      <c r="B5" s="158"/>
      <c r="C5" s="158"/>
      <c r="D5" s="158"/>
      <c r="E5" s="158" t="s">
        <v>87</v>
      </c>
      <c r="F5" s="158"/>
      <c r="G5" s="158"/>
      <c r="H5" s="158"/>
      <c r="I5" s="158"/>
      <c r="J5" s="158"/>
      <c r="K5" s="158"/>
      <c r="L5" s="158"/>
      <c r="M5" s="158"/>
      <c r="N5" s="158"/>
      <c r="O5" s="328"/>
    </row>
    <row r="6" spans="1:20" s="2" customFormat="1" ht="19.2" customHeight="1">
      <c r="A6" s="230" t="s">
        <v>80</v>
      </c>
      <c r="B6" s="230"/>
      <c r="C6" s="230"/>
      <c r="D6" s="230"/>
      <c r="E6" s="248" t="s">
        <v>135</v>
      </c>
      <c r="F6" s="249"/>
      <c r="G6" s="249"/>
      <c r="H6" s="249"/>
      <c r="I6" s="250"/>
      <c r="J6" s="248" t="s">
        <v>117</v>
      </c>
      <c r="K6" s="249"/>
      <c r="L6" s="249"/>
      <c r="M6" s="249"/>
      <c r="N6" s="250"/>
      <c r="O6" s="328"/>
    </row>
    <row r="7" spans="1:20" s="2" customFormat="1" ht="19.2" customHeight="1">
      <c r="A7" s="297" t="s">
        <v>134</v>
      </c>
      <c r="B7" s="298"/>
      <c r="C7" s="298"/>
      <c r="D7" s="299"/>
      <c r="E7" s="251"/>
      <c r="F7" s="252"/>
      <c r="G7" s="252"/>
      <c r="H7" s="252"/>
      <c r="I7" s="253"/>
      <c r="J7" s="251"/>
      <c r="K7" s="252"/>
      <c r="L7" s="252"/>
      <c r="M7" s="252"/>
      <c r="N7" s="253"/>
      <c r="O7" s="328"/>
    </row>
    <row r="8" spans="1:20" s="2" customFormat="1" ht="19.2" customHeight="1">
      <c r="A8" s="297" t="s">
        <v>155</v>
      </c>
      <c r="B8" s="298"/>
      <c r="C8" s="298"/>
      <c r="D8" s="299"/>
      <c r="E8" s="251"/>
      <c r="F8" s="252"/>
      <c r="G8" s="252"/>
      <c r="H8" s="252"/>
      <c r="I8" s="253"/>
      <c r="J8" s="251"/>
      <c r="K8" s="252"/>
      <c r="L8" s="252"/>
      <c r="M8" s="252"/>
      <c r="N8" s="253"/>
      <c r="O8" s="328"/>
    </row>
    <row r="9" spans="1:20" s="2" customFormat="1" ht="19.2" customHeight="1">
      <c r="A9" s="300" t="s">
        <v>156</v>
      </c>
      <c r="B9" s="300"/>
      <c r="C9" s="300"/>
      <c r="D9" s="300"/>
      <c r="E9" s="254"/>
      <c r="F9" s="255"/>
      <c r="G9" s="255"/>
      <c r="H9" s="255"/>
      <c r="I9" s="256"/>
      <c r="J9" s="254"/>
      <c r="K9" s="255"/>
      <c r="L9" s="255"/>
      <c r="M9" s="255"/>
      <c r="N9" s="256"/>
      <c r="O9" s="328"/>
    </row>
    <row r="10" spans="1:20" s="2" customFormat="1" ht="19.2" customHeight="1">
      <c r="A10" s="195" t="s">
        <v>106</v>
      </c>
      <c r="B10" s="196"/>
      <c r="C10" s="197"/>
      <c r="D10" s="104">
        <v>218</v>
      </c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328"/>
    </row>
    <row r="11" spans="1:20" ht="21" customHeight="1">
      <c r="A11" s="159" t="s">
        <v>0</v>
      </c>
      <c r="B11" s="162" t="s">
        <v>19</v>
      </c>
      <c r="C11" s="165" t="s">
        <v>8</v>
      </c>
      <c r="D11" s="165" t="s">
        <v>9</v>
      </c>
      <c r="E11" s="170" t="s">
        <v>11</v>
      </c>
      <c r="F11" s="171"/>
      <c r="G11" s="170" t="s">
        <v>13</v>
      </c>
      <c r="H11" s="171"/>
      <c r="I11" s="174" t="s">
        <v>16</v>
      </c>
      <c r="J11" s="174" t="s">
        <v>39</v>
      </c>
      <c r="K11" s="174" t="s">
        <v>40</v>
      </c>
      <c r="L11" s="304" t="s">
        <v>17</v>
      </c>
      <c r="M11" s="174" t="s">
        <v>50</v>
      </c>
      <c r="N11" s="159" t="s">
        <v>18</v>
      </c>
      <c r="O11" s="329"/>
    </row>
    <row r="12" spans="1:20" ht="21" customHeight="1">
      <c r="A12" s="160"/>
      <c r="B12" s="163"/>
      <c r="C12" s="166"/>
      <c r="D12" s="166"/>
      <c r="E12" s="172"/>
      <c r="F12" s="173"/>
      <c r="G12" s="172"/>
      <c r="H12" s="173"/>
      <c r="I12" s="175"/>
      <c r="J12" s="175"/>
      <c r="K12" s="175"/>
      <c r="L12" s="305"/>
      <c r="M12" s="175"/>
      <c r="N12" s="160"/>
      <c r="O12" s="148"/>
    </row>
    <row r="13" spans="1:20" ht="21" customHeight="1">
      <c r="A13" s="160"/>
      <c r="B13" s="163"/>
      <c r="C13" s="166"/>
      <c r="D13" s="166"/>
      <c r="E13" s="174" t="s">
        <v>10</v>
      </c>
      <c r="F13" s="174" t="s">
        <v>12</v>
      </c>
      <c r="G13" s="174" t="s">
        <v>14</v>
      </c>
      <c r="H13" s="174" t="s">
        <v>15</v>
      </c>
      <c r="I13" s="175"/>
      <c r="J13" s="175"/>
      <c r="K13" s="175"/>
      <c r="L13" s="305"/>
      <c r="M13" s="175"/>
      <c r="N13" s="160"/>
      <c r="O13" s="148"/>
    </row>
    <row r="14" spans="1:20" ht="21" customHeight="1">
      <c r="A14" s="161"/>
      <c r="B14" s="164"/>
      <c r="C14" s="167"/>
      <c r="D14" s="167"/>
      <c r="E14" s="176"/>
      <c r="F14" s="176"/>
      <c r="G14" s="176"/>
      <c r="H14" s="176"/>
      <c r="I14" s="176"/>
      <c r="J14" s="176"/>
      <c r="K14" s="176"/>
      <c r="L14" s="306"/>
      <c r="M14" s="176"/>
      <c r="N14" s="161"/>
      <c r="O14" s="148"/>
    </row>
    <row r="15" spans="1:20" ht="18.600000000000001" customHeight="1">
      <c r="A15" s="237" t="s">
        <v>33</v>
      </c>
      <c r="B15" s="238"/>
      <c r="C15" s="238"/>
      <c r="D15" s="238"/>
      <c r="E15" s="238"/>
      <c r="F15" s="238"/>
      <c r="G15" s="238"/>
      <c r="H15" s="238"/>
      <c r="I15" s="238"/>
      <c r="J15" s="238"/>
      <c r="K15" s="238"/>
      <c r="L15" s="238"/>
      <c r="M15" s="238"/>
      <c r="N15" s="239"/>
      <c r="O15" s="148"/>
    </row>
    <row r="16" spans="1:20" s="2" customFormat="1" ht="18.600000000000001" customHeight="1">
      <c r="A16" s="9">
        <v>1</v>
      </c>
      <c r="B16" s="10" t="s">
        <v>2</v>
      </c>
      <c r="C16" s="18">
        <f>L16/100*100</f>
        <v>290</v>
      </c>
      <c r="D16" s="19">
        <f>C16/100*60</f>
        <v>174</v>
      </c>
      <c r="E16" s="20">
        <f>C16/100*15</f>
        <v>43.5</v>
      </c>
      <c r="F16" s="20"/>
      <c r="G16" s="20"/>
      <c r="H16" s="20"/>
      <c r="I16" s="20"/>
      <c r="J16" s="62">
        <f>C16/100*387</f>
        <v>1122.3</v>
      </c>
      <c r="K16" s="22">
        <f>C16/100*0.09</f>
        <v>0.26100000000000001</v>
      </c>
      <c r="L16" s="110">
        <v>290</v>
      </c>
      <c r="M16" s="56">
        <v>20</v>
      </c>
      <c r="N16" s="23">
        <f>L16*M16</f>
        <v>5800</v>
      </c>
      <c r="O16" s="126"/>
    </row>
    <row r="17" spans="1:20" s="2" customFormat="1" ht="18.600000000000001" customHeight="1">
      <c r="A17" s="9">
        <v>3</v>
      </c>
      <c r="B17" s="121" t="s">
        <v>121</v>
      </c>
      <c r="C17" s="18">
        <f>L17/100*100</f>
        <v>940</v>
      </c>
      <c r="D17" s="98">
        <f>C17/100*900</f>
        <v>8460</v>
      </c>
      <c r="E17" s="20"/>
      <c r="F17" s="20"/>
      <c r="G17" s="97"/>
      <c r="H17" s="20">
        <f>C17/100*100</f>
        <v>940</v>
      </c>
      <c r="I17" s="20"/>
      <c r="J17" s="20"/>
      <c r="K17" s="20"/>
      <c r="L17" s="110">
        <v>940</v>
      </c>
      <c r="M17" s="56">
        <v>65</v>
      </c>
      <c r="N17" s="23">
        <f t="shared" ref="N17:N25" si="0">L17*M17</f>
        <v>61100</v>
      </c>
      <c r="O17" s="334"/>
    </row>
    <row r="18" spans="1:20" s="2" customFormat="1" ht="18.600000000000001" customHeight="1">
      <c r="A18" s="9">
        <v>4</v>
      </c>
      <c r="B18" s="5" t="s">
        <v>1</v>
      </c>
      <c r="C18" s="18">
        <f>L18/100*100</f>
        <v>20710</v>
      </c>
      <c r="D18" s="98">
        <f>C18/100*344</f>
        <v>71242.399999999994</v>
      </c>
      <c r="E18" s="20"/>
      <c r="F18" s="97">
        <f>C18/100*7.9</f>
        <v>1636.09</v>
      </c>
      <c r="G18" s="20"/>
      <c r="H18" s="20">
        <f>C18/100*1</f>
        <v>207.1</v>
      </c>
      <c r="I18" s="106">
        <f>C18/100*73.2</f>
        <v>15159.72</v>
      </c>
      <c r="J18" s="62">
        <f>C18/100*30</f>
        <v>6213</v>
      </c>
      <c r="K18" s="22">
        <f>C18/100*0.1</f>
        <v>20.71</v>
      </c>
      <c r="L18" s="330">
        <v>20710</v>
      </c>
      <c r="M18" s="56">
        <v>18</v>
      </c>
      <c r="N18" s="102">
        <f t="shared" si="0"/>
        <v>372780</v>
      </c>
      <c r="O18" s="126"/>
    </row>
    <row r="19" spans="1:20" s="2" customFormat="1" ht="18.600000000000001" customHeight="1">
      <c r="A19" s="9">
        <v>5</v>
      </c>
      <c r="B19" s="5" t="s">
        <v>85</v>
      </c>
      <c r="C19" s="18">
        <f>L19/100*90</f>
        <v>4329</v>
      </c>
      <c r="D19" s="19">
        <f>C19/100*90</f>
        <v>3896.1</v>
      </c>
      <c r="E19" s="20">
        <f>C19/100*18.4</f>
        <v>796.53599999999994</v>
      </c>
      <c r="F19" s="20"/>
      <c r="G19" s="20">
        <f>C19/100*1.8</f>
        <v>77.921999999999997</v>
      </c>
      <c r="H19" s="20"/>
      <c r="I19" s="20"/>
      <c r="J19" s="62">
        <f>C19/100*1120</f>
        <v>48484.799999999996</v>
      </c>
      <c r="K19" s="22">
        <f>C19/100*0.02</f>
        <v>0.86580000000000001</v>
      </c>
      <c r="L19" s="110">
        <v>4810</v>
      </c>
      <c r="M19" s="56">
        <v>260</v>
      </c>
      <c r="N19" s="145">
        <f t="shared" si="0"/>
        <v>1250600</v>
      </c>
      <c r="O19" s="126"/>
      <c r="Q19" s="3"/>
      <c r="R19" s="3"/>
      <c r="S19" s="4"/>
    </row>
    <row r="20" spans="1:20" s="2" customFormat="1" ht="18.600000000000001" customHeight="1">
      <c r="A20" s="9">
        <v>6</v>
      </c>
      <c r="B20" s="10" t="s">
        <v>64</v>
      </c>
      <c r="C20" s="18">
        <f>L20/100*98</f>
        <v>8339.7999999999993</v>
      </c>
      <c r="D20" s="98">
        <f>C20/100*139</f>
        <v>11592.322</v>
      </c>
      <c r="E20" s="97">
        <f>C20/100*19</f>
        <v>1584.5619999999999</v>
      </c>
      <c r="F20" s="20"/>
      <c r="G20" s="20">
        <f>C20/100*7</f>
        <v>583.78599999999994</v>
      </c>
      <c r="H20" s="20"/>
      <c r="I20" s="20"/>
      <c r="J20" s="22">
        <f>C20/100*7</f>
        <v>583.78599999999994</v>
      </c>
      <c r="K20" s="22">
        <f>C20/100*0.9</f>
        <v>75.058199999999999</v>
      </c>
      <c r="L20" s="110">
        <v>8510</v>
      </c>
      <c r="M20" s="116">
        <v>133</v>
      </c>
      <c r="N20" s="145">
        <f t="shared" si="0"/>
        <v>1131830</v>
      </c>
      <c r="O20" s="126"/>
    </row>
    <row r="21" spans="1:20" s="114" customFormat="1" ht="18.600000000000001" customHeight="1">
      <c r="A21" s="136">
        <v>7</v>
      </c>
      <c r="B21" s="122" t="s">
        <v>158</v>
      </c>
      <c r="C21" s="137">
        <f>L21/100*65</f>
        <v>2847</v>
      </c>
      <c r="D21" s="112">
        <f>C21/100*14</f>
        <v>398.58</v>
      </c>
      <c r="E21" s="109"/>
      <c r="F21" s="109">
        <f>C21/100*0.6</f>
        <v>17.081999999999997</v>
      </c>
      <c r="G21" s="109"/>
      <c r="H21" s="109">
        <f>C21/100*0.02</f>
        <v>0.56940000000000002</v>
      </c>
      <c r="I21" s="109">
        <f>C21/100*2.9</f>
        <v>82.562999999999988</v>
      </c>
      <c r="J21" s="109">
        <f>C21/100*21</f>
        <v>597.87</v>
      </c>
      <c r="K21" s="109">
        <f>C21/100*0.03</f>
        <v>0.85409999999999997</v>
      </c>
      <c r="L21" s="110">
        <v>4380</v>
      </c>
      <c r="M21" s="138">
        <v>25</v>
      </c>
      <c r="N21" s="146">
        <f t="shared" si="0"/>
        <v>109500</v>
      </c>
      <c r="O21" s="357"/>
    </row>
    <row r="22" spans="1:20" s="2" customFormat="1" ht="18.600000000000001" customHeight="1">
      <c r="A22" s="9">
        <v>8</v>
      </c>
      <c r="B22" s="122" t="s">
        <v>20</v>
      </c>
      <c r="C22" s="18">
        <f>L22/100*95</f>
        <v>1662.5</v>
      </c>
      <c r="D22" s="19">
        <f>C22/100*20</f>
        <v>332.5</v>
      </c>
      <c r="E22" s="20"/>
      <c r="F22" s="20">
        <f>C22/100*0.6</f>
        <v>9.9749999999999996</v>
      </c>
      <c r="G22" s="20"/>
      <c r="H22" s="20">
        <f>C22/100*0.2</f>
        <v>3.3250000000000002</v>
      </c>
      <c r="I22" s="20">
        <f>C22/100*4</f>
        <v>66.5</v>
      </c>
      <c r="J22" s="22">
        <f>C22/100*12</f>
        <v>199.5</v>
      </c>
      <c r="K22" s="19">
        <f>C22/100*0.04</f>
        <v>0.66500000000000004</v>
      </c>
      <c r="L22" s="110">
        <v>1750</v>
      </c>
      <c r="M22" s="58">
        <v>22</v>
      </c>
      <c r="N22" s="23">
        <f t="shared" si="0"/>
        <v>38500</v>
      </c>
      <c r="O22" s="332"/>
      <c r="Q22" s="3"/>
      <c r="R22" s="3"/>
      <c r="S22" s="4"/>
    </row>
    <row r="23" spans="1:20" s="2" customFormat="1" ht="18.600000000000001" customHeight="1">
      <c r="A23" s="9">
        <v>9</v>
      </c>
      <c r="B23" s="122" t="s">
        <v>126</v>
      </c>
      <c r="C23" s="18">
        <f>L23/100*81</f>
        <v>1944</v>
      </c>
      <c r="D23" s="19">
        <f>C23/100*17</f>
        <v>330.48</v>
      </c>
      <c r="E23" s="24"/>
      <c r="F23" s="24">
        <f>C23/100*0.9</f>
        <v>17.496000000000002</v>
      </c>
      <c r="G23" s="24"/>
      <c r="H23" s="24">
        <f>C23/100*0.2</f>
        <v>3.8880000000000003</v>
      </c>
      <c r="I23" s="24">
        <f>C23/100*2.8</f>
        <v>54.432000000000002</v>
      </c>
      <c r="J23" s="20">
        <f>C23/100*28</f>
        <v>544.32000000000005</v>
      </c>
      <c r="K23" s="22">
        <f>C23/100*0.04</f>
        <v>0.77760000000000007</v>
      </c>
      <c r="L23" s="331">
        <v>2400</v>
      </c>
      <c r="M23" s="56">
        <v>20</v>
      </c>
      <c r="N23" s="23">
        <f t="shared" si="0"/>
        <v>48000</v>
      </c>
      <c r="O23" s="126"/>
      <c r="P23" s="3"/>
    </row>
    <row r="24" spans="1:20" s="114" customFormat="1" ht="16.2" customHeight="1">
      <c r="A24" s="136">
        <v>10</v>
      </c>
      <c r="B24" s="122" t="s">
        <v>157</v>
      </c>
      <c r="C24" s="137">
        <f>L24/100*63</f>
        <v>4806.8999999999996</v>
      </c>
      <c r="D24" s="112">
        <f>C24/100*25</f>
        <v>1201.7249999999999</v>
      </c>
      <c r="E24" s="109"/>
      <c r="F24" s="109">
        <f>C24/100*3.2</f>
        <v>153.82079999999999</v>
      </c>
      <c r="G24" s="109"/>
      <c r="H24" s="109">
        <f>C24/100*0.4</f>
        <v>19.227599999999999</v>
      </c>
      <c r="I24" s="109">
        <f>C24/100*2.1</f>
        <v>100.94489999999999</v>
      </c>
      <c r="J24" s="113">
        <f>C24/100*100</f>
        <v>4806.8999999999996</v>
      </c>
      <c r="K24" s="109">
        <f>C24/100*0.1</f>
        <v>4.8068999999999997</v>
      </c>
      <c r="L24" s="110">
        <v>7630</v>
      </c>
      <c r="M24" s="138">
        <v>15</v>
      </c>
      <c r="N24" s="142">
        <f t="shared" si="0"/>
        <v>114450</v>
      </c>
      <c r="O24" s="357"/>
    </row>
    <row r="25" spans="1:20" s="2" customFormat="1" ht="18.600000000000001" customHeight="1">
      <c r="A25" s="9">
        <v>11</v>
      </c>
      <c r="B25" s="5" t="s">
        <v>116</v>
      </c>
      <c r="C25" s="18">
        <f>L25/100*100</f>
        <v>220.00000000000003</v>
      </c>
      <c r="D25" s="19">
        <f>C25/100*247</f>
        <v>543.40000000000009</v>
      </c>
      <c r="E25" s="24"/>
      <c r="F25" s="24">
        <f>C25/100*17.5</f>
        <v>38.5</v>
      </c>
      <c r="G25" s="24"/>
      <c r="H25" s="24">
        <f>C25/100*1.6</f>
        <v>3.5200000000000005</v>
      </c>
      <c r="I25" s="24">
        <f>C25/100*39.2</f>
        <v>86.240000000000009</v>
      </c>
      <c r="J25" s="52"/>
      <c r="K25" s="52"/>
      <c r="L25" s="331">
        <v>220</v>
      </c>
      <c r="M25" s="56">
        <v>50</v>
      </c>
      <c r="N25" s="23">
        <f t="shared" si="0"/>
        <v>11000</v>
      </c>
      <c r="O25" s="126"/>
      <c r="Q25" s="3"/>
      <c r="R25" s="3"/>
      <c r="S25" s="4"/>
      <c r="T25" s="3"/>
    </row>
    <row r="26" spans="1:20" s="2" customFormat="1" ht="18.600000000000001" customHeight="1">
      <c r="A26" s="9">
        <v>12</v>
      </c>
      <c r="B26" s="6" t="s">
        <v>107</v>
      </c>
      <c r="C26" s="18"/>
      <c r="D26" s="19"/>
      <c r="E26" s="24"/>
      <c r="F26" s="24"/>
      <c r="G26" s="24"/>
      <c r="H26" s="24"/>
      <c r="I26" s="24"/>
      <c r="J26" s="52"/>
      <c r="K26" s="52"/>
      <c r="L26" s="25"/>
      <c r="M26" s="21"/>
      <c r="N26" s="23">
        <v>16720</v>
      </c>
      <c r="O26" s="126"/>
    </row>
    <row r="27" spans="1:20" s="2" customFormat="1" ht="18.600000000000001" customHeight="1">
      <c r="A27" s="16" t="s">
        <v>105</v>
      </c>
      <c r="B27" s="17"/>
      <c r="C27" s="26"/>
      <c r="D27" s="99">
        <f>SUM(D16:D26)</f>
        <v>98171.506999999998</v>
      </c>
      <c r="E27" s="28"/>
      <c r="F27" s="28"/>
      <c r="G27" s="28"/>
      <c r="H27" s="28"/>
      <c r="I27" s="28"/>
      <c r="J27" s="28"/>
      <c r="K27" s="28"/>
      <c r="L27" s="29"/>
      <c r="M27" s="240"/>
      <c r="N27" s="311">
        <f>SUM(N16:N26)</f>
        <v>3160280</v>
      </c>
      <c r="O27" s="126"/>
    </row>
    <row r="28" spans="1:20" s="2" customFormat="1" ht="18.600000000000001" customHeight="1">
      <c r="A28" s="16" t="s">
        <v>6</v>
      </c>
      <c r="B28" s="17"/>
      <c r="C28" s="26"/>
      <c r="D28" s="27">
        <f>D27/D10</f>
        <v>450.3280137614679</v>
      </c>
      <c r="E28" s="28"/>
      <c r="F28" s="28"/>
      <c r="G28" s="28"/>
      <c r="H28" s="28"/>
      <c r="I28" s="28"/>
      <c r="J28" s="28"/>
      <c r="K28" s="28"/>
      <c r="L28" s="29"/>
      <c r="M28" s="241"/>
      <c r="N28" s="312"/>
      <c r="O28" s="126"/>
    </row>
    <row r="29" spans="1:20" s="2" customFormat="1" ht="18.600000000000001" customHeight="1">
      <c r="A29" s="210" t="s">
        <v>44</v>
      </c>
      <c r="B29" s="313"/>
      <c r="C29" s="333" t="s">
        <v>125</v>
      </c>
      <c r="D29" s="15" t="s">
        <v>41</v>
      </c>
      <c r="E29" s="28"/>
      <c r="F29" s="28"/>
      <c r="G29" s="28"/>
      <c r="H29" s="28"/>
      <c r="I29" s="28"/>
      <c r="J29" s="28"/>
      <c r="K29" s="28"/>
      <c r="L29" s="29"/>
      <c r="M29" s="29"/>
      <c r="N29" s="30"/>
      <c r="O29" s="126"/>
    </row>
    <row r="30" spans="1:20" s="2" customFormat="1" ht="18.600000000000001" customHeight="1">
      <c r="A30" s="314"/>
      <c r="B30" s="315"/>
      <c r="C30" s="57" t="s">
        <v>53</v>
      </c>
      <c r="D30" s="15">
        <f>D28*100/1320</f>
        <v>34.115758618293022</v>
      </c>
      <c r="E30" s="28"/>
      <c r="F30" s="28"/>
      <c r="G30" s="28"/>
      <c r="H30" s="28"/>
      <c r="I30" s="28"/>
      <c r="J30" s="28"/>
      <c r="K30" s="28"/>
      <c r="L30" s="29"/>
      <c r="M30" s="29"/>
      <c r="N30" s="30"/>
      <c r="O30" s="126"/>
    </row>
    <row r="31" spans="1:20" s="2" customFormat="1" ht="18.600000000000001" customHeight="1">
      <c r="A31" s="247" t="s">
        <v>34</v>
      </c>
      <c r="B31" s="247"/>
      <c r="C31" s="40"/>
      <c r="D31" s="41"/>
      <c r="E31" s="42"/>
      <c r="F31" s="42"/>
      <c r="G31" s="42"/>
      <c r="H31" s="42"/>
      <c r="I31" s="42"/>
      <c r="J31" s="42"/>
      <c r="K31" s="42"/>
      <c r="L31" s="43"/>
      <c r="M31" s="43"/>
      <c r="N31" s="51"/>
      <c r="O31" s="126"/>
    </row>
    <row r="32" spans="1:20" s="2" customFormat="1" ht="18.600000000000001" customHeight="1">
      <c r="A32" s="13">
        <v>1</v>
      </c>
      <c r="B32" s="131" t="s">
        <v>107</v>
      </c>
      <c r="C32" s="132"/>
      <c r="D32" s="133"/>
      <c r="E32" s="134"/>
      <c r="F32" s="134"/>
      <c r="G32" s="134"/>
      <c r="H32" s="134"/>
      <c r="I32" s="134"/>
      <c r="J32" s="134"/>
      <c r="K32" s="134"/>
      <c r="L32" s="135"/>
      <c r="M32" s="135"/>
      <c r="N32" s="147">
        <v>14480</v>
      </c>
      <c r="O32" s="126"/>
    </row>
    <row r="33" spans="1:20" s="2" customFormat="1" ht="18.600000000000001" customHeight="1">
      <c r="A33" s="9">
        <v>2</v>
      </c>
      <c r="B33" s="10" t="s">
        <v>2</v>
      </c>
      <c r="C33" s="18">
        <f>L33/100*100</f>
        <v>260</v>
      </c>
      <c r="D33" s="19">
        <f>C33/100*60</f>
        <v>156</v>
      </c>
      <c r="E33" s="20">
        <f>C33/100*15</f>
        <v>39</v>
      </c>
      <c r="F33" s="20"/>
      <c r="G33" s="20"/>
      <c r="H33" s="20"/>
      <c r="I33" s="20"/>
      <c r="J33" s="62">
        <f>C33/100*387</f>
        <v>1006.2</v>
      </c>
      <c r="K33" s="22">
        <f>C33/100*0.09</f>
        <v>0.23399999999999999</v>
      </c>
      <c r="L33" s="110">
        <v>260</v>
      </c>
      <c r="M33" s="56">
        <v>20</v>
      </c>
      <c r="N33" s="23">
        <f>L33*M33</f>
        <v>5200</v>
      </c>
      <c r="O33" s="126"/>
    </row>
    <row r="34" spans="1:20" s="2" customFormat="1" ht="18.600000000000001" customHeight="1">
      <c r="A34" s="9">
        <v>3</v>
      </c>
      <c r="B34" s="5" t="s">
        <v>1</v>
      </c>
      <c r="C34" s="18">
        <f>L34/100*100</f>
        <v>3270.0000000000005</v>
      </c>
      <c r="D34" s="98">
        <f>C34/100*344</f>
        <v>11248.800000000001</v>
      </c>
      <c r="E34" s="20"/>
      <c r="F34" s="20">
        <f>C34/100*7.9</f>
        <v>258.33000000000004</v>
      </c>
      <c r="G34" s="20"/>
      <c r="H34" s="20">
        <f>C34/100*1</f>
        <v>32.700000000000003</v>
      </c>
      <c r="I34" s="97">
        <f>C34/100*73.2</f>
        <v>2393.6400000000003</v>
      </c>
      <c r="J34" s="22">
        <f>C34/100*30</f>
        <v>981.00000000000011</v>
      </c>
      <c r="K34" s="22">
        <f>C34/100*0.1</f>
        <v>3.2700000000000005</v>
      </c>
      <c r="L34" s="110">
        <v>3270</v>
      </c>
      <c r="M34" s="56">
        <v>18</v>
      </c>
      <c r="N34" s="23">
        <f t="shared" ref="N34:N35" si="1">L34*M34</f>
        <v>58860</v>
      </c>
      <c r="O34" s="126"/>
    </row>
    <row r="35" spans="1:20" s="2" customFormat="1" ht="18.600000000000001" customHeight="1">
      <c r="A35" s="9">
        <v>4</v>
      </c>
      <c r="B35" s="5" t="s">
        <v>65</v>
      </c>
      <c r="C35" s="18">
        <f>L35/100*100</f>
        <v>2180</v>
      </c>
      <c r="D35" s="19">
        <f>C35/100*344</f>
        <v>7499.2</v>
      </c>
      <c r="E35" s="20"/>
      <c r="F35" s="20">
        <f>C35/100*8.6</f>
        <v>187.48</v>
      </c>
      <c r="G35" s="20"/>
      <c r="H35" s="20">
        <f>C35/100*1.5</f>
        <v>32.700000000000003</v>
      </c>
      <c r="I35" s="97">
        <f>C35/100*74.5</f>
        <v>1624.1000000000001</v>
      </c>
      <c r="J35" s="20">
        <f>C35/100*32</f>
        <v>697.6</v>
      </c>
      <c r="K35" s="20">
        <f>C35/100*0.14</f>
        <v>3.0520000000000005</v>
      </c>
      <c r="L35" s="110">
        <v>2180</v>
      </c>
      <c r="M35" s="56">
        <v>30</v>
      </c>
      <c r="N35" s="23">
        <f t="shared" si="1"/>
        <v>65400</v>
      </c>
      <c r="O35" s="126"/>
      <c r="P35" s="14"/>
    </row>
    <row r="36" spans="1:20" s="2" customFormat="1" ht="18.600000000000001" customHeight="1">
      <c r="A36" s="9">
        <v>5</v>
      </c>
      <c r="B36" s="119" t="s">
        <v>119</v>
      </c>
      <c r="C36" s="18">
        <f>L36/100*100</f>
        <v>1350</v>
      </c>
      <c r="D36" s="98">
        <f>C36/100*899</f>
        <v>12136.5</v>
      </c>
      <c r="E36" s="20"/>
      <c r="F36" s="20"/>
      <c r="G36" s="97">
        <f>C36/100*100</f>
        <v>1350</v>
      </c>
      <c r="H36" s="20"/>
      <c r="I36" s="20"/>
      <c r="J36" s="22"/>
      <c r="K36" s="22"/>
      <c r="L36" s="110">
        <v>1350</v>
      </c>
      <c r="M36" s="56">
        <v>69</v>
      </c>
      <c r="N36" s="23">
        <f t="shared" ref="N36:N44" si="2">L36*M36</f>
        <v>93150</v>
      </c>
      <c r="O36" s="126"/>
    </row>
    <row r="37" spans="1:20" s="2" customFormat="1" ht="18.600000000000001" customHeight="1">
      <c r="A37" s="9">
        <v>6</v>
      </c>
      <c r="B37" s="5" t="s">
        <v>116</v>
      </c>
      <c r="C37" s="18">
        <f>L37/100*100</f>
        <v>130</v>
      </c>
      <c r="D37" s="19">
        <f>C37/100*247</f>
        <v>321.10000000000002</v>
      </c>
      <c r="E37" s="24"/>
      <c r="F37" s="24">
        <f>C37/100*17.5</f>
        <v>22.75</v>
      </c>
      <c r="G37" s="24"/>
      <c r="H37" s="24">
        <f>C37/100*1.6</f>
        <v>2.08</v>
      </c>
      <c r="I37" s="24">
        <f>C37/100*39.2</f>
        <v>50.960000000000008</v>
      </c>
      <c r="J37" s="52"/>
      <c r="K37" s="52"/>
      <c r="L37" s="331">
        <v>130</v>
      </c>
      <c r="M37" s="56">
        <v>50</v>
      </c>
      <c r="N37" s="23">
        <f t="shared" si="2"/>
        <v>6500</v>
      </c>
      <c r="O37" s="126"/>
      <c r="Q37" s="3"/>
      <c r="R37" s="3"/>
      <c r="S37" s="4"/>
      <c r="T37" s="3"/>
    </row>
    <row r="38" spans="1:20" s="2" customFormat="1" ht="18.600000000000001" customHeight="1">
      <c r="A38" s="9">
        <v>7</v>
      </c>
      <c r="B38" s="10" t="s">
        <v>63</v>
      </c>
      <c r="C38" s="18">
        <f>L38/100*90</f>
        <v>62.999999999999993</v>
      </c>
      <c r="D38" s="19">
        <f>C38/100*253</f>
        <v>159.38999999999999</v>
      </c>
      <c r="E38" s="20"/>
      <c r="F38" s="20">
        <f>C38/100*32.4</f>
        <v>20.411999999999995</v>
      </c>
      <c r="G38" s="20"/>
      <c r="H38" s="20">
        <f>C38/100*3.6</f>
        <v>2.2679999999999998</v>
      </c>
      <c r="I38" s="20">
        <f>C38/100*21.1</f>
        <v>13.292999999999999</v>
      </c>
      <c r="J38" s="22">
        <f>C38/100*165.6</f>
        <v>104.32799999999997</v>
      </c>
      <c r="K38" s="22">
        <f>C38/100*0.14</f>
        <v>8.8199999999999987E-2</v>
      </c>
      <c r="L38" s="110">
        <v>70</v>
      </c>
      <c r="M38" s="56">
        <v>275</v>
      </c>
      <c r="N38" s="23">
        <f t="shared" ref="N38:N39" si="3">L38*M38</f>
        <v>19250</v>
      </c>
      <c r="O38" s="126"/>
    </row>
    <row r="39" spans="1:20" s="2" customFormat="1" ht="18.600000000000001" customHeight="1">
      <c r="A39" s="9">
        <v>8</v>
      </c>
      <c r="B39" s="5" t="s">
        <v>118</v>
      </c>
      <c r="C39" s="18">
        <f>L39/100*100</f>
        <v>869.99999999999989</v>
      </c>
      <c r="D39" s="19">
        <f>C39/100*340</f>
        <v>2957.9999999999995</v>
      </c>
      <c r="E39" s="24"/>
      <c r="F39" s="24">
        <f>C39/100*0.7</f>
        <v>6.089999999999999</v>
      </c>
      <c r="G39" s="24"/>
      <c r="H39" s="24"/>
      <c r="I39" s="24">
        <f>C39/100*84.3</f>
        <v>733.41</v>
      </c>
      <c r="J39" s="52"/>
      <c r="K39" s="52"/>
      <c r="L39" s="331">
        <v>870</v>
      </c>
      <c r="M39" s="56">
        <v>180</v>
      </c>
      <c r="N39" s="102">
        <f t="shared" si="3"/>
        <v>156600</v>
      </c>
      <c r="O39" s="126"/>
      <c r="Q39" s="3"/>
      <c r="R39" s="3"/>
      <c r="S39" s="4"/>
      <c r="T39" s="3"/>
    </row>
    <row r="40" spans="1:20" s="2" customFormat="1" ht="18.600000000000001" customHeight="1">
      <c r="A40" s="9">
        <v>9</v>
      </c>
      <c r="B40" s="5" t="s">
        <v>83</v>
      </c>
      <c r="C40" s="18">
        <f>L40/100*81.7</f>
        <v>3562.1200000000003</v>
      </c>
      <c r="D40" s="19">
        <f>C40/100*27</f>
        <v>961.77240000000006</v>
      </c>
      <c r="E40" s="24"/>
      <c r="F40" s="24">
        <f>C40/100*0.3</f>
        <v>10.686360000000001</v>
      </c>
      <c r="G40" s="24"/>
      <c r="H40" s="24">
        <f>C40/100*0.1</f>
        <v>3.5621200000000002</v>
      </c>
      <c r="I40" s="24">
        <f>C40/100*6.1</f>
        <v>217.28932</v>
      </c>
      <c r="J40" s="52">
        <f>C40/100*24</f>
        <v>854.90880000000004</v>
      </c>
      <c r="K40" s="52">
        <f>C40/100*0.06</f>
        <v>2.1372719999999998</v>
      </c>
      <c r="L40" s="331">
        <v>4360</v>
      </c>
      <c r="M40" s="21">
        <v>22</v>
      </c>
      <c r="N40" s="23">
        <f t="shared" si="2"/>
        <v>95920</v>
      </c>
      <c r="O40" s="126"/>
      <c r="Q40" s="3"/>
      <c r="R40" s="3"/>
      <c r="S40" s="4"/>
    </row>
    <row r="41" spans="1:20" s="2" customFormat="1" ht="18.600000000000001" customHeight="1">
      <c r="A41" s="9">
        <v>10</v>
      </c>
      <c r="B41" s="10" t="s">
        <v>136</v>
      </c>
      <c r="C41" s="18">
        <f>L41/100*55</f>
        <v>1798.5000000000002</v>
      </c>
      <c r="D41" s="98">
        <f>C41/100*196</f>
        <v>3525.0600000000004</v>
      </c>
      <c r="E41" s="20"/>
      <c r="F41" s="109">
        <f>C41/100*4.1</f>
        <v>73.738500000000002</v>
      </c>
      <c r="G41" s="20"/>
      <c r="H41" s="20">
        <f>C41/100*2.3</f>
        <v>41.365500000000004</v>
      </c>
      <c r="I41" s="20">
        <f>C41/100*39.6</f>
        <v>712.20600000000013</v>
      </c>
      <c r="J41" s="22">
        <f>C41/100*4</f>
        <v>71.940000000000012</v>
      </c>
      <c r="K41" s="22">
        <f>C41/100*0.15</f>
        <v>2.6977500000000005</v>
      </c>
      <c r="L41" s="330">
        <v>3270</v>
      </c>
      <c r="M41" s="56">
        <v>22</v>
      </c>
      <c r="N41" s="23">
        <f t="shared" si="2"/>
        <v>71940</v>
      </c>
      <c r="O41" s="357"/>
      <c r="P41" s="114"/>
      <c r="Q41" s="114"/>
    </row>
    <row r="42" spans="1:20" s="2" customFormat="1" ht="18.600000000000001" customHeight="1">
      <c r="A42" s="9">
        <v>11</v>
      </c>
      <c r="B42" s="5" t="s">
        <v>62</v>
      </c>
      <c r="C42" s="18">
        <f>L42/100*48</f>
        <v>3979.2000000000003</v>
      </c>
      <c r="D42" s="19">
        <f>C42/100*199</f>
        <v>7918.6080000000002</v>
      </c>
      <c r="E42" s="20">
        <f>C42/100*20.3</f>
        <v>807.77760000000001</v>
      </c>
      <c r="F42" s="20"/>
      <c r="G42" s="20">
        <f>C42/100*13.1</f>
        <v>521.27520000000004</v>
      </c>
      <c r="H42" s="20"/>
      <c r="I42" s="20"/>
      <c r="J42" s="22">
        <f>C42/100*12</f>
        <v>477.50400000000002</v>
      </c>
      <c r="K42" s="22">
        <f>C42/100*0.15</f>
        <v>5.9687999999999999</v>
      </c>
      <c r="L42" s="21">
        <v>8290</v>
      </c>
      <c r="M42" s="110">
        <v>84</v>
      </c>
      <c r="N42" s="102">
        <f t="shared" si="2"/>
        <v>696360</v>
      </c>
      <c r="O42" s="126"/>
      <c r="Q42" s="3"/>
      <c r="R42" s="3"/>
      <c r="S42" s="4"/>
    </row>
    <row r="43" spans="1:20" s="2" customFormat="1" ht="18.600000000000001" customHeight="1">
      <c r="A43" s="9">
        <v>12</v>
      </c>
      <c r="B43" s="10" t="s">
        <v>57</v>
      </c>
      <c r="C43" s="18">
        <f>L43/100*40</f>
        <v>2192</v>
      </c>
      <c r="D43" s="19">
        <f>C43/100*276</f>
        <v>6049.92</v>
      </c>
      <c r="E43" s="20">
        <f>C43/100*17.8</f>
        <v>390.17600000000004</v>
      </c>
      <c r="F43" s="20"/>
      <c r="G43" s="20">
        <f>C43/100*21.8</f>
        <v>477.85600000000005</v>
      </c>
      <c r="H43" s="20"/>
      <c r="I43" s="20"/>
      <c r="J43" s="22">
        <f>C43/100*13</f>
        <v>284.96000000000004</v>
      </c>
      <c r="K43" s="22">
        <f>C43/100*0.07</f>
        <v>1.5344000000000002</v>
      </c>
      <c r="L43" s="110">
        <v>5480</v>
      </c>
      <c r="M43" s="56">
        <v>63</v>
      </c>
      <c r="N43" s="102">
        <f t="shared" si="2"/>
        <v>345240</v>
      </c>
      <c r="O43" s="126"/>
    </row>
    <row r="44" spans="1:20" s="2" customFormat="1" ht="18.600000000000001" customHeight="1">
      <c r="A44" s="81">
        <v>13</v>
      </c>
      <c r="B44" s="90" t="s">
        <v>137</v>
      </c>
      <c r="C44" s="82">
        <f>L44/100*85</f>
        <v>187.00000000000003</v>
      </c>
      <c r="D44" s="83">
        <f>C44/100*11</f>
        <v>20.570000000000004</v>
      </c>
      <c r="E44" s="84"/>
      <c r="F44" s="84">
        <f>C44/100*2.2</f>
        <v>4.1140000000000008</v>
      </c>
      <c r="G44" s="84"/>
      <c r="H44" s="84"/>
      <c r="I44" s="84">
        <f>C44/100*0.6</f>
        <v>1.1220000000000001</v>
      </c>
      <c r="J44" s="92"/>
      <c r="K44" s="92"/>
      <c r="L44" s="358">
        <v>220</v>
      </c>
      <c r="M44" s="118">
        <v>30</v>
      </c>
      <c r="N44" s="86">
        <f t="shared" si="2"/>
        <v>6600</v>
      </c>
      <c r="O44" s="126"/>
      <c r="Q44" s="3"/>
      <c r="R44" s="3"/>
    </row>
    <row r="45" spans="1:20" ht="22.8" customHeight="1">
      <c r="A45" s="159" t="s">
        <v>0</v>
      </c>
      <c r="B45" s="162" t="s">
        <v>19</v>
      </c>
      <c r="C45" s="165" t="s">
        <v>8</v>
      </c>
      <c r="D45" s="165" t="s">
        <v>9</v>
      </c>
      <c r="E45" s="170" t="s">
        <v>11</v>
      </c>
      <c r="F45" s="171"/>
      <c r="G45" s="170" t="s">
        <v>13</v>
      </c>
      <c r="H45" s="171"/>
      <c r="I45" s="174" t="s">
        <v>16</v>
      </c>
      <c r="J45" s="174" t="s">
        <v>39</v>
      </c>
      <c r="K45" s="174" t="s">
        <v>40</v>
      </c>
      <c r="L45" s="304" t="s">
        <v>17</v>
      </c>
      <c r="M45" s="174" t="s">
        <v>50</v>
      </c>
      <c r="N45" s="159" t="s">
        <v>18</v>
      </c>
      <c r="O45" s="329"/>
    </row>
    <row r="46" spans="1:20" ht="22.8" customHeight="1">
      <c r="A46" s="160"/>
      <c r="B46" s="163"/>
      <c r="C46" s="166"/>
      <c r="D46" s="166"/>
      <c r="E46" s="172"/>
      <c r="F46" s="173"/>
      <c r="G46" s="172"/>
      <c r="H46" s="173"/>
      <c r="I46" s="175"/>
      <c r="J46" s="175"/>
      <c r="K46" s="175"/>
      <c r="L46" s="305"/>
      <c r="M46" s="175"/>
      <c r="N46" s="160"/>
      <c r="O46" s="148"/>
    </row>
    <row r="47" spans="1:20" ht="22.8" customHeight="1">
      <c r="A47" s="160"/>
      <c r="B47" s="163"/>
      <c r="C47" s="166"/>
      <c r="D47" s="166"/>
      <c r="E47" s="174" t="s">
        <v>10</v>
      </c>
      <c r="F47" s="174" t="s">
        <v>12</v>
      </c>
      <c r="G47" s="174" t="s">
        <v>14</v>
      </c>
      <c r="H47" s="174" t="s">
        <v>15</v>
      </c>
      <c r="I47" s="175"/>
      <c r="J47" s="175"/>
      <c r="K47" s="175"/>
      <c r="L47" s="305"/>
      <c r="M47" s="175"/>
      <c r="N47" s="160"/>
      <c r="O47" s="148"/>
    </row>
    <row r="48" spans="1:20" ht="22.8" customHeight="1">
      <c r="A48" s="161"/>
      <c r="B48" s="164"/>
      <c r="C48" s="167"/>
      <c r="D48" s="167"/>
      <c r="E48" s="176"/>
      <c r="F48" s="176"/>
      <c r="G48" s="176"/>
      <c r="H48" s="176"/>
      <c r="I48" s="176"/>
      <c r="J48" s="176"/>
      <c r="K48" s="176"/>
      <c r="L48" s="306"/>
      <c r="M48" s="176"/>
      <c r="N48" s="161"/>
      <c r="O48" s="148"/>
    </row>
    <row r="49" spans="1:23" s="2" customFormat="1" ht="19.2" customHeight="1">
      <c r="A49" s="16" t="s">
        <v>94</v>
      </c>
      <c r="B49" s="17"/>
      <c r="C49" s="26"/>
      <c r="D49" s="99">
        <f>SUM(D33:D44)</f>
        <v>52954.920399999995</v>
      </c>
      <c r="E49" s="31"/>
      <c r="F49" s="31"/>
      <c r="G49" s="31"/>
      <c r="H49" s="31"/>
      <c r="I49" s="31"/>
      <c r="J49" s="31"/>
      <c r="K49" s="31"/>
      <c r="L49" s="32"/>
      <c r="M49" s="235"/>
      <c r="N49" s="309">
        <f>SUM(N30:N44)</f>
        <v>1635500</v>
      </c>
      <c r="O49" s="126"/>
    </row>
    <row r="50" spans="1:23" ht="19.2" customHeight="1">
      <c r="A50" s="16" t="s">
        <v>7</v>
      </c>
      <c r="B50" s="17"/>
      <c r="C50" s="33"/>
      <c r="D50" s="34">
        <f>D49/D10</f>
        <v>242.91247889908254</v>
      </c>
      <c r="E50" s="34"/>
      <c r="F50" s="34"/>
      <c r="G50" s="34"/>
      <c r="H50" s="34"/>
      <c r="I50" s="34"/>
      <c r="J50" s="34"/>
      <c r="K50" s="34"/>
      <c r="L50" s="35"/>
      <c r="M50" s="236"/>
      <c r="N50" s="310"/>
      <c r="O50" s="359"/>
      <c r="P50" s="2"/>
      <c r="Q50" s="2"/>
      <c r="R50" s="2"/>
      <c r="S50" s="2"/>
      <c r="T50" s="2"/>
      <c r="U50" s="2"/>
      <c r="V50" s="2"/>
    </row>
    <row r="51" spans="1:23" ht="19.2" customHeight="1">
      <c r="A51" s="210" t="s">
        <v>45</v>
      </c>
      <c r="B51" s="211"/>
      <c r="C51" s="333" t="s">
        <v>125</v>
      </c>
      <c r="D51" s="15" t="s">
        <v>51</v>
      </c>
      <c r="E51" s="34"/>
      <c r="F51" s="34"/>
      <c r="G51" s="34"/>
      <c r="H51" s="34"/>
      <c r="I51" s="34"/>
      <c r="J51" s="36"/>
      <c r="K51" s="36"/>
      <c r="L51" s="35"/>
      <c r="M51" s="35"/>
      <c r="N51" s="149"/>
      <c r="O51" s="4"/>
      <c r="P51" s="2"/>
      <c r="Q51" s="2"/>
      <c r="R51" s="2"/>
      <c r="S51" s="2"/>
      <c r="T51" s="2"/>
      <c r="U51" s="2"/>
      <c r="V51" s="2"/>
      <c r="W51" s="2"/>
    </row>
    <row r="52" spans="1:23" ht="19.2" customHeight="1">
      <c r="A52" s="212"/>
      <c r="B52" s="213"/>
      <c r="C52" s="57" t="s">
        <v>53</v>
      </c>
      <c r="D52" s="15">
        <f>D50*100/1320</f>
        <v>18.402460522657769</v>
      </c>
      <c r="E52" s="34"/>
      <c r="F52" s="34"/>
      <c r="G52" s="34"/>
      <c r="H52" s="34"/>
      <c r="I52" s="34"/>
      <c r="J52" s="36"/>
      <c r="K52" s="36"/>
      <c r="L52" s="35"/>
      <c r="M52" s="35"/>
      <c r="N52" s="149"/>
      <c r="O52" s="4"/>
      <c r="P52" s="2"/>
      <c r="Q52" s="2"/>
      <c r="R52" s="2"/>
      <c r="S52" s="2"/>
      <c r="T52" s="2"/>
      <c r="U52" s="2"/>
      <c r="V52" s="2"/>
      <c r="W52" s="2"/>
    </row>
    <row r="53" spans="1:23" ht="19.2" customHeight="1">
      <c r="A53" s="191" t="s">
        <v>95</v>
      </c>
      <c r="B53" s="192"/>
      <c r="C53" s="214"/>
      <c r="D53" s="216">
        <f>D27+D49</f>
        <v>151126.42739999999</v>
      </c>
      <c r="E53" s="101">
        <f t="shared" ref="E53:K53" si="4">SUM(E16:E44)</f>
        <v>3661.5515999999998</v>
      </c>
      <c r="F53" s="101">
        <f t="shared" si="4"/>
        <v>2456.56466</v>
      </c>
      <c r="G53" s="101">
        <f t="shared" si="4"/>
        <v>3010.8392000000003</v>
      </c>
      <c r="H53" s="101">
        <f t="shared" si="4"/>
        <v>1292.3056200000001</v>
      </c>
      <c r="I53" s="301">
        <f t="shared" si="4"/>
        <v>21296.420219999996</v>
      </c>
      <c r="J53" s="301">
        <f t="shared" si="4"/>
        <v>67030.916800000006</v>
      </c>
      <c r="K53" s="242">
        <f t="shared" si="4"/>
        <v>122.98102200000001</v>
      </c>
      <c r="L53" s="227"/>
      <c r="M53" s="227"/>
      <c r="N53" s="303">
        <f>N27+N49</f>
        <v>4795780</v>
      </c>
      <c r="U53" s="12"/>
      <c r="V53" s="12"/>
    </row>
    <row r="54" spans="1:23" ht="19.2" customHeight="1">
      <c r="A54" s="193"/>
      <c r="B54" s="194"/>
      <c r="C54" s="215"/>
      <c r="D54" s="217"/>
      <c r="E54" s="187">
        <f>E53+F53</f>
        <v>6118.1162599999998</v>
      </c>
      <c r="F54" s="188"/>
      <c r="G54" s="187">
        <f>G53+H53</f>
        <v>4303.1448200000004</v>
      </c>
      <c r="H54" s="188"/>
      <c r="I54" s="302"/>
      <c r="J54" s="302"/>
      <c r="K54" s="243"/>
      <c r="L54" s="227"/>
      <c r="M54" s="227"/>
      <c r="N54" s="303"/>
      <c r="P54" s="350"/>
      <c r="Q54" s="351"/>
      <c r="R54" s="351"/>
      <c r="S54" s="351"/>
      <c r="T54" s="351"/>
      <c r="U54" s="352"/>
      <c r="V54" s="352"/>
    </row>
    <row r="55" spans="1:23" ht="20.399999999999999" customHeight="1">
      <c r="A55" s="260" t="s">
        <v>68</v>
      </c>
      <c r="B55" s="261"/>
      <c r="C55" s="262"/>
      <c r="D55" s="115">
        <f>D53/D10</f>
        <v>693.24049266055044</v>
      </c>
      <c r="E55" s="335">
        <f>E53/D10</f>
        <v>16.796108256880732</v>
      </c>
      <c r="F55" s="336">
        <f>F53/D10</f>
        <v>11.268645229357798</v>
      </c>
      <c r="G55" s="335">
        <f>G53/D10</f>
        <v>13.81118899082569</v>
      </c>
      <c r="H55" s="360">
        <f>H53/D10</f>
        <v>5.9280074311926612</v>
      </c>
      <c r="I55" s="307">
        <f>I53/D10</f>
        <v>97.690001009174296</v>
      </c>
      <c r="J55" s="307">
        <f>J53/D10</f>
        <v>307.4812697247707</v>
      </c>
      <c r="K55" s="244">
        <f>K53/D10</f>
        <v>0.564133128440367</v>
      </c>
      <c r="L55" s="227"/>
      <c r="M55" s="227"/>
      <c r="N55" s="303"/>
      <c r="P55" s="353"/>
      <c r="Q55" s="351"/>
      <c r="R55" s="351"/>
      <c r="S55" s="351"/>
      <c r="T55" s="351"/>
      <c r="U55" s="351"/>
      <c r="V55" s="351"/>
    </row>
    <row r="56" spans="1:23" ht="20.399999999999999" customHeight="1">
      <c r="A56" s="263"/>
      <c r="B56" s="264"/>
      <c r="C56" s="265"/>
      <c r="D56" s="103"/>
      <c r="E56" s="337">
        <f>E55+F55</f>
        <v>28.06475348623853</v>
      </c>
      <c r="F56" s="338"/>
      <c r="G56" s="337">
        <f>G55+H55</f>
        <v>19.739196422018352</v>
      </c>
      <c r="H56" s="338"/>
      <c r="I56" s="308"/>
      <c r="J56" s="308"/>
      <c r="K56" s="245"/>
      <c r="L56" s="227"/>
      <c r="M56" s="227"/>
      <c r="N56" s="303"/>
      <c r="P56" s="350"/>
      <c r="Q56" s="350"/>
      <c r="R56" s="350"/>
      <c r="S56" s="350"/>
      <c r="T56" s="350"/>
      <c r="U56" s="350"/>
      <c r="V56" s="350"/>
    </row>
    <row r="57" spans="1:23" ht="20.399999999999999" customHeight="1">
      <c r="A57" s="207" t="s">
        <v>71</v>
      </c>
      <c r="B57" s="208"/>
      <c r="C57" s="209"/>
      <c r="D57" s="153" t="s">
        <v>27</v>
      </c>
      <c r="E57" s="158" t="s">
        <v>21</v>
      </c>
      <c r="F57" s="158"/>
      <c r="G57" s="158" t="s">
        <v>22</v>
      </c>
      <c r="H57" s="158"/>
      <c r="I57" s="150" t="s">
        <v>23</v>
      </c>
      <c r="J57" s="339">
        <v>600</v>
      </c>
      <c r="K57" s="339">
        <v>0.7</v>
      </c>
      <c r="L57" s="227"/>
      <c r="M57" s="227"/>
      <c r="N57" s="303"/>
      <c r="O57" s="340"/>
      <c r="P57" s="350"/>
      <c r="Q57" s="350"/>
      <c r="R57" s="350"/>
      <c r="S57" s="350"/>
      <c r="T57" s="350"/>
      <c r="U57" s="350"/>
      <c r="V57" s="350"/>
    </row>
    <row r="58" spans="1:23" ht="20.399999999999999" customHeight="1">
      <c r="A58" s="180" t="s">
        <v>69</v>
      </c>
      <c r="B58" s="246"/>
      <c r="C58" s="181"/>
      <c r="D58" s="37"/>
      <c r="E58" s="185">
        <f>E56*4.1</f>
        <v>115.06548929357797</v>
      </c>
      <c r="F58" s="186"/>
      <c r="G58" s="185">
        <f>G56*9</f>
        <v>177.65276779816517</v>
      </c>
      <c r="H58" s="186"/>
      <c r="I58" s="100">
        <f>I55*4.1</f>
        <v>400.52900413761455</v>
      </c>
      <c r="J58" s="218"/>
      <c r="K58" s="218"/>
      <c r="L58" s="227"/>
      <c r="M58" s="227"/>
      <c r="N58" s="303"/>
      <c r="O58" s="340"/>
      <c r="P58" s="355"/>
      <c r="Q58" s="356"/>
      <c r="R58" s="356"/>
      <c r="S58" s="356"/>
      <c r="T58" s="350"/>
      <c r="U58" s="350"/>
      <c r="V58" s="350"/>
    </row>
    <row r="59" spans="1:23" ht="20.399999999999999" customHeight="1">
      <c r="A59" s="221" t="s">
        <v>72</v>
      </c>
      <c r="B59" s="222"/>
      <c r="C59" s="180" t="s">
        <v>52</v>
      </c>
      <c r="D59" s="181"/>
      <c r="E59" s="225">
        <f>E58*100/D55</f>
        <v>16.598206612538501</v>
      </c>
      <c r="F59" s="226"/>
      <c r="G59" s="225">
        <f>G58*100/D55</f>
        <v>25.626426857490852</v>
      </c>
      <c r="H59" s="226"/>
      <c r="I59" s="93">
        <f>I58*100/D55</f>
        <v>57.776342896596503</v>
      </c>
      <c r="J59" s="219"/>
      <c r="K59" s="219"/>
      <c r="L59" s="227"/>
      <c r="M59" s="227"/>
      <c r="N59" s="303"/>
      <c r="O59" s="340"/>
      <c r="P59" s="350"/>
      <c r="Q59" s="350"/>
      <c r="R59" s="350"/>
      <c r="S59" s="350"/>
      <c r="T59" s="350"/>
      <c r="U59" s="350"/>
      <c r="V59" s="350"/>
    </row>
    <row r="60" spans="1:23" ht="20.399999999999999" customHeight="1">
      <c r="A60" s="223"/>
      <c r="B60" s="224"/>
      <c r="C60" s="180" t="s">
        <v>70</v>
      </c>
      <c r="D60" s="181"/>
      <c r="E60" s="180" t="s">
        <v>73</v>
      </c>
      <c r="F60" s="181"/>
      <c r="G60" s="180" t="s">
        <v>74</v>
      </c>
      <c r="H60" s="181"/>
      <c r="I60" s="153" t="s">
        <v>75</v>
      </c>
      <c r="J60" s="220"/>
      <c r="K60" s="220"/>
      <c r="L60" s="227"/>
      <c r="M60" s="227"/>
      <c r="N60" s="303"/>
      <c r="O60" s="340"/>
      <c r="P60" s="341"/>
    </row>
    <row r="61" spans="1:23" ht="20.399999999999999" customHeight="1">
      <c r="A61" s="69"/>
      <c r="B61" s="69"/>
      <c r="C61" s="69"/>
      <c r="D61" s="69"/>
      <c r="E61" s="69"/>
      <c r="F61" s="69"/>
      <c r="G61" s="69"/>
      <c r="H61" s="69"/>
      <c r="I61" s="69"/>
      <c r="J61" s="69"/>
      <c r="K61" s="69"/>
      <c r="L61" s="73"/>
      <c r="M61" s="73"/>
      <c r="N61" s="74"/>
      <c r="O61" s="340"/>
    </row>
    <row r="62" spans="1:23" ht="21" customHeight="1">
      <c r="A62" s="228" t="s">
        <v>98</v>
      </c>
      <c r="B62" s="228"/>
      <c r="C62" s="228"/>
      <c r="D62" s="228"/>
      <c r="E62" s="228"/>
      <c r="F62" s="228"/>
      <c r="G62" s="228"/>
      <c r="H62" s="228"/>
      <c r="I62" s="228"/>
      <c r="J62" s="228"/>
      <c r="K62" s="228"/>
      <c r="L62" s="228"/>
      <c r="M62" s="228"/>
      <c r="N62" s="228"/>
      <c r="O62" s="340"/>
    </row>
    <row r="63" spans="1:23" ht="21" customHeight="1">
      <c r="A63" s="95" t="s">
        <v>99</v>
      </c>
      <c r="B63" s="229" t="s">
        <v>100</v>
      </c>
      <c r="C63" s="229"/>
      <c r="D63" s="229"/>
      <c r="E63" s="229"/>
      <c r="F63" s="229"/>
      <c r="G63" s="229"/>
      <c r="H63" s="229"/>
      <c r="I63" s="229"/>
      <c r="J63" s="229"/>
      <c r="K63" s="229"/>
      <c r="L63" s="229"/>
      <c r="M63" s="229"/>
      <c r="N63" s="229"/>
      <c r="O63" s="340"/>
    </row>
    <row r="64" spans="1:23" ht="21" customHeight="1">
      <c r="A64" s="96"/>
      <c r="B64" s="199" t="s">
        <v>174</v>
      </c>
      <c r="C64" s="199"/>
      <c r="D64" s="199"/>
      <c r="E64" s="199"/>
      <c r="F64" s="199"/>
      <c r="G64" s="199"/>
      <c r="H64" s="199"/>
      <c r="I64" s="199"/>
      <c r="J64" s="199"/>
      <c r="K64" s="199"/>
      <c r="L64" s="199"/>
      <c r="M64" s="199"/>
      <c r="N64" s="199"/>
      <c r="O64" s="340"/>
    </row>
    <row r="65" spans="1:15" ht="21" customHeight="1">
      <c r="A65" s="96"/>
      <c r="B65" s="199" t="s">
        <v>175</v>
      </c>
      <c r="C65" s="199"/>
      <c r="D65" s="199"/>
      <c r="E65" s="199"/>
      <c r="F65" s="199"/>
      <c r="G65" s="199"/>
      <c r="H65" s="199"/>
      <c r="I65" s="199"/>
      <c r="J65" s="199"/>
      <c r="K65" s="199"/>
      <c r="L65" s="199"/>
      <c r="M65" s="199"/>
      <c r="N65" s="199"/>
      <c r="O65" s="340"/>
    </row>
    <row r="66" spans="1:15" ht="21" customHeight="1">
      <c r="A66" s="96"/>
      <c r="B66" s="199" t="s">
        <v>145</v>
      </c>
      <c r="C66" s="199"/>
      <c r="D66" s="199"/>
      <c r="E66" s="199"/>
      <c r="F66" s="199"/>
      <c r="G66" s="199"/>
      <c r="H66" s="199"/>
      <c r="I66" s="199"/>
      <c r="J66" s="199"/>
      <c r="K66" s="199"/>
      <c r="L66" s="199"/>
      <c r="M66" s="199"/>
      <c r="N66" s="199"/>
      <c r="O66" s="340"/>
    </row>
    <row r="67" spans="1:15" ht="21" customHeight="1">
      <c r="A67" s="69"/>
      <c r="B67" s="200" t="s">
        <v>101</v>
      </c>
      <c r="C67" s="200"/>
      <c r="D67" s="200"/>
      <c r="E67" s="200"/>
      <c r="F67" s="200"/>
      <c r="G67" s="200"/>
      <c r="H67" s="200"/>
      <c r="I67" s="200"/>
      <c r="J67" s="200"/>
      <c r="K67" s="200"/>
      <c r="L67" s="200"/>
      <c r="M67" s="200"/>
      <c r="N67" s="200"/>
      <c r="O67" s="340"/>
    </row>
    <row r="68" spans="1:15" ht="21" customHeight="1">
      <c r="A68" s="69"/>
      <c r="B68" s="69"/>
      <c r="C68" s="69"/>
      <c r="D68" s="69"/>
      <c r="E68" s="69"/>
      <c r="F68" s="69"/>
      <c r="G68" s="69"/>
      <c r="H68" s="69"/>
      <c r="I68" s="69"/>
      <c r="J68" s="69"/>
      <c r="K68" s="69"/>
      <c r="L68" s="73"/>
      <c r="M68" s="73"/>
      <c r="N68" s="74"/>
      <c r="O68" s="340"/>
    </row>
    <row r="69" spans="1:15" ht="21" customHeight="1">
      <c r="A69" s="198" t="s">
        <v>55</v>
      </c>
      <c r="B69" s="198"/>
      <c r="C69" s="198"/>
      <c r="D69" s="198"/>
      <c r="E69" s="342"/>
      <c r="F69" s="342"/>
      <c r="G69" s="342"/>
      <c r="H69" s="342"/>
      <c r="I69" s="342"/>
      <c r="J69" s="343" t="s">
        <v>32</v>
      </c>
      <c r="K69" s="343"/>
      <c r="L69" s="343"/>
      <c r="M69" s="343"/>
      <c r="N69" s="343"/>
      <c r="O69" s="340"/>
    </row>
    <row r="70" spans="1:15" ht="21" customHeight="1">
      <c r="A70" s="148"/>
      <c r="B70" s="148"/>
      <c r="C70" s="148"/>
      <c r="D70" s="342"/>
      <c r="E70" s="342"/>
      <c r="F70" s="342"/>
      <c r="G70" s="342"/>
      <c r="H70" s="344"/>
      <c r="I70" s="344"/>
      <c r="J70" s="344"/>
      <c r="K70" s="344"/>
      <c r="L70" s="344"/>
      <c r="M70" s="344"/>
      <c r="N70" s="344"/>
      <c r="O70" s="340"/>
    </row>
    <row r="71" spans="1:15" ht="21" customHeight="1">
      <c r="A71" s="148"/>
      <c r="B71" s="148"/>
      <c r="C71" s="148"/>
      <c r="D71" s="342"/>
      <c r="E71" s="342"/>
      <c r="F71" s="342"/>
      <c r="G71" s="342"/>
      <c r="H71" s="344"/>
      <c r="I71" s="344"/>
      <c r="J71" s="344"/>
      <c r="K71" s="344"/>
      <c r="L71" s="344"/>
      <c r="M71" s="344"/>
      <c r="N71" s="344"/>
      <c r="O71" s="340"/>
    </row>
    <row r="72" spans="1:15" ht="21" customHeight="1">
      <c r="A72" s="148"/>
      <c r="B72" s="148"/>
      <c r="C72" s="148"/>
      <c r="D72" s="342"/>
      <c r="E72" s="342"/>
      <c r="F72" s="342"/>
      <c r="G72" s="342"/>
      <c r="H72" s="344"/>
      <c r="I72" s="344"/>
      <c r="J72" s="345" t="s">
        <v>108</v>
      </c>
      <c r="K72" s="345"/>
      <c r="L72" s="345"/>
      <c r="M72" s="345"/>
      <c r="N72" s="345"/>
      <c r="O72" s="340"/>
    </row>
    <row r="73" spans="1:15" ht="21" customHeight="1">
      <c r="A73" s="182" t="s">
        <v>81</v>
      </c>
      <c r="B73" s="182"/>
      <c r="C73" s="182"/>
      <c r="D73" s="182"/>
      <c r="E73" s="342"/>
      <c r="F73" s="342"/>
      <c r="G73" s="342"/>
      <c r="H73" s="344"/>
      <c r="I73" s="344"/>
      <c r="J73" s="345"/>
      <c r="K73" s="345"/>
      <c r="L73" s="345"/>
      <c r="M73" s="345"/>
      <c r="N73" s="345"/>
      <c r="O73" s="340"/>
    </row>
    <row r="74" spans="1:15" ht="20.399999999999999" customHeight="1">
      <c r="A74" s="148"/>
      <c r="B74" s="148"/>
      <c r="C74" s="148"/>
      <c r="D74" s="342"/>
      <c r="E74" s="342"/>
      <c r="F74" s="342"/>
      <c r="G74" s="342"/>
      <c r="H74" s="344"/>
      <c r="I74" s="344"/>
      <c r="J74" s="344"/>
      <c r="K74" s="344"/>
      <c r="L74" s="344"/>
      <c r="M74" s="344"/>
      <c r="N74" s="344"/>
      <c r="O74" s="340"/>
    </row>
    <row r="75" spans="1:15" ht="20.399999999999999" customHeight="1">
      <c r="A75" s="148"/>
      <c r="B75" s="148"/>
      <c r="C75" s="148"/>
      <c r="D75" s="342"/>
      <c r="E75" s="342"/>
      <c r="F75" s="342"/>
      <c r="G75" s="342"/>
      <c r="H75" s="344"/>
      <c r="I75" s="344"/>
      <c r="J75" s="345" t="s">
        <v>111</v>
      </c>
      <c r="K75" s="345"/>
      <c r="L75" s="345"/>
      <c r="M75" s="345"/>
      <c r="N75" s="345"/>
      <c r="O75" s="340"/>
    </row>
    <row r="76" spans="1:15" ht="20.399999999999999" customHeight="1">
      <c r="A76" s="148"/>
      <c r="B76" s="148"/>
      <c r="C76" s="148"/>
      <c r="D76" s="342"/>
      <c r="E76" s="342"/>
      <c r="F76" s="342"/>
      <c r="G76" s="342"/>
      <c r="H76" s="344"/>
      <c r="I76" s="344"/>
      <c r="J76" s="344"/>
      <c r="K76" s="344"/>
      <c r="L76" s="344"/>
      <c r="M76" s="344"/>
      <c r="N76" s="344"/>
      <c r="O76" s="340"/>
    </row>
    <row r="77" spans="1:15" ht="20.399999999999999" customHeight="1">
      <c r="A77" s="148"/>
      <c r="B77" s="148"/>
      <c r="C77" s="148"/>
      <c r="D77" s="342"/>
      <c r="E77" s="342"/>
      <c r="F77" s="342"/>
      <c r="G77" s="342"/>
      <c r="H77" s="344"/>
      <c r="I77" s="344"/>
      <c r="J77" s="344"/>
      <c r="K77" s="344"/>
      <c r="L77" s="344"/>
      <c r="M77" s="344"/>
      <c r="N77" s="344"/>
      <c r="O77" s="340"/>
    </row>
    <row r="78" spans="1:15" ht="20.399999999999999" customHeight="1">
      <c r="A78" s="148"/>
      <c r="B78" s="148"/>
      <c r="C78" s="148"/>
      <c r="D78" s="342"/>
      <c r="E78" s="342"/>
      <c r="F78" s="342"/>
      <c r="G78" s="342"/>
      <c r="H78" s="344"/>
      <c r="I78" s="344"/>
      <c r="J78" s="344"/>
      <c r="K78" s="344"/>
      <c r="L78" s="344"/>
      <c r="M78" s="344"/>
      <c r="N78" s="344"/>
      <c r="O78" s="340"/>
    </row>
    <row r="79" spans="1:15" ht="20.399999999999999" customHeight="1">
      <c r="A79" s="148"/>
      <c r="B79" s="148"/>
      <c r="C79" s="148"/>
      <c r="D79" s="342"/>
      <c r="E79" s="342"/>
      <c r="F79" s="342"/>
      <c r="G79" s="342"/>
      <c r="H79" s="344"/>
      <c r="I79" s="344"/>
      <c r="J79" s="344"/>
      <c r="K79" s="344"/>
      <c r="L79" s="344"/>
      <c r="M79" s="344"/>
      <c r="N79" s="344"/>
      <c r="O79" s="340"/>
    </row>
    <row r="80" spans="1:15" ht="20.399999999999999" customHeight="1">
      <c r="A80" s="148"/>
      <c r="B80" s="148"/>
      <c r="C80" s="148"/>
      <c r="D80" s="342"/>
      <c r="E80" s="342"/>
      <c r="F80" s="342"/>
      <c r="G80" s="342"/>
      <c r="H80" s="344"/>
      <c r="I80" s="344"/>
      <c r="J80" s="344"/>
      <c r="K80" s="344"/>
      <c r="L80" s="344"/>
      <c r="M80" s="344"/>
      <c r="N80" s="344"/>
      <c r="O80" s="340"/>
    </row>
    <row r="81" spans="1:20" ht="20.399999999999999" customHeight="1">
      <c r="A81" s="148"/>
      <c r="B81" s="148"/>
      <c r="C81" s="148"/>
      <c r="D81" s="342"/>
      <c r="E81" s="342"/>
      <c r="F81" s="342"/>
      <c r="G81" s="342"/>
      <c r="H81" s="344"/>
      <c r="I81" s="344"/>
      <c r="J81" s="344"/>
      <c r="K81" s="344"/>
      <c r="L81" s="344"/>
      <c r="M81" s="344"/>
      <c r="N81" s="344"/>
      <c r="O81" s="340"/>
    </row>
    <row r="82" spans="1:20" ht="20.399999999999999" customHeight="1">
      <c r="A82" s="148"/>
      <c r="B82" s="148"/>
      <c r="C82" s="148"/>
      <c r="D82" s="342"/>
      <c r="E82" s="342"/>
      <c r="F82" s="342"/>
      <c r="G82" s="342"/>
      <c r="H82" s="344"/>
      <c r="I82" s="344"/>
      <c r="J82" s="344"/>
      <c r="K82" s="344"/>
      <c r="L82" s="344"/>
      <c r="M82" s="344"/>
      <c r="N82" s="344"/>
      <c r="O82" s="340"/>
    </row>
    <row r="83" spans="1:20" ht="20.399999999999999" customHeight="1">
      <c r="A83" s="148"/>
      <c r="B83" s="148"/>
      <c r="C83" s="148"/>
      <c r="D83" s="342"/>
      <c r="E83" s="342"/>
      <c r="F83" s="342"/>
      <c r="G83" s="342"/>
      <c r="H83" s="344"/>
      <c r="I83" s="344"/>
      <c r="J83" s="344"/>
      <c r="K83" s="344"/>
      <c r="L83" s="344"/>
      <c r="M83" s="344"/>
      <c r="N83" s="344"/>
      <c r="O83" s="340"/>
    </row>
    <row r="84" spans="1:20" ht="20.399999999999999" customHeight="1">
      <c r="A84" s="148"/>
      <c r="B84" s="148"/>
      <c r="C84" s="148"/>
      <c r="D84" s="342"/>
      <c r="E84" s="342"/>
      <c r="F84" s="342"/>
      <c r="G84" s="342"/>
      <c r="H84" s="344"/>
      <c r="I84" s="344"/>
      <c r="J84" s="344"/>
      <c r="K84" s="344"/>
      <c r="L84" s="344"/>
      <c r="M84" s="344"/>
      <c r="N84" s="344"/>
      <c r="O84" s="340"/>
    </row>
    <row r="85" spans="1:20" ht="19.8" customHeight="1">
      <c r="A85" s="11" t="s">
        <v>54</v>
      </c>
      <c r="B85" s="8"/>
      <c r="C85" s="8"/>
      <c r="D85" s="8"/>
      <c r="E85" s="8"/>
      <c r="F85" s="232" t="s">
        <v>31</v>
      </c>
      <c r="G85" s="232"/>
      <c r="H85" s="232"/>
      <c r="I85" s="232"/>
      <c r="J85" s="232"/>
      <c r="K85" s="232"/>
      <c r="L85" s="232"/>
      <c r="M85" s="232"/>
      <c r="N85" s="232"/>
      <c r="O85" s="327"/>
      <c r="P85" s="327"/>
      <c r="T85" s="2"/>
    </row>
    <row r="86" spans="1:20" ht="12" customHeight="1">
      <c r="A86" s="11"/>
      <c r="B86" s="8"/>
      <c r="C86" s="8"/>
      <c r="D86" s="8"/>
      <c r="E86" s="8"/>
      <c r="F86" s="152"/>
      <c r="G86" s="152"/>
      <c r="H86" s="152"/>
      <c r="I86" s="152"/>
      <c r="J86" s="152"/>
      <c r="K86" s="152"/>
      <c r="L86" s="152"/>
      <c r="M86" s="152"/>
      <c r="N86" s="152"/>
      <c r="O86" s="327"/>
      <c r="P86" s="327"/>
      <c r="T86" s="2"/>
    </row>
    <row r="87" spans="1:20" ht="19.8" customHeight="1">
      <c r="A87" s="8" t="s">
        <v>173</v>
      </c>
      <c r="B87" s="8"/>
      <c r="C87" s="8"/>
      <c r="D87" s="8"/>
      <c r="E87" s="8"/>
      <c r="F87" s="152"/>
      <c r="G87" s="152"/>
      <c r="H87" s="152"/>
      <c r="I87" s="152"/>
      <c r="J87" s="152"/>
      <c r="K87" s="152"/>
      <c r="L87" s="152"/>
      <c r="M87" s="152"/>
      <c r="N87" s="152"/>
      <c r="O87" s="327"/>
      <c r="P87" s="327"/>
      <c r="T87" s="2"/>
    </row>
    <row r="88" spans="1:20" ht="12.6" customHeight="1">
      <c r="A88" s="8"/>
      <c r="B88" s="8"/>
      <c r="C88" s="8"/>
      <c r="D88" s="8"/>
      <c r="E88" s="8"/>
      <c r="F88" s="152"/>
      <c r="G88" s="152"/>
      <c r="H88" s="152"/>
      <c r="I88" s="152"/>
      <c r="J88" s="152"/>
      <c r="K88" s="152"/>
      <c r="L88" s="152"/>
      <c r="M88" s="152"/>
      <c r="N88" s="152"/>
      <c r="O88" s="327"/>
      <c r="P88" s="327"/>
      <c r="T88" s="2"/>
    </row>
    <row r="89" spans="1:20" s="2" customFormat="1" ht="16.2" customHeight="1">
      <c r="A89" s="158" t="s">
        <v>86</v>
      </c>
      <c r="B89" s="158"/>
      <c r="C89" s="158"/>
      <c r="D89" s="158"/>
      <c r="E89" s="158" t="s">
        <v>79</v>
      </c>
      <c r="F89" s="158"/>
      <c r="G89" s="158"/>
      <c r="H89" s="158"/>
      <c r="I89" s="158"/>
      <c r="J89" s="158"/>
      <c r="K89" s="158"/>
      <c r="L89" s="158"/>
      <c r="M89" s="158"/>
      <c r="N89" s="158"/>
      <c r="O89" s="328"/>
    </row>
    <row r="90" spans="1:20" s="2" customFormat="1" ht="16.2" customHeight="1">
      <c r="A90" s="158"/>
      <c r="B90" s="158"/>
      <c r="C90" s="158"/>
      <c r="D90" s="158"/>
      <c r="E90" s="158" t="s">
        <v>88</v>
      </c>
      <c r="F90" s="158"/>
      <c r="G90" s="158"/>
      <c r="H90" s="158"/>
      <c r="I90" s="158"/>
      <c r="J90" s="158" t="s">
        <v>89</v>
      </c>
      <c r="K90" s="158"/>
      <c r="L90" s="158"/>
      <c r="M90" s="158"/>
      <c r="N90" s="158"/>
      <c r="O90" s="328"/>
    </row>
    <row r="91" spans="1:20" s="2" customFormat="1" ht="16.2" customHeight="1">
      <c r="A91" s="230" t="s">
        <v>80</v>
      </c>
      <c r="B91" s="230"/>
      <c r="C91" s="230"/>
      <c r="D91" s="230"/>
      <c r="E91" s="231" t="s">
        <v>135</v>
      </c>
      <c r="F91" s="231"/>
      <c r="G91" s="231"/>
      <c r="H91" s="231"/>
      <c r="I91" s="231"/>
      <c r="J91" s="278" t="s">
        <v>80</v>
      </c>
      <c r="K91" s="279"/>
      <c r="L91" s="279"/>
      <c r="M91" s="279"/>
      <c r="N91" s="280"/>
      <c r="O91" s="328"/>
    </row>
    <row r="92" spans="1:20" s="2" customFormat="1" ht="16.2" customHeight="1">
      <c r="A92" s="297" t="s">
        <v>134</v>
      </c>
      <c r="B92" s="298"/>
      <c r="C92" s="298"/>
      <c r="D92" s="299"/>
      <c r="E92" s="231"/>
      <c r="F92" s="231"/>
      <c r="G92" s="231"/>
      <c r="H92" s="231"/>
      <c r="I92" s="231"/>
      <c r="J92" s="281" t="s">
        <v>114</v>
      </c>
      <c r="K92" s="282"/>
      <c r="L92" s="282"/>
      <c r="M92" s="282"/>
      <c r="N92" s="283"/>
      <c r="O92" s="328"/>
    </row>
    <row r="93" spans="1:20" s="2" customFormat="1" ht="16.2" customHeight="1">
      <c r="A93" s="300" t="s">
        <v>156</v>
      </c>
      <c r="B93" s="300"/>
      <c r="C93" s="300"/>
      <c r="D93" s="300"/>
      <c r="E93" s="231"/>
      <c r="F93" s="231"/>
      <c r="G93" s="231"/>
      <c r="H93" s="231"/>
      <c r="I93" s="231"/>
      <c r="J93" s="284" t="s">
        <v>115</v>
      </c>
      <c r="K93" s="285"/>
      <c r="L93" s="285"/>
      <c r="M93" s="285"/>
      <c r="N93" s="286"/>
      <c r="O93" s="328"/>
    </row>
    <row r="94" spans="1:20" s="2" customFormat="1" ht="16.2" customHeight="1">
      <c r="A94" s="195" t="s">
        <v>106</v>
      </c>
      <c r="B94" s="196"/>
      <c r="C94" s="197"/>
      <c r="D94" s="104">
        <v>61</v>
      </c>
      <c r="E94" s="68"/>
      <c r="F94" s="68"/>
      <c r="G94" s="68"/>
      <c r="H94" s="68"/>
      <c r="I94" s="68"/>
      <c r="J94" s="68"/>
      <c r="K94" s="68"/>
      <c r="L94" s="68"/>
      <c r="M94" s="68"/>
      <c r="N94" s="68"/>
      <c r="O94" s="328"/>
    </row>
    <row r="95" spans="1:20" ht="19.8" customHeight="1">
      <c r="A95" s="159" t="s">
        <v>0</v>
      </c>
      <c r="B95" s="162" t="s">
        <v>19</v>
      </c>
      <c r="C95" s="165" t="s">
        <v>8</v>
      </c>
      <c r="D95" s="165" t="s">
        <v>9</v>
      </c>
      <c r="E95" s="170" t="s">
        <v>11</v>
      </c>
      <c r="F95" s="171"/>
      <c r="G95" s="170" t="s">
        <v>13</v>
      </c>
      <c r="H95" s="171"/>
      <c r="I95" s="174" t="s">
        <v>16</v>
      </c>
      <c r="J95" s="174" t="s">
        <v>39</v>
      </c>
      <c r="K95" s="174" t="s">
        <v>40</v>
      </c>
      <c r="L95" s="304" t="s">
        <v>17</v>
      </c>
      <c r="M95" s="174" t="s">
        <v>50</v>
      </c>
      <c r="N95" s="159" t="s">
        <v>18</v>
      </c>
      <c r="O95" s="329"/>
    </row>
    <row r="96" spans="1:20" ht="19.8" customHeight="1">
      <c r="A96" s="160"/>
      <c r="B96" s="163"/>
      <c r="C96" s="166"/>
      <c r="D96" s="166"/>
      <c r="E96" s="172"/>
      <c r="F96" s="173"/>
      <c r="G96" s="172"/>
      <c r="H96" s="173"/>
      <c r="I96" s="175"/>
      <c r="J96" s="175"/>
      <c r="K96" s="175"/>
      <c r="L96" s="305"/>
      <c r="M96" s="175"/>
      <c r="N96" s="160"/>
      <c r="O96" s="148"/>
    </row>
    <row r="97" spans="1:22" ht="19.8" customHeight="1">
      <c r="A97" s="160"/>
      <c r="B97" s="163"/>
      <c r="C97" s="166"/>
      <c r="D97" s="166"/>
      <c r="E97" s="174" t="s">
        <v>10</v>
      </c>
      <c r="F97" s="174" t="s">
        <v>12</v>
      </c>
      <c r="G97" s="174" t="s">
        <v>14</v>
      </c>
      <c r="H97" s="174" t="s">
        <v>15</v>
      </c>
      <c r="I97" s="175"/>
      <c r="J97" s="175"/>
      <c r="K97" s="175"/>
      <c r="L97" s="305"/>
      <c r="M97" s="175"/>
      <c r="N97" s="160"/>
      <c r="O97" s="148"/>
    </row>
    <row r="98" spans="1:22" ht="19.8" customHeight="1">
      <c r="A98" s="161"/>
      <c r="B98" s="164"/>
      <c r="C98" s="167"/>
      <c r="D98" s="167"/>
      <c r="E98" s="176"/>
      <c r="F98" s="176"/>
      <c r="G98" s="176"/>
      <c r="H98" s="176"/>
      <c r="I98" s="176"/>
      <c r="J98" s="176"/>
      <c r="K98" s="176"/>
      <c r="L98" s="306"/>
      <c r="M98" s="176"/>
      <c r="N98" s="161"/>
      <c r="O98" s="148"/>
    </row>
    <row r="99" spans="1:22" ht="16.2" customHeight="1">
      <c r="A99" s="237" t="s">
        <v>38</v>
      </c>
      <c r="B99" s="238"/>
      <c r="C99" s="238"/>
      <c r="D99" s="238"/>
      <c r="E99" s="238"/>
      <c r="F99" s="238"/>
      <c r="G99" s="238"/>
      <c r="H99" s="238"/>
      <c r="I99" s="238"/>
      <c r="J99" s="238"/>
      <c r="K99" s="238"/>
      <c r="L99" s="238"/>
      <c r="M99" s="238"/>
      <c r="N99" s="239"/>
      <c r="O99" s="148"/>
    </row>
    <row r="100" spans="1:22" s="2" customFormat="1" ht="16.2" customHeight="1">
      <c r="A100" s="9">
        <v>1</v>
      </c>
      <c r="B100" s="10" t="s">
        <v>2</v>
      </c>
      <c r="C100" s="18">
        <f>L100/100*100</f>
        <v>80</v>
      </c>
      <c r="D100" s="19">
        <f>C100/100*60</f>
        <v>48</v>
      </c>
      <c r="E100" s="20">
        <f>C100/100*15</f>
        <v>12</v>
      </c>
      <c r="F100" s="20"/>
      <c r="G100" s="20"/>
      <c r="H100" s="20"/>
      <c r="I100" s="20"/>
      <c r="J100" s="22">
        <f>C100/100*387</f>
        <v>309.60000000000002</v>
      </c>
      <c r="K100" s="22">
        <f>C100/100*0.09</f>
        <v>7.1999999999999995E-2</v>
      </c>
      <c r="L100" s="110">
        <v>80</v>
      </c>
      <c r="M100" s="56">
        <v>20</v>
      </c>
      <c r="N100" s="23">
        <f>L100*M100</f>
        <v>1600</v>
      </c>
      <c r="O100" s="126"/>
    </row>
    <row r="101" spans="1:22" s="2" customFormat="1" ht="16.2" customHeight="1">
      <c r="A101" s="9">
        <v>2</v>
      </c>
      <c r="B101" s="119" t="s">
        <v>119</v>
      </c>
      <c r="C101" s="18">
        <f>L101/100*100</f>
        <v>120</v>
      </c>
      <c r="D101" s="19">
        <f>C101/100*899</f>
        <v>1078.8</v>
      </c>
      <c r="E101" s="20"/>
      <c r="F101" s="20"/>
      <c r="G101" s="20">
        <f>C101/100*100</f>
        <v>120</v>
      </c>
      <c r="H101" s="20"/>
      <c r="I101" s="20"/>
      <c r="J101" s="20"/>
      <c r="K101" s="20"/>
      <c r="L101" s="110">
        <v>120</v>
      </c>
      <c r="M101" s="98">
        <v>69</v>
      </c>
      <c r="N101" s="23">
        <f t="shared" ref="N101:N109" si="5">L101*M101</f>
        <v>8280</v>
      </c>
      <c r="O101" s="334"/>
    </row>
    <row r="102" spans="1:22" s="2" customFormat="1" ht="16.2" customHeight="1">
      <c r="A102" s="9">
        <v>3</v>
      </c>
      <c r="B102" s="121" t="s">
        <v>121</v>
      </c>
      <c r="C102" s="18">
        <f>L102/100*100</f>
        <v>380</v>
      </c>
      <c r="D102" s="98">
        <f>C102/100*900</f>
        <v>3420</v>
      </c>
      <c r="E102" s="20"/>
      <c r="F102" s="20"/>
      <c r="G102" s="97"/>
      <c r="H102" s="20">
        <f>C102/100*100</f>
        <v>380</v>
      </c>
      <c r="I102" s="20"/>
      <c r="J102" s="20"/>
      <c r="K102" s="20"/>
      <c r="L102" s="110">
        <v>380</v>
      </c>
      <c r="M102" s="56">
        <v>65</v>
      </c>
      <c r="N102" s="23">
        <f t="shared" si="5"/>
        <v>24700</v>
      </c>
      <c r="O102" s="334"/>
    </row>
    <row r="103" spans="1:22" s="2" customFormat="1" ht="16.2" customHeight="1">
      <c r="A103" s="9">
        <v>4</v>
      </c>
      <c r="B103" s="5" t="s">
        <v>1</v>
      </c>
      <c r="C103" s="18">
        <f>L103/100*100</f>
        <v>2623</v>
      </c>
      <c r="D103" s="19">
        <f>C103/100*344</f>
        <v>9023.1200000000008</v>
      </c>
      <c r="E103" s="20"/>
      <c r="F103" s="20">
        <f>C103/100*7.9</f>
        <v>207.21700000000001</v>
      </c>
      <c r="G103" s="20"/>
      <c r="H103" s="20">
        <f>C103/100*1</f>
        <v>26.23</v>
      </c>
      <c r="I103" s="97">
        <f>C103/100*73.3</f>
        <v>1922.6589999999999</v>
      </c>
      <c r="J103" s="22">
        <f>C103/100*30</f>
        <v>786.9</v>
      </c>
      <c r="K103" s="22">
        <f>C103/100*0.1</f>
        <v>2.6230000000000002</v>
      </c>
      <c r="L103" s="110">
        <v>2623</v>
      </c>
      <c r="M103" s="56">
        <v>18</v>
      </c>
      <c r="N103" s="23">
        <f t="shared" si="5"/>
        <v>47214</v>
      </c>
      <c r="O103" s="126"/>
    </row>
    <row r="104" spans="1:22" s="2" customFormat="1" ht="16.2" customHeight="1">
      <c r="A104" s="9">
        <v>5</v>
      </c>
      <c r="B104" s="5" t="s">
        <v>85</v>
      </c>
      <c r="C104" s="18">
        <f>L104/100*90</f>
        <v>1242</v>
      </c>
      <c r="D104" s="19">
        <f>C104/100*90</f>
        <v>1117.8</v>
      </c>
      <c r="E104" s="20">
        <f>C104/100*18.4</f>
        <v>228.52799999999999</v>
      </c>
      <c r="F104" s="20"/>
      <c r="G104" s="20">
        <f>C104/100*1.8</f>
        <v>22.356000000000002</v>
      </c>
      <c r="H104" s="20"/>
      <c r="I104" s="20"/>
      <c r="J104" s="62">
        <f>C104/100*1120</f>
        <v>13910.4</v>
      </c>
      <c r="K104" s="22">
        <f>C104/100*0.02</f>
        <v>0.24840000000000001</v>
      </c>
      <c r="L104" s="110">
        <v>1380</v>
      </c>
      <c r="M104" s="21">
        <v>260</v>
      </c>
      <c r="N104" s="102">
        <f t="shared" si="5"/>
        <v>358800</v>
      </c>
      <c r="O104" s="126"/>
      <c r="Q104" s="3"/>
      <c r="R104" s="3"/>
      <c r="S104" s="4"/>
    </row>
    <row r="105" spans="1:22" s="2" customFormat="1" ht="16.2" customHeight="1">
      <c r="A105" s="9">
        <v>6</v>
      </c>
      <c r="B105" s="10" t="s">
        <v>64</v>
      </c>
      <c r="C105" s="18">
        <f>L105/100*98</f>
        <v>1813</v>
      </c>
      <c r="D105" s="19">
        <f>C105/100*139</f>
        <v>2520.0699999999997</v>
      </c>
      <c r="E105" s="20">
        <f>C105/100*19</f>
        <v>344.46999999999997</v>
      </c>
      <c r="F105" s="20"/>
      <c r="G105" s="20">
        <f>C105/100*7</f>
        <v>126.91</v>
      </c>
      <c r="H105" s="20"/>
      <c r="I105" s="20"/>
      <c r="J105" s="22">
        <f>C105/100*7</f>
        <v>126.91</v>
      </c>
      <c r="K105" s="22">
        <f>C105/100*0.9</f>
        <v>16.317</v>
      </c>
      <c r="L105" s="110">
        <v>1850</v>
      </c>
      <c r="M105" s="116">
        <v>133</v>
      </c>
      <c r="N105" s="102">
        <f t="shared" si="5"/>
        <v>246050</v>
      </c>
      <c r="O105" s="126"/>
    </row>
    <row r="106" spans="1:22" s="2" customFormat="1" ht="16.2" customHeight="1">
      <c r="A106" s="9">
        <v>7</v>
      </c>
      <c r="B106" s="5" t="s">
        <v>20</v>
      </c>
      <c r="C106" s="18">
        <f>L106/100*95</f>
        <v>408.5</v>
      </c>
      <c r="D106" s="19">
        <f>C106/100*20</f>
        <v>81.7</v>
      </c>
      <c r="E106" s="20"/>
      <c r="F106" s="20">
        <f>C106/100*0.6</f>
        <v>2.4510000000000001</v>
      </c>
      <c r="G106" s="20"/>
      <c r="H106" s="20">
        <f>C106/100*0.2</f>
        <v>0.81700000000000006</v>
      </c>
      <c r="I106" s="20">
        <f>C106/100*4</f>
        <v>16.34</v>
      </c>
      <c r="J106" s="22">
        <f>C106/100*12</f>
        <v>49.019999999999996</v>
      </c>
      <c r="K106" s="19">
        <f>C106/100*0.04</f>
        <v>0.16339999999999999</v>
      </c>
      <c r="L106" s="110">
        <v>430</v>
      </c>
      <c r="M106" s="58">
        <v>22</v>
      </c>
      <c r="N106" s="23">
        <f t="shared" si="5"/>
        <v>9460</v>
      </c>
      <c r="O106" s="332"/>
      <c r="Q106" s="3"/>
      <c r="R106" s="3"/>
      <c r="S106" s="4"/>
    </row>
    <row r="107" spans="1:22" s="2" customFormat="1" ht="16.2" customHeight="1">
      <c r="A107" s="9">
        <v>8</v>
      </c>
      <c r="B107" s="5" t="s">
        <v>126</v>
      </c>
      <c r="C107" s="18">
        <f>L107/100*81</f>
        <v>469.8</v>
      </c>
      <c r="D107" s="19">
        <f>C107/100*17</f>
        <v>79.866000000000014</v>
      </c>
      <c r="E107" s="24"/>
      <c r="F107" s="24">
        <f>C107/100*0.9</f>
        <v>4.2282000000000002</v>
      </c>
      <c r="G107" s="24"/>
      <c r="H107" s="24">
        <f>C107/100*0.2</f>
        <v>0.9396000000000001</v>
      </c>
      <c r="I107" s="24">
        <f>C107/100*2.8</f>
        <v>13.154400000000001</v>
      </c>
      <c r="J107" s="20">
        <f>C107/100*28</f>
        <v>131.54400000000001</v>
      </c>
      <c r="K107" s="22">
        <f>C107/100*0.04</f>
        <v>0.18792000000000003</v>
      </c>
      <c r="L107" s="331">
        <v>580</v>
      </c>
      <c r="M107" s="56">
        <v>20</v>
      </c>
      <c r="N107" s="23">
        <f t="shared" si="5"/>
        <v>11600</v>
      </c>
      <c r="O107" s="126"/>
      <c r="P107" s="3"/>
    </row>
    <row r="108" spans="1:22" s="114" customFormat="1" ht="16.2" customHeight="1">
      <c r="A108" s="136">
        <v>9</v>
      </c>
      <c r="B108" s="122" t="s">
        <v>157</v>
      </c>
      <c r="C108" s="137">
        <f>L108/100*63</f>
        <v>1077.3000000000002</v>
      </c>
      <c r="D108" s="112">
        <f>C108/100*25</f>
        <v>269.32500000000005</v>
      </c>
      <c r="E108" s="109"/>
      <c r="F108" s="109">
        <f>C108/100*3.2</f>
        <v>34.473600000000005</v>
      </c>
      <c r="G108" s="109"/>
      <c r="H108" s="109">
        <f>C108/100*0.4</f>
        <v>4.3092000000000006</v>
      </c>
      <c r="I108" s="109">
        <f>C108/100*2.1</f>
        <v>22.623300000000004</v>
      </c>
      <c r="J108" s="113">
        <f>C108/100*100</f>
        <v>1077.3000000000002</v>
      </c>
      <c r="K108" s="109">
        <f>C108/100*0.1</f>
        <v>1.0773000000000001</v>
      </c>
      <c r="L108" s="110">
        <v>1710</v>
      </c>
      <c r="M108" s="138">
        <v>15</v>
      </c>
      <c r="N108" s="108">
        <f t="shared" si="5"/>
        <v>25650</v>
      </c>
      <c r="O108" s="357"/>
    </row>
    <row r="109" spans="1:22" s="2" customFormat="1" ht="16.2" customHeight="1">
      <c r="A109" s="9">
        <v>10</v>
      </c>
      <c r="B109" s="5" t="s">
        <v>116</v>
      </c>
      <c r="C109" s="18">
        <f>L109/100*100</f>
        <v>50</v>
      </c>
      <c r="D109" s="19">
        <f>C109/100*247</f>
        <v>123.5</v>
      </c>
      <c r="E109" s="24"/>
      <c r="F109" s="24">
        <f>C109/100*17.5</f>
        <v>8.75</v>
      </c>
      <c r="G109" s="24"/>
      <c r="H109" s="24">
        <f>C109/100*1.6</f>
        <v>0.8</v>
      </c>
      <c r="I109" s="24">
        <f>C109/100*39.2</f>
        <v>19.600000000000001</v>
      </c>
      <c r="J109" s="52"/>
      <c r="K109" s="52"/>
      <c r="L109" s="331">
        <v>50</v>
      </c>
      <c r="M109" s="56">
        <v>50</v>
      </c>
      <c r="N109" s="23">
        <f t="shared" si="5"/>
        <v>2500</v>
      </c>
      <c r="O109" s="126"/>
      <c r="Q109" s="3"/>
      <c r="R109" s="3"/>
      <c r="S109" s="4"/>
      <c r="T109" s="3"/>
    </row>
    <row r="110" spans="1:22" s="2" customFormat="1" ht="16.2" customHeight="1">
      <c r="A110" s="9">
        <v>11</v>
      </c>
      <c r="B110" s="6" t="s">
        <v>107</v>
      </c>
      <c r="C110" s="18"/>
      <c r="D110" s="19"/>
      <c r="E110" s="20"/>
      <c r="F110" s="20"/>
      <c r="G110" s="20"/>
      <c r="H110" s="20"/>
      <c r="I110" s="20"/>
      <c r="J110" s="22"/>
      <c r="K110" s="22"/>
      <c r="L110" s="21"/>
      <c r="M110" s="21"/>
      <c r="N110" s="23">
        <v>4200</v>
      </c>
      <c r="O110" s="126"/>
      <c r="Q110" s="3"/>
      <c r="R110" s="3"/>
      <c r="S110" s="4"/>
      <c r="T110" s="3"/>
    </row>
    <row r="111" spans="1:22" s="2" customFormat="1" ht="16.2" customHeight="1">
      <c r="A111" s="16" t="s">
        <v>102</v>
      </c>
      <c r="B111" s="17"/>
      <c r="C111" s="26"/>
      <c r="D111" s="99">
        <f>SUM(D100:D110)</f>
        <v>17762.181000000004</v>
      </c>
      <c r="E111" s="31"/>
      <c r="F111" s="31"/>
      <c r="G111" s="31"/>
      <c r="H111" s="31"/>
      <c r="I111" s="31"/>
      <c r="J111" s="31"/>
      <c r="K111" s="31"/>
      <c r="L111" s="32"/>
      <c r="M111" s="235"/>
      <c r="N111" s="270">
        <f>SUM(N100:N110)</f>
        <v>740054</v>
      </c>
      <c r="O111" s="126"/>
    </row>
    <row r="112" spans="1:22" ht="16.2" customHeight="1">
      <c r="A112" s="16" t="s">
        <v>36</v>
      </c>
      <c r="B112" s="17"/>
      <c r="C112" s="33"/>
      <c r="D112" s="34">
        <f>D111/D94</f>
        <v>291.18329508196729</v>
      </c>
      <c r="E112" s="34"/>
      <c r="F112" s="34"/>
      <c r="G112" s="34"/>
      <c r="H112" s="34"/>
      <c r="I112" s="34"/>
      <c r="J112" s="34"/>
      <c r="K112" s="34"/>
      <c r="L112" s="35"/>
      <c r="M112" s="236"/>
      <c r="N112" s="271"/>
      <c r="O112" s="4"/>
      <c r="P112" s="2"/>
      <c r="Q112" s="2"/>
      <c r="R112" s="2"/>
      <c r="S112" s="2"/>
      <c r="T112" s="2"/>
      <c r="U112" s="2"/>
      <c r="V112" s="2"/>
    </row>
    <row r="113" spans="1:23" ht="16.2" customHeight="1">
      <c r="A113" s="210" t="s">
        <v>46</v>
      </c>
      <c r="B113" s="211"/>
      <c r="C113" s="333" t="s">
        <v>125</v>
      </c>
      <c r="D113" s="15" t="s">
        <v>41</v>
      </c>
      <c r="E113" s="34"/>
      <c r="F113" s="34"/>
      <c r="G113" s="34"/>
      <c r="H113" s="34"/>
      <c r="I113" s="34"/>
      <c r="J113" s="36"/>
      <c r="K113" s="36"/>
      <c r="L113" s="35"/>
      <c r="M113" s="35"/>
      <c r="N113" s="149"/>
      <c r="O113" s="4"/>
      <c r="P113" s="2"/>
      <c r="Q113" s="2"/>
      <c r="R113" s="2"/>
      <c r="S113" s="2"/>
      <c r="T113" s="2"/>
      <c r="U113" s="2"/>
      <c r="V113" s="2"/>
      <c r="W113" s="2"/>
    </row>
    <row r="114" spans="1:23" ht="16.2" customHeight="1">
      <c r="A114" s="212"/>
      <c r="B114" s="213"/>
      <c r="C114" s="57" t="s">
        <v>53</v>
      </c>
      <c r="D114" s="59">
        <f>D112*100/930</f>
        <v>31.310031729243796</v>
      </c>
      <c r="E114" s="34"/>
      <c r="F114" s="34"/>
      <c r="G114" s="34"/>
      <c r="H114" s="34"/>
      <c r="I114" s="34"/>
      <c r="J114" s="36"/>
      <c r="K114" s="36"/>
      <c r="L114" s="35"/>
      <c r="M114" s="35"/>
      <c r="N114" s="149"/>
      <c r="O114" s="4"/>
      <c r="P114" s="2"/>
      <c r="Q114" s="2"/>
      <c r="R114" s="2"/>
      <c r="S114" s="2"/>
      <c r="T114" s="2"/>
      <c r="U114" s="2"/>
      <c r="V114" s="2"/>
      <c r="W114" s="2"/>
    </row>
    <row r="115" spans="1:23" s="2" customFormat="1" ht="16.2" customHeight="1">
      <c r="A115" s="247" t="s">
        <v>37</v>
      </c>
      <c r="B115" s="247"/>
      <c r="C115" s="40"/>
      <c r="D115" s="41"/>
      <c r="E115" s="42"/>
      <c r="F115" s="42"/>
      <c r="G115" s="42"/>
      <c r="H115" s="42"/>
      <c r="I115" s="42"/>
      <c r="J115" s="42"/>
      <c r="K115" s="42"/>
      <c r="L115" s="43"/>
      <c r="M115" s="43"/>
      <c r="N115" s="44"/>
      <c r="O115" s="126"/>
    </row>
    <row r="116" spans="1:23" s="2" customFormat="1" ht="16.2" customHeight="1">
      <c r="A116" s="9">
        <v>1</v>
      </c>
      <c r="B116" s="10" t="s">
        <v>2</v>
      </c>
      <c r="C116" s="18">
        <f>L116/100*100</f>
        <v>80</v>
      </c>
      <c r="D116" s="19">
        <f>C116/100*60</f>
        <v>48</v>
      </c>
      <c r="E116" s="20">
        <f>C116/100*15</f>
        <v>12</v>
      </c>
      <c r="F116" s="20"/>
      <c r="G116" s="20"/>
      <c r="H116" s="20"/>
      <c r="I116" s="20"/>
      <c r="J116" s="22">
        <f>C116/100*387</f>
        <v>309.60000000000002</v>
      </c>
      <c r="K116" s="22">
        <f>C116/100*0.09</f>
        <v>7.1999999999999995E-2</v>
      </c>
      <c r="L116" s="110">
        <v>80</v>
      </c>
      <c r="M116" s="56">
        <v>20</v>
      </c>
      <c r="N116" s="108">
        <f>L116*M116</f>
        <v>1600</v>
      </c>
      <c r="O116" s="126"/>
    </row>
    <row r="117" spans="1:23" s="2" customFormat="1" ht="16.2" customHeight="1">
      <c r="A117" s="9">
        <v>2</v>
      </c>
      <c r="B117" s="119" t="s">
        <v>119</v>
      </c>
      <c r="C117" s="18">
        <f>L117/100*100</f>
        <v>290</v>
      </c>
      <c r="D117" s="19">
        <f>C117/100*899</f>
        <v>2607.1</v>
      </c>
      <c r="E117" s="20"/>
      <c r="F117" s="20"/>
      <c r="G117" s="20">
        <f>C117/100*100</f>
        <v>290</v>
      </c>
      <c r="H117" s="20"/>
      <c r="I117" s="20"/>
      <c r="J117" s="22"/>
      <c r="K117" s="22"/>
      <c r="L117" s="110">
        <v>290</v>
      </c>
      <c r="M117" s="56">
        <v>69</v>
      </c>
      <c r="N117" s="108">
        <f t="shared" ref="N117:N123" si="6">L117*M117</f>
        <v>20010</v>
      </c>
      <c r="O117" s="126"/>
    </row>
    <row r="118" spans="1:23" s="2" customFormat="1" ht="16.2" customHeight="1">
      <c r="A118" s="9">
        <v>3</v>
      </c>
      <c r="B118" s="5" t="s">
        <v>1</v>
      </c>
      <c r="C118" s="18">
        <f>L118/100*100</f>
        <v>2562</v>
      </c>
      <c r="D118" s="19">
        <f>C118/100*344</f>
        <v>8813.2800000000007</v>
      </c>
      <c r="E118" s="20"/>
      <c r="F118" s="20">
        <f>C118/100*7.9</f>
        <v>202.39800000000002</v>
      </c>
      <c r="G118" s="20"/>
      <c r="H118" s="20">
        <f>C118/100*1</f>
        <v>25.62</v>
      </c>
      <c r="I118" s="97">
        <f>C118/100*73.3</f>
        <v>1877.9459999999999</v>
      </c>
      <c r="J118" s="22">
        <f>C118/100*30</f>
        <v>768.6</v>
      </c>
      <c r="K118" s="22">
        <f>C118/100*0.1</f>
        <v>2.5620000000000003</v>
      </c>
      <c r="L118" s="110">
        <v>2562</v>
      </c>
      <c r="M118" s="56">
        <v>18</v>
      </c>
      <c r="N118" s="108">
        <f t="shared" si="6"/>
        <v>46116</v>
      </c>
      <c r="O118" s="126"/>
    </row>
    <row r="119" spans="1:23" s="2" customFormat="1" ht="16.2" customHeight="1">
      <c r="A119" s="9">
        <v>4</v>
      </c>
      <c r="B119" s="10" t="s">
        <v>57</v>
      </c>
      <c r="C119" s="18">
        <f>L119/100*40</f>
        <v>564</v>
      </c>
      <c r="D119" s="19">
        <f>C119/100*276</f>
        <v>1556.6399999999999</v>
      </c>
      <c r="E119" s="20">
        <f>C119/100*17.8</f>
        <v>100.392</v>
      </c>
      <c r="F119" s="20"/>
      <c r="G119" s="20">
        <f>C119/100*21.8</f>
        <v>122.952</v>
      </c>
      <c r="H119" s="20"/>
      <c r="I119" s="109"/>
      <c r="J119" s="22">
        <f>C119/100*13</f>
        <v>73.319999999999993</v>
      </c>
      <c r="K119" s="22">
        <f>C119/100*0.07</f>
        <v>0.39480000000000004</v>
      </c>
      <c r="L119" s="110">
        <v>1410</v>
      </c>
      <c r="M119" s="56">
        <v>63</v>
      </c>
      <c r="N119" s="23">
        <f t="shared" si="6"/>
        <v>88830</v>
      </c>
      <c r="O119" s="126"/>
    </row>
    <row r="120" spans="1:23" s="2" customFormat="1" ht="16.2" customHeight="1">
      <c r="A120" s="9">
        <v>5</v>
      </c>
      <c r="B120" s="5" t="s">
        <v>29</v>
      </c>
      <c r="C120" s="18">
        <f>L120/100*88</f>
        <v>1777.6</v>
      </c>
      <c r="D120" s="19">
        <f>C120/100*184</f>
        <v>3270.7840000000001</v>
      </c>
      <c r="E120" s="20">
        <f>C120/100*13</f>
        <v>231.08799999999999</v>
      </c>
      <c r="F120" s="20"/>
      <c r="G120" s="20">
        <f>C120/100*14.2</f>
        <v>252.41919999999999</v>
      </c>
      <c r="H120" s="20"/>
      <c r="I120" s="20">
        <f>C120/100*1</f>
        <v>17.776</v>
      </c>
      <c r="J120" s="62">
        <f>C120/100*71</f>
        <v>1262.096</v>
      </c>
      <c r="K120" s="22">
        <f>C120/100*0.15</f>
        <v>2.6663999999999999</v>
      </c>
      <c r="L120" s="110">
        <v>2020</v>
      </c>
      <c r="M120" s="56">
        <v>57</v>
      </c>
      <c r="N120" s="102">
        <f t="shared" si="6"/>
        <v>115140</v>
      </c>
      <c r="O120" s="126"/>
      <c r="Q120" s="3"/>
      <c r="R120" s="3"/>
      <c r="S120" s="4"/>
    </row>
    <row r="121" spans="1:23" s="2" customFormat="1" ht="16.2" customHeight="1">
      <c r="A121" s="9">
        <v>6</v>
      </c>
      <c r="B121" s="5" t="s">
        <v>20</v>
      </c>
      <c r="C121" s="18">
        <f>L121/100*95</f>
        <v>873.99999999999989</v>
      </c>
      <c r="D121" s="19">
        <f>C121/100*20</f>
        <v>174.79999999999995</v>
      </c>
      <c r="E121" s="109"/>
      <c r="F121" s="20">
        <f>C121/100*0.6</f>
        <v>5.2439999999999989</v>
      </c>
      <c r="G121" s="20"/>
      <c r="H121" s="20">
        <f>C121/100*0.2</f>
        <v>1.7479999999999998</v>
      </c>
      <c r="I121" s="20">
        <f>C121/100*4</f>
        <v>34.959999999999994</v>
      </c>
      <c r="J121" s="52">
        <f>C121/100*12</f>
        <v>104.87999999999998</v>
      </c>
      <c r="K121" s="52">
        <f>C121/100*0.04</f>
        <v>0.34959999999999997</v>
      </c>
      <c r="L121" s="331">
        <v>920</v>
      </c>
      <c r="M121" s="56">
        <v>22</v>
      </c>
      <c r="N121" s="23">
        <f t="shared" si="6"/>
        <v>20240</v>
      </c>
      <c r="O121" s="126"/>
      <c r="Q121" s="3"/>
      <c r="R121" s="3"/>
    </row>
    <row r="122" spans="1:23" s="2" customFormat="1" ht="16.2" customHeight="1">
      <c r="A122" s="9">
        <v>7</v>
      </c>
      <c r="B122" s="5" t="s">
        <v>83</v>
      </c>
      <c r="C122" s="18">
        <f>L122/100*81.7</f>
        <v>1495.1100000000001</v>
      </c>
      <c r="D122" s="19">
        <f>C122/100*27</f>
        <v>403.67970000000008</v>
      </c>
      <c r="E122" s="24"/>
      <c r="F122" s="24">
        <f>C122/100*0.3</f>
        <v>4.4853300000000003</v>
      </c>
      <c r="G122" s="24"/>
      <c r="H122" s="24">
        <f>C122/100*0.1</f>
        <v>1.4951100000000004</v>
      </c>
      <c r="I122" s="24">
        <f>C122/100*6.1</f>
        <v>91.201710000000006</v>
      </c>
      <c r="J122" s="52">
        <f>C122/100*24</f>
        <v>358.82640000000004</v>
      </c>
      <c r="K122" s="52">
        <f>C122/100*0.06</f>
        <v>0.89706600000000014</v>
      </c>
      <c r="L122" s="331">
        <v>1830</v>
      </c>
      <c r="M122" s="21">
        <v>22</v>
      </c>
      <c r="N122" s="23">
        <f t="shared" si="6"/>
        <v>40260</v>
      </c>
      <c r="O122" s="126"/>
      <c r="Q122" s="3"/>
      <c r="R122" s="3"/>
      <c r="S122" s="4"/>
    </row>
    <row r="123" spans="1:23" s="2" customFormat="1" ht="16.2" customHeight="1">
      <c r="A123" s="9">
        <v>8</v>
      </c>
      <c r="B123" s="5" t="s">
        <v>116</v>
      </c>
      <c r="C123" s="18">
        <f>L123/100*100</f>
        <v>50</v>
      </c>
      <c r="D123" s="19">
        <f>C123/100*247</f>
        <v>123.5</v>
      </c>
      <c r="E123" s="24"/>
      <c r="F123" s="24">
        <f>C123/100*17.5</f>
        <v>8.75</v>
      </c>
      <c r="G123" s="24"/>
      <c r="H123" s="24">
        <f>C123/100*1.6</f>
        <v>0.8</v>
      </c>
      <c r="I123" s="24">
        <f>C123/100*39.2</f>
        <v>19.600000000000001</v>
      </c>
      <c r="J123" s="52"/>
      <c r="K123" s="52"/>
      <c r="L123" s="331">
        <v>50</v>
      </c>
      <c r="M123" s="56">
        <v>50</v>
      </c>
      <c r="N123" s="23">
        <f t="shared" si="6"/>
        <v>2500</v>
      </c>
      <c r="O123" s="126"/>
      <c r="Q123" s="3"/>
      <c r="R123" s="3"/>
      <c r="S123" s="4"/>
      <c r="T123" s="3"/>
    </row>
    <row r="124" spans="1:23" s="2" customFormat="1" ht="16.2" customHeight="1">
      <c r="A124" s="9">
        <v>9</v>
      </c>
      <c r="B124" s="6" t="s">
        <v>107</v>
      </c>
      <c r="C124" s="18"/>
      <c r="D124" s="19"/>
      <c r="E124" s="20"/>
      <c r="F124" s="20"/>
      <c r="G124" s="20"/>
      <c r="H124" s="20"/>
      <c r="I124" s="20"/>
      <c r="J124" s="22"/>
      <c r="K124" s="22"/>
      <c r="L124" s="21"/>
      <c r="M124" s="21"/>
      <c r="N124" s="23">
        <v>4200</v>
      </c>
      <c r="O124" s="126"/>
      <c r="Q124" s="3"/>
      <c r="R124" s="3"/>
      <c r="S124" s="4"/>
      <c r="T124" s="3"/>
    </row>
    <row r="125" spans="1:23" s="2" customFormat="1" ht="16.2" customHeight="1">
      <c r="A125" s="16" t="s">
        <v>103</v>
      </c>
      <c r="B125" s="17"/>
      <c r="C125" s="26"/>
      <c r="D125" s="99">
        <f>SUM(D116:D124)</f>
        <v>16997.7837</v>
      </c>
      <c r="E125" s="31"/>
      <c r="F125" s="31"/>
      <c r="G125" s="31"/>
      <c r="H125" s="31"/>
      <c r="I125" s="31"/>
      <c r="J125" s="31"/>
      <c r="K125" s="31"/>
      <c r="L125" s="32"/>
      <c r="M125" s="235"/>
      <c r="N125" s="270">
        <f>SUM(N116:N124)</f>
        <v>338896</v>
      </c>
      <c r="O125" s="126"/>
    </row>
    <row r="126" spans="1:23" ht="16.2" customHeight="1">
      <c r="A126" s="16" t="s">
        <v>35</v>
      </c>
      <c r="B126" s="17"/>
      <c r="C126" s="45"/>
      <c r="D126" s="36">
        <f>D125/D94</f>
        <v>278.6521918032787</v>
      </c>
      <c r="E126" s="36"/>
      <c r="F126" s="36"/>
      <c r="G126" s="36"/>
      <c r="H126" s="36"/>
      <c r="I126" s="36"/>
      <c r="J126" s="36"/>
      <c r="K126" s="36"/>
      <c r="L126" s="46"/>
      <c r="M126" s="236"/>
      <c r="N126" s="274"/>
      <c r="O126" s="4"/>
      <c r="P126" s="2"/>
      <c r="Q126" s="2"/>
      <c r="R126" s="2"/>
      <c r="S126" s="2"/>
      <c r="T126" s="2"/>
      <c r="U126" s="2"/>
      <c r="V126" s="2"/>
    </row>
    <row r="127" spans="1:23" ht="16.2" customHeight="1">
      <c r="A127" s="210" t="s">
        <v>47</v>
      </c>
      <c r="B127" s="211"/>
      <c r="C127" s="333" t="s">
        <v>125</v>
      </c>
      <c r="D127" s="15" t="s">
        <v>42</v>
      </c>
      <c r="E127" s="34"/>
      <c r="F127" s="34"/>
      <c r="G127" s="34"/>
      <c r="H127" s="34"/>
      <c r="I127" s="34"/>
      <c r="J127" s="36"/>
      <c r="K127" s="36"/>
      <c r="L127" s="35"/>
      <c r="M127" s="35"/>
      <c r="N127" s="149"/>
      <c r="O127" s="4"/>
      <c r="P127" s="2"/>
      <c r="Q127" s="2"/>
      <c r="R127" s="2"/>
      <c r="S127" s="2"/>
      <c r="T127" s="2"/>
      <c r="U127" s="2"/>
      <c r="V127" s="2"/>
      <c r="W127" s="2"/>
    </row>
    <row r="128" spans="1:23" ht="16.2" customHeight="1">
      <c r="A128" s="212"/>
      <c r="B128" s="213"/>
      <c r="C128" s="57" t="s">
        <v>53</v>
      </c>
      <c r="D128" s="59">
        <f>D126*100/930</f>
        <v>29.962601269169753</v>
      </c>
      <c r="E128" s="34"/>
      <c r="F128" s="34"/>
      <c r="G128" s="33"/>
      <c r="H128" s="33"/>
      <c r="I128" s="33"/>
      <c r="J128" s="36"/>
      <c r="K128" s="36"/>
      <c r="L128" s="35"/>
      <c r="M128" s="35"/>
      <c r="N128" s="149"/>
      <c r="O128" s="4"/>
      <c r="P128" s="2"/>
      <c r="Q128" s="2"/>
      <c r="R128" s="2"/>
      <c r="S128" s="2"/>
      <c r="T128" s="2"/>
      <c r="U128" s="2"/>
      <c r="V128" s="2"/>
      <c r="W128" s="2"/>
    </row>
    <row r="129" spans="1:23" ht="16.2" customHeight="1">
      <c r="A129" s="247" t="s">
        <v>34</v>
      </c>
      <c r="B129" s="247"/>
      <c r="C129" s="47"/>
      <c r="D129" s="48"/>
      <c r="E129" s="48"/>
      <c r="F129" s="48"/>
      <c r="G129" s="48"/>
      <c r="H129" s="48"/>
      <c r="I129" s="48"/>
      <c r="J129" s="48"/>
      <c r="K129" s="48"/>
      <c r="L129" s="49"/>
      <c r="M129" s="49"/>
      <c r="N129" s="50"/>
      <c r="O129" s="4"/>
      <c r="P129" s="2"/>
      <c r="Q129" s="2"/>
      <c r="R129" s="2"/>
      <c r="S129" s="2"/>
      <c r="T129" s="2"/>
      <c r="U129" s="2"/>
      <c r="V129" s="2"/>
    </row>
    <row r="130" spans="1:23" s="2" customFormat="1" ht="16.2" customHeight="1">
      <c r="A130" s="9">
        <v>1</v>
      </c>
      <c r="B130" s="10" t="s">
        <v>63</v>
      </c>
      <c r="C130" s="18">
        <f>L130/100*90</f>
        <v>18</v>
      </c>
      <c r="D130" s="19">
        <f>C130/100*253</f>
        <v>45.54</v>
      </c>
      <c r="E130" s="20"/>
      <c r="F130" s="20">
        <f>C130/100*32.4</f>
        <v>5.8319999999999999</v>
      </c>
      <c r="G130" s="20"/>
      <c r="H130" s="20">
        <f>C130/100*3.6</f>
        <v>0.64800000000000002</v>
      </c>
      <c r="I130" s="20">
        <f>C130/100*21.1</f>
        <v>3.798</v>
      </c>
      <c r="J130" s="22">
        <f>C130/100*165.6</f>
        <v>29.807999999999996</v>
      </c>
      <c r="K130" s="22">
        <f>C130/100*0.14</f>
        <v>2.52E-2</v>
      </c>
      <c r="L130" s="110">
        <v>20</v>
      </c>
      <c r="M130" s="56">
        <v>275</v>
      </c>
      <c r="N130" s="23">
        <f t="shared" ref="N130:N134" si="7">L130*M130</f>
        <v>5500</v>
      </c>
      <c r="O130" s="126"/>
    </row>
    <row r="131" spans="1:23" s="2" customFormat="1" ht="16.2" customHeight="1">
      <c r="A131" s="9">
        <v>2</v>
      </c>
      <c r="B131" s="5" t="s">
        <v>118</v>
      </c>
      <c r="C131" s="18">
        <f>L131/100*100</f>
        <v>240</v>
      </c>
      <c r="D131" s="19">
        <f>C131/100*340</f>
        <v>816</v>
      </c>
      <c r="E131" s="24"/>
      <c r="F131" s="24">
        <f>C131/100*0.7</f>
        <v>1.68</v>
      </c>
      <c r="G131" s="24"/>
      <c r="H131" s="24"/>
      <c r="I131" s="24">
        <f>C131/100*84.3</f>
        <v>202.32</v>
      </c>
      <c r="J131" s="52"/>
      <c r="K131" s="52"/>
      <c r="L131" s="331">
        <v>240</v>
      </c>
      <c r="M131" s="56">
        <v>180</v>
      </c>
      <c r="N131" s="23">
        <f t="shared" si="7"/>
        <v>43200</v>
      </c>
      <c r="O131" s="126"/>
      <c r="Q131" s="3"/>
      <c r="R131" s="3"/>
      <c r="S131" s="4"/>
      <c r="T131" s="3"/>
    </row>
    <row r="132" spans="1:23" s="2" customFormat="1" ht="16.2" customHeight="1">
      <c r="A132" s="9">
        <v>3</v>
      </c>
      <c r="B132" s="10" t="s">
        <v>136</v>
      </c>
      <c r="C132" s="18">
        <f>L132/100*55</f>
        <v>505.99999999999994</v>
      </c>
      <c r="D132" s="98">
        <f>C132/100*196</f>
        <v>991.75999999999988</v>
      </c>
      <c r="E132" s="20"/>
      <c r="F132" s="109">
        <f>C132/100*4.1</f>
        <v>20.745999999999995</v>
      </c>
      <c r="G132" s="20"/>
      <c r="H132" s="20">
        <f>C132/100*2.3</f>
        <v>11.637999999999998</v>
      </c>
      <c r="I132" s="20">
        <f>C132/100*39.6</f>
        <v>200.376</v>
      </c>
      <c r="J132" s="22">
        <f>C132/100*4</f>
        <v>20.239999999999998</v>
      </c>
      <c r="K132" s="22">
        <f>C132/100*0.15</f>
        <v>0.7589999999999999</v>
      </c>
      <c r="L132" s="330">
        <v>920</v>
      </c>
      <c r="M132" s="56">
        <v>22</v>
      </c>
      <c r="N132" s="23">
        <f t="shared" si="7"/>
        <v>20240</v>
      </c>
      <c r="O132" s="357"/>
      <c r="P132" s="114"/>
      <c r="Q132" s="114"/>
    </row>
    <row r="133" spans="1:23" s="2" customFormat="1" ht="16.2" customHeight="1">
      <c r="A133" s="9">
        <v>4</v>
      </c>
      <c r="B133" s="5" t="s">
        <v>62</v>
      </c>
      <c r="C133" s="18">
        <f>L133/100*48</f>
        <v>1099.1999999999998</v>
      </c>
      <c r="D133" s="19">
        <f>C133/100*199</f>
        <v>2187.4079999999994</v>
      </c>
      <c r="E133" s="20">
        <f>C133/100*20.3</f>
        <v>223.13759999999996</v>
      </c>
      <c r="F133" s="20"/>
      <c r="G133" s="20">
        <f>C133/100*13.1</f>
        <v>143.99519999999995</v>
      </c>
      <c r="H133" s="20"/>
      <c r="I133" s="20"/>
      <c r="J133" s="22">
        <f>C133/100*12</f>
        <v>131.90399999999997</v>
      </c>
      <c r="K133" s="22">
        <f>C133/100*0.15</f>
        <v>1.6487999999999996</v>
      </c>
      <c r="L133" s="21">
        <v>2290</v>
      </c>
      <c r="M133" s="110">
        <v>84</v>
      </c>
      <c r="N133" s="102">
        <f t="shared" si="7"/>
        <v>192360</v>
      </c>
      <c r="O133" s="126"/>
      <c r="Q133" s="3"/>
      <c r="R133" s="3"/>
      <c r="S133" s="4"/>
    </row>
    <row r="134" spans="1:23" s="2" customFormat="1" ht="16.2" customHeight="1">
      <c r="A134" s="81">
        <v>5</v>
      </c>
      <c r="B134" s="90" t="s">
        <v>137</v>
      </c>
      <c r="C134" s="82">
        <f>L134/100*85</f>
        <v>59.499999999999993</v>
      </c>
      <c r="D134" s="83">
        <f>C134/100*11</f>
        <v>6.5449999999999999</v>
      </c>
      <c r="E134" s="84"/>
      <c r="F134" s="84">
        <f>C134/100*2.2</f>
        <v>1.3089999999999999</v>
      </c>
      <c r="G134" s="84"/>
      <c r="H134" s="84"/>
      <c r="I134" s="84">
        <f>C134/100*0.6</f>
        <v>0.35699999999999998</v>
      </c>
      <c r="J134" s="92"/>
      <c r="K134" s="92"/>
      <c r="L134" s="358">
        <v>70</v>
      </c>
      <c r="M134" s="118">
        <v>30</v>
      </c>
      <c r="N134" s="86">
        <f t="shared" si="7"/>
        <v>2100</v>
      </c>
      <c r="O134" s="126"/>
      <c r="Q134" s="3"/>
      <c r="R134" s="3"/>
    </row>
    <row r="135" spans="1:23" ht="20.399999999999999" customHeight="1">
      <c r="A135" s="159" t="s">
        <v>0</v>
      </c>
      <c r="B135" s="162" t="s">
        <v>19</v>
      </c>
      <c r="C135" s="165" t="s">
        <v>8</v>
      </c>
      <c r="D135" s="165" t="s">
        <v>9</v>
      </c>
      <c r="E135" s="170" t="s">
        <v>11</v>
      </c>
      <c r="F135" s="171"/>
      <c r="G135" s="170" t="s">
        <v>13</v>
      </c>
      <c r="H135" s="171"/>
      <c r="I135" s="174" t="s">
        <v>16</v>
      </c>
      <c r="J135" s="174" t="s">
        <v>39</v>
      </c>
      <c r="K135" s="174" t="s">
        <v>40</v>
      </c>
      <c r="L135" s="304" t="s">
        <v>17</v>
      </c>
      <c r="M135" s="174" t="s">
        <v>50</v>
      </c>
      <c r="N135" s="159" t="s">
        <v>18</v>
      </c>
      <c r="O135" s="329"/>
    </row>
    <row r="136" spans="1:23" ht="20.399999999999999" customHeight="1">
      <c r="A136" s="160"/>
      <c r="B136" s="163"/>
      <c r="C136" s="166"/>
      <c r="D136" s="166"/>
      <c r="E136" s="172"/>
      <c r="F136" s="173"/>
      <c r="G136" s="172"/>
      <c r="H136" s="173"/>
      <c r="I136" s="175"/>
      <c r="J136" s="175"/>
      <c r="K136" s="175"/>
      <c r="L136" s="305"/>
      <c r="M136" s="175"/>
      <c r="N136" s="160"/>
      <c r="O136" s="148"/>
    </row>
    <row r="137" spans="1:23" ht="20.399999999999999" customHeight="1">
      <c r="A137" s="160"/>
      <c r="B137" s="163"/>
      <c r="C137" s="166"/>
      <c r="D137" s="166"/>
      <c r="E137" s="174" t="s">
        <v>10</v>
      </c>
      <c r="F137" s="174" t="s">
        <v>12</v>
      </c>
      <c r="G137" s="174" t="s">
        <v>14</v>
      </c>
      <c r="H137" s="174" t="s">
        <v>15</v>
      </c>
      <c r="I137" s="175"/>
      <c r="J137" s="175"/>
      <c r="K137" s="175"/>
      <c r="L137" s="305"/>
      <c r="M137" s="175"/>
      <c r="N137" s="160"/>
      <c r="O137" s="148"/>
    </row>
    <row r="138" spans="1:23" ht="20.399999999999999" customHeight="1">
      <c r="A138" s="161"/>
      <c r="B138" s="164"/>
      <c r="C138" s="167"/>
      <c r="D138" s="167"/>
      <c r="E138" s="176"/>
      <c r="F138" s="176"/>
      <c r="G138" s="176"/>
      <c r="H138" s="176"/>
      <c r="I138" s="176"/>
      <c r="J138" s="176"/>
      <c r="K138" s="176"/>
      <c r="L138" s="306"/>
      <c r="M138" s="176"/>
      <c r="N138" s="161"/>
      <c r="O138" s="148"/>
    </row>
    <row r="139" spans="1:23" s="2" customFormat="1" ht="20.399999999999999" customHeight="1">
      <c r="A139" s="16" t="s">
        <v>94</v>
      </c>
      <c r="B139" s="17"/>
      <c r="C139" s="26"/>
      <c r="D139" s="27">
        <f>SUM(D130:D134)</f>
        <v>4047.2529999999992</v>
      </c>
      <c r="E139" s="31"/>
      <c r="F139" s="31"/>
      <c r="G139" s="31"/>
      <c r="H139" s="31"/>
      <c r="I139" s="31"/>
      <c r="J139" s="63"/>
      <c r="K139" s="31"/>
      <c r="L139" s="32"/>
      <c r="M139" s="235"/>
      <c r="N139" s="270">
        <f>SUM(N130:N134)</f>
        <v>263400</v>
      </c>
      <c r="O139" s="126"/>
    </row>
    <row r="140" spans="1:23" ht="20.399999999999999" customHeight="1">
      <c r="A140" s="16" t="s">
        <v>7</v>
      </c>
      <c r="B140" s="17"/>
      <c r="C140" s="33"/>
      <c r="D140" s="53">
        <f>D139/D94</f>
        <v>66.348409836065557</v>
      </c>
      <c r="E140" s="34"/>
      <c r="F140" s="34"/>
      <c r="G140" s="34"/>
      <c r="H140" s="34"/>
      <c r="I140" s="34"/>
      <c r="J140" s="64"/>
      <c r="K140" s="34"/>
      <c r="L140" s="35"/>
      <c r="M140" s="236"/>
      <c r="N140" s="271"/>
      <c r="O140" s="4"/>
      <c r="P140" s="2"/>
      <c r="Q140" s="2"/>
      <c r="R140" s="2"/>
      <c r="S140" s="2"/>
      <c r="T140" s="2"/>
      <c r="U140" s="2"/>
      <c r="V140" s="2"/>
    </row>
    <row r="141" spans="1:23" ht="20.399999999999999" customHeight="1">
      <c r="A141" s="210" t="s">
        <v>45</v>
      </c>
      <c r="B141" s="211"/>
      <c r="C141" s="333" t="s">
        <v>125</v>
      </c>
      <c r="D141" s="15" t="s">
        <v>43</v>
      </c>
      <c r="E141" s="34"/>
      <c r="F141" s="34"/>
      <c r="G141" s="34"/>
      <c r="H141" s="34"/>
      <c r="I141" s="34"/>
      <c r="J141" s="65"/>
      <c r="K141" s="36"/>
      <c r="L141" s="35"/>
      <c r="M141" s="35"/>
      <c r="N141" s="149"/>
      <c r="O141" s="4"/>
      <c r="P141" s="2"/>
      <c r="Q141" s="2"/>
      <c r="R141" s="2"/>
      <c r="S141" s="2"/>
      <c r="T141" s="2"/>
      <c r="U141" s="2"/>
      <c r="V141" s="2"/>
      <c r="W141" s="2"/>
    </row>
    <row r="142" spans="1:23" ht="20.399999999999999" customHeight="1">
      <c r="A142" s="212"/>
      <c r="B142" s="213"/>
      <c r="C142" s="57" t="s">
        <v>53</v>
      </c>
      <c r="D142" s="59">
        <f>D140*100/930</f>
        <v>7.1342376167812427</v>
      </c>
      <c r="E142" s="34"/>
      <c r="F142" s="34"/>
      <c r="G142" s="34"/>
      <c r="H142" s="34"/>
      <c r="I142" s="34"/>
      <c r="J142" s="65"/>
      <c r="K142" s="36"/>
      <c r="L142" s="35"/>
      <c r="M142" s="35"/>
      <c r="N142" s="149"/>
      <c r="O142" s="4"/>
      <c r="P142" s="2"/>
      <c r="Q142" s="2"/>
      <c r="R142" s="2"/>
      <c r="S142" s="2"/>
      <c r="T142" s="2"/>
      <c r="U142" s="2"/>
      <c r="V142" s="2"/>
      <c r="W142" s="2"/>
    </row>
    <row r="143" spans="1:23" ht="20.399999999999999" customHeight="1">
      <c r="A143" s="191" t="s">
        <v>95</v>
      </c>
      <c r="B143" s="192"/>
      <c r="C143" s="214"/>
      <c r="D143" s="266">
        <f>SUM(D111+D125+D139)</f>
        <v>38807.217700000001</v>
      </c>
      <c r="E143" s="101">
        <f t="shared" ref="E143:K143" si="8">SUM(E100:E134)</f>
        <v>1151.6155999999999</v>
      </c>
      <c r="F143" s="7">
        <f t="shared" si="8"/>
        <v>507.56412999999998</v>
      </c>
      <c r="G143" s="101">
        <f t="shared" si="8"/>
        <v>1078.6324</v>
      </c>
      <c r="H143" s="7">
        <f t="shared" si="8"/>
        <v>455.04491000000002</v>
      </c>
      <c r="I143" s="301">
        <f t="shared" si="8"/>
        <v>4442.711409999999</v>
      </c>
      <c r="J143" s="301">
        <f t="shared" si="8"/>
        <v>19450.948400000001</v>
      </c>
      <c r="K143" s="242">
        <f t="shared" si="8"/>
        <v>30.063885999999997</v>
      </c>
      <c r="L143" s="227"/>
      <c r="M143" s="227"/>
      <c r="N143" s="303">
        <f>N111+N125+N139</f>
        <v>1342350</v>
      </c>
      <c r="U143" s="12"/>
      <c r="V143" s="12"/>
    </row>
    <row r="144" spans="1:23" ht="20.399999999999999" customHeight="1">
      <c r="A144" s="193"/>
      <c r="B144" s="194"/>
      <c r="C144" s="215"/>
      <c r="D144" s="267"/>
      <c r="E144" s="187">
        <f>E143+F143</f>
        <v>1659.1797299999998</v>
      </c>
      <c r="F144" s="188"/>
      <c r="G144" s="187">
        <f>G143+H143</f>
        <v>1533.67731</v>
      </c>
      <c r="H144" s="188"/>
      <c r="I144" s="302"/>
      <c r="J144" s="302"/>
      <c r="K144" s="243"/>
      <c r="L144" s="227"/>
      <c r="M144" s="227"/>
      <c r="N144" s="303"/>
      <c r="U144" s="12"/>
      <c r="V144" s="12"/>
    </row>
    <row r="145" spans="1:22" ht="20.399999999999999" customHeight="1">
      <c r="A145" s="260" t="s">
        <v>68</v>
      </c>
      <c r="B145" s="261"/>
      <c r="C145" s="262"/>
      <c r="D145" s="107">
        <f>D143/D94</f>
        <v>636.1838967213115</v>
      </c>
      <c r="E145" s="361">
        <f>E143/D94</f>
        <v>18.878944262295079</v>
      </c>
      <c r="F145" s="360">
        <f>F143/D94</f>
        <v>8.3207234426229508</v>
      </c>
      <c r="G145" s="361">
        <f>G143/D94</f>
        <v>17.682498360655735</v>
      </c>
      <c r="H145" s="360">
        <f>H143/D94</f>
        <v>7.4597526229508198</v>
      </c>
      <c r="I145" s="189">
        <f>I143/D94</f>
        <v>72.83133459016392</v>
      </c>
      <c r="J145" s="189">
        <f>J143/D94</f>
        <v>318.86800655737704</v>
      </c>
      <c r="K145" s="244">
        <f>K143/D94</f>
        <v>0.49285059016393434</v>
      </c>
      <c r="L145" s="227"/>
      <c r="M145" s="227"/>
      <c r="N145" s="303"/>
      <c r="P145" s="350"/>
      <c r="Q145" s="351"/>
      <c r="R145" s="351"/>
      <c r="S145" s="351"/>
      <c r="T145" s="351"/>
      <c r="U145" s="352"/>
      <c r="V145" s="352"/>
    </row>
    <row r="146" spans="1:22" ht="20.399999999999999" customHeight="1">
      <c r="A146" s="263"/>
      <c r="B146" s="264"/>
      <c r="C146" s="265"/>
      <c r="D146" s="103"/>
      <c r="E146" s="337">
        <f>E145+F145</f>
        <v>27.199667704918028</v>
      </c>
      <c r="F146" s="338"/>
      <c r="G146" s="337">
        <f>G145+H145</f>
        <v>25.142250983606555</v>
      </c>
      <c r="H146" s="338"/>
      <c r="I146" s="190"/>
      <c r="J146" s="190"/>
      <c r="K146" s="245"/>
      <c r="L146" s="227"/>
      <c r="M146" s="227"/>
      <c r="N146" s="303"/>
      <c r="P146" s="353"/>
      <c r="Q146" s="351"/>
      <c r="R146" s="351"/>
      <c r="S146" s="354"/>
      <c r="T146" s="354"/>
      <c r="U146" s="351"/>
      <c r="V146" s="351"/>
    </row>
    <row r="147" spans="1:22" ht="20.399999999999999" customHeight="1">
      <c r="A147" s="207" t="s">
        <v>71</v>
      </c>
      <c r="B147" s="208"/>
      <c r="C147" s="209"/>
      <c r="D147" s="153" t="s">
        <v>28</v>
      </c>
      <c r="E147" s="316" t="s">
        <v>24</v>
      </c>
      <c r="F147" s="316"/>
      <c r="G147" s="316" t="s">
        <v>25</v>
      </c>
      <c r="H147" s="316"/>
      <c r="I147" s="348" t="s">
        <v>26</v>
      </c>
      <c r="J147" s="151">
        <v>500</v>
      </c>
      <c r="K147" s="151">
        <v>0.5</v>
      </c>
      <c r="L147" s="227"/>
      <c r="M147" s="227"/>
      <c r="N147" s="303"/>
      <c r="O147" s="340"/>
      <c r="P147" s="350"/>
      <c r="Q147" s="350"/>
      <c r="R147" s="350"/>
      <c r="S147" s="350"/>
      <c r="T147" s="350"/>
      <c r="U147" s="350"/>
      <c r="V147" s="350"/>
    </row>
    <row r="148" spans="1:22" ht="20.399999999999999" customHeight="1">
      <c r="A148" s="180" t="s">
        <v>69</v>
      </c>
      <c r="B148" s="246"/>
      <c r="C148" s="181"/>
      <c r="D148" s="37"/>
      <c r="E148" s="185">
        <f>E146*4.1</f>
        <v>111.51863759016391</v>
      </c>
      <c r="F148" s="186"/>
      <c r="G148" s="185">
        <f>G146*9</f>
        <v>226.28025885245899</v>
      </c>
      <c r="H148" s="186"/>
      <c r="I148" s="66">
        <f>I145*4.1</f>
        <v>298.60847181967205</v>
      </c>
      <c r="J148" s="218"/>
      <c r="K148" s="218"/>
      <c r="L148" s="227"/>
      <c r="M148" s="227"/>
      <c r="N148" s="303"/>
      <c r="O148" s="340"/>
      <c r="P148" s="355"/>
      <c r="Q148" s="356"/>
      <c r="R148" s="356"/>
      <c r="S148" s="356"/>
      <c r="T148" s="350"/>
      <c r="U148" s="350"/>
      <c r="V148" s="350"/>
    </row>
    <row r="149" spans="1:22" ht="20.399999999999999" customHeight="1">
      <c r="A149" s="221" t="s">
        <v>78</v>
      </c>
      <c r="B149" s="222"/>
      <c r="C149" s="180" t="s">
        <v>52</v>
      </c>
      <c r="D149" s="181"/>
      <c r="E149" s="225">
        <f>E148*100/D145</f>
        <v>17.529308453875576</v>
      </c>
      <c r="F149" s="226"/>
      <c r="G149" s="225">
        <f>G148*100/D145</f>
        <v>35.568372607140027</v>
      </c>
      <c r="H149" s="226"/>
      <c r="I149" s="93">
        <f>I148*100/D145</f>
        <v>46.937445816941405</v>
      </c>
      <c r="J149" s="219"/>
      <c r="K149" s="219"/>
      <c r="L149" s="227"/>
      <c r="M149" s="227"/>
      <c r="N149" s="303"/>
      <c r="O149" s="340"/>
      <c r="P149" s="350"/>
      <c r="Q149" s="350"/>
      <c r="R149" s="350"/>
      <c r="S149" s="350"/>
      <c r="T149" s="350"/>
      <c r="U149" s="350"/>
      <c r="V149" s="350"/>
    </row>
    <row r="150" spans="1:22" ht="20.399999999999999" customHeight="1">
      <c r="A150" s="223"/>
      <c r="B150" s="224"/>
      <c r="C150" s="180" t="s">
        <v>70</v>
      </c>
      <c r="D150" s="181"/>
      <c r="E150" s="180" t="s">
        <v>73</v>
      </c>
      <c r="F150" s="181"/>
      <c r="G150" s="180" t="s">
        <v>76</v>
      </c>
      <c r="H150" s="181"/>
      <c r="I150" s="153" t="s">
        <v>77</v>
      </c>
      <c r="J150" s="220"/>
      <c r="K150" s="220"/>
      <c r="L150" s="227"/>
      <c r="M150" s="227"/>
      <c r="N150" s="303"/>
      <c r="O150" s="340"/>
      <c r="P150" s="341"/>
    </row>
    <row r="151" spans="1:22" ht="20.399999999999999" customHeight="1">
      <c r="A151" s="69"/>
      <c r="B151" s="69"/>
      <c r="C151" s="69"/>
      <c r="D151" s="69"/>
      <c r="E151" s="69"/>
      <c r="F151" s="69"/>
      <c r="G151" s="69"/>
      <c r="H151" s="69"/>
      <c r="I151" s="69"/>
      <c r="J151" s="69"/>
      <c r="K151" s="69"/>
      <c r="L151" s="73"/>
      <c r="M151" s="73"/>
      <c r="N151" s="74"/>
      <c r="O151" s="340"/>
    </row>
    <row r="152" spans="1:22" ht="21" customHeight="1">
      <c r="A152" s="228" t="s">
        <v>98</v>
      </c>
      <c r="B152" s="228"/>
      <c r="C152" s="228"/>
      <c r="D152" s="228"/>
      <c r="E152" s="228"/>
      <c r="F152" s="228"/>
      <c r="G152" s="228"/>
      <c r="H152" s="228"/>
      <c r="I152" s="228"/>
      <c r="J152" s="228"/>
      <c r="K152" s="228"/>
      <c r="L152" s="228"/>
      <c r="M152" s="228"/>
      <c r="N152" s="228"/>
      <c r="O152" s="340"/>
    </row>
    <row r="153" spans="1:22" ht="21" customHeight="1">
      <c r="A153" s="95" t="s">
        <v>99</v>
      </c>
      <c r="B153" s="229" t="s">
        <v>100</v>
      </c>
      <c r="C153" s="229"/>
      <c r="D153" s="229"/>
      <c r="E153" s="229"/>
      <c r="F153" s="229"/>
      <c r="G153" s="229"/>
      <c r="H153" s="229"/>
      <c r="I153" s="229"/>
      <c r="J153" s="229"/>
      <c r="K153" s="229"/>
      <c r="L153" s="229"/>
      <c r="M153" s="229"/>
      <c r="N153" s="229"/>
      <c r="O153" s="340"/>
    </row>
    <row r="154" spans="1:22" ht="21" customHeight="1">
      <c r="A154" s="96"/>
      <c r="B154" s="199" t="s">
        <v>176</v>
      </c>
      <c r="C154" s="199"/>
      <c r="D154" s="199"/>
      <c r="E154" s="199"/>
      <c r="F154" s="199"/>
      <c r="G154" s="199"/>
      <c r="H154" s="199"/>
      <c r="I154" s="199"/>
      <c r="J154" s="199"/>
      <c r="K154" s="199"/>
      <c r="L154" s="199"/>
      <c r="M154" s="199"/>
      <c r="N154" s="199"/>
      <c r="O154" s="340"/>
    </row>
    <row r="155" spans="1:22" ht="21" customHeight="1">
      <c r="A155" s="96"/>
      <c r="B155" s="199" t="s">
        <v>159</v>
      </c>
      <c r="C155" s="199"/>
      <c r="D155" s="199"/>
      <c r="E155" s="199"/>
      <c r="F155" s="199"/>
      <c r="G155" s="199"/>
      <c r="H155" s="199"/>
      <c r="I155" s="199"/>
      <c r="J155" s="199"/>
      <c r="K155" s="199"/>
      <c r="L155" s="199"/>
      <c r="M155" s="199"/>
      <c r="N155" s="199"/>
      <c r="O155" s="340"/>
    </row>
    <row r="156" spans="1:22" ht="21" customHeight="1">
      <c r="A156" s="96"/>
      <c r="B156" s="199" t="s">
        <v>177</v>
      </c>
      <c r="C156" s="199"/>
      <c r="D156" s="199"/>
      <c r="E156" s="199"/>
      <c r="F156" s="199"/>
      <c r="G156" s="199"/>
      <c r="H156" s="199"/>
      <c r="I156" s="199"/>
      <c r="J156" s="199"/>
      <c r="K156" s="199"/>
      <c r="L156" s="199"/>
      <c r="M156" s="199"/>
      <c r="N156" s="199"/>
      <c r="O156" s="340"/>
    </row>
    <row r="157" spans="1:22" ht="21" customHeight="1">
      <c r="A157" s="69"/>
      <c r="B157" s="200" t="s">
        <v>101</v>
      </c>
      <c r="C157" s="200"/>
      <c r="D157" s="200"/>
      <c r="E157" s="200"/>
      <c r="F157" s="200"/>
      <c r="G157" s="200"/>
      <c r="H157" s="200"/>
      <c r="I157" s="200"/>
      <c r="J157" s="200"/>
      <c r="K157" s="200"/>
      <c r="L157" s="200"/>
      <c r="M157" s="200"/>
      <c r="N157" s="200"/>
      <c r="O157" s="340"/>
    </row>
    <row r="158" spans="1:22" ht="21" customHeight="1">
      <c r="A158" s="69"/>
      <c r="B158" s="69"/>
      <c r="C158" s="69"/>
      <c r="D158" s="69"/>
      <c r="E158" s="69"/>
      <c r="F158" s="69"/>
      <c r="G158" s="69"/>
      <c r="H158" s="69"/>
      <c r="I158" s="69"/>
      <c r="J158" s="69"/>
      <c r="K158" s="69"/>
      <c r="L158" s="73"/>
      <c r="M158" s="73"/>
      <c r="N158" s="74"/>
      <c r="O158" s="340"/>
    </row>
    <row r="159" spans="1:22" ht="21" customHeight="1">
      <c r="A159" s="198" t="s">
        <v>55</v>
      </c>
      <c r="B159" s="198"/>
      <c r="C159" s="198"/>
      <c r="D159" s="198"/>
      <c r="E159" s="342"/>
      <c r="F159" s="342"/>
      <c r="G159" s="342"/>
      <c r="H159" s="342"/>
      <c r="I159" s="342"/>
      <c r="J159" s="343" t="s">
        <v>32</v>
      </c>
      <c r="K159" s="343"/>
      <c r="L159" s="343"/>
      <c r="M159" s="343"/>
      <c r="N159" s="343"/>
      <c r="O159" s="340"/>
    </row>
    <row r="160" spans="1:22" ht="21" customHeight="1">
      <c r="A160" s="148"/>
      <c r="B160" s="148"/>
      <c r="C160" s="148"/>
      <c r="D160" s="342"/>
      <c r="E160" s="342"/>
      <c r="F160" s="342"/>
      <c r="G160" s="342"/>
      <c r="H160" s="344"/>
      <c r="I160" s="344"/>
      <c r="J160" s="344"/>
      <c r="K160" s="344"/>
      <c r="L160" s="344"/>
      <c r="M160" s="344"/>
      <c r="N160" s="344"/>
      <c r="O160" s="340"/>
    </row>
    <row r="161" spans="1:15" ht="21" customHeight="1">
      <c r="A161" s="148"/>
      <c r="B161" s="148"/>
      <c r="C161" s="148"/>
      <c r="D161" s="342"/>
      <c r="E161" s="342"/>
      <c r="F161" s="342"/>
      <c r="G161" s="342"/>
      <c r="H161" s="344"/>
      <c r="I161" s="344"/>
      <c r="J161" s="344"/>
      <c r="K161" s="344"/>
      <c r="L161" s="344"/>
      <c r="M161" s="344"/>
      <c r="N161" s="344"/>
      <c r="O161" s="340"/>
    </row>
    <row r="162" spans="1:15" ht="21" customHeight="1">
      <c r="A162" s="148"/>
      <c r="B162" s="148"/>
      <c r="C162" s="148"/>
      <c r="D162" s="342"/>
      <c r="E162" s="342"/>
      <c r="F162" s="342"/>
      <c r="G162" s="342"/>
      <c r="H162" s="344"/>
      <c r="I162" s="344"/>
      <c r="J162" s="345" t="s">
        <v>108</v>
      </c>
      <c r="K162" s="345"/>
      <c r="L162" s="345"/>
      <c r="M162" s="345"/>
      <c r="N162" s="345"/>
      <c r="O162" s="340"/>
    </row>
    <row r="163" spans="1:15" ht="21" customHeight="1">
      <c r="A163" s="182" t="s">
        <v>81</v>
      </c>
      <c r="B163" s="182"/>
      <c r="C163" s="182"/>
      <c r="D163" s="182"/>
      <c r="E163" s="342"/>
      <c r="F163" s="342"/>
      <c r="G163" s="342"/>
      <c r="H163" s="344"/>
      <c r="I163" s="344"/>
      <c r="J163" s="345"/>
      <c r="K163" s="345"/>
      <c r="L163" s="345"/>
      <c r="M163" s="345"/>
      <c r="N163" s="345"/>
      <c r="O163" s="340"/>
    </row>
    <row r="164" spans="1:15" ht="20.399999999999999" customHeight="1">
      <c r="J164" s="344"/>
      <c r="K164" s="344"/>
      <c r="L164" s="344"/>
      <c r="M164" s="344"/>
      <c r="N164" s="344"/>
    </row>
    <row r="165" spans="1:15" ht="20.399999999999999" customHeight="1">
      <c r="J165" s="345" t="s">
        <v>111</v>
      </c>
      <c r="K165" s="345"/>
      <c r="L165" s="345"/>
      <c r="M165" s="345"/>
      <c r="N165" s="345"/>
    </row>
  </sheetData>
  <mergeCells count="207">
    <mergeCell ref="S55:T55"/>
    <mergeCell ref="Q145:R145"/>
    <mergeCell ref="S145:T145"/>
    <mergeCell ref="E147:F147"/>
    <mergeCell ref="G147:H147"/>
    <mergeCell ref="E95:F96"/>
    <mergeCell ref="G95:H96"/>
    <mergeCell ref="I95:I98"/>
    <mergeCell ref="L95:L98"/>
    <mergeCell ref="N95:N98"/>
    <mergeCell ref="E97:E98"/>
    <mergeCell ref="M111:M112"/>
    <mergeCell ref="N111:N112"/>
    <mergeCell ref="E56:F56"/>
    <mergeCell ref="G56:H56"/>
    <mergeCell ref="F85:N85"/>
    <mergeCell ref="G57:H57"/>
    <mergeCell ref="G146:H146"/>
    <mergeCell ref="H97:H98"/>
    <mergeCell ref="A99:N99"/>
    <mergeCell ref="C95:C98"/>
    <mergeCell ref="G144:H144"/>
    <mergeCell ref="Q55:R55"/>
    <mergeCell ref="B67:N67"/>
    <mergeCell ref="E45:F46"/>
    <mergeCell ref="G45:H46"/>
    <mergeCell ref="I45:I48"/>
    <mergeCell ref="J45:J48"/>
    <mergeCell ref="J90:N90"/>
    <mergeCell ref="C45:C48"/>
    <mergeCell ref="G59:H59"/>
    <mergeCell ref="C60:D60"/>
    <mergeCell ref="A59:B60"/>
    <mergeCell ref="C59:D59"/>
    <mergeCell ref="E59:F59"/>
    <mergeCell ref="E60:F60"/>
    <mergeCell ref="G60:H60"/>
    <mergeCell ref="M45:M48"/>
    <mergeCell ref="N45:N48"/>
    <mergeCell ref="E47:E48"/>
    <mergeCell ref="F47:F48"/>
    <mergeCell ref="G47:G48"/>
    <mergeCell ref="H47:H48"/>
    <mergeCell ref="K45:K48"/>
    <mergeCell ref="L45:L48"/>
    <mergeCell ref="A45:A48"/>
    <mergeCell ref="A57:C57"/>
    <mergeCell ref="J55:J56"/>
    <mergeCell ref="F1:N1"/>
    <mergeCell ref="A15:N15"/>
    <mergeCell ref="A11:A14"/>
    <mergeCell ref="B11:B14"/>
    <mergeCell ref="C11:C14"/>
    <mergeCell ref="D11:D14"/>
    <mergeCell ref="E11:F12"/>
    <mergeCell ref="G11:H12"/>
    <mergeCell ref="I11:I14"/>
    <mergeCell ref="L11:L14"/>
    <mergeCell ref="N11:N14"/>
    <mergeCell ref="E13:E14"/>
    <mergeCell ref="F13:F14"/>
    <mergeCell ref="G13:G14"/>
    <mergeCell ref="H13:H14"/>
    <mergeCell ref="A6:D6"/>
    <mergeCell ref="A10:C10"/>
    <mergeCell ref="A7:D7"/>
    <mergeCell ref="A5:D5"/>
    <mergeCell ref="E5:N5"/>
    <mergeCell ref="J11:J14"/>
    <mergeCell ref="A8:D8"/>
    <mergeCell ref="M27:M28"/>
    <mergeCell ref="A51:B52"/>
    <mergeCell ref="M49:M50"/>
    <mergeCell ref="N49:N50"/>
    <mergeCell ref="E54:F54"/>
    <mergeCell ref="G54:H54"/>
    <mergeCell ref="J6:N9"/>
    <mergeCell ref="M11:M14"/>
    <mergeCell ref="A58:C58"/>
    <mergeCell ref="E58:F58"/>
    <mergeCell ref="G58:H58"/>
    <mergeCell ref="N27:N28"/>
    <mergeCell ref="A29:B30"/>
    <mergeCell ref="A31:B31"/>
    <mergeCell ref="A55:C56"/>
    <mergeCell ref="E57:F57"/>
    <mergeCell ref="D53:D54"/>
    <mergeCell ref="J53:J54"/>
    <mergeCell ref="K53:K54"/>
    <mergeCell ref="B45:B48"/>
    <mergeCell ref="K55:K56"/>
    <mergeCell ref="K11:K14"/>
    <mergeCell ref="A9:D9"/>
    <mergeCell ref="E6:I9"/>
    <mergeCell ref="U54:V54"/>
    <mergeCell ref="U55:V55"/>
    <mergeCell ref="U145:V145"/>
    <mergeCell ref="Q54:R54"/>
    <mergeCell ref="S54:T54"/>
    <mergeCell ref="A95:A98"/>
    <mergeCell ref="B95:B98"/>
    <mergeCell ref="I55:I56"/>
    <mergeCell ref="A53:B54"/>
    <mergeCell ref="C53:C54"/>
    <mergeCell ref="M95:M98"/>
    <mergeCell ref="J58:J60"/>
    <mergeCell ref="K58:K60"/>
    <mergeCell ref="A94:C94"/>
    <mergeCell ref="A62:N62"/>
    <mergeCell ref="B63:N63"/>
    <mergeCell ref="B64:N64"/>
    <mergeCell ref="L53:L60"/>
    <mergeCell ref="M53:M60"/>
    <mergeCell ref="N53:N60"/>
    <mergeCell ref="I53:I54"/>
    <mergeCell ref="A143:B144"/>
    <mergeCell ref="C143:C144"/>
    <mergeCell ref="A115:B115"/>
    <mergeCell ref="A127:B128"/>
    <mergeCell ref="A129:B129"/>
    <mergeCell ref="M139:M140"/>
    <mergeCell ref="N139:N140"/>
    <mergeCell ref="A141:B142"/>
    <mergeCell ref="J143:J144"/>
    <mergeCell ref="K143:K144"/>
    <mergeCell ref="M125:M126"/>
    <mergeCell ref="N125:N126"/>
    <mergeCell ref="A135:A138"/>
    <mergeCell ref="B135:B138"/>
    <mergeCell ref="C135:C138"/>
    <mergeCell ref="D135:D138"/>
    <mergeCell ref="E135:F136"/>
    <mergeCell ref="G135:H136"/>
    <mergeCell ref="I135:I138"/>
    <mergeCell ref="J135:J138"/>
    <mergeCell ref="K135:K138"/>
    <mergeCell ref="L135:L138"/>
    <mergeCell ref="M135:M138"/>
    <mergeCell ref="N135:N138"/>
    <mergeCell ref="G150:H150"/>
    <mergeCell ref="L143:L150"/>
    <mergeCell ref="M143:M150"/>
    <mergeCell ref="N143:N150"/>
    <mergeCell ref="A145:C146"/>
    <mergeCell ref="A147:C147"/>
    <mergeCell ref="J148:J150"/>
    <mergeCell ref="A152:N152"/>
    <mergeCell ref="U146:V146"/>
    <mergeCell ref="Q146:R146"/>
    <mergeCell ref="S146:T146"/>
    <mergeCell ref="D95:D98"/>
    <mergeCell ref="F97:F98"/>
    <mergeCell ref="G97:G98"/>
    <mergeCell ref="K95:K98"/>
    <mergeCell ref="A91:D91"/>
    <mergeCell ref="J91:N91"/>
    <mergeCell ref="J92:N92"/>
    <mergeCell ref="J93:N93"/>
    <mergeCell ref="A163:D163"/>
    <mergeCell ref="J163:N163"/>
    <mergeCell ref="K148:K150"/>
    <mergeCell ref="A149:B150"/>
    <mergeCell ref="C149:D149"/>
    <mergeCell ref="E149:F149"/>
    <mergeCell ref="K145:K146"/>
    <mergeCell ref="D143:D144"/>
    <mergeCell ref="I143:I144"/>
    <mergeCell ref="E144:F144"/>
    <mergeCell ref="I145:I146"/>
    <mergeCell ref="E146:F146"/>
    <mergeCell ref="J145:J146"/>
    <mergeCell ref="G149:H149"/>
    <mergeCell ref="C150:D150"/>
    <mergeCell ref="E150:F150"/>
    <mergeCell ref="B65:N65"/>
    <mergeCell ref="B66:N66"/>
    <mergeCell ref="A69:D69"/>
    <mergeCell ref="J69:N69"/>
    <mergeCell ref="A73:D73"/>
    <mergeCell ref="J73:N73"/>
    <mergeCell ref="A89:D90"/>
    <mergeCell ref="E89:N89"/>
    <mergeCell ref="E90:I90"/>
    <mergeCell ref="J162:N162"/>
    <mergeCell ref="J165:N165"/>
    <mergeCell ref="D45:D48"/>
    <mergeCell ref="J72:N72"/>
    <mergeCell ref="J75:N75"/>
    <mergeCell ref="B153:N153"/>
    <mergeCell ref="B154:N154"/>
    <mergeCell ref="B155:N155"/>
    <mergeCell ref="B156:N156"/>
    <mergeCell ref="B157:N157"/>
    <mergeCell ref="A159:D159"/>
    <mergeCell ref="J159:N159"/>
    <mergeCell ref="A148:C148"/>
    <mergeCell ref="E148:F148"/>
    <mergeCell ref="G148:H148"/>
    <mergeCell ref="A113:B114"/>
    <mergeCell ref="E91:I93"/>
    <mergeCell ref="E137:E138"/>
    <mergeCell ref="F137:F138"/>
    <mergeCell ref="G137:G138"/>
    <mergeCell ref="H137:H138"/>
    <mergeCell ref="A92:D92"/>
    <mergeCell ref="A93:D93"/>
    <mergeCell ref="J95:J98"/>
  </mergeCells>
  <pageMargins left="0.54166666666666663" right="0.13333333333333333" top="0.42708333333333331" bottom="0.41666666666666669" header="0.3" footer="0.3"/>
  <pageSetup paperSize="9" orientation="portrait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W156"/>
  <sheetViews>
    <sheetView workbookViewId="0">
      <selection activeCell="F50" sqref="F50"/>
    </sheetView>
  </sheetViews>
  <sheetFormatPr defaultColWidth="9.109375" defaultRowHeight="21" customHeight="1"/>
  <cols>
    <col min="1" max="1" width="4" style="1" customWidth="1"/>
    <col min="2" max="2" width="12" style="1" customWidth="1"/>
    <col min="3" max="3" width="5.33203125" style="1" customWidth="1"/>
    <col min="4" max="4" width="8" style="1" customWidth="1"/>
    <col min="5" max="8" width="6.109375" style="1" customWidth="1"/>
    <col min="9" max="9" width="7" style="1" customWidth="1"/>
    <col min="10" max="10" width="7.6640625" style="1" customWidth="1"/>
    <col min="11" max="11" width="7.44140625" style="1" customWidth="1"/>
    <col min="12" max="12" width="5.6640625" style="1" customWidth="1"/>
    <col min="13" max="13" width="5.33203125" style="1" customWidth="1"/>
    <col min="14" max="14" width="7.44140625" style="1" customWidth="1"/>
    <col min="15" max="15" width="11.88671875" style="1" customWidth="1"/>
    <col min="16" max="16" width="9.109375" style="1"/>
    <col min="17" max="22" width="7.88671875" style="1" customWidth="1"/>
    <col min="23" max="16384" width="9.109375" style="1"/>
  </cols>
  <sheetData>
    <row r="1" spans="1:20" ht="21.6" customHeight="1">
      <c r="A1" s="11" t="s">
        <v>54</v>
      </c>
      <c r="B1" s="8"/>
      <c r="C1" s="8"/>
      <c r="D1" s="8"/>
      <c r="E1" s="8"/>
      <c r="F1" s="232" t="s">
        <v>30</v>
      </c>
      <c r="G1" s="232"/>
      <c r="H1" s="232"/>
      <c r="I1" s="232"/>
      <c r="J1" s="232"/>
      <c r="K1" s="232"/>
      <c r="L1" s="232"/>
      <c r="M1" s="232"/>
      <c r="N1" s="232"/>
      <c r="O1" s="327"/>
      <c r="P1" s="327"/>
      <c r="T1" s="2"/>
    </row>
    <row r="2" spans="1:20" ht="21.6" customHeight="1">
      <c r="A2" s="8" t="s">
        <v>178</v>
      </c>
      <c r="B2" s="8"/>
      <c r="C2" s="8"/>
      <c r="D2" s="8"/>
      <c r="E2" s="8"/>
      <c r="F2" s="152"/>
      <c r="G2" s="152"/>
      <c r="H2" s="152"/>
      <c r="I2" s="152"/>
      <c r="J2" s="152"/>
      <c r="K2" s="152"/>
      <c r="L2" s="152"/>
      <c r="M2" s="152"/>
      <c r="N2" s="152"/>
      <c r="O2" s="327"/>
      <c r="P2" s="327"/>
      <c r="T2" s="2"/>
    </row>
    <row r="3" spans="1:20" s="2" customFormat="1" ht="21.6" customHeight="1">
      <c r="A3" s="158" t="s">
        <v>86</v>
      </c>
      <c r="B3" s="158"/>
      <c r="C3" s="158"/>
      <c r="D3" s="158"/>
      <c r="E3" s="158" t="s">
        <v>87</v>
      </c>
      <c r="F3" s="158"/>
      <c r="G3" s="158"/>
      <c r="H3" s="158"/>
      <c r="I3" s="158"/>
      <c r="J3" s="158"/>
      <c r="K3" s="158"/>
      <c r="L3" s="158"/>
      <c r="M3" s="158"/>
      <c r="N3" s="158"/>
      <c r="O3" s="328"/>
    </row>
    <row r="4" spans="1:20" s="2" customFormat="1" ht="21.6" customHeight="1">
      <c r="A4" s="230" t="s">
        <v>80</v>
      </c>
      <c r="B4" s="230"/>
      <c r="C4" s="230"/>
      <c r="D4" s="230"/>
      <c r="E4" s="231" t="s">
        <v>123</v>
      </c>
      <c r="F4" s="231"/>
      <c r="G4" s="231"/>
      <c r="H4" s="231"/>
      <c r="I4" s="231"/>
      <c r="J4" s="248" t="s">
        <v>140</v>
      </c>
      <c r="K4" s="249"/>
      <c r="L4" s="249"/>
      <c r="M4" s="249"/>
      <c r="N4" s="250"/>
      <c r="O4" s="328"/>
    </row>
    <row r="5" spans="1:20" s="2" customFormat="1" ht="21.6" customHeight="1">
      <c r="A5" s="297" t="s">
        <v>139</v>
      </c>
      <c r="B5" s="298"/>
      <c r="C5" s="298"/>
      <c r="D5" s="299"/>
      <c r="E5" s="231"/>
      <c r="F5" s="231"/>
      <c r="G5" s="231"/>
      <c r="H5" s="231"/>
      <c r="I5" s="231"/>
      <c r="J5" s="251"/>
      <c r="K5" s="252"/>
      <c r="L5" s="252"/>
      <c r="M5" s="252"/>
      <c r="N5" s="253"/>
      <c r="O5" s="328"/>
    </row>
    <row r="6" spans="1:20" s="2" customFormat="1" ht="21.6" customHeight="1">
      <c r="A6" s="183" t="s">
        <v>160</v>
      </c>
      <c r="B6" s="183"/>
      <c r="C6" s="183"/>
      <c r="D6" s="183"/>
      <c r="E6" s="231"/>
      <c r="F6" s="231"/>
      <c r="G6" s="231"/>
      <c r="H6" s="231"/>
      <c r="I6" s="231"/>
      <c r="J6" s="251"/>
      <c r="K6" s="252"/>
      <c r="L6" s="252"/>
      <c r="M6" s="252"/>
      <c r="N6" s="253"/>
      <c r="O6" s="328"/>
    </row>
    <row r="7" spans="1:20" s="2" customFormat="1" ht="21.6" customHeight="1">
      <c r="A7" s="300" t="s">
        <v>161</v>
      </c>
      <c r="B7" s="300"/>
      <c r="C7" s="300"/>
      <c r="D7" s="300"/>
      <c r="E7" s="231"/>
      <c r="F7" s="231"/>
      <c r="G7" s="231"/>
      <c r="H7" s="231"/>
      <c r="I7" s="231"/>
      <c r="J7" s="254"/>
      <c r="K7" s="255"/>
      <c r="L7" s="255"/>
      <c r="M7" s="255"/>
      <c r="N7" s="256"/>
      <c r="O7" s="328"/>
    </row>
    <row r="8" spans="1:20" s="2" customFormat="1" ht="21.6" customHeight="1">
      <c r="A8" s="195" t="s">
        <v>106</v>
      </c>
      <c r="B8" s="196"/>
      <c r="C8" s="197"/>
      <c r="D8" s="104">
        <v>110</v>
      </c>
      <c r="E8" s="68"/>
      <c r="F8" s="68"/>
      <c r="G8" s="68"/>
      <c r="H8" s="68"/>
      <c r="I8" s="68"/>
      <c r="J8" s="68"/>
      <c r="K8" s="68"/>
      <c r="L8" s="68"/>
      <c r="M8" s="68"/>
      <c r="N8" s="68"/>
      <c r="O8" s="328"/>
    </row>
    <row r="9" spans="1:20" ht="21.6" customHeight="1">
      <c r="A9" s="159" t="s">
        <v>0</v>
      </c>
      <c r="B9" s="162" t="s">
        <v>19</v>
      </c>
      <c r="C9" s="275" t="s">
        <v>8</v>
      </c>
      <c r="D9" s="165" t="s">
        <v>9</v>
      </c>
      <c r="E9" s="170" t="s">
        <v>11</v>
      </c>
      <c r="F9" s="171"/>
      <c r="G9" s="170" t="s">
        <v>13</v>
      </c>
      <c r="H9" s="171"/>
      <c r="I9" s="174" t="s">
        <v>16</v>
      </c>
      <c r="J9" s="174" t="s">
        <v>39</v>
      </c>
      <c r="K9" s="174" t="s">
        <v>40</v>
      </c>
      <c r="L9" s="174" t="s">
        <v>17</v>
      </c>
      <c r="M9" s="174" t="s">
        <v>50</v>
      </c>
      <c r="N9" s="159" t="s">
        <v>18</v>
      </c>
      <c r="O9" s="329"/>
    </row>
    <row r="10" spans="1:20" ht="21.6" customHeight="1">
      <c r="A10" s="160"/>
      <c r="B10" s="163"/>
      <c r="C10" s="276"/>
      <c r="D10" s="166"/>
      <c r="E10" s="172"/>
      <c r="F10" s="173"/>
      <c r="G10" s="172"/>
      <c r="H10" s="173"/>
      <c r="I10" s="175"/>
      <c r="J10" s="175"/>
      <c r="K10" s="175"/>
      <c r="L10" s="175"/>
      <c r="M10" s="175"/>
      <c r="N10" s="160"/>
      <c r="O10" s="148"/>
    </row>
    <row r="11" spans="1:20" ht="21.6" customHeight="1">
      <c r="A11" s="160"/>
      <c r="B11" s="163"/>
      <c r="C11" s="276"/>
      <c r="D11" s="166"/>
      <c r="E11" s="174" t="s">
        <v>10</v>
      </c>
      <c r="F11" s="174" t="s">
        <v>12</v>
      </c>
      <c r="G11" s="174" t="s">
        <v>14</v>
      </c>
      <c r="H11" s="174" t="s">
        <v>15</v>
      </c>
      <c r="I11" s="175"/>
      <c r="J11" s="175"/>
      <c r="K11" s="175"/>
      <c r="L11" s="175"/>
      <c r="M11" s="175"/>
      <c r="N11" s="160"/>
      <c r="O11" s="148"/>
    </row>
    <row r="12" spans="1:20" ht="21.6" customHeight="1">
      <c r="A12" s="161"/>
      <c r="B12" s="164"/>
      <c r="C12" s="277"/>
      <c r="D12" s="167"/>
      <c r="E12" s="176"/>
      <c r="F12" s="176"/>
      <c r="G12" s="176"/>
      <c r="H12" s="176"/>
      <c r="I12" s="176"/>
      <c r="J12" s="176"/>
      <c r="K12" s="176"/>
      <c r="L12" s="176"/>
      <c r="M12" s="176"/>
      <c r="N12" s="161"/>
      <c r="O12" s="148"/>
    </row>
    <row r="13" spans="1:20" ht="19.8" customHeight="1">
      <c r="A13" s="237" t="s">
        <v>33</v>
      </c>
      <c r="B13" s="238"/>
      <c r="C13" s="238"/>
      <c r="D13" s="238"/>
      <c r="E13" s="238"/>
      <c r="F13" s="238"/>
      <c r="G13" s="238"/>
      <c r="H13" s="238"/>
      <c r="I13" s="238"/>
      <c r="J13" s="238"/>
      <c r="K13" s="238"/>
      <c r="L13" s="238"/>
      <c r="M13" s="238"/>
      <c r="N13" s="239"/>
      <c r="O13" s="148"/>
    </row>
    <row r="14" spans="1:20" s="2" customFormat="1" ht="19.8" customHeight="1">
      <c r="A14" s="9">
        <v>1</v>
      </c>
      <c r="B14" s="10" t="s">
        <v>2</v>
      </c>
      <c r="C14" s="18">
        <f>L14/100*100</f>
        <v>140</v>
      </c>
      <c r="D14" s="19">
        <f>C14/100*60</f>
        <v>84</v>
      </c>
      <c r="E14" s="20">
        <f>C14/100*15</f>
        <v>21</v>
      </c>
      <c r="F14" s="20"/>
      <c r="G14" s="20"/>
      <c r="H14" s="20"/>
      <c r="I14" s="20"/>
      <c r="J14" s="22">
        <f>C14/100*387</f>
        <v>541.79999999999995</v>
      </c>
      <c r="K14" s="22">
        <f>C14/100*0.09</f>
        <v>0.126</v>
      </c>
      <c r="L14" s="110">
        <v>140</v>
      </c>
      <c r="M14" s="56">
        <v>20</v>
      </c>
      <c r="N14" s="23">
        <f>L14*M14</f>
        <v>2800</v>
      </c>
      <c r="O14" s="126"/>
    </row>
    <row r="15" spans="1:20" s="2" customFormat="1" ht="19.8" customHeight="1">
      <c r="A15" s="9">
        <v>2</v>
      </c>
      <c r="B15" s="119" t="s">
        <v>119</v>
      </c>
      <c r="C15" s="18">
        <f>L15/100*100</f>
        <v>340</v>
      </c>
      <c r="D15" s="19">
        <f>C15/100*899</f>
        <v>3056.6</v>
      </c>
      <c r="E15" s="20"/>
      <c r="F15" s="20"/>
      <c r="G15" s="97">
        <f>C15/100*100</f>
        <v>340</v>
      </c>
      <c r="H15" s="97"/>
      <c r="I15" s="20"/>
      <c r="J15" s="22"/>
      <c r="K15" s="22"/>
      <c r="L15" s="110">
        <v>340</v>
      </c>
      <c r="M15" s="56">
        <v>69</v>
      </c>
      <c r="N15" s="23">
        <f t="shared" ref="N15:N23" si="0">L15*M15</f>
        <v>23460</v>
      </c>
      <c r="O15" s="126"/>
    </row>
    <row r="16" spans="1:20" s="2" customFormat="1" ht="19.8" customHeight="1">
      <c r="A16" s="9">
        <v>3</v>
      </c>
      <c r="B16" s="5" t="s">
        <v>1</v>
      </c>
      <c r="C16" s="154">
        <f>L16/100*100</f>
        <v>10450</v>
      </c>
      <c r="D16" s="98">
        <f>C16/100*325</f>
        <v>33962.5</v>
      </c>
      <c r="E16" s="20"/>
      <c r="F16" s="97">
        <f>C16/100*7.9</f>
        <v>825.55000000000007</v>
      </c>
      <c r="G16" s="97"/>
      <c r="H16" s="97">
        <f>C16/100*1</f>
        <v>104.5</v>
      </c>
      <c r="I16" s="97">
        <f>C16/100*68.5</f>
        <v>7158.25</v>
      </c>
      <c r="J16" s="62">
        <f>C16/100*30</f>
        <v>3135</v>
      </c>
      <c r="K16" s="22">
        <f>C16/100*0.1</f>
        <v>10.450000000000001</v>
      </c>
      <c r="L16" s="330">
        <v>10450</v>
      </c>
      <c r="M16" s="56">
        <v>18</v>
      </c>
      <c r="N16" s="23">
        <f t="shared" si="0"/>
        <v>188100</v>
      </c>
      <c r="O16" s="126"/>
    </row>
    <row r="17" spans="1:20" s="2" customFormat="1" ht="19.8" customHeight="1">
      <c r="A17" s="9">
        <v>4</v>
      </c>
      <c r="B17" s="5" t="s">
        <v>62</v>
      </c>
      <c r="C17" s="18">
        <f>L17/100*48</f>
        <v>2313.6000000000004</v>
      </c>
      <c r="D17" s="19">
        <f>C17/100*199</f>
        <v>4604.0640000000003</v>
      </c>
      <c r="E17" s="97">
        <f>C17/100*21.3</f>
        <v>492.79680000000008</v>
      </c>
      <c r="F17" s="97"/>
      <c r="G17" s="97">
        <f>C17/100*13.1</f>
        <v>303.08160000000004</v>
      </c>
      <c r="H17" s="20"/>
      <c r="I17" s="20"/>
      <c r="J17" s="22">
        <f>C17/100*12</f>
        <v>277.63200000000006</v>
      </c>
      <c r="K17" s="22">
        <f>C17/100*0.15</f>
        <v>3.4704000000000002</v>
      </c>
      <c r="L17" s="110">
        <v>4820</v>
      </c>
      <c r="M17" s="21">
        <v>84</v>
      </c>
      <c r="N17" s="23">
        <f t="shared" si="0"/>
        <v>404880</v>
      </c>
      <c r="O17" s="126"/>
      <c r="Q17" s="3"/>
      <c r="R17" s="3"/>
      <c r="S17" s="4"/>
    </row>
    <row r="18" spans="1:20" s="2" customFormat="1" ht="19.8" customHeight="1">
      <c r="A18" s="9">
        <v>5</v>
      </c>
      <c r="B18" s="10" t="s">
        <v>64</v>
      </c>
      <c r="C18" s="18">
        <f>L18/100*98</f>
        <v>1617</v>
      </c>
      <c r="D18" s="19">
        <f>C18/100*139</f>
        <v>2247.63</v>
      </c>
      <c r="E18" s="97">
        <f>C18/100*19.5</f>
        <v>315.31500000000005</v>
      </c>
      <c r="F18" s="20"/>
      <c r="G18" s="97">
        <f>C18/100*7</f>
        <v>113.19000000000001</v>
      </c>
      <c r="H18" s="20"/>
      <c r="I18" s="20"/>
      <c r="J18" s="20">
        <f>C18/100*7</f>
        <v>113.19000000000001</v>
      </c>
      <c r="K18" s="20">
        <f>C18/100*0.9</f>
        <v>14.553000000000003</v>
      </c>
      <c r="L18" s="110">
        <v>1650</v>
      </c>
      <c r="M18" s="56">
        <v>133</v>
      </c>
      <c r="N18" s="23">
        <f t="shared" si="0"/>
        <v>219450</v>
      </c>
      <c r="O18" s="126"/>
    </row>
    <row r="19" spans="1:20" s="2" customFormat="1" ht="19.8" customHeight="1">
      <c r="A19" s="9">
        <v>6</v>
      </c>
      <c r="B19" s="60" t="s">
        <v>122</v>
      </c>
      <c r="C19" s="18">
        <f>L19/100*89</f>
        <v>2429.7000000000003</v>
      </c>
      <c r="D19" s="19">
        <f>C19/100*154</f>
        <v>3741.7380000000007</v>
      </c>
      <c r="E19" s="97">
        <f>C19/100*13.1</f>
        <v>318.29070000000007</v>
      </c>
      <c r="F19" s="20"/>
      <c r="G19" s="97">
        <f>C19/100*11.1</f>
        <v>269.69670000000002</v>
      </c>
      <c r="H19" s="20"/>
      <c r="I19" s="20">
        <f>C19/100*0.4</f>
        <v>9.7188000000000017</v>
      </c>
      <c r="J19" s="62">
        <f>C19/100*64</f>
        <v>1555.0080000000003</v>
      </c>
      <c r="K19" s="22">
        <f>C19/100*0.13</f>
        <v>3.1586100000000008</v>
      </c>
      <c r="L19" s="21">
        <v>2730</v>
      </c>
      <c r="M19" s="39">
        <v>77</v>
      </c>
      <c r="N19" s="124">
        <f t="shared" si="0"/>
        <v>210210</v>
      </c>
      <c r="O19" s="126"/>
    </row>
    <row r="20" spans="1:20" s="2" customFormat="1" ht="19.8" customHeight="1">
      <c r="A20" s="9">
        <v>7</v>
      </c>
      <c r="B20" s="5" t="s">
        <v>116</v>
      </c>
      <c r="C20" s="18">
        <f>L20/100*100</f>
        <v>110.00000000000001</v>
      </c>
      <c r="D20" s="19">
        <f>C20/100*247</f>
        <v>271.70000000000005</v>
      </c>
      <c r="E20" s="24"/>
      <c r="F20" s="24">
        <f>C20/100*17.5</f>
        <v>19.25</v>
      </c>
      <c r="G20" s="24"/>
      <c r="H20" s="24">
        <f>C20/100*1.6</f>
        <v>1.7600000000000002</v>
      </c>
      <c r="I20" s="24">
        <f>C20/100*39.2</f>
        <v>43.120000000000005</v>
      </c>
      <c r="J20" s="52"/>
      <c r="K20" s="52"/>
      <c r="L20" s="331">
        <v>110</v>
      </c>
      <c r="M20" s="56">
        <v>50</v>
      </c>
      <c r="N20" s="23">
        <f t="shared" si="0"/>
        <v>5500</v>
      </c>
      <c r="O20" s="126"/>
      <c r="Q20" s="3"/>
      <c r="R20" s="3"/>
      <c r="S20" s="4"/>
      <c r="T20" s="3"/>
    </row>
    <row r="21" spans="1:20" s="2" customFormat="1" ht="19.8" customHeight="1">
      <c r="A21" s="9">
        <v>8</v>
      </c>
      <c r="B21" s="5" t="s">
        <v>20</v>
      </c>
      <c r="C21" s="18">
        <f>L21/100*95</f>
        <v>968.99999999999989</v>
      </c>
      <c r="D21" s="19">
        <f>C21/100*20</f>
        <v>193.79999999999998</v>
      </c>
      <c r="E21" s="20"/>
      <c r="F21" s="20">
        <f>C21/100*0.6</f>
        <v>5.8139999999999992</v>
      </c>
      <c r="G21" s="20"/>
      <c r="H21" s="20">
        <f>C21/100*0.2</f>
        <v>1.9379999999999999</v>
      </c>
      <c r="I21" s="20">
        <f>C21/100*4</f>
        <v>38.76</v>
      </c>
      <c r="J21" s="22">
        <f>C21/100*12</f>
        <v>116.28</v>
      </c>
      <c r="K21" s="19">
        <f>C21/100*0.04</f>
        <v>0.3876</v>
      </c>
      <c r="L21" s="110">
        <v>1020</v>
      </c>
      <c r="M21" s="58">
        <v>22</v>
      </c>
      <c r="N21" s="23">
        <f t="shared" si="0"/>
        <v>22440</v>
      </c>
      <c r="O21" s="332"/>
      <c r="Q21" s="3"/>
      <c r="R21" s="3"/>
      <c r="S21" s="4"/>
    </row>
    <row r="22" spans="1:20" s="2" customFormat="1" ht="19.8" customHeight="1">
      <c r="A22" s="9">
        <v>9</v>
      </c>
      <c r="B22" s="122" t="s">
        <v>162</v>
      </c>
      <c r="C22" s="18">
        <f>L22/100*86</f>
        <v>3078.7999999999997</v>
      </c>
      <c r="D22" s="19">
        <f>C22/100*42</f>
        <v>1293.0959999999998</v>
      </c>
      <c r="E22" s="20"/>
      <c r="F22" s="20">
        <f>C22/100*3.2</f>
        <v>98.521599999999992</v>
      </c>
      <c r="G22" s="20"/>
      <c r="H22" s="20">
        <f>C22/100*0.4</f>
        <v>12.315199999999999</v>
      </c>
      <c r="I22" s="20">
        <f>C22/100*6.3</f>
        <v>193.96439999999998</v>
      </c>
      <c r="J22" s="97">
        <f>C22/100*288</f>
        <v>8866.9439999999995</v>
      </c>
      <c r="K22" s="20">
        <f>C22/100*0.08</f>
        <v>2.4630399999999999</v>
      </c>
      <c r="L22" s="110">
        <v>3580</v>
      </c>
      <c r="M22" s="56">
        <v>15</v>
      </c>
      <c r="N22" s="23">
        <f t="shared" si="0"/>
        <v>53700</v>
      </c>
      <c r="O22" s="126"/>
    </row>
    <row r="23" spans="1:20" s="2" customFormat="1" ht="19.8" customHeight="1">
      <c r="A23" s="9">
        <v>10</v>
      </c>
      <c r="B23" s="122" t="s">
        <v>66</v>
      </c>
      <c r="C23" s="18">
        <f>L23/100*75</f>
        <v>1530</v>
      </c>
      <c r="D23" s="19">
        <f>C23/100*12</f>
        <v>183.60000000000002</v>
      </c>
      <c r="E23" s="20"/>
      <c r="F23" s="20">
        <f>C23/100*0.6</f>
        <v>9.18</v>
      </c>
      <c r="G23" s="20"/>
      <c r="H23" s="20"/>
      <c r="I23" s="20">
        <f>C23/100*2.4</f>
        <v>36.72</v>
      </c>
      <c r="J23" s="20">
        <f>C23/100*26</f>
        <v>397.8</v>
      </c>
      <c r="K23" s="20">
        <f>C23/100*0.02</f>
        <v>0.30599999999999999</v>
      </c>
      <c r="L23" s="110">
        <v>2040</v>
      </c>
      <c r="M23" s="56">
        <v>22</v>
      </c>
      <c r="N23" s="23">
        <f t="shared" si="0"/>
        <v>44880</v>
      </c>
      <c r="O23" s="126"/>
    </row>
    <row r="24" spans="1:20" s="2" customFormat="1" ht="19.8" customHeight="1">
      <c r="A24" s="9">
        <v>11</v>
      </c>
      <c r="B24" s="6" t="s">
        <v>107</v>
      </c>
      <c r="C24" s="18"/>
      <c r="D24" s="19"/>
      <c r="E24" s="20"/>
      <c r="F24" s="20"/>
      <c r="G24" s="20"/>
      <c r="H24" s="20"/>
      <c r="I24" s="20"/>
      <c r="J24" s="22"/>
      <c r="K24" s="22"/>
      <c r="L24" s="21"/>
      <c r="M24" s="21"/>
      <c r="N24" s="23">
        <v>8360</v>
      </c>
      <c r="O24" s="126"/>
    </row>
    <row r="25" spans="1:20" s="2" customFormat="1" ht="19.8" customHeight="1">
      <c r="A25" s="16" t="s">
        <v>93</v>
      </c>
      <c r="B25" s="17"/>
      <c r="C25" s="26"/>
      <c r="D25" s="99">
        <f>SUM(D14:D24)</f>
        <v>49638.727999999988</v>
      </c>
      <c r="E25" s="28"/>
      <c r="F25" s="28"/>
      <c r="G25" s="28"/>
      <c r="H25" s="28"/>
      <c r="I25" s="28"/>
      <c r="J25" s="28"/>
      <c r="K25" s="28"/>
      <c r="L25" s="29"/>
      <c r="M25" s="240"/>
      <c r="N25" s="168">
        <f>SUM(N14:N24)</f>
        <v>1183780</v>
      </c>
      <c r="O25" s="126"/>
    </row>
    <row r="26" spans="1:20" s="2" customFormat="1" ht="19.8" customHeight="1">
      <c r="A26" s="16" t="s">
        <v>6</v>
      </c>
      <c r="B26" s="17"/>
      <c r="C26" s="26"/>
      <c r="D26" s="27">
        <f>D25/D8</f>
        <v>451.26116363636351</v>
      </c>
      <c r="E26" s="28"/>
      <c r="F26" s="28"/>
      <c r="G26" s="28"/>
      <c r="H26" s="28"/>
      <c r="I26" s="28"/>
      <c r="J26" s="28"/>
      <c r="K26" s="28"/>
      <c r="L26" s="29"/>
      <c r="M26" s="241"/>
      <c r="N26" s="169"/>
      <c r="O26" s="126"/>
    </row>
    <row r="27" spans="1:20" s="2" customFormat="1" ht="19.8" customHeight="1">
      <c r="A27" s="210" t="s">
        <v>44</v>
      </c>
      <c r="B27" s="313"/>
      <c r="C27" s="333" t="s">
        <v>125</v>
      </c>
      <c r="D27" s="15" t="s">
        <v>41</v>
      </c>
      <c r="E27" s="28"/>
      <c r="F27" s="28"/>
      <c r="G27" s="28"/>
      <c r="H27" s="28"/>
      <c r="I27" s="28"/>
      <c r="J27" s="28"/>
      <c r="K27" s="28"/>
      <c r="L27" s="29"/>
      <c r="M27" s="29"/>
      <c r="N27" s="30"/>
      <c r="O27" s="126"/>
    </row>
    <row r="28" spans="1:20" s="2" customFormat="1" ht="19.8" customHeight="1">
      <c r="A28" s="314"/>
      <c r="B28" s="315"/>
      <c r="C28" s="57" t="s">
        <v>53</v>
      </c>
      <c r="D28" s="15">
        <f>D26*100/1320</f>
        <v>34.186451790633598</v>
      </c>
      <c r="E28" s="28"/>
      <c r="F28" s="28"/>
      <c r="G28" s="28"/>
      <c r="H28" s="28"/>
      <c r="I28" s="28"/>
      <c r="J28" s="28"/>
      <c r="K28" s="28"/>
      <c r="L28" s="29"/>
      <c r="M28" s="29"/>
      <c r="N28" s="30"/>
      <c r="O28" s="126"/>
    </row>
    <row r="29" spans="1:20" s="2" customFormat="1" ht="19.8" customHeight="1">
      <c r="A29" s="247" t="s">
        <v>34</v>
      </c>
      <c r="B29" s="247"/>
      <c r="C29" s="40"/>
      <c r="D29" s="41"/>
      <c r="E29" s="42"/>
      <c r="F29" s="42"/>
      <c r="G29" s="42"/>
      <c r="H29" s="42"/>
      <c r="I29" s="42"/>
      <c r="J29" s="42"/>
      <c r="K29" s="42"/>
      <c r="L29" s="43"/>
      <c r="M29" s="43"/>
      <c r="N29" s="51"/>
      <c r="O29" s="126"/>
    </row>
    <row r="30" spans="1:20" s="2" customFormat="1" ht="19.8" customHeight="1">
      <c r="A30" s="9">
        <v>1</v>
      </c>
      <c r="B30" s="10" t="s">
        <v>2</v>
      </c>
      <c r="C30" s="18">
        <f t="shared" ref="C30:C36" si="1">L30/100*100</f>
        <v>140</v>
      </c>
      <c r="D30" s="19">
        <f>C30/100*60</f>
        <v>84</v>
      </c>
      <c r="E30" s="20">
        <f>C30/100*15</f>
        <v>21</v>
      </c>
      <c r="F30" s="20"/>
      <c r="G30" s="20"/>
      <c r="H30" s="20"/>
      <c r="I30" s="20"/>
      <c r="J30" s="22">
        <f>C30/100*387</f>
        <v>541.79999999999995</v>
      </c>
      <c r="K30" s="22">
        <f>C30/100*0.09</f>
        <v>0.126</v>
      </c>
      <c r="L30" s="110">
        <v>140</v>
      </c>
      <c r="M30" s="56">
        <v>20</v>
      </c>
      <c r="N30" s="108">
        <f>L30*M30</f>
        <v>2800</v>
      </c>
      <c r="O30" s="126"/>
    </row>
    <row r="31" spans="1:20" s="2" customFormat="1" ht="19.8" customHeight="1">
      <c r="A31" s="9">
        <v>2</v>
      </c>
      <c r="B31" s="119" t="s">
        <v>119</v>
      </c>
      <c r="C31" s="18">
        <f t="shared" si="1"/>
        <v>550</v>
      </c>
      <c r="D31" s="19">
        <f>C31/100*899</f>
        <v>4944.5</v>
      </c>
      <c r="E31" s="20"/>
      <c r="F31" s="20"/>
      <c r="G31" s="97">
        <f>C31/100*100</f>
        <v>550</v>
      </c>
      <c r="H31" s="20"/>
      <c r="I31" s="20"/>
      <c r="J31" s="20"/>
      <c r="K31" s="20"/>
      <c r="L31" s="110">
        <v>550</v>
      </c>
      <c r="M31" s="117">
        <v>69</v>
      </c>
      <c r="N31" s="108">
        <f t="shared" ref="N31:N40" si="2">L31*M31</f>
        <v>37950</v>
      </c>
      <c r="O31" s="334"/>
    </row>
    <row r="32" spans="1:20" s="2" customFormat="1" ht="19.8" customHeight="1">
      <c r="A32" s="9">
        <v>3</v>
      </c>
      <c r="B32" s="121" t="s">
        <v>121</v>
      </c>
      <c r="C32" s="18">
        <f>L32/100*100</f>
        <v>170</v>
      </c>
      <c r="D32" s="98">
        <f>C32/100*900</f>
        <v>1530</v>
      </c>
      <c r="E32" s="20"/>
      <c r="F32" s="20"/>
      <c r="G32" s="97"/>
      <c r="H32" s="97">
        <f>C32/100*100</f>
        <v>170</v>
      </c>
      <c r="I32" s="20"/>
      <c r="J32" s="20"/>
      <c r="K32" s="20"/>
      <c r="L32" s="110">
        <v>170</v>
      </c>
      <c r="M32" s="56">
        <v>65</v>
      </c>
      <c r="N32" s="108">
        <f t="shared" si="2"/>
        <v>11050</v>
      </c>
      <c r="O32" s="334"/>
    </row>
    <row r="33" spans="1:23" s="2" customFormat="1" ht="19.8" customHeight="1">
      <c r="A33" s="9">
        <v>4</v>
      </c>
      <c r="B33" s="5" t="s">
        <v>1</v>
      </c>
      <c r="C33" s="18">
        <f t="shared" si="1"/>
        <v>1650</v>
      </c>
      <c r="D33" s="19">
        <f>C33/100*325</f>
        <v>5362.5</v>
      </c>
      <c r="E33" s="20"/>
      <c r="F33" s="97">
        <f>C33/100*7.9</f>
        <v>130.35</v>
      </c>
      <c r="G33" s="20"/>
      <c r="H33" s="20">
        <f>C33/100*1</f>
        <v>16.5</v>
      </c>
      <c r="I33" s="97">
        <f>C33/100*68.5</f>
        <v>1130.25</v>
      </c>
      <c r="J33" s="22">
        <f>C33/100*30</f>
        <v>495</v>
      </c>
      <c r="K33" s="22">
        <f>C33/100*0.1</f>
        <v>1.6500000000000001</v>
      </c>
      <c r="L33" s="110">
        <v>1650</v>
      </c>
      <c r="M33" s="56">
        <v>18</v>
      </c>
      <c r="N33" s="108">
        <f t="shared" si="2"/>
        <v>29700</v>
      </c>
      <c r="O33" s="126"/>
    </row>
    <row r="34" spans="1:23" s="2" customFormat="1" ht="19.8" customHeight="1">
      <c r="A34" s="9">
        <v>5</v>
      </c>
      <c r="B34" s="5" t="s">
        <v>65</v>
      </c>
      <c r="C34" s="18">
        <f t="shared" si="1"/>
        <v>1100</v>
      </c>
      <c r="D34" s="19">
        <f>C34/100*344</f>
        <v>3784</v>
      </c>
      <c r="E34" s="20"/>
      <c r="F34" s="20">
        <f>C34/100*8.6</f>
        <v>94.6</v>
      </c>
      <c r="G34" s="20"/>
      <c r="H34" s="20">
        <f>C34/100*1.5</f>
        <v>16.5</v>
      </c>
      <c r="I34" s="20">
        <f>C34/100*74.5</f>
        <v>819.5</v>
      </c>
      <c r="J34" s="20">
        <f>C34/100*32</f>
        <v>352</v>
      </c>
      <c r="K34" s="20">
        <f>C34/100*0.14</f>
        <v>1.54</v>
      </c>
      <c r="L34" s="110">
        <v>1100</v>
      </c>
      <c r="M34" s="56">
        <v>30</v>
      </c>
      <c r="N34" s="108">
        <f t="shared" si="2"/>
        <v>33000</v>
      </c>
      <c r="O34" s="126"/>
      <c r="P34" s="14"/>
    </row>
    <row r="35" spans="1:23" s="2" customFormat="1" ht="19.8" customHeight="1">
      <c r="A35" s="9">
        <v>6</v>
      </c>
      <c r="B35" s="5" t="s">
        <v>60</v>
      </c>
      <c r="C35" s="18">
        <f t="shared" si="1"/>
        <v>229.99999999999997</v>
      </c>
      <c r="D35" s="19">
        <f>C35/100*334</f>
        <v>768.19999999999993</v>
      </c>
      <c r="E35" s="20"/>
      <c r="F35" s="20">
        <f>C35/100*20</f>
        <v>46</v>
      </c>
      <c r="G35" s="20"/>
      <c r="H35" s="20">
        <f>C35/100*2.4</f>
        <v>5.52</v>
      </c>
      <c r="I35" s="20">
        <f>C35/100*58</f>
        <v>133.39999999999998</v>
      </c>
      <c r="J35" s="22">
        <f>C35/100*89</f>
        <v>204.7</v>
      </c>
      <c r="K35" s="22">
        <f>C35/100*0.64</f>
        <v>1.472</v>
      </c>
      <c r="L35" s="110">
        <v>230</v>
      </c>
      <c r="M35" s="56">
        <v>190</v>
      </c>
      <c r="N35" s="108">
        <f>L35*M35</f>
        <v>43700</v>
      </c>
      <c r="O35" s="126"/>
    </row>
    <row r="36" spans="1:23" s="2" customFormat="1" ht="19.8" customHeight="1">
      <c r="A36" s="9">
        <v>7</v>
      </c>
      <c r="B36" s="5" t="s">
        <v>116</v>
      </c>
      <c r="C36" s="18">
        <f t="shared" si="1"/>
        <v>70</v>
      </c>
      <c r="D36" s="19">
        <f>C36/100*247</f>
        <v>172.89999999999998</v>
      </c>
      <c r="E36" s="24"/>
      <c r="F36" s="24">
        <f>C36/100*17.5</f>
        <v>12.25</v>
      </c>
      <c r="G36" s="24"/>
      <c r="H36" s="24">
        <f>C36/100*1.6</f>
        <v>1.1199999999999999</v>
      </c>
      <c r="I36" s="24">
        <f>C36/100*39.2</f>
        <v>27.44</v>
      </c>
      <c r="J36" s="52"/>
      <c r="K36" s="52"/>
      <c r="L36" s="331">
        <v>70</v>
      </c>
      <c r="M36" s="56">
        <v>50</v>
      </c>
      <c r="N36" s="108">
        <f t="shared" ref="N36:N39" si="3">L36*M36</f>
        <v>3500</v>
      </c>
      <c r="O36" s="126"/>
      <c r="Q36" s="3"/>
      <c r="R36" s="3"/>
      <c r="S36" s="4"/>
      <c r="T36" s="3"/>
    </row>
    <row r="37" spans="1:23" s="2" customFormat="1" ht="19.8" customHeight="1">
      <c r="A37" s="9">
        <v>8</v>
      </c>
      <c r="B37" s="5" t="s">
        <v>4</v>
      </c>
      <c r="C37" s="18">
        <f>L37/100*98.5</f>
        <v>1516.9</v>
      </c>
      <c r="D37" s="19">
        <f>C37/100*39</f>
        <v>591.59100000000001</v>
      </c>
      <c r="E37" s="24"/>
      <c r="F37" s="24">
        <f>C37/100*1.5</f>
        <v>22.753500000000003</v>
      </c>
      <c r="G37" s="24"/>
      <c r="H37" s="24">
        <f>C37/100*0.2</f>
        <v>3.0338000000000003</v>
      </c>
      <c r="I37" s="24">
        <f>C37/100*7.8</f>
        <v>118.3182</v>
      </c>
      <c r="J37" s="24">
        <f>C37/100*43</f>
        <v>652.26700000000005</v>
      </c>
      <c r="K37" s="24">
        <f>C37/100*0.06</f>
        <v>0.91013999999999995</v>
      </c>
      <c r="L37" s="331">
        <v>1540</v>
      </c>
      <c r="M37" s="21">
        <v>17</v>
      </c>
      <c r="N37" s="108">
        <f t="shared" si="3"/>
        <v>26180</v>
      </c>
      <c r="O37" s="126"/>
      <c r="Q37" s="3"/>
      <c r="R37" s="3"/>
      <c r="S37" s="4"/>
    </row>
    <row r="38" spans="1:23" s="2" customFormat="1" ht="19.8" customHeight="1">
      <c r="A38" s="9">
        <v>8</v>
      </c>
      <c r="B38" s="10" t="s">
        <v>3</v>
      </c>
      <c r="C38" s="18">
        <f>L38/100*98</f>
        <v>1195.5999999999999</v>
      </c>
      <c r="D38" s="19">
        <f>C38/100*118</f>
        <v>1410.808</v>
      </c>
      <c r="E38" s="97">
        <f>C38/100*21</f>
        <v>251.07599999999999</v>
      </c>
      <c r="F38" s="97"/>
      <c r="G38" s="20">
        <f>C38/100*3.8</f>
        <v>45.432799999999993</v>
      </c>
      <c r="H38" s="20"/>
      <c r="I38" s="20"/>
      <c r="J38" s="20">
        <f>C38/100*12</f>
        <v>143.47199999999998</v>
      </c>
      <c r="K38" s="20">
        <f>C38/100*0.1</f>
        <v>1.1956</v>
      </c>
      <c r="L38" s="110">
        <v>1220</v>
      </c>
      <c r="M38" s="116">
        <v>270</v>
      </c>
      <c r="N38" s="108">
        <f t="shared" si="3"/>
        <v>329400</v>
      </c>
      <c r="O38" s="126"/>
    </row>
    <row r="39" spans="1:23" s="2" customFormat="1" ht="19.8" customHeight="1">
      <c r="A39" s="9">
        <v>9</v>
      </c>
      <c r="B39" s="5" t="s">
        <v>62</v>
      </c>
      <c r="C39" s="18">
        <f>L39/100*48</f>
        <v>1272</v>
      </c>
      <c r="D39" s="19">
        <f>C39/100*199</f>
        <v>2531.2800000000002</v>
      </c>
      <c r="E39" s="97">
        <f>C39/100*21.3</f>
        <v>270.93600000000004</v>
      </c>
      <c r="F39" s="97"/>
      <c r="G39" s="97">
        <f>C39/100*13.1</f>
        <v>166.63200000000001</v>
      </c>
      <c r="H39" s="97"/>
      <c r="I39" s="20"/>
      <c r="J39" s="22">
        <f>C39/100*12</f>
        <v>152.64000000000001</v>
      </c>
      <c r="K39" s="22">
        <f>C39/100*0.15</f>
        <v>1.9079999999999999</v>
      </c>
      <c r="L39" s="110">
        <v>2650</v>
      </c>
      <c r="M39" s="110">
        <v>84</v>
      </c>
      <c r="N39" s="108">
        <f t="shared" si="3"/>
        <v>222600</v>
      </c>
      <c r="O39" s="126"/>
      <c r="Q39" s="3"/>
      <c r="R39" s="3"/>
      <c r="S39" s="4"/>
    </row>
    <row r="40" spans="1:23" s="2" customFormat="1" ht="19.8" customHeight="1">
      <c r="A40" s="9">
        <v>10</v>
      </c>
      <c r="B40" s="125" t="s">
        <v>124</v>
      </c>
      <c r="C40" s="18">
        <f>L40/100*100</f>
        <v>1880</v>
      </c>
      <c r="D40" s="19">
        <f>C40/100*487</f>
        <v>9155.6</v>
      </c>
      <c r="E40" s="143"/>
      <c r="F40" s="143">
        <f>C40/100*19.5</f>
        <v>366.6</v>
      </c>
      <c r="G40" s="143"/>
      <c r="H40" s="143">
        <f>C40/100*23.2</f>
        <v>436.16</v>
      </c>
      <c r="I40" s="24">
        <f>C40/100*46</f>
        <v>864.80000000000007</v>
      </c>
      <c r="J40" s="97">
        <f>C40/100*680</f>
        <v>12784</v>
      </c>
      <c r="K40" s="20">
        <f>C40/100*0.55</f>
        <v>10.340000000000002</v>
      </c>
      <c r="L40" s="25">
        <v>1880</v>
      </c>
      <c r="M40" s="116">
        <v>260</v>
      </c>
      <c r="N40" s="108">
        <f t="shared" si="2"/>
        <v>488800</v>
      </c>
      <c r="O40" s="126"/>
      <c r="P40" s="3"/>
    </row>
    <row r="41" spans="1:23" s="2" customFormat="1" ht="19.8" customHeight="1">
      <c r="A41" s="81">
        <v>11</v>
      </c>
      <c r="B41" s="90" t="s">
        <v>107</v>
      </c>
      <c r="C41" s="82"/>
      <c r="D41" s="83"/>
      <c r="E41" s="84"/>
      <c r="F41" s="84"/>
      <c r="G41" s="84"/>
      <c r="H41" s="84"/>
      <c r="I41" s="84"/>
      <c r="J41" s="92"/>
      <c r="K41" s="92"/>
      <c r="L41" s="85"/>
      <c r="M41" s="85"/>
      <c r="N41" s="86">
        <v>7240</v>
      </c>
      <c r="O41" s="126"/>
      <c r="P41" s="126"/>
    </row>
    <row r="42" spans="1:23" ht="21" customHeight="1">
      <c r="A42" s="159" t="s">
        <v>0</v>
      </c>
      <c r="B42" s="162" t="s">
        <v>19</v>
      </c>
      <c r="C42" s="275" t="s">
        <v>8</v>
      </c>
      <c r="D42" s="165" t="s">
        <v>9</v>
      </c>
      <c r="E42" s="170" t="s">
        <v>11</v>
      </c>
      <c r="F42" s="171"/>
      <c r="G42" s="170" t="s">
        <v>13</v>
      </c>
      <c r="H42" s="171"/>
      <c r="I42" s="174" t="s">
        <v>16</v>
      </c>
      <c r="J42" s="174" t="s">
        <v>39</v>
      </c>
      <c r="K42" s="174" t="s">
        <v>40</v>
      </c>
      <c r="L42" s="174" t="s">
        <v>17</v>
      </c>
      <c r="M42" s="174" t="s">
        <v>50</v>
      </c>
      <c r="N42" s="159" t="s">
        <v>18</v>
      </c>
      <c r="O42" s="329"/>
    </row>
    <row r="43" spans="1:23" ht="21" customHeight="1">
      <c r="A43" s="160"/>
      <c r="B43" s="163"/>
      <c r="C43" s="276"/>
      <c r="D43" s="166"/>
      <c r="E43" s="172"/>
      <c r="F43" s="173"/>
      <c r="G43" s="172"/>
      <c r="H43" s="173"/>
      <c r="I43" s="175"/>
      <c r="J43" s="175"/>
      <c r="K43" s="175"/>
      <c r="L43" s="175"/>
      <c r="M43" s="175"/>
      <c r="N43" s="160"/>
      <c r="O43" s="148"/>
    </row>
    <row r="44" spans="1:23" ht="21" customHeight="1">
      <c r="A44" s="160"/>
      <c r="B44" s="163"/>
      <c r="C44" s="276"/>
      <c r="D44" s="166"/>
      <c r="E44" s="174" t="s">
        <v>10</v>
      </c>
      <c r="F44" s="174" t="s">
        <v>12</v>
      </c>
      <c r="G44" s="174" t="s">
        <v>14</v>
      </c>
      <c r="H44" s="174" t="s">
        <v>15</v>
      </c>
      <c r="I44" s="175"/>
      <c r="J44" s="175"/>
      <c r="K44" s="175"/>
      <c r="L44" s="175"/>
      <c r="M44" s="175"/>
      <c r="N44" s="160"/>
      <c r="O44" s="148"/>
    </row>
    <row r="45" spans="1:23" ht="21" customHeight="1">
      <c r="A45" s="161"/>
      <c r="B45" s="164"/>
      <c r="C45" s="277"/>
      <c r="D45" s="167"/>
      <c r="E45" s="176"/>
      <c r="F45" s="176"/>
      <c r="G45" s="176"/>
      <c r="H45" s="176"/>
      <c r="I45" s="176"/>
      <c r="J45" s="176"/>
      <c r="K45" s="176"/>
      <c r="L45" s="176"/>
      <c r="M45" s="176"/>
      <c r="N45" s="161"/>
      <c r="O45" s="148"/>
    </row>
    <row r="46" spans="1:23" s="2" customFormat="1" ht="21" customHeight="1">
      <c r="A46" s="16" t="s">
        <v>94</v>
      </c>
      <c r="B46" s="17"/>
      <c r="C46" s="26"/>
      <c r="D46" s="99">
        <f>SUM(D30:D41)</f>
        <v>30335.379000000001</v>
      </c>
      <c r="E46" s="31"/>
      <c r="F46" s="31"/>
      <c r="G46" s="31"/>
      <c r="H46" s="31"/>
      <c r="I46" s="31"/>
      <c r="J46" s="31"/>
      <c r="K46" s="31"/>
      <c r="L46" s="32"/>
      <c r="M46" s="235"/>
      <c r="N46" s="168">
        <f>SUM(N30:N41)</f>
        <v>1235920</v>
      </c>
      <c r="O46" s="126"/>
    </row>
    <row r="47" spans="1:23" ht="21" customHeight="1">
      <c r="A47" s="16" t="s">
        <v>7</v>
      </c>
      <c r="B47" s="17"/>
      <c r="C47" s="33"/>
      <c r="D47" s="34">
        <f>D46/D8</f>
        <v>275.77617272727275</v>
      </c>
      <c r="E47" s="34"/>
      <c r="F47" s="34"/>
      <c r="G47" s="34"/>
      <c r="H47" s="34"/>
      <c r="I47" s="34"/>
      <c r="J47" s="34"/>
      <c r="K47" s="34"/>
      <c r="L47" s="35"/>
      <c r="M47" s="236"/>
      <c r="N47" s="169"/>
      <c r="O47" s="4"/>
      <c r="P47" s="2"/>
      <c r="Q47" s="2"/>
      <c r="R47" s="2"/>
      <c r="S47" s="2"/>
      <c r="T47" s="2"/>
      <c r="U47" s="2"/>
      <c r="V47" s="2"/>
    </row>
    <row r="48" spans="1:23" ht="21" customHeight="1">
      <c r="A48" s="210" t="s">
        <v>45</v>
      </c>
      <c r="B48" s="211"/>
      <c r="C48" s="333" t="s">
        <v>125</v>
      </c>
      <c r="D48" s="15" t="s">
        <v>51</v>
      </c>
      <c r="E48" s="34"/>
      <c r="F48" s="34"/>
      <c r="G48" s="34"/>
      <c r="H48" s="34"/>
      <c r="I48" s="34"/>
      <c r="J48" s="36"/>
      <c r="K48" s="36"/>
      <c r="L48" s="35"/>
      <c r="M48" s="35"/>
      <c r="N48" s="149"/>
      <c r="O48" s="4"/>
      <c r="P48" s="2"/>
      <c r="Q48" s="2"/>
      <c r="R48" s="2"/>
      <c r="S48" s="2"/>
      <c r="T48" s="2"/>
      <c r="U48" s="2"/>
      <c r="V48" s="2"/>
      <c r="W48" s="2"/>
    </row>
    <row r="49" spans="1:23" ht="21" customHeight="1">
      <c r="A49" s="212"/>
      <c r="B49" s="213"/>
      <c r="C49" s="57" t="s">
        <v>53</v>
      </c>
      <c r="D49" s="15">
        <f>D47*100/1320</f>
        <v>20.892134297520663</v>
      </c>
      <c r="E49" s="34"/>
      <c r="F49" s="34"/>
      <c r="G49" s="34"/>
      <c r="H49" s="34"/>
      <c r="I49" s="34"/>
      <c r="J49" s="36"/>
      <c r="K49" s="36"/>
      <c r="L49" s="35"/>
      <c r="M49" s="35"/>
      <c r="N49" s="149"/>
      <c r="O49" s="4"/>
      <c r="P49" s="2"/>
      <c r="Q49" s="2"/>
      <c r="R49" s="2"/>
      <c r="S49" s="2"/>
      <c r="T49" s="2"/>
      <c r="U49" s="2"/>
      <c r="V49" s="2"/>
      <c r="W49" s="2"/>
    </row>
    <row r="50" spans="1:23" ht="21" customHeight="1">
      <c r="A50" s="191" t="s">
        <v>95</v>
      </c>
      <c r="B50" s="192"/>
      <c r="C50" s="214"/>
      <c r="D50" s="266">
        <f>D25+D46</f>
        <v>79974.106999999989</v>
      </c>
      <c r="E50" s="101">
        <f>SUM(E14:E41)</f>
        <v>1690.4145000000003</v>
      </c>
      <c r="F50" s="101">
        <f t="shared" ref="F50:H50" si="4">SUM(F14:F41)</f>
        <v>1630.8690999999999</v>
      </c>
      <c r="G50" s="101">
        <f t="shared" si="4"/>
        <v>1788.0331000000001</v>
      </c>
      <c r="H50" s="38">
        <f t="shared" si="4"/>
        <v>769.34699999999998</v>
      </c>
      <c r="I50" s="301">
        <f>SUM(I14:I41)</f>
        <v>10574.241399999999</v>
      </c>
      <c r="J50" s="233">
        <f>SUM(J14:J41)</f>
        <v>30329.532999999999</v>
      </c>
      <c r="K50" s="242">
        <f>SUM(K14:K41)</f>
        <v>54.05639</v>
      </c>
      <c r="L50" s="227"/>
      <c r="M50" s="227"/>
      <c r="N50" s="257">
        <f>N25+N46</f>
        <v>2419700</v>
      </c>
      <c r="U50" s="12"/>
      <c r="V50" s="12"/>
    </row>
    <row r="51" spans="1:23" ht="21" customHeight="1">
      <c r="A51" s="193"/>
      <c r="B51" s="194"/>
      <c r="C51" s="215"/>
      <c r="D51" s="267"/>
      <c r="E51" s="272">
        <f>E50+F50</f>
        <v>3321.2836000000002</v>
      </c>
      <c r="F51" s="273"/>
      <c r="G51" s="187">
        <f>G50+H50</f>
        <v>2557.3801000000003</v>
      </c>
      <c r="H51" s="188"/>
      <c r="I51" s="302"/>
      <c r="J51" s="234"/>
      <c r="K51" s="243"/>
      <c r="L51" s="227"/>
      <c r="M51" s="227"/>
      <c r="N51" s="257"/>
      <c r="U51" s="12"/>
      <c r="V51" s="12"/>
    </row>
    <row r="52" spans="1:23" ht="21" customHeight="1">
      <c r="A52" s="201" t="s">
        <v>68</v>
      </c>
      <c r="B52" s="202"/>
      <c r="C52" s="203"/>
      <c r="D52" s="111">
        <f>D50/D8</f>
        <v>727.03733636363631</v>
      </c>
      <c r="E52" s="335">
        <f>E50/D8</f>
        <v>15.367404545454548</v>
      </c>
      <c r="F52" s="336">
        <f>F50/D8</f>
        <v>14.826082727272727</v>
      </c>
      <c r="G52" s="335">
        <f>G50/D8</f>
        <v>16.254846363636364</v>
      </c>
      <c r="H52" s="336">
        <f>H50/D8</f>
        <v>6.9940636363636361</v>
      </c>
      <c r="I52" s="189">
        <f>I50/D8</f>
        <v>96.129467272727268</v>
      </c>
      <c r="J52" s="189">
        <f>J50/D8</f>
        <v>275.72302727272728</v>
      </c>
      <c r="K52" s="244">
        <f>K50/D8</f>
        <v>0.49142172727272726</v>
      </c>
      <c r="L52" s="227"/>
      <c r="M52" s="227"/>
      <c r="N52" s="257"/>
      <c r="P52" s="350"/>
      <c r="Q52" s="351"/>
      <c r="R52" s="351"/>
      <c r="S52" s="351"/>
      <c r="T52" s="351"/>
      <c r="U52" s="352"/>
      <c r="V52" s="352"/>
    </row>
    <row r="53" spans="1:23" ht="21" customHeight="1">
      <c r="A53" s="204"/>
      <c r="B53" s="205"/>
      <c r="C53" s="206"/>
      <c r="D53" s="103"/>
      <c r="E53" s="337">
        <f>E52+F52</f>
        <v>30.193487272727275</v>
      </c>
      <c r="F53" s="338"/>
      <c r="G53" s="337">
        <f>G52+H52</f>
        <v>23.248910000000002</v>
      </c>
      <c r="H53" s="338"/>
      <c r="I53" s="190"/>
      <c r="J53" s="190"/>
      <c r="K53" s="245"/>
      <c r="L53" s="227"/>
      <c r="M53" s="227"/>
      <c r="N53" s="257"/>
      <c r="P53" s="353"/>
      <c r="Q53" s="351"/>
      <c r="R53" s="351"/>
      <c r="S53" s="351"/>
      <c r="T53" s="351"/>
      <c r="U53" s="351"/>
      <c r="V53" s="351"/>
    </row>
    <row r="54" spans="1:23" ht="21" customHeight="1">
      <c r="A54" s="207" t="s">
        <v>71</v>
      </c>
      <c r="B54" s="208"/>
      <c r="C54" s="209"/>
      <c r="D54" s="153" t="s">
        <v>27</v>
      </c>
      <c r="E54" s="158" t="s">
        <v>21</v>
      </c>
      <c r="F54" s="158"/>
      <c r="G54" s="158" t="s">
        <v>22</v>
      </c>
      <c r="H54" s="158"/>
      <c r="I54" s="339" t="s">
        <v>23</v>
      </c>
      <c r="J54" s="339">
        <v>600</v>
      </c>
      <c r="K54" s="339">
        <v>0.7</v>
      </c>
      <c r="L54" s="227"/>
      <c r="M54" s="227"/>
      <c r="N54" s="257"/>
      <c r="O54" s="340"/>
      <c r="P54" s="350"/>
      <c r="Q54" s="350"/>
      <c r="R54" s="350"/>
      <c r="S54" s="350"/>
      <c r="T54" s="350"/>
      <c r="U54" s="350"/>
      <c r="V54" s="350"/>
    </row>
    <row r="55" spans="1:23" ht="21" customHeight="1">
      <c r="A55" s="180" t="s">
        <v>69</v>
      </c>
      <c r="B55" s="246"/>
      <c r="C55" s="181"/>
      <c r="D55" s="37"/>
      <c r="E55" s="185">
        <f>E53*4.1</f>
        <v>123.79329781818181</v>
      </c>
      <c r="F55" s="186"/>
      <c r="G55" s="185">
        <f>G53*9</f>
        <v>209.24019000000001</v>
      </c>
      <c r="H55" s="186"/>
      <c r="I55" s="100">
        <f>I52*4.1</f>
        <v>394.13081581818176</v>
      </c>
      <c r="J55" s="218"/>
      <c r="K55" s="218"/>
      <c r="L55" s="227"/>
      <c r="M55" s="227"/>
      <c r="N55" s="257"/>
      <c r="O55" s="340"/>
      <c r="P55" s="355"/>
      <c r="Q55" s="356"/>
      <c r="R55" s="356"/>
      <c r="S55" s="356"/>
      <c r="T55" s="350"/>
      <c r="U55" s="350"/>
      <c r="V55" s="350"/>
    </row>
    <row r="56" spans="1:23" ht="21" customHeight="1">
      <c r="A56" s="221" t="s">
        <v>72</v>
      </c>
      <c r="B56" s="222"/>
      <c r="C56" s="180" t="s">
        <v>52</v>
      </c>
      <c r="D56" s="181"/>
      <c r="E56" s="225">
        <f>E55*100/D52</f>
        <v>17.027089480348934</v>
      </c>
      <c r="F56" s="226"/>
      <c r="G56" s="225">
        <f>G55*100/D52</f>
        <v>28.779841080313659</v>
      </c>
      <c r="H56" s="226"/>
      <c r="I56" s="93">
        <f>I55*100/D52</f>
        <v>54.210533091666775</v>
      </c>
      <c r="J56" s="219"/>
      <c r="K56" s="219"/>
      <c r="L56" s="227"/>
      <c r="M56" s="227"/>
      <c r="N56" s="257"/>
      <c r="O56" s="340"/>
      <c r="P56" s="350"/>
      <c r="Q56" s="350"/>
      <c r="R56" s="350"/>
      <c r="S56" s="350"/>
      <c r="T56" s="350"/>
      <c r="U56" s="350"/>
      <c r="V56" s="350"/>
    </row>
    <row r="57" spans="1:23" ht="21" customHeight="1">
      <c r="A57" s="223"/>
      <c r="B57" s="224"/>
      <c r="C57" s="180" t="s">
        <v>70</v>
      </c>
      <c r="D57" s="181"/>
      <c r="E57" s="180" t="s">
        <v>73</v>
      </c>
      <c r="F57" s="181"/>
      <c r="G57" s="180" t="s">
        <v>74</v>
      </c>
      <c r="H57" s="181"/>
      <c r="I57" s="153" t="s">
        <v>75</v>
      </c>
      <c r="J57" s="220"/>
      <c r="K57" s="220"/>
      <c r="L57" s="227"/>
      <c r="M57" s="227"/>
      <c r="N57" s="257"/>
      <c r="O57" s="340"/>
      <c r="P57" s="341"/>
    </row>
    <row r="58" spans="1:23" ht="21" customHeight="1">
      <c r="A58" s="69"/>
      <c r="B58" s="69"/>
      <c r="C58" s="69"/>
      <c r="D58" s="69"/>
      <c r="E58" s="69"/>
      <c r="F58" s="69"/>
      <c r="G58" s="69"/>
      <c r="H58" s="69"/>
      <c r="I58" s="69"/>
      <c r="J58" s="69"/>
      <c r="K58" s="69"/>
      <c r="L58" s="73"/>
      <c r="M58" s="73"/>
      <c r="N58" s="74"/>
      <c r="O58" s="340"/>
    </row>
    <row r="59" spans="1:23" ht="21" customHeight="1">
      <c r="A59" s="228" t="s">
        <v>98</v>
      </c>
      <c r="B59" s="228"/>
      <c r="C59" s="228"/>
      <c r="D59" s="228"/>
      <c r="E59" s="228"/>
      <c r="F59" s="228"/>
      <c r="G59" s="228"/>
      <c r="H59" s="228"/>
      <c r="I59" s="228"/>
      <c r="J59" s="228"/>
      <c r="K59" s="228"/>
      <c r="L59" s="228"/>
      <c r="M59" s="228"/>
      <c r="N59" s="228"/>
      <c r="O59" s="340"/>
    </row>
    <row r="60" spans="1:23" ht="21" customHeight="1">
      <c r="A60" s="95" t="s">
        <v>99</v>
      </c>
      <c r="B60" s="229" t="s">
        <v>100</v>
      </c>
      <c r="C60" s="229"/>
      <c r="D60" s="229"/>
      <c r="E60" s="229"/>
      <c r="F60" s="229"/>
      <c r="G60" s="229"/>
      <c r="H60" s="229"/>
      <c r="I60" s="229"/>
      <c r="J60" s="229"/>
      <c r="K60" s="229"/>
      <c r="L60" s="229"/>
      <c r="M60" s="229"/>
      <c r="N60" s="229"/>
      <c r="O60" s="340"/>
    </row>
    <row r="61" spans="1:23" ht="21" customHeight="1">
      <c r="A61" s="96"/>
      <c r="B61" s="199" t="s">
        <v>179</v>
      </c>
      <c r="C61" s="199"/>
      <c r="D61" s="199"/>
      <c r="E61" s="199"/>
      <c r="F61" s="199"/>
      <c r="G61" s="199"/>
      <c r="H61" s="199"/>
      <c r="I61" s="199"/>
      <c r="J61" s="199"/>
      <c r="K61" s="199"/>
      <c r="L61" s="199"/>
      <c r="M61" s="199"/>
      <c r="N61" s="199"/>
      <c r="O61" s="340"/>
    </row>
    <row r="62" spans="1:23" ht="21" customHeight="1">
      <c r="A62" s="96"/>
      <c r="B62" s="199" t="s">
        <v>180</v>
      </c>
      <c r="C62" s="199"/>
      <c r="D62" s="199"/>
      <c r="E62" s="199"/>
      <c r="F62" s="199"/>
      <c r="G62" s="199"/>
      <c r="H62" s="199"/>
      <c r="I62" s="199"/>
      <c r="J62" s="199"/>
      <c r="K62" s="199"/>
      <c r="L62" s="199"/>
      <c r="M62" s="199"/>
      <c r="N62" s="199"/>
      <c r="O62" s="340"/>
    </row>
    <row r="63" spans="1:23" ht="21" customHeight="1">
      <c r="A63" s="96"/>
      <c r="B63" s="199" t="s">
        <v>138</v>
      </c>
      <c r="C63" s="199"/>
      <c r="D63" s="199"/>
      <c r="E63" s="199"/>
      <c r="F63" s="199"/>
      <c r="G63" s="199"/>
      <c r="H63" s="199"/>
      <c r="I63" s="199"/>
      <c r="J63" s="199"/>
      <c r="K63" s="199"/>
      <c r="L63" s="199"/>
      <c r="M63" s="199"/>
      <c r="N63" s="199"/>
      <c r="O63" s="340"/>
    </row>
    <row r="64" spans="1:23" ht="21" customHeight="1">
      <c r="A64" s="69"/>
      <c r="B64" s="200" t="s">
        <v>101</v>
      </c>
      <c r="C64" s="200"/>
      <c r="D64" s="200"/>
      <c r="E64" s="200"/>
      <c r="F64" s="200"/>
      <c r="G64" s="200"/>
      <c r="H64" s="200"/>
      <c r="I64" s="200"/>
      <c r="J64" s="200"/>
      <c r="K64" s="200"/>
      <c r="L64" s="200"/>
      <c r="M64" s="200"/>
      <c r="N64" s="200"/>
      <c r="O64" s="340"/>
    </row>
    <row r="65" spans="1:15" ht="21" customHeight="1">
      <c r="A65" s="69"/>
      <c r="B65" s="69"/>
      <c r="C65" s="69"/>
      <c r="D65" s="69"/>
      <c r="E65" s="69"/>
      <c r="F65" s="69"/>
      <c r="G65" s="69"/>
      <c r="H65" s="69"/>
      <c r="I65" s="69"/>
      <c r="J65" s="69"/>
      <c r="K65" s="69"/>
      <c r="L65" s="73"/>
      <c r="M65" s="73"/>
      <c r="N65" s="74"/>
      <c r="O65" s="340"/>
    </row>
    <row r="66" spans="1:15" ht="21" customHeight="1">
      <c r="A66" s="198" t="s">
        <v>55</v>
      </c>
      <c r="B66" s="198"/>
      <c r="C66" s="198"/>
      <c r="D66" s="198"/>
      <c r="E66" s="342"/>
      <c r="F66" s="342"/>
      <c r="G66" s="342"/>
      <c r="H66" s="342"/>
      <c r="I66" s="342"/>
      <c r="J66" s="343" t="s">
        <v>32</v>
      </c>
      <c r="K66" s="343"/>
      <c r="L66" s="343"/>
      <c r="M66" s="343"/>
      <c r="N66" s="343"/>
      <c r="O66" s="340"/>
    </row>
    <row r="67" spans="1:15" ht="21" customHeight="1">
      <c r="A67" s="148"/>
      <c r="B67" s="148"/>
      <c r="C67" s="148"/>
      <c r="D67" s="342"/>
      <c r="E67" s="342"/>
      <c r="F67" s="342"/>
      <c r="G67" s="342"/>
      <c r="H67" s="344"/>
      <c r="I67" s="344"/>
      <c r="J67" s="344"/>
      <c r="K67" s="344"/>
      <c r="L67" s="344"/>
      <c r="M67" s="344"/>
      <c r="N67" s="344"/>
      <c r="O67" s="340"/>
    </row>
    <row r="68" spans="1:15" ht="21" customHeight="1">
      <c r="A68" s="148"/>
      <c r="B68" s="148"/>
      <c r="C68" s="148"/>
      <c r="D68" s="342"/>
      <c r="E68" s="342"/>
      <c r="F68" s="342"/>
      <c r="G68" s="342"/>
      <c r="H68" s="344"/>
      <c r="I68" s="344"/>
      <c r="J68" s="344"/>
      <c r="K68" s="344"/>
      <c r="L68" s="344"/>
      <c r="M68" s="344"/>
      <c r="N68" s="344"/>
      <c r="O68" s="340"/>
    </row>
    <row r="69" spans="1:15" ht="21" customHeight="1">
      <c r="A69" s="148"/>
      <c r="B69" s="148"/>
      <c r="C69" s="148"/>
      <c r="D69" s="342"/>
      <c r="E69" s="342"/>
      <c r="F69" s="342"/>
      <c r="G69" s="342"/>
      <c r="H69" s="344"/>
      <c r="I69" s="344"/>
      <c r="J69" s="345" t="s">
        <v>108</v>
      </c>
      <c r="K69" s="345"/>
      <c r="L69" s="345"/>
      <c r="M69" s="345"/>
      <c r="N69" s="345"/>
      <c r="O69" s="340"/>
    </row>
    <row r="70" spans="1:15" ht="21" customHeight="1">
      <c r="A70" s="182" t="s">
        <v>81</v>
      </c>
      <c r="B70" s="182"/>
      <c r="C70" s="182"/>
      <c r="D70" s="182"/>
      <c r="E70" s="342"/>
      <c r="F70" s="342"/>
      <c r="G70" s="342"/>
      <c r="H70" s="344"/>
      <c r="I70" s="344"/>
      <c r="O70" s="340"/>
    </row>
    <row r="71" spans="1:15" ht="21" customHeight="1">
      <c r="A71" s="148"/>
      <c r="B71" s="148"/>
      <c r="C71" s="148"/>
      <c r="D71" s="342"/>
      <c r="E71" s="342"/>
      <c r="F71" s="342"/>
      <c r="G71" s="342"/>
      <c r="H71" s="344"/>
      <c r="I71" s="344"/>
      <c r="J71" s="344"/>
      <c r="K71" s="344"/>
      <c r="L71" s="344"/>
      <c r="M71" s="344"/>
      <c r="N71" s="344"/>
      <c r="O71" s="340"/>
    </row>
    <row r="72" spans="1:15" ht="21" customHeight="1">
      <c r="A72" s="148"/>
      <c r="B72" s="148"/>
      <c r="C72" s="148"/>
      <c r="D72" s="342"/>
      <c r="E72" s="342"/>
      <c r="F72" s="342"/>
      <c r="G72" s="342"/>
      <c r="H72" s="344"/>
      <c r="I72" s="344"/>
      <c r="J72" s="345" t="s">
        <v>111</v>
      </c>
      <c r="K72" s="345"/>
      <c r="L72" s="345"/>
      <c r="M72" s="345"/>
      <c r="N72" s="345"/>
      <c r="O72" s="340"/>
    </row>
    <row r="73" spans="1:15" ht="21" customHeight="1">
      <c r="A73" s="148"/>
      <c r="B73" s="148"/>
      <c r="C73" s="148"/>
      <c r="D73" s="342"/>
      <c r="E73" s="342"/>
      <c r="F73" s="342"/>
      <c r="G73" s="342"/>
      <c r="H73" s="344"/>
      <c r="I73" s="344"/>
      <c r="J73" s="344"/>
      <c r="K73" s="344"/>
      <c r="L73" s="344"/>
      <c r="M73" s="344"/>
      <c r="N73" s="344"/>
      <c r="O73" s="340"/>
    </row>
    <row r="74" spans="1:15" ht="21" customHeight="1">
      <c r="A74" s="148"/>
      <c r="B74" s="148"/>
      <c r="C74" s="148"/>
      <c r="D74" s="342"/>
      <c r="E74" s="342"/>
      <c r="F74" s="342"/>
      <c r="G74" s="342"/>
      <c r="H74" s="344"/>
      <c r="I74" s="344"/>
      <c r="J74" s="344"/>
      <c r="K74" s="344"/>
      <c r="L74" s="344"/>
      <c r="M74" s="344"/>
      <c r="N74" s="344"/>
      <c r="O74" s="340"/>
    </row>
    <row r="75" spans="1:15" ht="21" customHeight="1">
      <c r="A75" s="148"/>
      <c r="B75" s="148"/>
      <c r="C75" s="148"/>
      <c r="D75" s="342"/>
      <c r="E75" s="342"/>
      <c r="F75" s="342"/>
      <c r="G75" s="342"/>
      <c r="H75" s="344"/>
      <c r="I75" s="344"/>
      <c r="J75" s="344"/>
      <c r="K75" s="344"/>
      <c r="L75" s="344"/>
      <c r="M75" s="344"/>
      <c r="N75" s="344"/>
      <c r="O75" s="340"/>
    </row>
    <row r="76" spans="1:15" ht="21" customHeight="1">
      <c r="A76" s="148"/>
      <c r="B76" s="148"/>
      <c r="C76" s="148"/>
      <c r="D76" s="342"/>
      <c r="E76" s="342"/>
      <c r="F76" s="342"/>
      <c r="G76" s="342"/>
      <c r="H76" s="344"/>
      <c r="I76" s="344"/>
      <c r="J76" s="344"/>
      <c r="K76" s="344"/>
      <c r="L76" s="344"/>
      <c r="M76" s="344"/>
      <c r="N76" s="344"/>
      <c r="O76" s="340"/>
    </row>
    <row r="77" spans="1:15" ht="21" customHeight="1">
      <c r="A77" s="148"/>
      <c r="B77" s="148"/>
      <c r="C77" s="148"/>
      <c r="D77" s="342"/>
      <c r="E77" s="342"/>
      <c r="F77" s="342"/>
      <c r="G77" s="342"/>
      <c r="H77" s="344"/>
      <c r="I77" s="344"/>
      <c r="J77" s="344"/>
      <c r="K77" s="344"/>
      <c r="L77" s="344"/>
      <c r="M77" s="344"/>
      <c r="N77" s="344"/>
      <c r="O77" s="340"/>
    </row>
    <row r="78" spans="1:15" ht="21" customHeight="1">
      <c r="A78" s="148"/>
      <c r="B78" s="148"/>
      <c r="C78" s="148"/>
      <c r="D78" s="342"/>
      <c r="E78" s="342"/>
      <c r="F78" s="342"/>
      <c r="G78" s="342"/>
      <c r="H78" s="344"/>
      <c r="I78" s="344"/>
      <c r="J78" s="344"/>
      <c r="K78" s="344"/>
      <c r="L78" s="344"/>
      <c r="M78" s="344"/>
      <c r="N78" s="344"/>
      <c r="O78" s="340"/>
    </row>
    <row r="79" spans="1:15" ht="21" customHeight="1">
      <c r="A79" s="148"/>
      <c r="B79" s="148"/>
      <c r="C79" s="148"/>
      <c r="D79" s="342"/>
      <c r="E79" s="342"/>
      <c r="F79" s="342"/>
      <c r="G79" s="342"/>
      <c r="H79" s="344"/>
      <c r="I79" s="344"/>
      <c r="J79" s="344"/>
      <c r="K79" s="344"/>
      <c r="L79" s="344"/>
      <c r="M79" s="344"/>
      <c r="N79" s="344"/>
      <c r="O79" s="340"/>
    </row>
    <row r="80" spans="1:15" ht="21" customHeight="1">
      <c r="A80" s="148"/>
      <c r="B80" s="148"/>
      <c r="C80" s="148"/>
      <c r="D80" s="342"/>
      <c r="E80" s="342"/>
      <c r="F80" s="342"/>
      <c r="G80" s="342"/>
      <c r="H80" s="344"/>
      <c r="I80" s="344"/>
      <c r="J80" s="344"/>
      <c r="K80" s="344"/>
      <c r="L80" s="344"/>
      <c r="M80" s="344"/>
      <c r="N80" s="344"/>
      <c r="O80" s="340"/>
    </row>
    <row r="81" spans="1:20" ht="21" customHeight="1">
      <c r="A81" s="148"/>
      <c r="B81" s="148"/>
      <c r="C81" s="148"/>
      <c r="D81" s="342"/>
      <c r="E81" s="342"/>
      <c r="F81" s="342"/>
      <c r="G81" s="342"/>
      <c r="H81" s="344"/>
      <c r="I81" s="344"/>
      <c r="J81" s="344"/>
      <c r="K81" s="344"/>
      <c r="L81" s="344"/>
      <c r="M81" s="344"/>
      <c r="N81" s="344"/>
      <c r="O81" s="340"/>
    </row>
    <row r="82" spans="1:20" ht="19.8" customHeight="1">
      <c r="A82" s="11" t="s">
        <v>54</v>
      </c>
      <c r="B82" s="8"/>
      <c r="C82" s="8"/>
      <c r="D82" s="8"/>
      <c r="E82" s="8"/>
      <c r="F82" s="232" t="s">
        <v>31</v>
      </c>
      <c r="G82" s="232"/>
      <c r="H82" s="232"/>
      <c r="I82" s="232"/>
      <c r="J82" s="232"/>
      <c r="K82" s="232"/>
      <c r="L82" s="232"/>
      <c r="M82" s="232"/>
      <c r="N82" s="232"/>
      <c r="O82" s="327"/>
      <c r="P82" s="327"/>
      <c r="T82" s="2"/>
    </row>
    <row r="83" spans="1:20" ht="19.8" customHeight="1">
      <c r="A83" s="8" t="s">
        <v>178</v>
      </c>
      <c r="B83" s="8"/>
      <c r="C83" s="8"/>
      <c r="D83" s="8"/>
      <c r="E83" s="8"/>
      <c r="F83" s="152"/>
      <c r="G83" s="152"/>
      <c r="H83" s="152"/>
      <c r="I83" s="152"/>
      <c r="J83" s="152"/>
      <c r="K83" s="152"/>
      <c r="L83" s="152"/>
      <c r="M83" s="152"/>
      <c r="N83" s="152"/>
      <c r="O83" s="327"/>
      <c r="P83" s="327"/>
      <c r="T83" s="2"/>
    </row>
    <row r="84" spans="1:20" s="2" customFormat="1" ht="18" customHeight="1">
      <c r="A84" s="158" t="s">
        <v>86</v>
      </c>
      <c r="B84" s="158"/>
      <c r="C84" s="158"/>
      <c r="D84" s="158"/>
      <c r="E84" s="158" t="s">
        <v>79</v>
      </c>
      <c r="F84" s="158"/>
      <c r="G84" s="158"/>
      <c r="H84" s="158"/>
      <c r="I84" s="158"/>
      <c r="J84" s="158"/>
      <c r="K84" s="158"/>
      <c r="L84" s="158"/>
      <c r="M84" s="158"/>
      <c r="N84" s="158"/>
      <c r="O84" s="328"/>
    </row>
    <row r="85" spans="1:20" s="2" customFormat="1" ht="18" customHeight="1">
      <c r="A85" s="158"/>
      <c r="B85" s="158"/>
      <c r="C85" s="158"/>
      <c r="D85" s="158"/>
      <c r="E85" s="158" t="s">
        <v>92</v>
      </c>
      <c r="F85" s="158"/>
      <c r="G85" s="158"/>
      <c r="H85" s="158"/>
      <c r="I85" s="158"/>
      <c r="J85" s="158" t="s">
        <v>89</v>
      </c>
      <c r="K85" s="158"/>
      <c r="L85" s="158"/>
      <c r="M85" s="158"/>
      <c r="N85" s="158"/>
      <c r="O85" s="328"/>
    </row>
    <row r="86" spans="1:20" s="2" customFormat="1" ht="18" customHeight="1">
      <c r="A86" s="230" t="s">
        <v>80</v>
      </c>
      <c r="B86" s="230"/>
      <c r="C86" s="230"/>
      <c r="D86" s="230"/>
      <c r="E86" s="231" t="s">
        <v>123</v>
      </c>
      <c r="F86" s="231"/>
      <c r="G86" s="231"/>
      <c r="H86" s="231"/>
      <c r="I86" s="231"/>
      <c r="J86" s="248" t="s">
        <v>140</v>
      </c>
      <c r="K86" s="249"/>
      <c r="L86" s="249"/>
      <c r="M86" s="249"/>
      <c r="N86" s="250"/>
      <c r="O86" s="328"/>
    </row>
    <row r="87" spans="1:20" s="2" customFormat="1" ht="18" customHeight="1">
      <c r="A87" s="297" t="s">
        <v>139</v>
      </c>
      <c r="B87" s="298"/>
      <c r="C87" s="298"/>
      <c r="D87" s="299"/>
      <c r="E87" s="231"/>
      <c r="F87" s="231"/>
      <c r="G87" s="231"/>
      <c r="H87" s="231"/>
      <c r="I87" s="231"/>
      <c r="J87" s="251"/>
      <c r="K87" s="252"/>
      <c r="L87" s="252"/>
      <c r="M87" s="252"/>
      <c r="N87" s="253"/>
      <c r="O87" s="328"/>
    </row>
    <row r="88" spans="1:20" s="2" customFormat="1" ht="18" customHeight="1">
      <c r="A88" s="300" t="s">
        <v>161</v>
      </c>
      <c r="B88" s="300"/>
      <c r="C88" s="300"/>
      <c r="D88" s="300"/>
      <c r="E88" s="231"/>
      <c r="F88" s="231"/>
      <c r="G88" s="231"/>
      <c r="H88" s="231"/>
      <c r="I88" s="231"/>
      <c r="J88" s="254"/>
      <c r="K88" s="255"/>
      <c r="L88" s="255"/>
      <c r="M88" s="255"/>
      <c r="N88" s="256"/>
      <c r="O88" s="328"/>
    </row>
    <row r="89" spans="1:20" ht="18" customHeight="1">
      <c r="A89" s="195" t="s">
        <v>106</v>
      </c>
      <c r="B89" s="196"/>
      <c r="C89" s="197"/>
      <c r="D89" s="104">
        <v>43</v>
      </c>
      <c r="E89" s="8"/>
      <c r="F89" s="152"/>
      <c r="G89" s="152"/>
      <c r="H89" s="152"/>
      <c r="I89" s="152"/>
      <c r="J89" s="152"/>
      <c r="K89" s="152"/>
      <c r="L89" s="152"/>
      <c r="M89" s="152"/>
      <c r="N89" s="152"/>
      <c r="O89" s="327"/>
      <c r="P89" s="327"/>
      <c r="T89" s="2"/>
    </row>
    <row r="90" spans="1:20" ht="19.8" customHeight="1">
      <c r="A90" s="159" t="s">
        <v>0</v>
      </c>
      <c r="B90" s="162" t="s">
        <v>19</v>
      </c>
      <c r="C90" s="321" t="s">
        <v>8</v>
      </c>
      <c r="D90" s="165" t="s">
        <v>9</v>
      </c>
      <c r="E90" s="317" t="s">
        <v>11</v>
      </c>
      <c r="F90" s="318"/>
      <c r="G90" s="317" t="s">
        <v>13</v>
      </c>
      <c r="H90" s="318"/>
      <c r="I90" s="174" t="s">
        <v>16</v>
      </c>
      <c r="J90" s="174" t="s">
        <v>39</v>
      </c>
      <c r="K90" s="174" t="s">
        <v>40</v>
      </c>
      <c r="L90" s="174" t="s">
        <v>17</v>
      </c>
      <c r="M90" s="174" t="s">
        <v>50</v>
      </c>
      <c r="N90" s="159" t="s">
        <v>18</v>
      </c>
      <c r="O90" s="329"/>
    </row>
    <row r="91" spans="1:20" ht="19.8" customHeight="1">
      <c r="A91" s="160"/>
      <c r="B91" s="163"/>
      <c r="C91" s="322"/>
      <c r="D91" s="166"/>
      <c r="E91" s="319"/>
      <c r="F91" s="320"/>
      <c r="G91" s="319"/>
      <c r="H91" s="320"/>
      <c r="I91" s="175"/>
      <c r="J91" s="175"/>
      <c r="K91" s="175"/>
      <c r="L91" s="175"/>
      <c r="M91" s="175"/>
      <c r="N91" s="160"/>
      <c r="O91" s="148"/>
    </row>
    <row r="92" spans="1:20" ht="19.8" customHeight="1">
      <c r="A92" s="160"/>
      <c r="B92" s="163"/>
      <c r="C92" s="322"/>
      <c r="D92" s="166"/>
      <c r="E92" s="174" t="s">
        <v>10</v>
      </c>
      <c r="F92" s="174" t="s">
        <v>12</v>
      </c>
      <c r="G92" s="174" t="s">
        <v>84</v>
      </c>
      <c r="H92" s="174" t="s">
        <v>15</v>
      </c>
      <c r="I92" s="175"/>
      <c r="J92" s="175"/>
      <c r="K92" s="175"/>
      <c r="L92" s="175"/>
      <c r="M92" s="175"/>
      <c r="N92" s="160"/>
      <c r="O92" s="148"/>
    </row>
    <row r="93" spans="1:20" ht="19.8" customHeight="1">
      <c r="A93" s="161"/>
      <c r="B93" s="164"/>
      <c r="C93" s="323"/>
      <c r="D93" s="167"/>
      <c r="E93" s="176"/>
      <c r="F93" s="176"/>
      <c r="G93" s="176"/>
      <c r="H93" s="176"/>
      <c r="I93" s="176"/>
      <c r="J93" s="176"/>
      <c r="K93" s="176"/>
      <c r="L93" s="176"/>
      <c r="M93" s="176"/>
      <c r="N93" s="161"/>
      <c r="O93" s="148"/>
    </row>
    <row r="94" spans="1:20" ht="19.8" customHeight="1">
      <c r="A94" s="237" t="s">
        <v>38</v>
      </c>
      <c r="B94" s="238"/>
      <c r="C94" s="238"/>
      <c r="D94" s="238"/>
      <c r="E94" s="238"/>
      <c r="F94" s="238"/>
      <c r="G94" s="238"/>
      <c r="H94" s="238"/>
      <c r="I94" s="238"/>
      <c r="J94" s="238"/>
      <c r="K94" s="238"/>
      <c r="L94" s="238"/>
      <c r="M94" s="238"/>
      <c r="N94" s="239"/>
      <c r="O94" s="148"/>
    </row>
    <row r="95" spans="1:20" s="2" customFormat="1" ht="19.2" customHeight="1">
      <c r="A95" s="9">
        <v>1</v>
      </c>
      <c r="B95" s="10" t="s">
        <v>2</v>
      </c>
      <c r="C95" s="18">
        <f>L95/100*100</f>
        <v>60</v>
      </c>
      <c r="D95" s="19">
        <f>C95/100*60</f>
        <v>36</v>
      </c>
      <c r="E95" s="20">
        <f>C95/100*15</f>
        <v>9</v>
      </c>
      <c r="F95" s="20"/>
      <c r="G95" s="20"/>
      <c r="H95" s="20"/>
      <c r="I95" s="20"/>
      <c r="J95" s="22">
        <f>C95/100*387</f>
        <v>232.2</v>
      </c>
      <c r="K95" s="22">
        <f>C95/100*0.09</f>
        <v>5.3999999999999999E-2</v>
      </c>
      <c r="L95" s="110">
        <v>60</v>
      </c>
      <c r="M95" s="56">
        <v>20</v>
      </c>
      <c r="N95" s="23">
        <f>L95*M95</f>
        <v>1200</v>
      </c>
      <c r="O95" s="126"/>
    </row>
    <row r="96" spans="1:20" s="2" customFormat="1" ht="19.2" customHeight="1">
      <c r="A96" s="9">
        <v>2</v>
      </c>
      <c r="B96" s="119" t="s">
        <v>119</v>
      </c>
      <c r="C96" s="18">
        <f>L96/100*100</f>
        <v>210</v>
      </c>
      <c r="D96" s="19">
        <f>C96/100*899</f>
        <v>1887.9</v>
      </c>
      <c r="E96" s="20"/>
      <c r="F96" s="20"/>
      <c r="G96" s="98">
        <f>C96/100*100</f>
        <v>210</v>
      </c>
      <c r="H96" s="97"/>
      <c r="I96" s="20"/>
      <c r="J96" s="22"/>
      <c r="K96" s="22"/>
      <c r="L96" s="110">
        <v>210</v>
      </c>
      <c r="M96" s="56">
        <v>69</v>
      </c>
      <c r="N96" s="23">
        <f t="shared" ref="N96:N102" si="5">L96*M96</f>
        <v>14490</v>
      </c>
      <c r="O96" s="126"/>
    </row>
    <row r="97" spans="1:23" s="2" customFormat="1" ht="19.2" customHeight="1">
      <c r="A97" s="9">
        <v>3</v>
      </c>
      <c r="B97" s="5" t="s">
        <v>1</v>
      </c>
      <c r="C97" s="18">
        <f>L97/100*100</f>
        <v>1848.9999999999998</v>
      </c>
      <c r="D97" s="19">
        <f>C97/100*343.5</f>
        <v>6351.3149999999996</v>
      </c>
      <c r="E97" s="20"/>
      <c r="F97" s="97">
        <f>C97/100*7.9</f>
        <v>146.071</v>
      </c>
      <c r="G97" s="20"/>
      <c r="H97" s="20">
        <f>C97/100*1</f>
        <v>18.489999999999998</v>
      </c>
      <c r="I97" s="97">
        <f>C97/100*75.9</f>
        <v>1403.3910000000001</v>
      </c>
      <c r="J97" s="22">
        <f>C97/100*30</f>
        <v>554.69999999999993</v>
      </c>
      <c r="K97" s="22">
        <f>C97/100*0.1</f>
        <v>1.849</v>
      </c>
      <c r="L97" s="110">
        <v>1849</v>
      </c>
      <c r="M97" s="56">
        <v>18</v>
      </c>
      <c r="N97" s="23">
        <f t="shared" si="5"/>
        <v>33282</v>
      </c>
      <c r="O97" s="126"/>
    </row>
    <row r="98" spans="1:23" s="2" customFormat="1" ht="19.2" customHeight="1">
      <c r="A98" s="9">
        <v>4</v>
      </c>
      <c r="B98" s="5" t="s">
        <v>62</v>
      </c>
      <c r="C98" s="18">
        <f>L98/100*48</f>
        <v>825.59999999999991</v>
      </c>
      <c r="D98" s="19">
        <f>C98/100*199</f>
        <v>1642.9439999999997</v>
      </c>
      <c r="E98" s="97">
        <f>C98/100*20.3</f>
        <v>167.59679999999997</v>
      </c>
      <c r="F98" s="97"/>
      <c r="G98" s="97">
        <f>C98/100*13.1</f>
        <v>108.15359999999998</v>
      </c>
      <c r="H98" s="20"/>
      <c r="I98" s="20"/>
      <c r="J98" s="22">
        <f>C98/100*12</f>
        <v>99.071999999999974</v>
      </c>
      <c r="K98" s="22">
        <f>C98/100*0.15</f>
        <v>1.2383999999999997</v>
      </c>
      <c r="L98" s="110">
        <v>1720</v>
      </c>
      <c r="M98" s="21">
        <v>84</v>
      </c>
      <c r="N98" s="23">
        <f t="shared" si="5"/>
        <v>144480</v>
      </c>
      <c r="O98" s="126"/>
      <c r="Q98" s="3"/>
      <c r="R98" s="3"/>
      <c r="S98" s="4"/>
    </row>
    <row r="99" spans="1:23" s="2" customFormat="1" ht="19.2" customHeight="1">
      <c r="A99" s="9">
        <v>5</v>
      </c>
      <c r="B99" s="60" t="s">
        <v>122</v>
      </c>
      <c r="C99" s="18">
        <f>L99/100*89</f>
        <v>1397.3</v>
      </c>
      <c r="D99" s="19">
        <f>C99/100*154</f>
        <v>2151.8419999999996</v>
      </c>
      <c r="E99" s="97">
        <f>C99/100*13.1</f>
        <v>183.04629999999997</v>
      </c>
      <c r="F99" s="20"/>
      <c r="G99" s="97">
        <f>C99/100*8.3</f>
        <v>115.9759</v>
      </c>
      <c r="H99" s="20"/>
      <c r="I99" s="20">
        <f>C99/100*0.4</f>
        <v>5.5891999999999999</v>
      </c>
      <c r="J99" s="62">
        <f>C99/100*64</f>
        <v>894.27199999999993</v>
      </c>
      <c r="K99" s="22">
        <f>C99/100*0.13</f>
        <v>1.8164899999999999</v>
      </c>
      <c r="L99" s="21">
        <v>1570</v>
      </c>
      <c r="M99" s="39">
        <v>77</v>
      </c>
      <c r="N99" s="124">
        <f t="shared" si="5"/>
        <v>120890</v>
      </c>
      <c r="O99" s="126"/>
    </row>
    <row r="100" spans="1:23" s="2" customFormat="1" ht="19.2" customHeight="1">
      <c r="A100" s="9">
        <v>6</v>
      </c>
      <c r="B100" s="5" t="s">
        <v>116</v>
      </c>
      <c r="C100" s="18">
        <f>L100/100*100</f>
        <v>40</v>
      </c>
      <c r="D100" s="19">
        <f>C100/100*247</f>
        <v>98.800000000000011</v>
      </c>
      <c r="E100" s="24"/>
      <c r="F100" s="24">
        <f>C100/100*17.5</f>
        <v>7</v>
      </c>
      <c r="G100" s="24"/>
      <c r="H100" s="24">
        <f>C100/100*1.6</f>
        <v>0.64000000000000012</v>
      </c>
      <c r="I100" s="24">
        <f>C100/100*39.2</f>
        <v>15.680000000000001</v>
      </c>
      <c r="J100" s="52"/>
      <c r="K100" s="52"/>
      <c r="L100" s="331">
        <v>40</v>
      </c>
      <c r="M100" s="56">
        <v>50</v>
      </c>
      <c r="N100" s="23">
        <f t="shared" si="5"/>
        <v>2000</v>
      </c>
      <c r="O100" s="126"/>
      <c r="Q100" s="3"/>
      <c r="R100" s="3"/>
      <c r="S100" s="4"/>
      <c r="T100" s="3"/>
    </row>
    <row r="101" spans="1:23" s="2" customFormat="1" ht="18.600000000000001" customHeight="1">
      <c r="A101" s="9">
        <v>7</v>
      </c>
      <c r="B101" s="5" t="s">
        <v>20</v>
      </c>
      <c r="C101" s="18">
        <f>L101/100*95</f>
        <v>408.5</v>
      </c>
      <c r="D101" s="19">
        <f>C101/100*20</f>
        <v>81.7</v>
      </c>
      <c r="E101" s="20"/>
      <c r="F101" s="20">
        <f>C101/100*0.6</f>
        <v>2.4510000000000001</v>
      </c>
      <c r="G101" s="20"/>
      <c r="H101" s="20">
        <f>C101/100*0.2</f>
        <v>0.81700000000000006</v>
      </c>
      <c r="I101" s="20">
        <f>C101/100*4</f>
        <v>16.34</v>
      </c>
      <c r="J101" s="22">
        <f>C101/100*12</f>
        <v>49.019999999999996</v>
      </c>
      <c r="K101" s="19">
        <f>C101/100*0.04</f>
        <v>0.16339999999999999</v>
      </c>
      <c r="L101" s="110">
        <v>430</v>
      </c>
      <c r="M101" s="58">
        <v>22</v>
      </c>
      <c r="N101" s="23">
        <f t="shared" si="5"/>
        <v>9460</v>
      </c>
      <c r="O101" s="332"/>
      <c r="Q101" s="3"/>
      <c r="R101" s="3"/>
      <c r="S101" s="4"/>
    </row>
    <row r="102" spans="1:23" s="2" customFormat="1" ht="19.8" customHeight="1">
      <c r="A102" s="9">
        <v>8</v>
      </c>
      <c r="B102" s="122" t="s">
        <v>162</v>
      </c>
      <c r="C102" s="18">
        <f>L102/100*86</f>
        <v>1032</v>
      </c>
      <c r="D102" s="19">
        <f>C102/100*42</f>
        <v>433.44</v>
      </c>
      <c r="E102" s="20"/>
      <c r="F102" s="20">
        <f>C102/100*3.2</f>
        <v>33.024000000000001</v>
      </c>
      <c r="G102" s="20"/>
      <c r="H102" s="20">
        <f>C102/100*0.4</f>
        <v>4.1280000000000001</v>
      </c>
      <c r="I102" s="20">
        <f>C102/100*6.3</f>
        <v>65.016000000000005</v>
      </c>
      <c r="J102" s="97">
        <f>C102/100*288</f>
        <v>2972.16</v>
      </c>
      <c r="K102" s="20">
        <f>C102/100*0.08</f>
        <v>0.8256</v>
      </c>
      <c r="L102" s="110">
        <v>1200</v>
      </c>
      <c r="M102" s="56">
        <v>15</v>
      </c>
      <c r="N102" s="23">
        <f t="shared" si="5"/>
        <v>18000</v>
      </c>
      <c r="O102" s="126"/>
    </row>
    <row r="103" spans="1:23" s="2" customFormat="1" ht="19.2" customHeight="1">
      <c r="A103" s="9">
        <v>9</v>
      </c>
      <c r="B103" s="6" t="s">
        <v>107</v>
      </c>
      <c r="C103" s="18"/>
      <c r="D103" s="19"/>
      <c r="E103" s="20"/>
      <c r="F103" s="20"/>
      <c r="G103" s="20"/>
      <c r="H103" s="20"/>
      <c r="I103" s="20"/>
      <c r="J103" s="22"/>
      <c r="K103" s="22"/>
      <c r="L103" s="21"/>
      <c r="M103" s="21"/>
      <c r="N103" s="23">
        <v>3040</v>
      </c>
      <c r="O103" s="126"/>
    </row>
    <row r="104" spans="1:23" s="2" customFormat="1" ht="19.2" customHeight="1">
      <c r="A104" s="16" t="s">
        <v>102</v>
      </c>
      <c r="B104" s="17"/>
      <c r="C104" s="26"/>
      <c r="D104" s="99">
        <f>SUM(D95:D103)</f>
        <v>12683.941000000001</v>
      </c>
      <c r="E104" s="31"/>
      <c r="F104" s="31"/>
      <c r="G104" s="31"/>
      <c r="H104" s="31"/>
      <c r="I104" s="31"/>
      <c r="J104" s="31"/>
      <c r="K104" s="31"/>
      <c r="L104" s="32"/>
      <c r="M104" s="235"/>
      <c r="N104" s="258">
        <f>SUM(N95:N103)</f>
        <v>346842</v>
      </c>
      <c r="O104" s="126"/>
    </row>
    <row r="105" spans="1:23" ht="19.2" customHeight="1">
      <c r="A105" s="16" t="s">
        <v>36</v>
      </c>
      <c r="B105" s="17"/>
      <c r="C105" s="33"/>
      <c r="D105" s="34">
        <f>D104/D89</f>
        <v>294.97537209302328</v>
      </c>
      <c r="E105" s="34"/>
      <c r="F105" s="34"/>
      <c r="G105" s="34"/>
      <c r="H105" s="34"/>
      <c r="I105" s="34"/>
      <c r="J105" s="34"/>
      <c r="K105" s="34"/>
      <c r="L105" s="35"/>
      <c r="M105" s="236"/>
      <c r="N105" s="259"/>
      <c r="O105" s="4"/>
      <c r="P105" s="2"/>
      <c r="Q105" s="2"/>
      <c r="R105" s="2"/>
      <c r="S105" s="2"/>
      <c r="T105" s="2"/>
      <c r="U105" s="2"/>
      <c r="V105" s="2"/>
    </row>
    <row r="106" spans="1:23" ht="19.2" customHeight="1">
      <c r="A106" s="210" t="s">
        <v>46</v>
      </c>
      <c r="B106" s="211"/>
      <c r="C106" s="333" t="s">
        <v>125</v>
      </c>
      <c r="D106" s="15" t="s">
        <v>41</v>
      </c>
      <c r="E106" s="34"/>
      <c r="F106" s="34"/>
      <c r="G106" s="34"/>
      <c r="H106" s="34"/>
      <c r="I106" s="34"/>
      <c r="J106" s="36"/>
      <c r="K106" s="36"/>
      <c r="L106" s="35"/>
      <c r="M106" s="35"/>
      <c r="N106" s="149"/>
      <c r="O106" s="4"/>
      <c r="P106" s="2"/>
      <c r="Q106" s="2"/>
      <c r="R106" s="2"/>
      <c r="S106" s="2"/>
      <c r="T106" s="2"/>
      <c r="U106" s="2"/>
      <c r="V106" s="2"/>
      <c r="W106" s="2"/>
    </row>
    <row r="107" spans="1:23" ht="19.2" customHeight="1">
      <c r="A107" s="212"/>
      <c r="B107" s="213"/>
      <c r="C107" s="57" t="s">
        <v>53</v>
      </c>
      <c r="D107" s="15">
        <f>D105*100/930</f>
        <v>31.717781945486376</v>
      </c>
      <c r="E107" s="34"/>
      <c r="F107" s="34"/>
      <c r="G107" s="34"/>
      <c r="H107" s="34"/>
      <c r="I107" s="34"/>
      <c r="J107" s="36"/>
      <c r="K107" s="36"/>
      <c r="L107" s="35"/>
      <c r="M107" s="35"/>
      <c r="N107" s="149"/>
      <c r="O107" s="4"/>
      <c r="P107" s="2"/>
      <c r="Q107" s="2"/>
      <c r="R107" s="2"/>
      <c r="S107" s="2"/>
      <c r="T107" s="2"/>
      <c r="U107" s="2"/>
      <c r="V107" s="2"/>
      <c r="W107" s="2"/>
    </row>
    <row r="108" spans="1:23" s="2" customFormat="1" ht="19.2" customHeight="1">
      <c r="A108" s="247" t="s">
        <v>37</v>
      </c>
      <c r="B108" s="247"/>
      <c r="C108" s="40"/>
      <c r="D108" s="41"/>
      <c r="E108" s="42"/>
      <c r="F108" s="42"/>
      <c r="G108" s="42"/>
      <c r="H108" s="42"/>
      <c r="I108" s="42"/>
      <c r="J108" s="42"/>
      <c r="K108" s="42"/>
      <c r="L108" s="43"/>
      <c r="M108" s="43"/>
      <c r="N108" s="44"/>
      <c r="O108" s="126"/>
    </row>
    <row r="109" spans="1:23" s="2" customFormat="1" ht="19.2" customHeight="1">
      <c r="A109" s="9">
        <v>1</v>
      </c>
      <c r="B109" s="10" t="s">
        <v>2</v>
      </c>
      <c r="C109" s="18">
        <f t="shared" ref="C109:C114" si="6">L109/100*100</f>
        <v>60</v>
      </c>
      <c r="D109" s="19">
        <f>C109/100*60</f>
        <v>36</v>
      </c>
      <c r="E109" s="20">
        <f>C109/100*15</f>
        <v>9</v>
      </c>
      <c r="F109" s="20"/>
      <c r="G109" s="20"/>
      <c r="H109" s="20"/>
      <c r="I109" s="20"/>
      <c r="J109" s="22">
        <f>C109/100*387</f>
        <v>232.2</v>
      </c>
      <c r="K109" s="22">
        <f>C109/100*0.09</f>
        <v>5.3999999999999999E-2</v>
      </c>
      <c r="L109" s="110">
        <v>60</v>
      </c>
      <c r="M109" s="56">
        <v>20</v>
      </c>
      <c r="N109" s="23">
        <f>L109*M109</f>
        <v>1200</v>
      </c>
      <c r="O109" s="126"/>
    </row>
    <row r="110" spans="1:23" s="2" customFormat="1" ht="19.2" customHeight="1">
      <c r="A110" s="9">
        <v>2</v>
      </c>
      <c r="B110" s="119" t="s">
        <v>119</v>
      </c>
      <c r="C110" s="18">
        <f t="shared" si="6"/>
        <v>210</v>
      </c>
      <c r="D110" s="19">
        <f>C110/100*899</f>
        <v>1887.9</v>
      </c>
      <c r="E110" s="20"/>
      <c r="F110" s="20"/>
      <c r="G110" s="97">
        <f>C110/100*100</f>
        <v>210</v>
      </c>
      <c r="H110" s="20"/>
      <c r="I110" s="20"/>
      <c r="J110" s="20"/>
      <c r="K110" s="20"/>
      <c r="L110" s="110">
        <v>210</v>
      </c>
      <c r="M110" s="117">
        <v>69</v>
      </c>
      <c r="N110" s="23">
        <f t="shared" ref="N110:N113" si="7">L110*M110</f>
        <v>14490</v>
      </c>
      <c r="O110" s="334"/>
    </row>
    <row r="111" spans="1:23" s="2" customFormat="1" ht="19.2" customHeight="1">
      <c r="A111" s="9">
        <v>3</v>
      </c>
      <c r="B111" s="121" t="s">
        <v>121</v>
      </c>
      <c r="C111" s="18">
        <f t="shared" si="6"/>
        <v>110.00000000000001</v>
      </c>
      <c r="D111" s="98">
        <f>C111/100*900</f>
        <v>990.00000000000011</v>
      </c>
      <c r="E111" s="20"/>
      <c r="F111" s="20"/>
      <c r="G111" s="97"/>
      <c r="H111" s="97">
        <f>C111/100*100</f>
        <v>110.00000000000001</v>
      </c>
      <c r="I111" s="20"/>
      <c r="J111" s="20"/>
      <c r="K111" s="20"/>
      <c r="L111" s="110">
        <v>110</v>
      </c>
      <c r="M111" s="56">
        <v>65</v>
      </c>
      <c r="N111" s="23">
        <f t="shared" si="7"/>
        <v>7150</v>
      </c>
      <c r="O111" s="334"/>
    </row>
    <row r="112" spans="1:23" s="2" customFormat="1" ht="19.2" customHeight="1">
      <c r="A112" s="9">
        <v>4</v>
      </c>
      <c r="B112" s="5" t="s">
        <v>1</v>
      </c>
      <c r="C112" s="18">
        <f t="shared" si="6"/>
        <v>1032</v>
      </c>
      <c r="D112" s="19">
        <f>C112/100*343.5</f>
        <v>3544.92</v>
      </c>
      <c r="E112" s="20"/>
      <c r="F112" s="20">
        <f>C112/100*7.9</f>
        <v>81.528000000000006</v>
      </c>
      <c r="G112" s="20"/>
      <c r="H112" s="20">
        <f>C112/100*1</f>
        <v>10.32</v>
      </c>
      <c r="I112" s="20">
        <f>C112/100*75.9</f>
        <v>783.28800000000012</v>
      </c>
      <c r="J112" s="22">
        <f>C112/100*30</f>
        <v>309.60000000000002</v>
      </c>
      <c r="K112" s="22">
        <f>C112/100*0.1</f>
        <v>1.032</v>
      </c>
      <c r="L112" s="110">
        <v>1032</v>
      </c>
      <c r="M112" s="56">
        <v>18</v>
      </c>
      <c r="N112" s="23">
        <f t="shared" si="7"/>
        <v>18576</v>
      </c>
      <c r="O112" s="126"/>
    </row>
    <row r="113" spans="1:23" s="2" customFormat="1" ht="19.2" customHeight="1">
      <c r="A113" s="9">
        <v>5</v>
      </c>
      <c r="B113" s="5" t="s">
        <v>65</v>
      </c>
      <c r="C113" s="18">
        <f t="shared" si="6"/>
        <v>688</v>
      </c>
      <c r="D113" s="19">
        <f>C113/100*344</f>
        <v>2366.7199999999998</v>
      </c>
      <c r="E113" s="20"/>
      <c r="F113" s="20">
        <f>C113/100*8.6</f>
        <v>59.167999999999999</v>
      </c>
      <c r="G113" s="20"/>
      <c r="H113" s="20">
        <f>C113/100*1.5</f>
        <v>10.32</v>
      </c>
      <c r="I113" s="20">
        <f>C113/100*74.5</f>
        <v>512.55999999999995</v>
      </c>
      <c r="J113" s="20">
        <f>C113/100*32</f>
        <v>220.16</v>
      </c>
      <c r="K113" s="22">
        <f>C113/100*0.14</f>
        <v>0.96320000000000006</v>
      </c>
      <c r="L113" s="110">
        <v>688</v>
      </c>
      <c r="M113" s="56">
        <v>30</v>
      </c>
      <c r="N113" s="23">
        <f t="shared" si="7"/>
        <v>20640</v>
      </c>
      <c r="O113" s="126"/>
      <c r="P113" s="14"/>
    </row>
    <row r="114" spans="1:23" s="2" customFormat="1" ht="19.2" customHeight="1">
      <c r="A114" s="9">
        <v>6</v>
      </c>
      <c r="B114" s="5" t="s">
        <v>60</v>
      </c>
      <c r="C114" s="18">
        <f t="shared" si="6"/>
        <v>80</v>
      </c>
      <c r="D114" s="19">
        <f>C114/100*334</f>
        <v>267.2</v>
      </c>
      <c r="E114" s="20"/>
      <c r="F114" s="20">
        <f>C114/100*20</f>
        <v>16</v>
      </c>
      <c r="G114" s="20"/>
      <c r="H114" s="20">
        <f>C114/100*2.4</f>
        <v>1.92</v>
      </c>
      <c r="I114" s="20">
        <f>C114/100*58</f>
        <v>46.400000000000006</v>
      </c>
      <c r="J114" s="22">
        <f>C114/100*89</f>
        <v>71.2</v>
      </c>
      <c r="K114" s="22">
        <f>C114/100*0.64</f>
        <v>0.51200000000000001</v>
      </c>
      <c r="L114" s="110">
        <v>80</v>
      </c>
      <c r="M114" s="56">
        <v>190</v>
      </c>
      <c r="N114" s="23">
        <f>L114*M114</f>
        <v>15200</v>
      </c>
      <c r="O114" s="126"/>
    </row>
    <row r="115" spans="1:23" s="2" customFormat="1" ht="16.2" customHeight="1">
      <c r="A115" s="9">
        <v>7</v>
      </c>
      <c r="B115" s="5" t="s">
        <v>4</v>
      </c>
      <c r="C115" s="18">
        <f>L115/100*98.5</f>
        <v>640.25</v>
      </c>
      <c r="D115" s="19">
        <f>C115/100*39</f>
        <v>249.69749999999999</v>
      </c>
      <c r="E115" s="24"/>
      <c r="F115" s="24">
        <f>C115/100*1.5</f>
        <v>9.6037499999999998</v>
      </c>
      <c r="G115" s="24"/>
      <c r="H115" s="24">
        <f>C115/100*0.2</f>
        <v>1.2805</v>
      </c>
      <c r="I115" s="24">
        <f>C115/100*7.8</f>
        <v>49.939499999999995</v>
      </c>
      <c r="J115" s="24">
        <f>C115/100*43</f>
        <v>275.3075</v>
      </c>
      <c r="K115" s="24">
        <f>C115/100*0.06</f>
        <v>0.38414999999999999</v>
      </c>
      <c r="L115" s="331">
        <v>650</v>
      </c>
      <c r="M115" s="21">
        <v>17</v>
      </c>
      <c r="N115" s="108">
        <f t="shared" ref="N115:N117" si="8">L115*M115</f>
        <v>11050</v>
      </c>
      <c r="O115" s="126"/>
      <c r="Q115" s="3"/>
      <c r="R115" s="3"/>
      <c r="S115" s="4"/>
    </row>
    <row r="116" spans="1:23" s="2" customFormat="1" ht="20.399999999999999" customHeight="1">
      <c r="A116" s="9">
        <v>8</v>
      </c>
      <c r="B116" s="10" t="s">
        <v>3</v>
      </c>
      <c r="C116" s="18">
        <f>L116/100*98</f>
        <v>666.4</v>
      </c>
      <c r="D116" s="19">
        <f>C116/100*118</f>
        <v>786.35199999999998</v>
      </c>
      <c r="E116" s="97">
        <f>C116/100*21</f>
        <v>139.94399999999999</v>
      </c>
      <c r="F116" s="20"/>
      <c r="G116" s="20">
        <f>C116/100*3.8</f>
        <v>25.323199999999996</v>
      </c>
      <c r="H116" s="20"/>
      <c r="I116" s="20"/>
      <c r="J116" s="20">
        <f>C116/100*12</f>
        <v>79.967999999999989</v>
      </c>
      <c r="K116" s="20">
        <f>C116/100*0.1</f>
        <v>0.66639999999999999</v>
      </c>
      <c r="L116" s="110">
        <v>680</v>
      </c>
      <c r="M116" s="116">
        <v>270</v>
      </c>
      <c r="N116" s="108">
        <f t="shared" si="8"/>
        <v>183600</v>
      </c>
      <c r="O116" s="126"/>
    </row>
    <row r="117" spans="1:23" s="2" customFormat="1" ht="18.600000000000001" customHeight="1">
      <c r="A117" s="9">
        <v>9</v>
      </c>
      <c r="B117" s="5" t="s">
        <v>62</v>
      </c>
      <c r="C117" s="18">
        <f>L117/100*48</f>
        <v>744</v>
      </c>
      <c r="D117" s="19">
        <f>C117/100*199</f>
        <v>1480.5600000000002</v>
      </c>
      <c r="E117" s="97">
        <f>C117/100*20.3</f>
        <v>151.03200000000001</v>
      </c>
      <c r="F117" s="20"/>
      <c r="G117" s="20">
        <f>C117/100*13.1</f>
        <v>97.463999999999999</v>
      </c>
      <c r="H117" s="20"/>
      <c r="I117" s="20"/>
      <c r="J117" s="22">
        <f>C117/100*12</f>
        <v>89.28</v>
      </c>
      <c r="K117" s="22">
        <f>C117/100*0.15</f>
        <v>1.1160000000000001</v>
      </c>
      <c r="L117" s="110">
        <v>1550</v>
      </c>
      <c r="M117" s="110">
        <v>84</v>
      </c>
      <c r="N117" s="23">
        <f t="shared" si="8"/>
        <v>130200</v>
      </c>
      <c r="O117" s="126"/>
      <c r="Q117" s="3"/>
      <c r="R117" s="3"/>
      <c r="S117" s="4"/>
    </row>
    <row r="118" spans="1:23" s="2" customFormat="1" ht="19.2" customHeight="1">
      <c r="A118" s="9">
        <v>10</v>
      </c>
      <c r="B118" s="5" t="s">
        <v>116</v>
      </c>
      <c r="C118" s="18">
        <f>L118/100*100</f>
        <v>40</v>
      </c>
      <c r="D118" s="19">
        <f>C118/100*247</f>
        <v>98.800000000000011</v>
      </c>
      <c r="E118" s="24"/>
      <c r="F118" s="24">
        <f>C118/100*17.5</f>
        <v>7</v>
      </c>
      <c r="G118" s="24"/>
      <c r="H118" s="24">
        <f>C118/100*1.6</f>
        <v>0.64000000000000012</v>
      </c>
      <c r="I118" s="24">
        <f>C118/100*39.2</f>
        <v>15.680000000000001</v>
      </c>
      <c r="J118" s="52"/>
      <c r="K118" s="52"/>
      <c r="L118" s="331">
        <v>40</v>
      </c>
      <c r="M118" s="56">
        <v>50</v>
      </c>
      <c r="N118" s="23">
        <f t="shared" ref="N118" si="9">L118*M118</f>
        <v>2000</v>
      </c>
      <c r="O118" s="126"/>
      <c r="Q118" s="3"/>
      <c r="R118" s="3"/>
      <c r="S118" s="4"/>
      <c r="T118" s="3"/>
    </row>
    <row r="119" spans="1:23" s="2" customFormat="1" ht="19.2" customHeight="1">
      <c r="A119" s="9">
        <v>11</v>
      </c>
      <c r="B119" s="6" t="s">
        <v>107</v>
      </c>
      <c r="C119" s="18"/>
      <c r="D119" s="19"/>
      <c r="E119" s="20"/>
      <c r="F119" s="20"/>
      <c r="G119" s="20"/>
      <c r="H119" s="20"/>
      <c r="I119" s="20"/>
      <c r="J119" s="22"/>
      <c r="K119" s="22"/>
      <c r="L119" s="21"/>
      <c r="M119" s="21"/>
      <c r="N119" s="23">
        <v>3040</v>
      </c>
      <c r="O119" s="126"/>
    </row>
    <row r="120" spans="1:23" s="2" customFormat="1" ht="19.2" customHeight="1">
      <c r="A120" s="16" t="s">
        <v>103</v>
      </c>
      <c r="B120" s="17"/>
      <c r="C120" s="26"/>
      <c r="D120" s="99">
        <f>SUM(D109:D119)</f>
        <v>11708.1495</v>
      </c>
      <c r="E120" s="31"/>
      <c r="F120" s="31"/>
      <c r="G120" s="31"/>
      <c r="H120" s="31"/>
      <c r="I120" s="31"/>
      <c r="J120" s="31"/>
      <c r="K120" s="31"/>
      <c r="L120" s="32"/>
      <c r="M120" s="235"/>
      <c r="N120" s="258">
        <f>SUM(N109:N119)</f>
        <v>407146</v>
      </c>
      <c r="O120" s="126"/>
    </row>
    <row r="121" spans="1:23" ht="19.2" customHeight="1">
      <c r="A121" s="16" t="s">
        <v>35</v>
      </c>
      <c r="B121" s="17"/>
      <c r="C121" s="45"/>
      <c r="D121" s="36">
        <f>D120/D89</f>
        <v>272.28254651162791</v>
      </c>
      <c r="E121" s="36"/>
      <c r="F121" s="36"/>
      <c r="G121" s="36"/>
      <c r="H121" s="36"/>
      <c r="I121" s="36"/>
      <c r="J121" s="36"/>
      <c r="K121" s="36"/>
      <c r="L121" s="46"/>
      <c r="M121" s="236"/>
      <c r="N121" s="269"/>
      <c r="O121" s="4"/>
      <c r="P121" s="2"/>
      <c r="Q121" s="2"/>
      <c r="R121" s="2"/>
      <c r="S121" s="2"/>
      <c r="T121" s="2"/>
      <c r="U121" s="2"/>
      <c r="V121" s="2"/>
    </row>
    <row r="122" spans="1:23" ht="19.2" customHeight="1">
      <c r="A122" s="210" t="s">
        <v>47</v>
      </c>
      <c r="B122" s="211"/>
      <c r="C122" s="333" t="s">
        <v>125</v>
      </c>
      <c r="D122" s="15" t="s">
        <v>42</v>
      </c>
      <c r="E122" s="34"/>
      <c r="F122" s="34"/>
      <c r="G122" s="34"/>
      <c r="H122" s="34"/>
      <c r="I122" s="34"/>
      <c r="J122" s="36"/>
      <c r="K122" s="36"/>
      <c r="L122" s="35"/>
      <c r="M122" s="35"/>
      <c r="N122" s="149"/>
      <c r="O122" s="4"/>
      <c r="P122" s="2"/>
      <c r="Q122" s="2"/>
      <c r="R122" s="2"/>
      <c r="S122" s="2"/>
      <c r="T122" s="2"/>
      <c r="U122" s="2"/>
      <c r="V122" s="2"/>
      <c r="W122" s="2"/>
    </row>
    <row r="123" spans="1:23" ht="19.2" customHeight="1">
      <c r="A123" s="212"/>
      <c r="B123" s="213"/>
      <c r="C123" s="57" t="s">
        <v>53</v>
      </c>
      <c r="D123" s="15">
        <f>D121*100/930</f>
        <v>29.277693173293326</v>
      </c>
      <c r="E123" s="34"/>
      <c r="F123" s="34"/>
      <c r="G123" s="34"/>
      <c r="H123" s="34"/>
      <c r="I123" s="34"/>
      <c r="J123" s="36"/>
      <c r="K123" s="36"/>
      <c r="L123" s="35"/>
      <c r="M123" s="35"/>
      <c r="N123" s="149"/>
      <c r="O123" s="4"/>
      <c r="P123" s="2"/>
      <c r="Q123" s="2"/>
      <c r="R123" s="2"/>
      <c r="S123" s="2"/>
      <c r="T123" s="2"/>
      <c r="U123" s="2"/>
      <c r="V123" s="2"/>
      <c r="W123" s="2"/>
    </row>
    <row r="124" spans="1:23" ht="19.2" customHeight="1">
      <c r="A124" s="247" t="s">
        <v>34</v>
      </c>
      <c r="B124" s="247"/>
      <c r="C124" s="47"/>
      <c r="D124" s="48"/>
      <c r="E124" s="48"/>
      <c r="F124" s="48"/>
      <c r="G124" s="48"/>
      <c r="H124" s="48"/>
      <c r="I124" s="48"/>
      <c r="J124" s="48"/>
      <c r="K124" s="48"/>
      <c r="L124" s="49"/>
      <c r="M124" s="49"/>
      <c r="N124" s="50"/>
      <c r="O124" s="4"/>
      <c r="P124" s="2"/>
      <c r="Q124" s="2"/>
      <c r="R124" s="2"/>
      <c r="S124" s="2"/>
      <c r="T124" s="2"/>
      <c r="U124" s="2"/>
      <c r="V124" s="2"/>
    </row>
    <row r="125" spans="1:23" s="2" customFormat="1" ht="19.2" customHeight="1">
      <c r="A125" s="87">
        <v>1</v>
      </c>
      <c r="B125" s="127" t="s">
        <v>124</v>
      </c>
      <c r="C125" s="26">
        <f>L125/100*100</f>
        <v>740</v>
      </c>
      <c r="D125" s="88">
        <f>C125/100*487</f>
        <v>3603.8</v>
      </c>
      <c r="E125" s="28"/>
      <c r="F125" s="105">
        <f>C125/100*19.5</f>
        <v>144.30000000000001</v>
      </c>
      <c r="G125" s="105"/>
      <c r="H125" s="105">
        <f>C125/100*23.2</f>
        <v>171.68</v>
      </c>
      <c r="I125" s="28">
        <f>C125/100*46</f>
        <v>340.40000000000003</v>
      </c>
      <c r="J125" s="105">
        <f>C125/100*680</f>
        <v>5032</v>
      </c>
      <c r="K125" s="28">
        <f>C125/100*0.55</f>
        <v>4.07</v>
      </c>
      <c r="L125" s="29">
        <v>740</v>
      </c>
      <c r="M125" s="128">
        <v>260</v>
      </c>
      <c r="N125" s="89">
        <f t="shared" ref="N125" si="10">L125*M125</f>
        <v>192400</v>
      </c>
      <c r="O125" s="126"/>
      <c r="P125" s="3"/>
    </row>
    <row r="126" spans="1:23" ht="20.399999999999999" customHeight="1">
      <c r="A126" s="159" t="s">
        <v>0</v>
      </c>
      <c r="B126" s="162" t="s">
        <v>19</v>
      </c>
      <c r="C126" s="321" t="s">
        <v>8</v>
      </c>
      <c r="D126" s="165" t="s">
        <v>9</v>
      </c>
      <c r="E126" s="317" t="s">
        <v>11</v>
      </c>
      <c r="F126" s="318"/>
      <c r="G126" s="317" t="s">
        <v>13</v>
      </c>
      <c r="H126" s="318"/>
      <c r="I126" s="174" t="s">
        <v>16</v>
      </c>
      <c r="J126" s="174" t="s">
        <v>39</v>
      </c>
      <c r="K126" s="174" t="s">
        <v>40</v>
      </c>
      <c r="L126" s="174" t="s">
        <v>17</v>
      </c>
      <c r="M126" s="174" t="s">
        <v>50</v>
      </c>
      <c r="N126" s="159" t="s">
        <v>18</v>
      </c>
      <c r="O126" s="329"/>
    </row>
    <row r="127" spans="1:23" ht="20.399999999999999" customHeight="1">
      <c r="A127" s="160"/>
      <c r="B127" s="163"/>
      <c r="C127" s="322"/>
      <c r="D127" s="166"/>
      <c r="E127" s="319"/>
      <c r="F127" s="320"/>
      <c r="G127" s="319"/>
      <c r="H127" s="320"/>
      <c r="I127" s="175"/>
      <c r="J127" s="175"/>
      <c r="K127" s="175"/>
      <c r="L127" s="175"/>
      <c r="M127" s="175"/>
      <c r="N127" s="160"/>
      <c r="O127" s="148"/>
    </row>
    <row r="128" spans="1:23" ht="20.399999999999999" customHeight="1">
      <c r="A128" s="160"/>
      <c r="B128" s="163"/>
      <c r="C128" s="322"/>
      <c r="D128" s="166"/>
      <c r="E128" s="174" t="s">
        <v>10</v>
      </c>
      <c r="F128" s="174" t="s">
        <v>12</v>
      </c>
      <c r="G128" s="174" t="s">
        <v>84</v>
      </c>
      <c r="H128" s="174" t="s">
        <v>15</v>
      </c>
      <c r="I128" s="175"/>
      <c r="J128" s="175"/>
      <c r="K128" s="175"/>
      <c r="L128" s="175"/>
      <c r="M128" s="175"/>
      <c r="N128" s="160"/>
      <c r="O128" s="148"/>
    </row>
    <row r="129" spans="1:23" ht="20.399999999999999" customHeight="1">
      <c r="A129" s="161"/>
      <c r="B129" s="164"/>
      <c r="C129" s="323"/>
      <c r="D129" s="167"/>
      <c r="E129" s="176"/>
      <c r="F129" s="176"/>
      <c r="G129" s="176"/>
      <c r="H129" s="176"/>
      <c r="I129" s="176"/>
      <c r="J129" s="176"/>
      <c r="K129" s="176"/>
      <c r="L129" s="176"/>
      <c r="M129" s="176"/>
      <c r="N129" s="161"/>
      <c r="O129" s="148"/>
    </row>
    <row r="130" spans="1:23" s="2" customFormat="1" ht="21" customHeight="1">
      <c r="A130" s="16" t="s">
        <v>96</v>
      </c>
      <c r="B130" s="17"/>
      <c r="C130" s="26"/>
      <c r="D130" s="27">
        <f>SUM(D124:D125)</f>
        <v>3603.8</v>
      </c>
      <c r="E130" s="31"/>
      <c r="F130" s="31"/>
      <c r="G130" s="31"/>
      <c r="H130" s="31"/>
      <c r="I130" s="31"/>
      <c r="J130" s="63"/>
      <c r="K130" s="31"/>
      <c r="L130" s="32"/>
      <c r="M130" s="235"/>
      <c r="N130" s="258">
        <f>SUM(N124:N125)</f>
        <v>192400</v>
      </c>
      <c r="O130" s="126"/>
    </row>
    <row r="131" spans="1:23" ht="21" customHeight="1">
      <c r="A131" s="16" t="s">
        <v>7</v>
      </c>
      <c r="B131" s="17"/>
      <c r="C131" s="33"/>
      <c r="D131" s="34">
        <f>D130/D89</f>
        <v>83.809302325581399</v>
      </c>
      <c r="E131" s="34"/>
      <c r="F131" s="34"/>
      <c r="G131" s="34"/>
      <c r="H131" s="34"/>
      <c r="I131" s="34"/>
      <c r="J131" s="64"/>
      <c r="K131" s="34"/>
      <c r="L131" s="35"/>
      <c r="M131" s="236"/>
      <c r="N131" s="259"/>
      <c r="O131" s="4"/>
      <c r="P131" s="2"/>
      <c r="Q131" s="2"/>
      <c r="R131" s="2"/>
      <c r="S131" s="2"/>
      <c r="T131" s="2"/>
      <c r="U131" s="2"/>
      <c r="V131" s="2"/>
    </row>
    <row r="132" spans="1:23" ht="21" customHeight="1">
      <c r="A132" s="210" t="s">
        <v>45</v>
      </c>
      <c r="B132" s="211"/>
      <c r="C132" s="333" t="s">
        <v>125</v>
      </c>
      <c r="D132" s="15" t="s">
        <v>43</v>
      </c>
      <c r="E132" s="34"/>
      <c r="F132" s="34"/>
      <c r="G132" s="34"/>
      <c r="H132" s="34"/>
      <c r="I132" s="34"/>
      <c r="J132" s="36"/>
      <c r="K132" s="36"/>
      <c r="L132" s="35"/>
      <c r="M132" s="35"/>
      <c r="N132" s="149"/>
      <c r="O132" s="4"/>
      <c r="P132" s="2"/>
      <c r="Q132" s="2"/>
      <c r="R132" s="2"/>
      <c r="S132" s="2"/>
      <c r="T132" s="2"/>
      <c r="U132" s="2"/>
      <c r="V132" s="2"/>
      <c r="W132" s="2"/>
    </row>
    <row r="133" spans="1:23" ht="21" customHeight="1">
      <c r="A133" s="212"/>
      <c r="B133" s="213"/>
      <c r="C133" s="57" t="s">
        <v>53</v>
      </c>
      <c r="D133" s="15">
        <f>D131*100/930</f>
        <v>9.011752938234558</v>
      </c>
      <c r="E133" s="34"/>
      <c r="F133" s="34"/>
      <c r="G133" s="34"/>
      <c r="H133" s="34"/>
      <c r="I133" s="34"/>
      <c r="J133" s="36"/>
      <c r="K133" s="36"/>
      <c r="L133" s="35"/>
      <c r="M133" s="35"/>
      <c r="N133" s="149"/>
      <c r="O133" s="4"/>
      <c r="P133" s="2"/>
      <c r="Q133" s="2"/>
      <c r="R133" s="2"/>
      <c r="S133" s="2"/>
      <c r="T133" s="2"/>
      <c r="U133" s="2"/>
      <c r="V133" s="2"/>
      <c r="W133" s="2"/>
    </row>
    <row r="134" spans="1:23" ht="21" customHeight="1">
      <c r="A134" s="191" t="s">
        <v>95</v>
      </c>
      <c r="B134" s="192"/>
      <c r="C134" s="214"/>
      <c r="D134" s="266">
        <f>D104+D120+D130</f>
        <v>27995.890499999998</v>
      </c>
      <c r="E134" s="38">
        <f t="shared" ref="E134:K134" si="11">SUM(E95:E125)</f>
        <v>659.6191</v>
      </c>
      <c r="F134" s="38">
        <f t="shared" si="11"/>
        <v>506.14575000000002</v>
      </c>
      <c r="G134" s="38">
        <f t="shared" si="11"/>
        <v>766.91669999999999</v>
      </c>
      <c r="H134" s="38">
        <f t="shared" si="11"/>
        <v>330.2355</v>
      </c>
      <c r="I134" s="233">
        <f t="shared" si="11"/>
        <v>3254.2837</v>
      </c>
      <c r="J134" s="301">
        <f t="shared" si="11"/>
        <v>11111.139499999997</v>
      </c>
      <c r="K134" s="242">
        <f t="shared" si="11"/>
        <v>14.74464</v>
      </c>
      <c r="L134" s="75"/>
      <c r="M134" s="75"/>
      <c r="N134" s="325">
        <f>N104+N120+N130</f>
        <v>946388</v>
      </c>
      <c r="U134" s="12"/>
      <c r="V134" s="12"/>
    </row>
    <row r="135" spans="1:23" ht="21" customHeight="1">
      <c r="A135" s="193"/>
      <c r="B135" s="194"/>
      <c r="C135" s="215"/>
      <c r="D135" s="267"/>
      <c r="E135" s="272">
        <f>E134+F134</f>
        <v>1165.76485</v>
      </c>
      <c r="F135" s="273"/>
      <c r="G135" s="272">
        <f>G134+H134</f>
        <v>1097.1522</v>
      </c>
      <c r="H135" s="273"/>
      <c r="I135" s="234"/>
      <c r="J135" s="302"/>
      <c r="K135" s="243"/>
      <c r="L135" s="77"/>
      <c r="M135" s="77"/>
      <c r="N135" s="326"/>
      <c r="U135" s="12"/>
      <c r="V135" s="12"/>
    </row>
    <row r="136" spans="1:23" ht="21" customHeight="1">
      <c r="A136" s="260" t="s">
        <v>68</v>
      </c>
      <c r="B136" s="261"/>
      <c r="C136" s="262"/>
      <c r="D136" s="107">
        <f>D134/D89</f>
        <v>651.06722093023245</v>
      </c>
      <c r="E136" s="335">
        <f>E134/D89</f>
        <v>15.339979069767441</v>
      </c>
      <c r="F136" s="336">
        <f>F134/D89</f>
        <v>11.770831395348837</v>
      </c>
      <c r="G136" s="335">
        <f>G134/D89</f>
        <v>17.835272093023256</v>
      </c>
      <c r="H136" s="336">
        <f>H134/D89</f>
        <v>7.679895348837209</v>
      </c>
      <c r="I136" s="189">
        <f>I134/D89</f>
        <v>75.681016279069766</v>
      </c>
      <c r="J136" s="295">
        <f>J134/D89</f>
        <v>258.39859302325573</v>
      </c>
      <c r="K136" s="295">
        <f>K134/D89</f>
        <v>0.34289860465116279</v>
      </c>
      <c r="L136" s="75"/>
      <c r="M136" s="75"/>
      <c r="N136" s="78"/>
      <c r="P136" s="350"/>
      <c r="Q136" s="351"/>
      <c r="R136" s="351"/>
      <c r="S136" s="351"/>
      <c r="T136" s="351"/>
      <c r="U136" s="352"/>
      <c r="V136" s="352"/>
    </row>
    <row r="137" spans="1:23" ht="21" customHeight="1">
      <c r="A137" s="263"/>
      <c r="B137" s="264"/>
      <c r="C137" s="265"/>
      <c r="D137" s="103"/>
      <c r="E137" s="346">
        <f>E136+F136</f>
        <v>27.11081046511628</v>
      </c>
      <c r="F137" s="347"/>
      <c r="G137" s="346">
        <f>G136+H136</f>
        <v>25.515167441860466</v>
      </c>
      <c r="H137" s="347"/>
      <c r="I137" s="190"/>
      <c r="J137" s="295"/>
      <c r="K137" s="295"/>
      <c r="L137" s="76"/>
      <c r="M137" s="76"/>
      <c r="N137" s="79"/>
      <c r="P137" s="353"/>
      <c r="Q137" s="351"/>
      <c r="R137" s="351"/>
      <c r="S137" s="354"/>
      <c r="T137" s="354"/>
      <c r="U137" s="351"/>
      <c r="V137" s="351"/>
    </row>
    <row r="138" spans="1:23" ht="21" customHeight="1">
      <c r="A138" s="207" t="s">
        <v>71</v>
      </c>
      <c r="B138" s="208"/>
      <c r="C138" s="209"/>
      <c r="D138" s="153" t="s">
        <v>28</v>
      </c>
      <c r="E138" s="324" t="s">
        <v>24</v>
      </c>
      <c r="F138" s="324"/>
      <c r="G138" s="324" t="s">
        <v>25</v>
      </c>
      <c r="H138" s="324"/>
      <c r="I138" s="348" t="s">
        <v>26</v>
      </c>
      <c r="J138" s="151">
        <v>500</v>
      </c>
      <c r="K138" s="151">
        <v>0.5</v>
      </c>
      <c r="L138" s="76"/>
      <c r="M138" s="76"/>
      <c r="N138" s="79"/>
      <c r="O138" s="340"/>
      <c r="P138" s="350"/>
      <c r="Q138" s="350"/>
      <c r="R138" s="350"/>
      <c r="S138" s="350"/>
      <c r="T138" s="350"/>
      <c r="U138" s="350"/>
      <c r="V138" s="350"/>
    </row>
    <row r="139" spans="1:23" ht="21" customHeight="1">
      <c r="A139" s="180" t="s">
        <v>69</v>
      </c>
      <c r="B139" s="246"/>
      <c r="C139" s="181"/>
      <c r="D139" s="37"/>
      <c r="E139" s="185">
        <f>E137*4.1</f>
        <v>111.15432290697674</v>
      </c>
      <c r="F139" s="186"/>
      <c r="G139" s="185">
        <f>G137*9</f>
        <v>229.63650697674419</v>
      </c>
      <c r="H139" s="186"/>
      <c r="I139" s="66">
        <f>I136*4.1</f>
        <v>310.29216674418603</v>
      </c>
      <c r="J139" s="218"/>
      <c r="K139" s="218"/>
      <c r="L139" s="76"/>
      <c r="M139" s="76"/>
      <c r="N139" s="79"/>
      <c r="O139" s="340"/>
      <c r="P139" s="355"/>
      <c r="Q139" s="356"/>
      <c r="R139" s="356"/>
      <c r="S139" s="356"/>
      <c r="T139" s="350"/>
      <c r="U139" s="350"/>
      <c r="V139" s="350"/>
    </row>
    <row r="140" spans="1:23" ht="21" customHeight="1">
      <c r="A140" s="221" t="s">
        <v>78</v>
      </c>
      <c r="B140" s="222"/>
      <c r="C140" s="180" t="s">
        <v>52</v>
      </c>
      <c r="D140" s="181"/>
      <c r="E140" s="287">
        <f>E139*100/D136</f>
        <v>17.072633874603849</v>
      </c>
      <c r="F140" s="288"/>
      <c r="G140" s="287">
        <f>G139*100/D136</f>
        <v>35.270783045818824</v>
      </c>
      <c r="H140" s="288"/>
      <c r="I140" s="94">
        <f>I139*100/D136</f>
        <v>47.659006131632076</v>
      </c>
      <c r="J140" s="219"/>
      <c r="K140" s="219"/>
      <c r="L140" s="76"/>
      <c r="M140" s="76"/>
      <c r="N140" s="79"/>
      <c r="O140" s="340"/>
      <c r="P140" s="350"/>
      <c r="Q140" s="350"/>
      <c r="R140" s="350"/>
      <c r="S140" s="350"/>
      <c r="T140" s="350"/>
      <c r="U140" s="350"/>
      <c r="V140" s="350"/>
    </row>
    <row r="141" spans="1:23" ht="21" customHeight="1">
      <c r="A141" s="223"/>
      <c r="B141" s="224"/>
      <c r="C141" s="180" t="s">
        <v>70</v>
      </c>
      <c r="D141" s="181"/>
      <c r="E141" s="180" t="s">
        <v>73</v>
      </c>
      <c r="F141" s="181"/>
      <c r="G141" s="180" t="s">
        <v>76</v>
      </c>
      <c r="H141" s="181"/>
      <c r="I141" s="153" t="s">
        <v>77</v>
      </c>
      <c r="J141" s="220"/>
      <c r="K141" s="220"/>
      <c r="L141" s="77"/>
      <c r="M141" s="77"/>
      <c r="N141" s="80"/>
      <c r="O141" s="340"/>
      <c r="P141" s="341"/>
    </row>
    <row r="142" spans="1:23" ht="21" customHeight="1">
      <c r="A142" s="69"/>
      <c r="B142" s="69"/>
      <c r="C142" s="69"/>
      <c r="D142" s="69"/>
      <c r="E142" s="69"/>
      <c r="F142" s="69"/>
      <c r="G142" s="69"/>
      <c r="H142" s="69"/>
      <c r="I142" s="69"/>
      <c r="J142" s="69"/>
      <c r="K142" s="69"/>
      <c r="L142" s="73"/>
      <c r="M142" s="73"/>
      <c r="N142" s="74"/>
      <c r="O142" s="340"/>
    </row>
    <row r="143" spans="1:23" ht="21" customHeight="1">
      <c r="A143" s="228" t="s">
        <v>98</v>
      </c>
      <c r="B143" s="228"/>
      <c r="C143" s="228"/>
      <c r="D143" s="228"/>
      <c r="E143" s="228"/>
      <c r="F143" s="228"/>
      <c r="G143" s="228"/>
      <c r="H143" s="228"/>
      <c r="I143" s="228"/>
      <c r="J143" s="228"/>
      <c r="K143" s="228"/>
      <c r="L143" s="228"/>
      <c r="M143" s="228"/>
      <c r="N143" s="228"/>
      <c r="O143" s="340"/>
    </row>
    <row r="144" spans="1:23" ht="21" customHeight="1">
      <c r="A144" s="95" t="s">
        <v>99</v>
      </c>
      <c r="B144" s="229" t="s">
        <v>100</v>
      </c>
      <c r="C144" s="229"/>
      <c r="D144" s="229"/>
      <c r="E144" s="229"/>
      <c r="F144" s="229"/>
      <c r="G144" s="229"/>
      <c r="H144" s="229"/>
      <c r="I144" s="229"/>
      <c r="J144" s="229"/>
      <c r="K144" s="229"/>
      <c r="L144" s="229"/>
      <c r="M144" s="229"/>
      <c r="N144" s="229"/>
      <c r="O144" s="340"/>
    </row>
    <row r="145" spans="1:15" ht="21" customHeight="1">
      <c r="A145" s="96"/>
      <c r="B145" s="199" t="s">
        <v>181</v>
      </c>
      <c r="C145" s="199"/>
      <c r="D145" s="199"/>
      <c r="E145" s="199"/>
      <c r="F145" s="199"/>
      <c r="G145" s="199"/>
      <c r="H145" s="199"/>
      <c r="I145" s="199"/>
      <c r="J145" s="199"/>
      <c r="K145" s="199"/>
      <c r="L145" s="199"/>
      <c r="M145" s="199"/>
      <c r="N145" s="199"/>
      <c r="O145" s="340"/>
    </row>
    <row r="146" spans="1:15" ht="21" customHeight="1">
      <c r="A146" s="96"/>
      <c r="B146" s="199" t="s">
        <v>182</v>
      </c>
      <c r="C146" s="199"/>
      <c r="D146" s="199"/>
      <c r="E146" s="199"/>
      <c r="F146" s="199"/>
      <c r="G146" s="199"/>
      <c r="H146" s="199"/>
      <c r="I146" s="199"/>
      <c r="J146" s="199"/>
      <c r="K146" s="199"/>
      <c r="L146" s="199"/>
      <c r="M146" s="199"/>
      <c r="N146" s="199"/>
      <c r="O146" s="340"/>
    </row>
    <row r="147" spans="1:15" ht="21" customHeight="1">
      <c r="A147" s="96"/>
      <c r="B147" s="199" t="s">
        <v>138</v>
      </c>
      <c r="C147" s="199"/>
      <c r="D147" s="199"/>
      <c r="E147" s="199"/>
      <c r="F147" s="199"/>
      <c r="G147" s="199"/>
      <c r="H147" s="199"/>
      <c r="I147" s="199"/>
      <c r="J147" s="199"/>
      <c r="K147" s="199"/>
      <c r="L147" s="199"/>
      <c r="M147" s="199"/>
      <c r="N147" s="199"/>
      <c r="O147" s="340"/>
    </row>
    <row r="148" spans="1:15" ht="21" customHeight="1">
      <c r="A148" s="69"/>
      <c r="B148" s="200" t="s">
        <v>113</v>
      </c>
      <c r="C148" s="200"/>
      <c r="D148" s="200"/>
      <c r="E148" s="200"/>
      <c r="F148" s="200"/>
      <c r="G148" s="200"/>
      <c r="H148" s="200"/>
      <c r="I148" s="200"/>
      <c r="J148" s="200"/>
      <c r="K148" s="200"/>
      <c r="L148" s="200"/>
      <c r="M148" s="200"/>
      <c r="N148" s="200"/>
      <c r="O148" s="340"/>
    </row>
    <row r="149" spans="1:15" ht="21" customHeight="1">
      <c r="A149" s="69"/>
      <c r="B149" s="69"/>
      <c r="C149" s="69"/>
      <c r="D149" s="69"/>
      <c r="E149" s="69"/>
      <c r="F149" s="69"/>
      <c r="G149" s="69"/>
      <c r="H149" s="69"/>
      <c r="I149" s="69"/>
      <c r="J149" s="69"/>
      <c r="K149" s="69"/>
      <c r="L149" s="73"/>
      <c r="M149" s="73"/>
      <c r="N149" s="74"/>
      <c r="O149" s="340"/>
    </row>
    <row r="150" spans="1:15" ht="21" customHeight="1">
      <c r="A150" s="198" t="s">
        <v>55</v>
      </c>
      <c r="B150" s="198"/>
      <c r="C150" s="198"/>
      <c r="D150" s="198"/>
      <c r="E150" s="342"/>
      <c r="F150" s="342"/>
      <c r="G150" s="342"/>
      <c r="H150" s="342"/>
      <c r="I150" s="342"/>
      <c r="J150" s="343" t="s">
        <v>32</v>
      </c>
      <c r="K150" s="343"/>
      <c r="L150" s="343"/>
      <c r="M150" s="343"/>
      <c r="N150" s="343"/>
      <c r="O150" s="340"/>
    </row>
    <row r="151" spans="1:15" ht="21" customHeight="1">
      <c r="A151" s="148"/>
      <c r="B151" s="148"/>
      <c r="C151" s="148"/>
      <c r="D151" s="342"/>
      <c r="E151" s="342"/>
      <c r="F151" s="342"/>
      <c r="G151" s="342"/>
      <c r="H151" s="344"/>
      <c r="I151" s="344"/>
      <c r="J151" s="344"/>
      <c r="K151" s="344"/>
      <c r="L151" s="344"/>
      <c r="M151" s="344"/>
      <c r="N151" s="344"/>
      <c r="O151" s="340"/>
    </row>
    <row r="152" spans="1:15" ht="21" customHeight="1">
      <c r="A152" s="148"/>
      <c r="B152" s="148"/>
      <c r="C152" s="148"/>
      <c r="D152" s="342"/>
      <c r="E152" s="342"/>
      <c r="F152" s="342"/>
      <c r="G152" s="342"/>
      <c r="H152" s="344"/>
      <c r="I152" s="344"/>
      <c r="J152" s="344"/>
      <c r="K152" s="344"/>
      <c r="L152" s="344"/>
      <c r="M152" s="344"/>
      <c r="N152" s="344"/>
      <c r="O152" s="340"/>
    </row>
    <row r="153" spans="1:15" ht="21" customHeight="1">
      <c r="A153" s="148"/>
      <c r="B153" s="148"/>
      <c r="C153" s="148"/>
      <c r="D153" s="342"/>
      <c r="E153" s="342"/>
      <c r="F153" s="342"/>
      <c r="G153" s="342"/>
      <c r="H153" s="344"/>
      <c r="I153" s="344"/>
      <c r="J153" s="345" t="s">
        <v>108</v>
      </c>
      <c r="K153" s="345"/>
      <c r="L153" s="345"/>
      <c r="M153" s="345"/>
      <c r="N153" s="345"/>
      <c r="O153" s="340"/>
    </row>
    <row r="154" spans="1:15" ht="21" customHeight="1">
      <c r="A154" s="182" t="s">
        <v>81</v>
      </c>
      <c r="B154" s="182"/>
      <c r="C154" s="182"/>
      <c r="D154" s="182"/>
      <c r="E154" s="342"/>
      <c r="F154" s="342"/>
      <c r="G154" s="342"/>
      <c r="H154" s="344"/>
      <c r="I154" s="344"/>
      <c r="O154" s="340"/>
    </row>
    <row r="156" spans="1:15" ht="21" customHeight="1">
      <c r="J156" s="345" t="s">
        <v>111</v>
      </c>
      <c r="K156" s="345"/>
      <c r="L156" s="345"/>
      <c r="M156" s="345"/>
      <c r="N156" s="345"/>
    </row>
  </sheetData>
  <mergeCells count="201">
    <mergeCell ref="U136:V136"/>
    <mergeCell ref="J136:J137"/>
    <mergeCell ref="K136:K137"/>
    <mergeCell ref="J134:J135"/>
    <mergeCell ref="K134:K135"/>
    <mergeCell ref="U137:V137"/>
    <mergeCell ref="Q136:R136"/>
    <mergeCell ref="S136:T136"/>
    <mergeCell ref="Q137:R137"/>
    <mergeCell ref="S137:T137"/>
    <mergeCell ref="M104:M105"/>
    <mergeCell ref="N104:N105"/>
    <mergeCell ref="G55:H55"/>
    <mergeCell ref="F92:F93"/>
    <mergeCell ref="G92:G93"/>
    <mergeCell ref="J90:J93"/>
    <mergeCell ref="K90:K93"/>
    <mergeCell ref="M90:M93"/>
    <mergeCell ref="G90:H91"/>
    <mergeCell ref="I90:I93"/>
    <mergeCell ref="H92:H93"/>
    <mergeCell ref="N90:N93"/>
    <mergeCell ref="E90:F91"/>
    <mergeCell ref="E84:N84"/>
    <mergeCell ref="A94:N94"/>
    <mergeCell ref="C57:D57"/>
    <mergeCell ref="E57:F57"/>
    <mergeCell ref="G57:H57"/>
    <mergeCell ref="Q52:R52"/>
    <mergeCell ref="S52:T52"/>
    <mergeCell ref="Q53:R53"/>
    <mergeCell ref="S53:T53"/>
    <mergeCell ref="E92:E93"/>
    <mergeCell ref="A90:A93"/>
    <mergeCell ref="B90:B93"/>
    <mergeCell ref="C90:C93"/>
    <mergeCell ref="D90:D93"/>
    <mergeCell ref="J69:N69"/>
    <mergeCell ref="E86:I88"/>
    <mergeCell ref="J86:N88"/>
    <mergeCell ref="A87:D87"/>
    <mergeCell ref="A88:D88"/>
    <mergeCell ref="A70:D70"/>
    <mergeCell ref="J72:N72"/>
    <mergeCell ref="A86:D86"/>
    <mergeCell ref="L90:L93"/>
    <mergeCell ref="B60:N60"/>
    <mergeCell ref="B61:N61"/>
    <mergeCell ref="B62:N62"/>
    <mergeCell ref="B63:N63"/>
    <mergeCell ref="B64:N64"/>
    <mergeCell ref="A89:C89"/>
    <mergeCell ref="A27:B28"/>
    <mergeCell ref="A29:B29"/>
    <mergeCell ref="G54:H54"/>
    <mergeCell ref="A59:N59"/>
    <mergeCell ref="U52:V52"/>
    <mergeCell ref="U53:V53"/>
    <mergeCell ref="L50:L57"/>
    <mergeCell ref="M50:M57"/>
    <mergeCell ref="N50:N57"/>
    <mergeCell ref="J55:J57"/>
    <mergeCell ref="G51:H51"/>
    <mergeCell ref="N42:N45"/>
    <mergeCell ref="K55:K57"/>
    <mergeCell ref="C56:D56"/>
    <mergeCell ref="E56:F56"/>
    <mergeCell ref="E54:F54"/>
    <mergeCell ref="I42:I45"/>
    <mergeCell ref="J42:J45"/>
    <mergeCell ref="E44:E45"/>
    <mergeCell ref="F44:F45"/>
    <mergeCell ref="M42:M45"/>
    <mergeCell ref="C50:C51"/>
    <mergeCell ref="G53:H53"/>
    <mergeCell ref="G56:H56"/>
    <mergeCell ref="A3:D3"/>
    <mergeCell ref="E3:N3"/>
    <mergeCell ref="G44:G45"/>
    <mergeCell ref="A8:C8"/>
    <mergeCell ref="J9:J12"/>
    <mergeCell ref="K9:K12"/>
    <mergeCell ref="A4:D4"/>
    <mergeCell ref="A84:D85"/>
    <mergeCell ref="E85:I85"/>
    <mergeCell ref="J85:N85"/>
    <mergeCell ref="J66:N66"/>
    <mergeCell ref="A50:B51"/>
    <mergeCell ref="A6:D6"/>
    <mergeCell ref="A7:D7"/>
    <mergeCell ref="A55:C55"/>
    <mergeCell ref="E55:F55"/>
    <mergeCell ref="F82:N82"/>
    <mergeCell ref="A56:B57"/>
    <mergeCell ref="A66:D66"/>
    <mergeCell ref="H44:H45"/>
    <mergeCell ref="I50:I51"/>
    <mergeCell ref="E51:F51"/>
    <mergeCell ref="I52:I53"/>
    <mergeCell ref="L42:L45"/>
    <mergeCell ref="G9:H10"/>
    <mergeCell ref="I9:I12"/>
    <mergeCell ref="L9:L12"/>
    <mergeCell ref="N9:N12"/>
    <mergeCell ref="E11:E12"/>
    <mergeCell ref="F11:F12"/>
    <mergeCell ref="G11:G12"/>
    <mergeCell ref="H11:H12"/>
    <mergeCell ref="M9:M12"/>
    <mergeCell ref="E4:I7"/>
    <mergeCell ref="J4:N7"/>
    <mergeCell ref="A5:D5"/>
    <mergeCell ref="F1:N1"/>
    <mergeCell ref="D50:D51"/>
    <mergeCell ref="M46:M47"/>
    <mergeCell ref="M25:M26"/>
    <mergeCell ref="A13:N13"/>
    <mergeCell ref="A42:A45"/>
    <mergeCell ref="B42:B45"/>
    <mergeCell ref="C42:C45"/>
    <mergeCell ref="N46:N47"/>
    <mergeCell ref="A48:B49"/>
    <mergeCell ref="N25:N26"/>
    <mergeCell ref="D42:D45"/>
    <mergeCell ref="E42:F43"/>
    <mergeCell ref="G42:H43"/>
    <mergeCell ref="K42:K45"/>
    <mergeCell ref="A9:A12"/>
    <mergeCell ref="B9:B12"/>
    <mergeCell ref="C9:C12"/>
    <mergeCell ref="D9:D12"/>
    <mergeCell ref="E9:F10"/>
    <mergeCell ref="J50:J51"/>
    <mergeCell ref="K50:K51"/>
    <mergeCell ref="J52:J53"/>
    <mergeCell ref="K52:K53"/>
    <mergeCell ref="A52:C53"/>
    <mergeCell ref="A54:C54"/>
    <mergeCell ref="E53:F53"/>
    <mergeCell ref="A154:D154"/>
    <mergeCell ref="J156:N156"/>
    <mergeCell ref="C140:D140"/>
    <mergeCell ref="N134:N135"/>
    <mergeCell ref="B147:N147"/>
    <mergeCell ref="B148:N148"/>
    <mergeCell ref="E141:F141"/>
    <mergeCell ref="A134:B135"/>
    <mergeCell ref="C134:C135"/>
    <mergeCell ref="D134:D135"/>
    <mergeCell ref="I134:I135"/>
    <mergeCell ref="A143:N143"/>
    <mergeCell ref="B144:N144"/>
    <mergeCell ref="E140:F140"/>
    <mergeCell ref="G140:H140"/>
    <mergeCell ref="C141:D141"/>
    <mergeCell ref="N130:N131"/>
    <mergeCell ref="A106:B107"/>
    <mergeCell ref="A108:B108"/>
    <mergeCell ref="M120:M121"/>
    <mergeCell ref="N120:N121"/>
    <mergeCell ref="A150:D150"/>
    <mergeCell ref="J150:N150"/>
    <mergeCell ref="A132:B133"/>
    <mergeCell ref="A122:B123"/>
    <mergeCell ref="M130:M131"/>
    <mergeCell ref="K126:K129"/>
    <mergeCell ref="A124:B124"/>
    <mergeCell ref="E128:E129"/>
    <mergeCell ref="F128:F129"/>
    <mergeCell ref="L126:L129"/>
    <mergeCell ref="M126:M129"/>
    <mergeCell ref="E137:F137"/>
    <mergeCell ref="G137:H137"/>
    <mergeCell ref="E138:F138"/>
    <mergeCell ref="G138:H138"/>
    <mergeCell ref="E135:F135"/>
    <mergeCell ref="G135:H135"/>
    <mergeCell ref="J153:N153"/>
    <mergeCell ref="B145:N145"/>
    <mergeCell ref="B146:N146"/>
    <mergeCell ref="G128:G129"/>
    <mergeCell ref="H128:H129"/>
    <mergeCell ref="G126:H127"/>
    <mergeCell ref="I126:I129"/>
    <mergeCell ref="J126:J129"/>
    <mergeCell ref="G141:H141"/>
    <mergeCell ref="N126:N129"/>
    <mergeCell ref="A139:C139"/>
    <mergeCell ref="E139:F139"/>
    <mergeCell ref="G139:H139"/>
    <mergeCell ref="J139:J141"/>
    <mergeCell ref="K139:K141"/>
    <mergeCell ref="A140:B141"/>
    <mergeCell ref="A136:C137"/>
    <mergeCell ref="A138:C138"/>
    <mergeCell ref="I136:I137"/>
    <mergeCell ref="A126:A129"/>
    <mergeCell ref="B126:B129"/>
    <mergeCell ref="C126:C129"/>
    <mergeCell ref="D126:D129"/>
    <mergeCell ref="E126:F127"/>
  </mergeCells>
  <pageMargins left="0.5" right="7.4999999999999997E-2" top="0.4375" bottom="0.36458333333333331" header="0.3" footer="0.3"/>
  <pageSetup paperSize="9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T4-T3</vt:lpstr>
      <vt:lpstr>T5-T3</vt:lpstr>
      <vt:lpstr>T6-T3</vt:lpstr>
      <vt:lpstr>T7-T3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HTC</dc:creator>
  <cp:lastModifiedBy>IEC</cp:lastModifiedBy>
  <cp:lastPrinted>2026-04-04T02:49:33Z</cp:lastPrinted>
  <dcterms:created xsi:type="dcterms:W3CDTF">2015-10-28T22:11:29Z</dcterms:created>
  <dcterms:modified xsi:type="dcterms:W3CDTF">2026-04-04T02:56:14Z</dcterms:modified>
</cp:coreProperties>
</file>