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4-T3" sheetId="16" r:id="rId1"/>
    <sheet name="T5-T3" sheetId="17" r:id="rId2"/>
    <sheet name="T6-T3" sheetId="18" r:id="rId3"/>
    <sheet name="T7-T3" sheetId="19" r:id="rId4"/>
  </sheets>
  <calcPr calcId="124519"/>
</workbook>
</file>

<file path=xl/calcChain.xml><?xml version="1.0" encoding="utf-8"?>
<calcChain xmlns="http://schemas.openxmlformats.org/spreadsheetml/2006/main">
  <c r="N125" i="19"/>
  <c r="N130" s="1"/>
  <c r="K125"/>
  <c r="J125"/>
  <c r="H125"/>
  <c r="F125"/>
  <c r="C125"/>
  <c r="D125" s="1"/>
  <c r="D130" s="1"/>
  <c r="D131" s="1"/>
  <c r="D133" s="1"/>
  <c r="N118"/>
  <c r="C118"/>
  <c r="H118" s="1"/>
  <c r="N117"/>
  <c r="J117"/>
  <c r="G117"/>
  <c r="C117"/>
  <c r="E117" s="1"/>
  <c r="N116"/>
  <c r="K116"/>
  <c r="G116"/>
  <c r="E116"/>
  <c r="C116"/>
  <c r="D116" s="1"/>
  <c r="N115"/>
  <c r="K115"/>
  <c r="J115"/>
  <c r="H115"/>
  <c r="F115"/>
  <c r="C115"/>
  <c r="D115" s="1"/>
  <c r="N114"/>
  <c r="K114"/>
  <c r="J114"/>
  <c r="H114"/>
  <c r="F114"/>
  <c r="C114"/>
  <c r="D114" s="1"/>
  <c r="N113"/>
  <c r="K113"/>
  <c r="J113"/>
  <c r="H113"/>
  <c r="F113"/>
  <c r="C113"/>
  <c r="D113" s="1"/>
  <c r="N112"/>
  <c r="K112"/>
  <c r="J112"/>
  <c r="H112"/>
  <c r="F112"/>
  <c r="C112"/>
  <c r="D112" s="1"/>
  <c r="N111"/>
  <c r="H111"/>
  <c r="D111"/>
  <c r="C111"/>
  <c r="N110"/>
  <c r="N120" s="1"/>
  <c r="G110"/>
  <c r="C110"/>
  <c r="D110" s="1"/>
  <c r="N109"/>
  <c r="K109"/>
  <c r="J109"/>
  <c r="D109"/>
  <c r="C109"/>
  <c r="E109" s="1"/>
  <c r="N102"/>
  <c r="C102"/>
  <c r="H102" s="1"/>
  <c r="N101"/>
  <c r="C101"/>
  <c r="H101" s="1"/>
  <c r="N100"/>
  <c r="H100"/>
  <c r="F100"/>
  <c r="C100"/>
  <c r="D100" s="1"/>
  <c r="N99"/>
  <c r="K99"/>
  <c r="J99"/>
  <c r="G99"/>
  <c r="E99"/>
  <c r="C99"/>
  <c r="D99" s="1"/>
  <c r="N98"/>
  <c r="K98"/>
  <c r="J98"/>
  <c r="E98"/>
  <c r="D98"/>
  <c r="C98"/>
  <c r="G98" s="1"/>
  <c r="N97"/>
  <c r="K97"/>
  <c r="J97"/>
  <c r="I97"/>
  <c r="F97"/>
  <c r="D97"/>
  <c r="C97"/>
  <c r="H97" s="1"/>
  <c r="N96"/>
  <c r="N104" s="1"/>
  <c r="D96"/>
  <c r="C96"/>
  <c r="G96" s="1"/>
  <c r="G134" s="1"/>
  <c r="N95"/>
  <c r="K95"/>
  <c r="J95"/>
  <c r="C95"/>
  <c r="E95" s="1"/>
  <c r="E134" s="1"/>
  <c r="N40"/>
  <c r="C40"/>
  <c r="H40" s="1"/>
  <c r="N39"/>
  <c r="J39"/>
  <c r="G39"/>
  <c r="C39"/>
  <c r="E39" s="1"/>
  <c r="N38"/>
  <c r="K38"/>
  <c r="G38"/>
  <c r="E38"/>
  <c r="C38"/>
  <c r="D38" s="1"/>
  <c r="N37"/>
  <c r="K37"/>
  <c r="J37"/>
  <c r="H37"/>
  <c r="F37"/>
  <c r="C37"/>
  <c r="D37" s="1"/>
  <c r="N36"/>
  <c r="I36"/>
  <c r="H36"/>
  <c r="D36"/>
  <c r="C36"/>
  <c r="F36" s="1"/>
  <c r="N35"/>
  <c r="I35"/>
  <c r="H35"/>
  <c r="D35"/>
  <c r="C35"/>
  <c r="F35" s="1"/>
  <c r="N34"/>
  <c r="I34"/>
  <c r="H34"/>
  <c r="D34"/>
  <c r="C34"/>
  <c r="F34" s="1"/>
  <c r="N33"/>
  <c r="I33"/>
  <c r="H33"/>
  <c r="D33"/>
  <c r="C33"/>
  <c r="F33" s="1"/>
  <c r="N32"/>
  <c r="C32"/>
  <c r="D32" s="1"/>
  <c r="N31"/>
  <c r="D31"/>
  <c r="C31"/>
  <c r="G31" s="1"/>
  <c r="N30"/>
  <c r="N46" s="1"/>
  <c r="J30"/>
  <c r="E30"/>
  <c r="D30"/>
  <c r="C30"/>
  <c r="K30" s="1"/>
  <c r="N23"/>
  <c r="K23"/>
  <c r="J23"/>
  <c r="H23"/>
  <c r="F23"/>
  <c r="C23"/>
  <c r="D23" s="1"/>
  <c r="N22"/>
  <c r="K22"/>
  <c r="J22"/>
  <c r="H22"/>
  <c r="F22"/>
  <c r="C22"/>
  <c r="D22" s="1"/>
  <c r="N21"/>
  <c r="K21"/>
  <c r="J21"/>
  <c r="H21"/>
  <c r="F21"/>
  <c r="C21"/>
  <c r="D21" s="1"/>
  <c r="N20"/>
  <c r="I20"/>
  <c r="H20"/>
  <c r="D20"/>
  <c r="C20"/>
  <c r="F20" s="1"/>
  <c r="N19"/>
  <c r="I19"/>
  <c r="G19"/>
  <c r="D19"/>
  <c r="C19"/>
  <c r="E19" s="1"/>
  <c r="N18"/>
  <c r="G18"/>
  <c r="G50" s="1"/>
  <c r="C18"/>
  <c r="D18" s="1"/>
  <c r="N17"/>
  <c r="K17"/>
  <c r="J17"/>
  <c r="G17"/>
  <c r="E17"/>
  <c r="D17"/>
  <c r="C17"/>
  <c r="N16"/>
  <c r="K16"/>
  <c r="J16"/>
  <c r="I16"/>
  <c r="H16"/>
  <c r="F16"/>
  <c r="D16"/>
  <c r="C16"/>
  <c r="N15"/>
  <c r="G15"/>
  <c r="C15"/>
  <c r="D15" s="1"/>
  <c r="N14"/>
  <c r="N25" s="1"/>
  <c r="N50" s="1"/>
  <c r="K14"/>
  <c r="J14"/>
  <c r="D14"/>
  <c r="D25" s="1"/>
  <c r="C14"/>
  <c r="E14" s="1"/>
  <c r="C16" i="18"/>
  <c r="K16" s="1"/>
  <c r="E16"/>
  <c r="J16"/>
  <c r="N16"/>
  <c r="N27" s="1"/>
  <c r="N53" s="1"/>
  <c r="C17"/>
  <c r="D17" s="1"/>
  <c r="N17"/>
  <c r="C18"/>
  <c r="J18" s="1"/>
  <c r="N18"/>
  <c r="C19"/>
  <c r="K19" s="1"/>
  <c r="N19"/>
  <c r="C20"/>
  <c r="G20" s="1"/>
  <c r="D20"/>
  <c r="E20"/>
  <c r="J20"/>
  <c r="K20"/>
  <c r="N20"/>
  <c r="C21"/>
  <c r="I21" s="1"/>
  <c r="F21"/>
  <c r="H21"/>
  <c r="J21"/>
  <c r="K21"/>
  <c r="N21"/>
  <c r="C22"/>
  <c r="I22" s="1"/>
  <c r="F22"/>
  <c r="H22"/>
  <c r="J22"/>
  <c r="K22"/>
  <c r="N22"/>
  <c r="C23"/>
  <c r="I23" s="1"/>
  <c r="F23"/>
  <c r="H23"/>
  <c r="J23"/>
  <c r="K23"/>
  <c r="N23"/>
  <c r="C24"/>
  <c r="J24" s="1"/>
  <c r="F24"/>
  <c r="I24"/>
  <c r="K24"/>
  <c r="N24"/>
  <c r="C25"/>
  <c r="D25"/>
  <c r="F25"/>
  <c r="H25"/>
  <c r="I25"/>
  <c r="N25"/>
  <c r="C33"/>
  <c r="J33" s="1"/>
  <c r="D33"/>
  <c r="E33"/>
  <c r="K33"/>
  <c r="N33"/>
  <c r="C34"/>
  <c r="J34" s="1"/>
  <c r="D34"/>
  <c r="F34"/>
  <c r="H34"/>
  <c r="I34"/>
  <c r="K34"/>
  <c r="N34"/>
  <c r="C35"/>
  <c r="J35" s="1"/>
  <c r="D35"/>
  <c r="F35"/>
  <c r="H35"/>
  <c r="I35"/>
  <c r="K35"/>
  <c r="N35"/>
  <c r="C36"/>
  <c r="D36"/>
  <c r="G36"/>
  <c r="N36"/>
  <c r="C37"/>
  <c r="I37" s="1"/>
  <c r="F37"/>
  <c r="N37"/>
  <c r="C38"/>
  <c r="K38" s="1"/>
  <c r="D38"/>
  <c r="F38"/>
  <c r="I38"/>
  <c r="J38"/>
  <c r="N38"/>
  <c r="C39"/>
  <c r="I39" s="1"/>
  <c r="D39"/>
  <c r="F39"/>
  <c r="N39"/>
  <c r="C40"/>
  <c r="D40" s="1"/>
  <c r="I40"/>
  <c r="J40"/>
  <c r="N40"/>
  <c r="C41"/>
  <c r="D41" s="1"/>
  <c r="I41"/>
  <c r="J41"/>
  <c r="N41"/>
  <c r="C42"/>
  <c r="D42" s="1"/>
  <c r="J42"/>
  <c r="K42"/>
  <c r="N42"/>
  <c r="C43"/>
  <c r="E43" s="1"/>
  <c r="K43"/>
  <c r="N43"/>
  <c r="C44"/>
  <c r="D44"/>
  <c r="F44"/>
  <c r="I44"/>
  <c r="N44"/>
  <c r="N49"/>
  <c r="C100"/>
  <c r="K100" s="1"/>
  <c r="N100"/>
  <c r="C101"/>
  <c r="D101"/>
  <c r="G101"/>
  <c r="N101"/>
  <c r="N111" s="1"/>
  <c r="C102"/>
  <c r="D102"/>
  <c r="H102"/>
  <c r="N102"/>
  <c r="C103"/>
  <c r="I103" s="1"/>
  <c r="D103"/>
  <c r="F103"/>
  <c r="H103"/>
  <c r="J103"/>
  <c r="K103"/>
  <c r="N103"/>
  <c r="C104"/>
  <c r="J104" s="1"/>
  <c r="D104"/>
  <c r="E104"/>
  <c r="G104"/>
  <c r="K104"/>
  <c r="N104"/>
  <c r="C105"/>
  <c r="K105" s="1"/>
  <c r="D105"/>
  <c r="E105"/>
  <c r="G105"/>
  <c r="J105"/>
  <c r="N105"/>
  <c r="C106"/>
  <c r="D106" s="1"/>
  <c r="I106"/>
  <c r="J106"/>
  <c r="N106"/>
  <c r="C107"/>
  <c r="D107" s="1"/>
  <c r="I107"/>
  <c r="J107"/>
  <c r="N107"/>
  <c r="C108"/>
  <c r="D108" s="1"/>
  <c r="J108"/>
  <c r="K108"/>
  <c r="N108"/>
  <c r="C109"/>
  <c r="F109" s="1"/>
  <c r="N109"/>
  <c r="C116"/>
  <c r="D116" s="1"/>
  <c r="E116"/>
  <c r="J116"/>
  <c r="K116"/>
  <c r="N116"/>
  <c r="C117"/>
  <c r="G117" s="1"/>
  <c r="N117"/>
  <c r="C118"/>
  <c r="K118" s="1"/>
  <c r="D118"/>
  <c r="F118"/>
  <c r="I118"/>
  <c r="J118"/>
  <c r="N118"/>
  <c r="C119"/>
  <c r="G119" s="1"/>
  <c r="D119"/>
  <c r="E119"/>
  <c r="J119"/>
  <c r="K119"/>
  <c r="N119"/>
  <c r="C120"/>
  <c r="I120" s="1"/>
  <c r="D120"/>
  <c r="E120"/>
  <c r="G120"/>
  <c r="J120"/>
  <c r="K120"/>
  <c r="N120"/>
  <c r="C121"/>
  <c r="I121" s="1"/>
  <c r="D121"/>
  <c r="F121"/>
  <c r="H121"/>
  <c r="J121"/>
  <c r="K121"/>
  <c r="N121"/>
  <c r="C122"/>
  <c r="I122" s="1"/>
  <c r="D122"/>
  <c r="F122"/>
  <c r="H122"/>
  <c r="J122"/>
  <c r="K122"/>
  <c r="N122"/>
  <c r="C123"/>
  <c r="I123" s="1"/>
  <c r="D123"/>
  <c r="F123"/>
  <c r="H123"/>
  <c r="N123"/>
  <c r="N125" s="1"/>
  <c r="C130"/>
  <c r="J130" s="1"/>
  <c r="N130"/>
  <c r="N139" s="1"/>
  <c r="C131"/>
  <c r="F131" s="1"/>
  <c r="N131"/>
  <c r="C132"/>
  <c r="J132" s="1"/>
  <c r="F132"/>
  <c r="H132"/>
  <c r="I132"/>
  <c r="K132"/>
  <c r="N132"/>
  <c r="C133"/>
  <c r="K133" s="1"/>
  <c r="E133"/>
  <c r="G133"/>
  <c r="J133"/>
  <c r="N133"/>
  <c r="C134"/>
  <c r="D134" s="1"/>
  <c r="N134"/>
  <c r="D96" i="16"/>
  <c r="D112"/>
  <c r="I21"/>
  <c r="I34"/>
  <c r="N134" i="19" l="1"/>
  <c r="E136"/>
  <c r="F50"/>
  <c r="F52" s="1"/>
  <c r="D26"/>
  <c r="D28" s="1"/>
  <c r="G135"/>
  <c r="G136"/>
  <c r="G52"/>
  <c r="E50"/>
  <c r="D46"/>
  <c r="D47" s="1"/>
  <c r="D49" s="1"/>
  <c r="H134"/>
  <c r="H136" s="1"/>
  <c r="J40"/>
  <c r="J102"/>
  <c r="I101"/>
  <c r="I102"/>
  <c r="K18"/>
  <c r="K19"/>
  <c r="K50" s="1"/>
  <c r="K52" s="1"/>
  <c r="H32"/>
  <c r="H50" s="1"/>
  <c r="H52" s="1"/>
  <c r="K33"/>
  <c r="K34"/>
  <c r="K35"/>
  <c r="D39"/>
  <c r="F40"/>
  <c r="D95"/>
  <c r="F101"/>
  <c r="F134" s="1"/>
  <c r="F136" s="1"/>
  <c r="F102"/>
  <c r="D117"/>
  <c r="F118"/>
  <c r="I40"/>
  <c r="J18"/>
  <c r="J19"/>
  <c r="J33"/>
  <c r="J34"/>
  <c r="J50" s="1"/>
  <c r="J52" s="1"/>
  <c r="J35"/>
  <c r="D40"/>
  <c r="D101"/>
  <c r="D102"/>
  <c r="D118"/>
  <c r="D120" s="1"/>
  <c r="D121" s="1"/>
  <c r="D123" s="1"/>
  <c r="E18"/>
  <c r="I21"/>
  <c r="I22"/>
  <c r="I50" s="1"/>
  <c r="I52" s="1"/>
  <c r="I23"/>
  <c r="I37"/>
  <c r="J38"/>
  <c r="K39"/>
  <c r="K40"/>
  <c r="I99"/>
  <c r="I134" s="1"/>
  <c r="I136" s="1"/>
  <c r="I100"/>
  <c r="K101"/>
  <c r="K134" s="1"/>
  <c r="K136" s="1"/>
  <c r="K102"/>
  <c r="I112"/>
  <c r="I113"/>
  <c r="I114"/>
  <c r="I115"/>
  <c r="J116"/>
  <c r="K117"/>
  <c r="I125"/>
  <c r="J101"/>
  <c r="J134" s="1"/>
  <c r="J136" s="1"/>
  <c r="I118"/>
  <c r="N143" i="18"/>
  <c r="G143"/>
  <c r="J53"/>
  <c r="J55" s="1"/>
  <c r="D109"/>
  <c r="D43"/>
  <c r="H37"/>
  <c r="F134"/>
  <c r="D133"/>
  <c r="D132"/>
  <c r="K130"/>
  <c r="H109"/>
  <c r="F108"/>
  <c r="F107"/>
  <c r="F106"/>
  <c r="F143" s="1"/>
  <c r="F145" s="1"/>
  <c r="G43"/>
  <c r="E42"/>
  <c r="F41"/>
  <c r="F40"/>
  <c r="K18"/>
  <c r="K53" s="1"/>
  <c r="K55" s="1"/>
  <c r="H17"/>
  <c r="I131"/>
  <c r="G19"/>
  <c r="D117"/>
  <c r="D125" s="1"/>
  <c r="D126" s="1"/>
  <c r="D128" s="1"/>
  <c r="J19"/>
  <c r="I134"/>
  <c r="I109"/>
  <c r="I108"/>
  <c r="I143" s="1"/>
  <c r="I145" s="1"/>
  <c r="H107"/>
  <c r="H106"/>
  <c r="J43"/>
  <c r="G42"/>
  <c r="H41"/>
  <c r="H40"/>
  <c r="D24"/>
  <c r="D23"/>
  <c r="D22"/>
  <c r="D21"/>
  <c r="D16"/>
  <c r="D131"/>
  <c r="D130"/>
  <c r="D100"/>
  <c r="D19"/>
  <c r="D18"/>
  <c r="F130"/>
  <c r="H118"/>
  <c r="K107"/>
  <c r="K106"/>
  <c r="K143" s="1"/>
  <c r="K145" s="1"/>
  <c r="E100"/>
  <c r="E143" s="1"/>
  <c r="K41"/>
  <c r="K40"/>
  <c r="H38"/>
  <c r="D37"/>
  <c r="D49" s="1"/>
  <c r="D50" s="1"/>
  <c r="D52" s="1"/>
  <c r="E19"/>
  <c r="E53" s="1"/>
  <c r="F18"/>
  <c r="H130"/>
  <c r="J100"/>
  <c r="J143" s="1"/>
  <c r="J145" s="1"/>
  <c r="H18"/>
  <c r="I130"/>
  <c r="I18"/>
  <c r="I53" s="1"/>
  <c r="I55" s="1"/>
  <c r="I55" i="19" l="1"/>
  <c r="I56" s="1"/>
  <c r="I139"/>
  <c r="E51"/>
  <c r="E52"/>
  <c r="D50"/>
  <c r="D52" s="1"/>
  <c r="D104"/>
  <c r="G137"/>
  <c r="G53"/>
  <c r="E137"/>
  <c r="G51"/>
  <c r="E135"/>
  <c r="I148" i="18"/>
  <c r="E54"/>
  <c r="E55"/>
  <c r="E145"/>
  <c r="E144"/>
  <c r="G145"/>
  <c r="H143"/>
  <c r="H145" s="1"/>
  <c r="I58"/>
  <c r="H53"/>
  <c r="H55" s="1"/>
  <c r="F53"/>
  <c r="F55" s="1"/>
  <c r="D27"/>
  <c r="G53"/>
  <c r="D139"/>
  <c r="D140" s="1"/>
  <c r="D142" s="1"/>
  <c r="D111"/>
  <c r="E139" i="19" l="1"/>
  <c r="G139"/>
  <c r="E53"/>
  <c r="G55"/>
  <c r="G56" s="1"/>
  <c r="D134"/>
  <c r="D136" s="1"/>
  <c r="I140" s="1"/>
  <c r="D105"/>
  <c r="D107" s="1"/>
  <c r="D143" i="18"/>
  <c r="D145" s="1"/>
  <c r="I149" s="1"/>
  <c r="D112"/>
  <c r="D114" s="1"/>
  <c r="E56"/>
  <c r="E146"/>
  <c r="I59"/>
  <c r="D28"/>
  <c r="D30" s="1"/>
  <c r="D53"/>
  <c r="D55" s="1"/>
  <c r="G54"/>
  <c r="G55"/>
  <c r="G146"/>
  <c r="G144"/>
  <c r="G140" i="19" l="1"/>
  <c r="E140"/>
  <c r="E55"/>
  <c r="E58" i="18"/>
  <c r="G56"/>
  <c r="G148"/>
  <c r="G149" s="1"/>
  <c r="E148"/>
  <c r="E56" i="19" l="1"/>
  <c r="W145" i="18"/>
  <c r="G58"/>
  <c r="G59" s="1"/>
  <c r="E59"/>
  <c r="E149"/>
  <c r="W54" l="1"/>
  <c r="N37" i="17" l="1"/>
  <c r="C38" l="1"/>
  <c r="H38" s="1"/>
  <c r="N38"/>
  <c r="N102" i="16"/>
  <c r="C102"/>
  <c r="F102" s="1"/>
  <c r="C25"/>
  <c r="D25" s="1"/>
  <c r="D102" l="1"/>
  <c r="F38" i="17"/>
  <c r="D38"/>
  <c r="I38"/>
  <c r="K102" i="16"/>
  <c r="J102"/>
  <c r="I102"/>
  <c r="H102"/>
  <c r="K25"/>
  <c r="J25"/>
  <c r="I25"/>
  <c r="H25"/>
  <c r="F25"/>
  <c r="N104" i="17" l="1"/>
  <c r="C104"/>
  <c r="H104" s="1"/>
  <c r="N103"/>
  <c r="C103"/>
  <c r="F103" s="1"/>
  <c r="N102"/>
  <c r="C102"/>
  <c r="D102" s="1"/>
  <c r="N34"/>
  <c r="C34"/>
  <c r="H34" s="1"/>
  <c r="N24"/>
  <c r="C24"/>
  <c r="H24" s="1"/>
  <c r="N23"/>
  <c r="C23"/>
  <c r="H23" s="1"/>
  <c r="N20"/>
  <c r="C20"/>
  <c r="G20" s="1"/>
  <c r="D103" l="1"/>
  <c r="F24"/>
  <c r="G102"/>
  <c r="E102"/>
  <c r="K34"/>
  <c r="I103"/>
  <c r="E20"/>
  <c r="K104"/>
  <c r="J104"/>
  <c r="F104"/>
  <c r="D104"/>
  <c r="I104"/>
  <c r="K103"/>
  <c r="J103"/>
  <c r="H103"/>
  <c r="D20"/>
  <c r="F34"/>
  <c r="J34"/>
  <c r="D34"/>
  <c r="I34"/>
  <c r="D24"/>
  <c r="I23"/>
  <c r="F23"/>
  <c r="D23"/>
  <c r="J24"/>
  <c r="I24"/>
  <c r="J23"/>
  <c r="K23"/>
  <c r="K24"/>
  <c r="N124" i="16" l="1"/>
  <c r="C124"/>
  <c r="D124" s="1"/>
  <c r="N41"/>
  <c r="C41"/>
  <c r="F41" s="1"/>
  <c r="N25"/>
  <c r="H124" l="1"/>
  <c r="I124"/>
  <c r="J124"/>
  <c r="K41"/>
  <c r="J41"/>
  <c r="H41"/>
  <c r="D41"/>
  <c r="K124"/>
  <c r="F124"/>
  <c r="I41"/>
  <c r="N36" i="17" l="1"/>
  <c r="C36"/>
  <c r="H36" s="1"/>
  <c r="N114"/>
  <c r="C114"/>
  <c r="D114" s="1"/>
  <c r="D36" l="1"/>
  <c r="H114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E101" l="1"/>
  <c r="D101"/>
  <c r="J101"/>
  <c r="K101"/>
  <c r="J24"/>
  <c r="D24"/>
  <c r="K24"/>
  <c r="G24"/>
  <c r="G111"/>
  <c r="H95"/>
  <c r="N117" i="17" l="1"/>
  <c r="C117"/>
  <c r="N115" i="16"/>
  <c r="C115"/>
  <c r="F115" s="1"/>
  <c r="N40"/>
  <c r="C40"/>
  <c r="F40" s="1"/>
  <c r="N35"/>
  <c r="C35"/>
  <c r="H35" s="1"/>
  <c r="N34"/>
  <c r="C34"/>
  <c r="F117" i="17" l="1"/>
  <c r="K117"/>
  <c r="D117"/>
  <c r="I117"/>
  <c r="J117"/>
  <c r="H34" i="16"/>
  <c r="K35"/>
  <c r="K34"/>
  <c r="F35"/>
  <c r="J115"/>
  <c r="D115"/>
  <c r="D40"/>
  <c r="K115"/>
  <c r="I115"/>
  <c r="J40"/>
  <c r="F34"/>
  <c r="D34"/>
  <c r="D35"/>
  <c r="K40"/>
  <c r="I40"/>
  <c r="J34"/>
  <c r="J35"/>
  <c r="I35"/>
  <c r="N126" i="17" l="1"/>
  <c r="C126"/>
  <c r="D126" s="1"/>
  <c r="N40"/>
  <c r="C40"/>
  <c r="I40" s="1"/>
  <c r="D40" l="1"/>
  <c r="J126"/>
  <c r="I126"/>
  <c r="F126"/>
  <c r="J40"/>
  <c r="F40"/>
  <c r="N131" l="1"/>
  <c r="N119"/>
  <c r="C119"/>
  <c r="D119" s="1"/>
  <c r="N118"/>
  <c r="C118"/>
  <c r="F118" s="1"/>
  <c r="N116"/>
  <c r="C116"/>
  <c r="I116" s="1"/>
  <c r="N115"/>
  <c r="C115"/>
  <c r="K115" s="1"/>
  <c r="N113"/>
  <c r="C113"/>
  <c r="N112"/>
  <c r="C112"/>
  <c r="J112" s="1"/>
  <c r="N105"/>
  <c r="C105"/>
  <c r="I105" s="1"/>
  <c r="N101"/>
  <c r="C101"/>
  <c r="G101" s="1"/>
  <c r="N100"/>
  <c r="C100"/>
  <c r="E100" s="1"/>
  <c r="N99"/>
  <c r="C99"/>
  <c r="I99" s="1"/>
  <c r="N98"/>
  <c r="C98"/>
  <c r="N97"/>
  <c r="C97"/>
  <c r="E97" s="1"/>
  <c r="N39"/>
  <c r="C39"/>
  <c r="C37"/>
  <c r="D37" s="1"/>
  <c r="N35"/>
  <c r="C35"/>
  <c r="N33"/>
  <c r="C33"/>
  <c r="D33" s="1"/>
  <c r="N26"/>
  <c r="C26"/>
  <c r="H26" s="1"/>
  <c r="N25"/>
  <c r="C25"/>
  <c r="F25" s="1"/>
  <c r="N22"/>
  <c r="C22"/>
  <c r="D22" s="1"/>
  <c r="N21"/>
  <c r="C21"/>
  <c r="K21" s="1"/>
  <c r="N19"/>
  <c r="C19"/>
  <c r="J19" s="1"/>
  <c r="N18"/>
  <c r="C18"/>
  <c r="D18" s="1"/>
  <c r="N17"/>
  <c r="C17"/>
  <c r="N16"/>
  <c r="C16"/>
  <c r="D16" s="1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6"/>
  <c r="F99"/>
  <c r="D98"/>
  <c r="G98"/>
  <c r="D17"/>
  <c r="G17"/>
  <c r="G39"/>
  <c r="G100"/>
  <c r="D35"/>
  <c r="G35"/>
  <c r="D113"/>
  <c r="G113"/>
  <c r="D94" i="16"/>
  <c r="G94"/>
  <c r="K18" i="17"/>
  <c r="G21"/>
  <c r="J25"/>
  <c r="J33"/>
  <c r="D19"/>
  <c r="J100"/>
  <c r="D112"/>
  <c r="I25"/>
  <c r="D25"/>
  <c r="D97"/>
  <c r="G22"/>
  <c r="I26"/>
  <c r="J16"/>
  <c r="F26"/>
  <c r="H99"/>
  <c r="H118"/>
  <c r="D26"/>
  <c r="D118"/>
  <c r="K119"/>
  <c r="H37"/>
  <c r="K97"/>
  <c r="K99"/>
  <c r="K112"/>
  <c r="F37"/>
  <c r="J97"/>
  <c r="E112"/>
  <c r="H116"/>
  <c r="I118"/>
  <c r="G119"/>
  <c r="E119"/>
  <c r="N107"/>
  <c r="D105"/>
  <c r="N121"/>
  <c r="H115"/>
  <c r="N28"/>
  <c r="N46"/>
  <c r="K19"/>
  <c r="H18"/>
  <c r="G19"/>
  <c r="J21"/>
  <c r="K22"/>
  <c r="E39"/>
  <c r="D99"/>
  <c r="D100"/>
  <c r="E101"/>
  <c r="H105"/>
  <c r="J115"/>
  <c r="J116"/>
  <c r="K39"/>
  <c r="J18"/>
  <c r="I101"/>
  <c r="K16"/>
  <c r="F18"/>
  <c r="E19"/>
  <c r="I21"/>
  <c r="J22"/>
  <c r="K25"/>
  <c r="K33"/>
  <c r="D39"/>
  <c r="D101"/>
  <c r="F105"/>
  <c r="I115"/>
  <c r="E16"/>
  <c r="E21"/>
  <c r="E22"/>
  <c r="E33"/>
  <c r="F115"/>
  <c r="F116"/>
  <c r="D21"/>
  <c r="I37"/>
  <c r="J99"/>
  <c r="K100"/>
  <c r="K101"/>
  <c r="D115"/>
  <c r="D116"/>
  <c r="J119"/>
  <c r="D131"/>
  <c r="D132" s="1"/>
  <c r="D134" s="1"/>
  <c r="J101"/>
  <c r="J39"/>
  <c r="I113" i="16"/>
  <c r="F113"/>
  <c r="H113"/>
  <c r="F103"/>
  <c r="I103"/>
  <c r="H103"/>
  <c r="I39"/>
  <c r="H39"/>
  <c r="F39"/>
  <c r="I27"/>
  <c r="H27"/>
  <c r="F27"/>
  <c r="G135" i="17" l="1"/>
  <c r="G137" s="1"/>
  <c r="I135"/>
  <c r="I137" s="1"/>
  <c r="D28"/>
  <c r="D29" s="1"/>
  <c r="D31" s="1"/>
  <c r="E135"/>
  <c r="E137" s="1"/>
  <c r="I50"/>
  <c r="I52" s="1"/>
  <c r="K135"/>
  <c r="K137" s="1"/>
  <c r="D121"/>
  <c r="D122" s="1"/>
  <c r="D124" s="1"/>
  <c r="J135"/>
  <c r="J137" s="1"/>
  <c r="N135"/>
  <c r="F135"/>
  <c r="F137" s="1"/>
  <c r="D107"/>
  <c r="D108" s="1"/>
  <c r="D110" s="1"/>
  <c r="D46"/>
  <c r="D47" s="1"/>
  <c r="D49" s="1"/>
  <c r="E50"/>
  <c r="E52" s="1"/>
  <c r="H50"/>
  <c r="H52" s="1"/>
  <c r="N50"/>
  <c r="J50"/>
  <c r="J52" s="1"/>
  <c r="H135"/>
  <c r="H137" s="1"/>
  <c r="K50"/>
  <c r="K52" s="1"/>
  <c r="G50"/>
  <c r="F50"/>
  <c r="F52" s="1"/>
  <c r="I55" l="1"/>
  <c r="I140"/>
  <c r="D135"/>
  <c r="D137" s="1"/>
  <c r="E136"/>
  <c r="D50"/>
  <c r="D52" s="1"/>
  <c r="E53"/>
  <c r="E51"/>
  <c r="G52"/>
  <c r="G51"/>
  <c r="G138"/>
  <c r="E138"/>
  <c r="G136"/>
  <c r="I56" l="1"/>
  <c r="I141"/>
  <c r="G53"/>
  <c r="E140"/>
  <c r="E55"/>
  <c r="G140"/>
  <c r="G141" s="1"/>
  <c r="G55" l="1"/>
  <c r="G56" s="1"/>
  <c r="E141"/>
  <c r="E56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N20"/>
  <c r="C20"/>
  <c r="H20" s="1"/>
  <c r="N19"/>
  <c r="C19"/>
  <c r="H19" s="1"/>
  <c r="N17"/>
  <c r="C17"/>
  <c r="K17" s="1"/>
  <c r="H112" l="1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</calcChain>
</file>

<file path=xl/sharedStrings.xml><?xml version="1.0" encoding="utf-8"?>
<sst xmlns="http://schemas.openxmlformats.org/spreadsheetml/2006/main" count="887" uniqueCount="184">
  <si>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</si>
  <si>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</si>
  <si>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</si>
  <si>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</si>
  <si>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</si>
  <si>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</si>
  <si>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</si>
  <si>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</si>
  <si>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</si>
  <si>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</si>
  <si>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</si>
  <si>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</si>
  <si>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</si>
  <si>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</si>
  <si>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</si>
  <si>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</si>
  <si>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</si>
  <si>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</si>
  <si>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</si>
  <si>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</si>
  <si>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</si>
  <si>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</si>
  <si>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</si>
  <si>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</si>
  <si>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</si>
  <si>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</si>
  <si>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</si>
  <si>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</si>
  <si>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</si>
  <si>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</si>
  <si>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</si>
  <si>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</si>
  <si>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</si>
  <si>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</si>
  <si>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</si>
  <si>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</si>
  <si>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</si>
  <si>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</si>
  <si>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</si>
  <si>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Ca</t>
  </si>
  <si>
    <t>B1</t>
  </si>
  <si>
    <t>30-35%</t>
  </si>
  <si>
    <t>25-30%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</si>
  <si>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</si>
  <si>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</si>
  <si>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</si>
  <si>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</si>
  <si>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</si>
  <si>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</si>
  <si>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</si>
  <si>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</si>
  <si>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</si>
  <si>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</si>
  <si>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</si>
  <si>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</si>
  <si>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</si>
  <si>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</si>
  <si>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</si>
  <si>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</si>
  <si>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</si>
  <si>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Lạc hạt</t>
  </si>
  <si>
    <t>Thịt gà</t>
  </si>
  <si>
    <t>Nấm Hương</t>
  </si>
  <si>
    <t xml:space="preserve">Thịt lợn nạc </t>
  </si>
  <si>
    <t>Gạo nếp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</si>
  <si>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</si>
  <si>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</si>
  <si>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</si>
  <si>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</si>
  <si>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</si>
  <si>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</si>
  <si>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</si>
  <si>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</si>
  <si>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</si>
  <si>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</si>
  <si>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</si>
  <si>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</si>
  <si>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</si>
  <si>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BỮA CHIỀU</t>
  </si>
  <si>
    <t>Cơm tẻ</t>
  </si>
  <si>
    <t>Đặng Thị Phượng</t>
  </si>
  <si>
    <t xml:space="preserve">Thịt gà </t>
  </si>
  <si>
    <t>Bí đỏ</t>
  </si>
  <si>
    <t xml:space="preserve">Tôm </t>
  </si>
  <si>
    <t>BỮA CHÍNH TRƯA</t>
  </si>
  <si>
    <t>BỮA PHỤ CHIỀU</t>
  </si>
  <si>
    <t xml:space="preserve">BỮA PHỤ </t>
  </si>
  <si>
    <t>BỮA CHÍNH CHIỀU</t>
  </si>
  <si>
    <t>Thịt gà om nấm hương</t>
  </si>
  <si>
    <t>Rau hẹ</t>
  </si>
  <si>
    <t xml:space="preserve">Cộng chung bữa chính </t>
  </si>
  <si>
    <t xml:space="preserve">Cộng chung bữa phụ </t>
  </si>
  <si>
    <t>Cộng chung 
xuất ăn</t>
  </si>
  <si>
    <t>Cộng chung bữa phụ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</si>
  <si>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</si>
  <si>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</si>
  <si>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</si>
  <si>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</si>
  <si>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</si>
  <si>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</si>
  <si>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</si>
  <si>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</si>
  <si>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</si>
  <si>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</si>
  <si>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</si>
  <si>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</si>
  <si>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</si>
  <si>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</si>
  <si>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</si>
  <si>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</si>
  <si>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t>Trứng vịt chiên sốt cà chua</t>
  </si>
  <si>
    <t>Canh bí đỏ nấu thịt vịt</t>
  </si>
  <si>
    <t>Hành khô</t>
  </si>
  <si>
    <t>Cháo  - thịt vịt, bí đỏ</t>
  </si>
  <si>
    <t>Bột sắn dây</t>
  </si>
  <si>
    <t>Dầu cá Ranee</t>
  </si>
  <si>
    <t>Củ cải</t>
  </si>
  <si>
    <t>Sườn lợn</t>
  </si>
  <si>
    <t>Cháo thịt gà, bí đao</t>
  </si>
  <si>
    <t>Dầu Simply</t>
  </si>
  <si>
    <t>Uống sữa Nuvi Grow</t>
  </si>
  <si>
    <t>Sữa bột Nuvi Grow</t>
  </si>
  <si>
    <t>Khuyến
 nghị</t>
  </si>
  <si>
    <t>Dứa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</si>
  <si>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</si>
  <si>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</si>
  <si>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</si>
  <si>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</si>
  <si>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</si>
  <si>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</si>
  <si>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</si>
  <si>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</si>
  <si>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</si>
  <si>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Tôm, thịt lợn sốt dứa, cà chua</t>
  </si>
  <si>
    <t>Súp gà ngô</t>
  </si>
  <si>
    <t>Ngô ngọt</t>
  </si>
  <si>
    <t>Rau thơm</t>
  </si>
  <si>
    <t>Su hào</t>
  </si>
  <si>
    <t>Rau bắp cải</t>
  </si>
  <si>
    <t>Tỷ lệ L động vật đạt 70.2%; so với khẩu phần khuyến nghị đảm bảo đạt</t>
  </si>
  <si>
    <t>Canh rau bắp cải nấu tôm</t>
  </si>
  <si>
    <t>Bí đỏ xào thịt lợn</t>
  </si>
  <si>
    <t>Gấc</t>
  </si>
  <si>
    <t>Su hào xào thịt lợn</t>
  </si>
  <si>
    <t>Canh rau cải cúc nấu tôm</t>
  </si>
  <si>
    <t>Rau cải cúc</t>
  </si>
  <si>
    <t>Tỷ lệ L động vật đạt 69.5%; so với khẩu phần khuyến nghị đảm bảo đạt</t>
  </si>
  <si>
    <t>Tỷ lệ P động vật đạt 60.2%; Cao hơn so với khẩu phần khuyến nghị 0.2%</t>
  </si>
  <si>
    <t>Tỷ lệ L động vật đạt 70%; so với khẩu phần khuyến nghị đảm bảo đạt</t>
  </si>
  <si>
    <t>Tỷ lệ P động vật đạt 61.1%; so với khẩu phần khuyến cao hơn 1.1%</t>
  </si>
  <si>
    <t>Tỷ lệ P động vật đạt 59.7%; so với khẩu phần khuyến nghị đảm bảo đạt</t>
  </si>
  <si>
    <t>Cháo thịt bò, thịt gà - cà rốt, hạt sen</t>
  </si>
  <si>
    <t>Thịt gà, trứng chim cút sốt cà chua</t>
  </si>
  <si>
    <t>Bắp cải xào thịt lợn</t>
  </si>
  <si>
    <t>Canh rau cải thìa nấu thịt gà</t>
  </si>
  <si>
    <t>Trứng chim cút</t>
  </si>
  <si>
    <t>Bắp cải</t>
  </si>
  <si>
    <t>Rau cải thìa</t>
  </si>
  <si>
    <t>Hạt sen</t>
  </si>
  <si>
    <t>Tỷ lệ P động vật đạt 50.6%; so với khẩu phần khuyến tương đối đạt</t>
  </si>
  <si>
    <t>BỮA PHỤ</t>
  </si>
  <si>
    <r>
      <t xml:space="preserve">L
</t>
    </r>
    <r>
      <rPr>
        <sz val="11"/>
        <rFont val="Times New Roman"/>
        <family val="1"/>
      </rPr>
      <t>(ĐV)</t>
    </r>
  </si>
  <si>
    <t>Tỷ lệ L động vật đạt 70.8%; so với khẩu phần khuyến nghị cao hơn 0.8%</t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</si>
  <si>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</si>
  <si>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t>Thứ năm, ngày 26 tháng 2 năm 2026</t>
  </si>
  <si>
    <t>Thứ tư, ngày 25 tháng 2 năm 2026</t>
  </si>
  <si>
    <t>Kcal đạt 714.17. So với khẩu phần khuyến nghị đảm bảo đạt</t>
  </si>
  <si>
    <t>Tỷ lệ P động vật đạt 51.3%; so với khẩu phần khuyến nghị tương đối đạt</t>
  </si>
  <si>
    <t>Tỷ lệ L động vật đạt 69%; so với khẩu phần khuyến nghị đảm bảo đạt</t>
  </si>
  <si>
    <t>Kcal đạt 647.06. So với khẩu phần khuyến nghị đảm bảo đạt</t>
  </si>
  <si>
    <t>Tỷ lệ L động vật đạt 70.9%; cao hơn so với khẩu phần khuyến nghị 0.9%</t>
  </si>
  <si>
    <t>Kcal đạt 694.62. So với khẩu phần khuyến nghị đảm bảo đạt</t>
  </si>
  <si>
    <t>Tỷ lệ P động vật đạt 54.6%; so với khẩu phần khuyến nghị tương đối đạt</t>
  </si>
  <si>
    <t>Kcal đạt 634.82. So với khẩu phần khuyến nghị đảm bảo đạt đạt</t>
  </si>
  <si>
    <t>Tỷ lệ L động vật đạt 69.8%; so với khẩu phần khuyến nghị đảm bảo đạt</t>
  </si>
  <si>
    <t>Thứ sáu, ngày 27 tháng 2 năm 2026</t>
  </si>
  <si>
    <t>Kcal đạt 696.06. So với khẩu phần khuyến nghị đảm bảo đạt</t>
  </si>
  <si>
    <t>Kcal đạt 633.63 So với khẩu phần khuyến nghị đảm bảo đạt</t>
  </si>
  <si>
    <t>Tỷ lệ P động vật đạt 69.5%; so với khẩu phần khuyến nghị cao hơn 9,5%</t>
  </si>
  <si>
    <t>Tỷ lệ L động vật đạt 69.7%; so với khẩu phần khuyến nghị đảm bảo đạt</t>
  </si>
  <si>
    <t>Thứ bẩy, ngày 28 tháng 2 năm 2026</t>
  </si>
  <si>
    <t>Kcal đạt 725.87 So với khẩu phần khuyến nghị đảm bảo đạt</t>
  </si>
  <si>
    <t>Kcal đạt 653.44. So với khẩu phần khuyến nghị đảm bảo đạt</t>
  </si>
  <si>
    <t>Tỷ lệ P động vật đạt 57.4%; so với khẩu phần khuyến nghị đảm bảo đạt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</si>
</sst>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25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1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410">
    <xf numFmtId="0" fontId="0" fillId="0" borderId="0" xfId="0"/>
    <xf numFmtId="0" fontId="4" fillId="0" borderId="0" xfId="0" applyFont="1"/>
    <xf numFmtId="0" fontId="4" fillId="0" borderId="0" xfId="0" applyFont="1" applyFill="1"/>
    <xf numFmtId="2" fontId="4" fillId="0" borderId="0" xfId="0" applyNumberFormat="1" applyFont="1" applyFill="1"/>
    <xf numFmtId="4" fontId="4" fillId="0" borderId="0" xfId="0" applyNumberFormat="1" applyFont="1" applyFill="1"/>
    <xf numFmtId="0" fontId="9" fillId="0" borderId="5" xfId="0" applyFont="1" applyFill="1" applyBorder="1"/>
    <xf numFmtId="0" fontId="9" fillId="0" borderId="6" xfId="0" applyFont="1" applyFill="1" applyBorder="1"/>
    <xf numFmtId="4" fontId="8" fillId="0" borderId="2" xfId="0" applyNumberFormat="1" applyFont="1" applyBorder="1"/>
    <xf numFmtId="0" fontId="6" fillId="0" borderId="0" xfId="0" applyFont="1" applyAlignment="1"/>
    <xf numFmtId="0" fontId="9" fillId="0" borderId="5" xfId="0" applyFont="1" applyFill="1" applyBorder="1" applyAlignment="1">
      <alignment horizontal="center"/>
    </xf>
    <xf numFmtId="3" fontId="9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4" fillId="0" borderId="0" xfId="0" applyFont="1" applyBorder="1"/>
    <xf numFmtId="0" fontId="9" fillId="0" borderId="4" xfId="0" applyFont="1" applyFill="1" applyBorder="1" applyAlignment="1">
      <alignment horizontal="center"/>
    </xf>
    <xf numFmtId="167" fontId="4" fillId="0" borderId="0" xfId="0" applyNumberFormat="1" applyFont="1" applyFill="1"/>
    <xf numFmtId="2" fontId="8" fillId="0" borderId="2" xfId="0" applyNumberFormat="1" applyFont="1" applyFill="1" applyBorder="1" applyAlignment="1">
      <alignment horizontal="center"/>
    </xf>
    <xf numFmtId="0" fontId="14" fillId="0" borderId="18" xfId="0" applyFont="1" applyFill="1" applyBorder="1" applyAlignment="1"/>
    <xf numFmtId="0" fontId="14" fillId="0" borderId="7" xfId="0" applyFont="1" applyFill="1" applyBorder="1" applyAlignment="1"/>
    <xf numFmtId="3" fontId="15" fillId="0" borderId="5" xfId="0" applyNumberFormat="1" applyFont="1" applyFill="1" applyBorder="1"/>
    <xf numFmtId="2" fontId="15" fillId="0" borderId="5" xfId="0" applyNumberFormat="1" applyFont="1" applyFill="1" applyBorder="1"/>
    <xf numFmtId="4" fontId="15" fillId="0" borderId="5" xfId="0" applyNumberFormat="1" applyFont="1" applyFill="1" applyBorder="1"/>
    <xf numFmtId="1" fontId="15" fillId="0" borderId="5" xfId="0" applyNumberFormat="1" applyFont="1" applyFill="1" applyBorder="1"/>
    <xf numFmtId="164" fontId="15" fillId="0" borderId="5" xfId="0" applyNumberFormat="1" applyFont="1" applyFill="1" applyBorder="1"/>
    <xf numFmtId="3" fontId="15" fillId="0" borderId="5" xfId="0" applyNumberFormat="1" applyFont="1" applyFill="1" applyBorder="1" applyAlignment="1"/>
    <xf numFmtId="4" fontId="15" fillId="0" borderId="6" xfId="0" applyNumberFormat="1" applyFont="1" applyFill="1" applyBorder="1"/>
    <xf numFmtId="1" fontId="15" fillId="0" borderId="6" xfId="0" applyNumberFormat="1" applyFont="1" applyFill="1" applyBorder="1"/>
    <xf numFmtId="3" fontId="15" fillId="0" borderId="2" xfId="0" applyNumberFormat="1" applyFont="1" applyFill="1" applyBorder="1"/>
    <xf numFmtId="2" fontId="8" fillId="0" borderId="2" xfId="0" applyNumberFormat="1" applyFont="1" applyFill="1" applyBorder="1"/>
    <xf numFmtId="4" fontId="15" fillId="0" borderId="2" xfId="0" applyNumberFormat="1" applyFont="1" applyFill="1" applyBorder="1"/>
    <xf numFmtId="1" fontId="15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/>
    <xf numFmtId="1" fontId="8" fillId="0" borderId="2" xfId="0" applyNumberFormat="1" applyFont="1" applyFill="1" applyBorder="1"/>
    <xf numFmtId="0" fontId="15" fillId="0" borderId="2" xfId="0" applyFont="1" applyBorder="1"/>
    <xf numFmtId="0" fontId="8" fillId="0" borderId="2" xfId="0" applyFont="1" applyBorder="1"/>
    <xf numFmtId="1" fontId="8" fillId="0" borderId="2" xfId="0" applyNumberFormat="1" applyFont="1" applyBorder="1"/>
    <xf numFmtId="0" fontId="8" fillId="0" borderId="16" xfId="0" applyFont="1" applyBorder="1"/>
    <xf numFmtId="0" fontId="8" fillId="0" borderId="2" xfId="0" applyFont="1" applyBorder="1" applyAlignment="1">
      <alignment vertical="center"/>
    </xf>
    <xf numFmtId="4" fontId="16" fillId="0" borderId="2" xfId="0" applyNumberFormat="1" applyFont="1" applyBorder="1"/>
    <xf numFmtId="1" fontId="15" fillId="0" borderId="14" xfId="0" applyNumberFormat="1" applyFont="1" applyFill="1" applyBorder="1"/>
    <xf numFmtId="3" fontId="15" fillId="0" borderId="15" xfId="0" applyNumberFormat="1" applyFont="1" applyFill="1" applyBorder="1"/>
    <xf numFmtId="2" fontId="15" fillId="0" borderId="15" xfId="0" applyNumberFormat="1" applyFont="1" applyFill="1" applyBorder="1"/>
    <xf numFmtId="4" fontId="15" fillId="0" borderId="15" xfId="0" applyNumberFormat="1" applyFont="1" applyFill="1" applyBorder="1"/>
    <xf numFmtId="1" fontId="15" fillId="0" borderId="15" xfId="0" applyNumberFormat="1" applyFont="1" applyFill="1" applyBorder="1"/>
    <xf numFmtId="3" fontId="15" fillId="0" borderId="15" xfId="0" applyNumberFormat="1" applyFont="1" applyFill="1" applyBorder="1" applyAlignment="1"/>
    <xf numFmtId="0" fontId="15" fillId="0" borderId="16" xfId="0" applyFont="1" applyBorder="1"/>
    <xf numFmtId="1" fontId="8" fillId="0" borderId="16" xfId="0" applyNumberFormat="1" applyFont="1" applyBorder="1"/>
    <xf numFmtId="0" fontId="15" fillId="0" borderId="15" xfId="0" applyFont="1" applyBorder="1"/>
    <xf numFmtId="0" fontId="8" fillId="0" borderId="15" xfId="0" applyFont="1" applyBorder="1"/>
    <xf numFmtId="1" fontId="8" fillId="0" borderId="15" xfId="0" applyNumberFormat="1" applyFont="1" applyBorder="1"/>
    <xf numFmtId="3" fontId="8" fillId="0" borderId="15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/>
    <xf numFmtId="164" fontId="15" fillId="0" borderId="6" xfId="0" applyNumberFormat="1" applyFont="1" applyFill="1" applyBorder="1"/>
    <xf numFmtId="2" fontId="8" fillId="0" borderId="2" xfId="0" applyNumberFormat="1" applyFont="1" applyBorder="1"/>
    <xf numFmtId="1" fontId="15" fillId="0" borderId="16" xfId="0" applyNumberFormat="1" applyFont="1" applyFill="1" applyBorder="1"/>
    <xf numFmtId="1" fontId="15" fillId="0" borderId="3" xfId="0" applyNumberFormat="1" applyFont="1" applyFill="1" applyBorder="1"/>
    <xf numFmtId="167" fontId="15" fillId="0" borderId="5" xfId="0" applyNumberFormat="1" applyFont="1" applyFill="1" applyBorder="1"/>
    <xf numFmtId="3" fontId="13" fillId="0" borderId="3" xfId="0" applyNumberFormat="1" applyFont="1" applyFill="1" applyBorder="1" applyAlignment="1">
      <alignment horizontal="center"/>
    </xf>
    <xf numFmtId="167" fontId="15" fillId="0" borderId="14" xfId="0" applyNumberFormat="1" applyFont="1" applyFill="1" applyBorder="1"/>
    <xf numFmtId="167" fontId="8" fillId="0" borderId="2" xfId="0" applyNumberFormat="1" applyFont="1" applyFill="1" applyBorder="1" applyAlignment="1">
      <alignment horizontal="center"/>
    </xf>
    <xf numFmtId="3" fontId="15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164" fontId="17" fillId="0" borderId="5" xfId="0" applyNumberFormat="1" applyFont="1" applyFill="1" applyBorder="1"/>
    <xf numFmtId="4" fontId="16" fillId="0" borderId="2" xfId="0" applyNumberFormat="1" applyFont="1" applyFill="1" applyBorder="1"/>
    <xf numFmtId="0" fontId="16" fillId="0" borderId="2" xfId="0" applyFont="1" applyBorder="1"/>
    <xf numFmtId="0" fontId="16" fillId="0" borderId="16" xfId="0" applyFont="1" applyBorder="1"/>
    <xf numFmtId="2" fontId="8" fillId="0" borderId="2" xfId="0" applyNumberFormat="1" applyFont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0" xfId="0" applyFont="1" applyFill="1" applyBorder="1" applyAlignment="1">
      <alignment horizontal="center"/>
    </xf>
    <xf numFmtId="3" fontId="15" fillId="0" borderId="20" xfId="0" applyNumberFormat="1" applyFont="1" applyFill="1" applyBorder="1"/>
    <xf numFmtId="2" fontId="15" fillId="0" borderId="20" xfId="0" applyNumberFormat="1" applyFont="1" applyFill="1" applyBorder="1"/>
    <xf numFmtId="4" fontId="15" fillId="0" borderId="20" xfId="0" applyNumberFormat="1" applyFont="1" applyFill="1" applyBorder="1"/>
    <xf numFmtId="1" fontId="15" fillId="0" borderId="20" xfId="0" applyNumberFormat="1" applyFont="1" applyFill="1" applyBorder="1"/>
    <xf numFmtId="3" fontId="15" fillId="0" borderId="2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2" fontId="15" fillId="0" borderId="2" xfId="0" applyNumberFormat="1" applyFont="1" applyFill="1" applyBorder="1"/>
    <xf numFmtId="3" fontId="15" fillId="0" borderId="2" xfId="0" applyNumberFormat="1" applyFont="1" applyFill="1" applyBorder="1" applyAlignment="1"/>
    <xf numFmtId="0" fontId="9" fillId="0" borderId="20" xfId="0" applyFont="1" applyFill="1" applyBorder="1"/>
    <xf numFmtId="0" fontId="15" fillId="0" borderId="20" xfId="0" applyFont="1" applyFill="1" applyBorder="1" applyAlignment="1">
      <alignment horizontal="center"/>
    </xf>
    <xf numFmtId="164" fontId="15" fillId="0" borderId="20" xfId="0" applyNumberFormat="1" applyFont="1" applyFill="1" applyBorder="1"/>
    <xf numFmtId="167" fontId="8" fillId="0" borderId="2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17" fillId="0" borderId="5" xfId="0" applyNumberFormat="1" applyFont="1" applyFill="1" applyBorder="1"/>
    <xf numFmtId="2" fontId="17" fillId="0" borderId="5" xfId="0" applyNumberFormat="1" applyFont="1" applyFill="1" applyBorder="1"/>
    <xf numFmtId="2" fontId="16" fillId="0" borderId="2" xfId="0" applyNumberFormat="1" applyFont="1" applyFill="1" applyBorder="1"/>
    <xf numFmtId="2" fontId="16" fillId="0" borderId="2" xfId="0" applyNumberFormat="1" applyFont="1" applyBorder="1" applyAlignment="1">
      <alignment vertical="center"/>
    </xf>
    <xf numFmtId="4" fontId="14" fillId="0" borderId="2" xfId="0" applyNumberFormat="1" applyFont="1" applyBorder="1"/>
    <xf numFmtId="3" fontId="17" fillId="0" borderId="5" xfId="0" applyNumberFormat="1" applyFont="1" applyFill="1" applyBorder="1" applyAlignment="1"/>
    <xf numFmtId="2" fontId="8" fillId="0" borderId="3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right"/>
    </xf>
    <xf numFmtId="4" fontId="17" fillId="0" borderId="2" xfId="0" applyNumberFormat="1" applyFont="1" applyFill="1" applyBorder="1"/>
    <xf numFmtId="4" fontId="13" fillId="0" borderId="5" xfId="0" applyNumberFormat="1" applyFont="1" applyFill="1" applyBorder="1"/>
    <xf numFmtId="0" fontId="8" fillId="0" borderId="16" xfId="0" applyFont="1" applyFill="1" applyBorder="1" applyAlignment="1">
      <alignment vertical="center"/>
    </xf>
    <xf numFmtId="3" fontId="15" fillId="2" borderId="5" xfId="0" applyNumberFormat="1" applyFont="1" applyFill="1" applyBorder="1" applyAlignment="1"/>
    <xf numFmtId="4" fontId="15" fillId="2" borderId="5" xfId="0" applyNumberFormat="1" applyFont="1" applyFill="1" applyBorder="1"/>
    <xf numFmtId="1" fontId="15" fillId="2" borderId="5" xfId="0" applyNumberFormat="1" applyFont="1" applyFill="1" applyBorder="1"/>
    <xf numFmtId="0" fontId="8" fillId="0" borderId="16" xfId="0" applyFont="1" applyBorder="1" applyAlignment="1">
      <alignment vertical="center"/>
    </xf>
    <xf numFmtId="2" fontId="15" fillId="2" borderId="5" xfId="0" applyNumberFormat="1" applyFont="1" applyFill="1" applyBorder="1"/>
    <xf numFmtId="4" fontId="17" fillId="2" borderId="5" xfId="0" applyNumberFormat="1" applyFont="1" applyFill="1" applyBorder="1"/>
    <xf numFmtId="0" fontId="4" fillId="2" borderId="0" xfId="0" applyFont="1" applyFill="1"/>
    <xf numFmtId="0" fontId="8" fillId="2" borderId="16" xfId="0" applyFont="1" applyFill="1" applyBorder="1" applyAlignment="1">
      <alignment vertical="center"/>
    </xf>
    <xf numFmtId="167" fontId="17" fillId="0" borderId="5" xfId="0" applyNumberFormat="1" applyFont="1" applyFill="1" applyBorder="1"/>
    <xf numFmtId="2" fontId="13" fillId="0" borderId="5" xfId="0" applyNumberFormat="1" applyFont="1" applyFill="1" applyBorder="1"/>
    <xf numFmtId="0" fontId="19" fillId="0" borderId="0" xfId="0" applyFont="1" applyFill="1"/>
    <xf numFmtId="167" fontId="15" fillId="0" borderId="20" xfId="0" applyNumberFormat="1" applyFont="1" applyFill="1" applyBorder="1"/>
    <xf numFmtId="3" fontId="4" fillId="0" borderId="5" xfId="1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Border="1" applyAlignment="1">
      <alignment horizontal="center" vertical="center"/>
    </xf>
    <xf numFmtId="1" fontId="19" fillId="0" borderId="0" xfId="0" applyNumberFormat="1" applyFont="1" applyFill="1" applyBorder="1"/>
    <xf numFmtId="4" fontId="19" fillId="0" borderId="0" xfId="0" applyNumberFormat="1" applyFont="1" applyFill="1" applyBorder="1"/>
    <xf numFmtId="167" fontId="19" fillId="0" borderId="0" xfId="0" applyNumberFormat="1" applyFont="1" applyFill="1"/>
    <xf numFmtId="167" fontId="19" fillId="0" borderId="0" xfId="0" applyNumberFormat="1" applyFont="1" applyFill="1" applyBorder="1"/>
    <xf numFmtId="2" fontId="19" fillId="0" borderId="0" xfId="0" applyNumberFormat="1" applyFont="1" applyFill="1"/>
    <xf numFmtId="4" fontId="19" fillId="0" borderId="0" xfId="0" applyNumberFormat="1" applyFont="1" applyFill="1"/>
    <xf numFmtId="0" fontId="22" fillId="0" borderId="0" xfId="0" applyFont="1"/>
    <xf numFmtId="0" fontId="19" fillId="0" borderId="0" xfId="0" applyFont="1" applyBorder="1" applyAlignment="1">
      <alignment horizontal="left" vertical="top"/>
    </xf>
    <xf numFmtId="2" fontId="19" fillId="0" borderId="0" xfId="0" applyNumberFormat="1" applyFont="1"/>
    <xf numFmtId="4" fontId="17" fillId="0" borderId="20" xfId="0" applyNumberFormat="1" applyFont="1" applyFill="1" applyBorder="1"/>
    <xf numFmtId="3" fontId="9" fillId="2" borderId="5" xfId="1" applyNumberFormat="1" applyFont="1" applyFill="1" applyBorder="1" applyAlignment="1">
      <alignment horizontal="left"/>
    </xf>
    <xf numFmtId="0" fontId="9" fillId="2" borderId="5" xfId="0" applyFont="1" applyFill="1" applyBorder="1"/>
    <xf numFmtId="3" fontId="4" fillId="2" borderId="5" xfId="1" applyNumberFormat="1" applyFont="1" applyFill="1" applyBorder="1" applyAlignment="1">
      <alignment horizontal="left"/>
    </xf>
    <xf numFmtId="3" fontId="13" fillId="0" borderId="5" xfId="3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Border="1"/>
    <xf numFmtId="3" fontId="13" fillId="0" borderId="2" xfId="3" applyNumberFormat="1" applyFont="1" applyFill="1" applyBorder="1" applyAlignment="1">
      <alignment horizontal="left" vertical="center" wrapText="1"/>
    </xf>
    <xf numFmtId="167" fontId="17" fillId="0" borderId="2" xfId="0" applyNumberFormat="1" applyFont="1" applyFill="1" applyBorder="1"/>
    <xf numFmtId="3" fontId="13" fillId="0" borderId="20" xfId="3" applyNumberFormat="1" applyFont="1" applyFill="1" applyBorder="1" applyAlignment="1">
      <alignment horizontal="left" vertical="center" wrapText="1"/>
    </xf>
    <xf numFmtId="167" fontId="17" fillId="0" borderId="20" xfId="0" applyNumberFormat="1" applyFont="1" applyFill="1" applyBorder="1"/>
    <xf numFmtId="0" fontId="19" fillId="2" borderId="0" xfId="0" applyFont="1" applyFill="1"/>
    <xf numFmtId="0" fontId="9" fillId="0" borderId="4" xfId="0" applyFont="1" applyFill="1" applyBorder="1" applyAlignment="1">
      <alignment horizontal="left"/>
    </xf>
    <xf numFmtId="3" fontId="9" fillId="0" borderId="4" xfId="0" applyNumberFormat="1" applyFont="1" applyFill="1" applyBorder="1"/>
    <xf numFmtId="2" fontId="9" fillId="0" borderId="4" xfId="0" applyNumberFormat="1" applyFont="1" applyFill="1" applyBorder="1"/>
    <xf numFmtId="4" fontId="9" fillId="0" borderId="4" xfId="0" applyNumberFormat="1" applyFont="1" applyFill="1" applyBorder="1"/>
    <xf numFmtId="1" fontId="9" fillId="0" borderId="4" xfId="0" applyNumberFormat="1" applyFont="1" applyFill="1" applyBorder="1"/>
    <xf numFmtId="3" fontId="9" fillId="0" borderId="4" xfId="0" applyNumberFormat="1" applyFont="1" applyFill="1" applyBorder="1" applyAlignment="1"/>
    <xf numFmtId="0" fontId="9" fillId="2" borderId="5" xfId="0" applyFont="1" applyFill="1" applyBorder="1" applyAlignment="1">
      <alignment horizontal="center"/>
    </xf>
    <xf numFmtId="3" fontId="15" fillId="2" borderId="5" xfId="0" applyNumberFormat="1" applyFont="1" applyFill="1" applyBorder="1"/>
    <xf numFmtId="167" fontId="15" fillId="2" borderId="5" xfId="0" applyNumberFormat="1" applyFont="1" applyFill="1" applyBorder="1"/>
    <xf numFmtId="3" fontId="4" fillId="0" borderId="0" xfId="0" applyNumberFormat="1" applyFont="1" applyFill="1"/>
    <xf numFmtId="3" fontId="17" fillId="0" borderId="14" xfId="0" applyNumberFormat="1" applyFont="1" applyFill="1" applyBorder="1" applyAlignment="1"/>
    <xf numFmtId="4" fontId="8" fillId="0" borderId="16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1" fontId="8" fillId="0" borderId="16" xfId="0" applyNumberFormat="1" applyFon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2" fontId="17" fillId="0" borderId="20" xfId="0" applyNumberFormat="1" applyFont="1" applyFill="1" applyBorder="1"/>
    <xf numFmtId="0" fontId="6" fillId="0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7" fillId="0" borderId="6" xfId="0" applyNumberFormat="1" applyFont="1" applyFill="1" applyBorder="1"/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textRotation="45"/>
    </xf>
    <xf numFmtId="3" fontId="8" fillId="0" borderId="3" xfId="0" applyNumberFormat="1" applyFont="1" applyFill="1" applyBorder="1" applyAlignment="1">
      <alignment horizontal="center" vertical="center" textRotation="45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164" fontId="16" fillId="0" borderId="16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" fontId="16" fillId="0" borderId="10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2" fontId="16" fillId="0" borderId="11" xfId="0" applyNumberFormat="1" applyFont="1" applyBorder="1" applyAlignment="1">
      <alignment horizontal="center" vertical="center" wrapText="1"/>
    </xf>
    <xf numFmtId="2" fontId="16" fillId="0" borderId="12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2" fontId="14" fillId="0" borderId="16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7" fontId="8" fillId="0" borderId="18" xfId="0" applyNumberFormat="1" applyFont="1" applyBorder="1" applyAlignment="1">
      <alignment horizontal="center" vertical="center"/>
    </xf>
    <xf numFmtId="167" fontId="8" fillId="0" borderId="7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" fontId="15" fillId="0" borderId="16" xfId="0" applyNumberFormat="1" applyFont="1" applyFill="1" applyBorder="1" applyAlignment="1">
      <alignment horizontal="center"/>
    </xf>
    <xf numFmtId="1" fontId="15" fillId="0" borderId="3" xfId="0" applyNumberFormat="1" applyFont="1" applyFill="1" applyBorder="1" applyAlignment="1">
      <alignment horizont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/>
    </xf>
    <xf numFmtId="3" fontId="14" fillId="0" borderId="16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3" fillId="0" borderId="3" xfId="0" applyFont="1" applyBorder="1"/>
    <xf numFmtId="3" fontId="8" fillId="0" borderId="17" xfId="0" applyNumberFormat="1" applyFont="1" applyFill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3" fontId="16" fillId="0" borderId="16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17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7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14" fillId="0" borderId="16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3" fontId="16" fillId="0" borderId="16" xfId="0" applyNumberFormat="1" applyFont="1" applyFill="1" applyBorder="1" applyAlignment="1">
      <alignment horizontal="center" vertical="center" textRotation="45"/>
    </xf>
    <xf numFmtId="3" fontId="16" fillId="0" borderId="3" xfId="0" applyNumberFormat="1" applyFont="1" applyFill="1" applyBorder="1" applyAlignment="1">
      <alignment horizontal="center" vertical="center" textRotation="45"/>
    </xf>
    <xf numFmtId="2" fontId="14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2" fontId="16" fillId="0" borderId="16" xfId="0" applyNumberFormat="1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7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5" fillId="2" borderId="6" xfId="0" applyNumberFormat="1" applyFont="1" applyFill="1" applyBorder="1"/>
    <xf numFmtId="3" fontId="24" fillId="0" borderId="2" xfId="0" applyNumberFormat="1" applyFont="1" applyFill="1" applyBorder="1" applyAlignment="1">
      <alignment horizontal="center" wrapText="1"/>
    </xf>
    <xf numFmtId="164" fontId="16" fillId="2" borderId="2" xfId="0" applyNumberFormat="1" applyFont="1" applyFill="1" applyBorder="1" applyAlignment="1"/>
    <xf numFmtId="164" fontId="16" fillId="2" borderId="7" xfId="0" applyNumberFormat="1" applyFont="1" applyFill="1" applyBorder="1" applyAlignment="1"/>
    <xf numFmtId="165" fontId="8" fillId="2" borderId="1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65" fontId="16" fillId="2" borderId="18" xfId="0" applyNumberFormat="1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4" fillId="0" borderId="0" xfId="0" applyNumberFormat="1" applyFont="1" applyFill="1" applyBorder="1"/>
    <xf numFmtId="1" fontId="17" fillId="2" borderId="5" xfId="0" applyNumberFormat="1" applyFont="1" applyFill="1" applyBorder="1"/>
    <xf numFmtId="4" fontId="4" fillId="2" borderId="0" xfId="0" applyNumberFormat="1" applyFont="1" applyFill="1" applyBorder="1"/>
    <xf numFmtId="167" fontId="4" fillId="0" borderId="0" xfId="0" applyNumberFormat="1" applyFont="1" applyFill="1" applyBorder="1"/>
    <xf numFmtId="1" fontId="15" fillId="2" borderId="20" xfId="0" applyNumberFormat="1" applyFont="1" applyFill="1" applyBorder="1"/>
    <xf numFmtId="4" fontId="4" fillId="2" borderId="0" xfId="0" applyNumberFormat="1" applyFont="1" applyFill="1"/>
    <xf numFmtId="164" fontId="8" fillId="2" borderId="7" xfId="0" applyNumberFormat="1" applyFont="1" applyFill="1" applyBorder="1" applyAlignment="1"/>
    <xf numFmtId="0" fontId="13" fillId="0" borderId="0" xfId="0" applyFont="1"/>
    <xf numFmtId="0" fontId="4" fillId="0" borderId="0" xfId="0" applyFont="1" applyBorder="1" applyAlignment="1">
      <alignment horizontal="left" vertical="top"/>
    </xf>
    <xf numFmtId="2" fontId="4" fillId="0" borderId="0" xfId="0" applyNumberFormat="1" applyFont="1"/>
    <xf numFmtId="164" fontId="8" fillId="2" borderId="2" xfId="0" applyNumberFormat="1" applyFont="1" applyFill="1" applyBorder="1" applyAlignment="1"/>
    <xf numFmtId="0" fontId="15" fillId="0" borderId="0" xfId="0" applyFont="1" applyFill="1" applyBorder="1" applyAlignment="1">
      <alignment horizontal="center"/>
    </xf>
    <xf numFmtId="2" fontId="4" fillId="2" borderId="0" xfId="0" applyNumberFormat="1" applyFont="1" applyFill="1"/>
    <xf numFmtId="0" fontId="4" fillId="0" borderId="0" xfId="0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" fontId="17" fillId="2" borderId="20" xfId="0" applyNumberFormat="1" applyFont="1" applyFill="1" applyBorder="1"/>
    <xf numFmtId="0" fontId="8" fillId="0" borderId="2" xfId="0" applyFont="1" applyBorder="1" applyAlignment="1">
      <alignment horizontal="center" vertical="center"/>
    </xf>
    <xf numFmtId="2" fontId="8" fillId="2" borderId="3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3" xfId="0" applyFont="1" applyBorder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6"/>
  <sheetViews>
    <sheetView tabSelected="1" view="pageLayout" workbookViewId="0">
      <selection activeCell="J6" sqref="J6:N9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54</v>
      </c>
      <c r="B1" s="8"/>
      <c r="C1" s="8"/>
      <c r="D1" s="8"/>
      <c r="E1" s="8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159"/>
      <c r="P1" s="159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65"/>
      <c r="G2" s="165"/>
      <c r="H2" s="165"/>
      <c r="I2" s="165"/>
      <c r="J2" s="165"/>
      <c r="K2" s="165"/>
      <c r="L2" s="165"/>
      <c r="M2" s="165"/>
      <c r="N2" s="165"/>
      <c r="O2" s="159"/>
      <c r="P2" s="159"/>
      <c r="Q2" s="2"/>
      <c r="R2" s="2"/>
      <c r="S2" s="2"/>
      <c r="T2" s="2"/>
    </row>
    <row r="3" spans="1:20" ht="19.8" customHeight="1">
      <c r="A3" s="8" t="s">
        <v>165</v>
      </c>
      <c r="B3" s="8"/>
      <c r="C3" s="8"/>
      <c r="D3" s="8"/>
      <c r="E3" s="8"/>
      <c r="F3" s="165"/>
      <c r="G3" s="165"/>
      <c r="H3" s="165"/>
      <c r="I3" s="165"/>
      <c r="J3" s="165"/>
      <c r="K3" s="165"/>
      <c r="L3" s="165"/>
      <c r="M3" s="165"/>
      <c r="N3" s="165"/>
      <c r="O3" s="159"/>
      <c r="P3" s="159"/>
      <c r="T3" s="2"/>
    </row>
    <row r="4" spans="1:20" ht="19.8" customHeight="1">
      <c r="A4" s="8"/>
      <c r="B4" s="8"/>
      <c r="C4" s="8"/>
      <c r="D4" s="8"/>
      <c r="E4" s="8"/>
      <c r="F4" s="165"/>
      <c r="G4" s="165"/>
      <c r="H4" s="165"/>
      <c r="I4" s="165"/>
      <c r="J4" s="165"/>
      <c r="K4" s="165"/>
      <c r="L4" s="165"/>
      <c r="M4" s="165"/>
      <c r="N4" s="165"/>
      <c r="O4" s="159"/>
      <c r="P4" s="159"/>
      <c r="T4" s="2"/>
    </row>
    <row r="5" spans="1:20" s="2" customFormat="1" ht="19.8" customHeight="1">
      <c r="A5" s="170" t="s">
        <v>84</v>
      </c>
      <c r="B5" s="170"/>
      <c r="C5" s="170"/>
      <c r="D5" s="170"/>
      <c r="E5" s="170" t="s">
        <v>85</v>
      </c>
      <c r="F5" s="170"/>
      <c r="G5" s="170"/>
      <c r="H5" s="170"/>
      <c r="I5" s="170"/>
      <c r="J5" s="170"/>
      <c r="K5" s="170"/>
      <c r="L5" s="170"/>
      <c r="M5" s="170"/>
      <c r="N5" s="170"/>
      <c r="O5" s="388"/>
    </row>
    <row r="6" spans="1:20" s="2" customFormat="1" ht="19.8" customHeight="1">
      <c r="A6" s="242" t="s">
        <v>79</v>
      </c>
      <c r="B6" s="242"/>
      <c r="C6" s="242"/>
      <c r="D6" s="242"/>
      <c r="E6" s="243" t="s">
        <v>120</v>
      </c>
      <c r="F6" s="243"/>
      <c r="G6" s="243"/>
      <c r="H6" s="243"/>
      <c r="I6" s="243"/>
      <c r="J6" s="262" t="s">
        <v>118</v>
      </c>
      <c r="K6" s="263"/>
      <c r="L6" s="263"/>
      <c r="M6" s="263"/>
      <c r="N6" s="264"/>
      <c r="O6" s="388"/>
    </row>
    <row r="7" spans="1:20" s="2" customFormat="1" ht="19.8" customHeight="1">
      <c r="A7" s="167" t="s">
        <v>124</v>
      </c>
      <c r="B7" s="168"/>
      <c r="C7" s="168"/>
      <c r="D7" s="169"/>
      <c r="E7" s="243"/>
      <c r="F7" s="243"/>
      <c r="G7" s="243"/>
      <c r="H7" s="243"/>
      <c r="I7" s="243"/>
      <c r="J7" s="265"/>
      <c r="K7" s="266"/>
      <c r="L7" s="266"/>
      <c r="M7" s="266"/>
      <c r="N7" s="267"/>
      <c r="O7" s="388"/>
    </row>
    <row r="8" spans="1:20" s="2" customFormat="1" ht="19.8" customHeight="1">
      <c r="A8" s="195" t="s">
        <v>141</v>
      </c>
      <c r="B8" s="195"/>
      <c r="C8" s="195"/>
      <c r="D8" s="195"/>
      <c r="E8" s="243"/>
      <c r="F8" s="243"/>
      <c r="G8" s="243"/>
      <c r="H8" s="243"/>
      <c r="I8" s="243"/>
      <c r="J8" s="265"/>
      <c r="K8" s="266"/>
      <c r="L8" s="266"/>
      <c r="M8" s="266"/>
      <c r="N8" s="267"/>
      <c r="O8" s="388"/>
    </row>
    <row r="9" spans="1:20" s="2" customFormat="1" ht="19.8" customHeight="1">
      <c r="A9" s="196" t="s">
        <v>140</v>
      </c>
      <c r="B9" s="196"/>
      <c r="C9" s="196"/>
      <c r="D9" s="196"/>
      <c r="E9" s="243"/>
      <c r="F9" s="243"/>
      <c r="G9" s="243"/>
      <c r="H9" s="243"/>
      <c r="I9" s="243"/>
      <c r="J9" s="268"/>
      <c r="K9" s="269"/>
      <c r="L9" s="269"/>
      <c r="M9" s="269"/>
      <c r="N9" s="270"/>
      <c r="O9" s="388"/>
    </row>
    <row r="10" spans="1:20" s="2" customFormat="1" ht="19.8" customHeight="1">
      <c r="A10" s="207" t="s">
        <v>103</v>
      </c>
      <c r="B10" s="208"/>
      <c r="C10" s="209"/>
      <c r="D10" s="99">
        <v>184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88"/>
    </row>
    <row r="11" spans="1:20" ht="19.8" customHeight="1">
      <c r="A11" s="171" t="s">
        <v>0</v>
      </c>
      <c r="B11" s="174" t="s">
        <v>19</v>
      </c>
      <c r="C11" s="177" t="s">
        <v>8</v>
      </c>
      <c r="D11" s="177" t="s">
        <v>9</v>
      </c>
      <c r="E11" s="182" t="s">
        <v>11</v>
      </c>
      <c r="F11" s="183"/>
      <c r="G11" s="182" t="s">
        <v>13</v>
      </c>
      <c r="H11" s="183"/>
      <c r="I11" s="186" t="s">
        <v>16</v>
      </c>
      <c r="J11" s="186" t="s">
        <v>39</v>
      </c>
      <c r="K11" s="186" t="s">
        <v>40</v>
      </c>
      <c r="L11" s="189" t="s">
        <v>17</v>
      </c>
      <c r="M11" s="186" t="s">
        <v>48</v>
      </c>
      <c r="N11" s="171" t="s">
        <v>18</v>
      </c>
      <c r="O11" s="389"/>
    </row>
    <row r="12" spans="1:20" ht="19.8" customHeight="1">
      <c r="A12" s="172"/>
      <c r="B12" s="175"/>
      <c r="C12" s="178"/>
      <c r="D12" s="178"/>
      <c r="E12" s="184"/>
      <c r="F12" s="185"/>
      <c r="G12" s="184"/>
      <c r="H12" s="185"/>
      <c r="I12" s="187"/>
      <c r="J12" s="187"/>
      <c r="K12" s="187"/>
      <c r="L12" s="190"/>
      <c r="M12" s="187"/>
      <c r="N12" s="172"/>
      <c r="O12" s="161"/>
    </row>
    <row r="13" spans="1:20" ht="19.8" customHeight="1">
      <c r="A13" s="172"/>
      <c r="B13" s="175"/>
      <c r="C13" s="178"/>
      <c r="D13" s="178"/>
      <c r="E13" s="186" t="s">
        <v>10</v>
      </c>
      <c r="F13" s="186" t="s">
        <v>12</v>
      </c>
      <c r="G13" s="186" t="s">
        <v>14</v>
      </c>
      <c r="H13" s="186" t="s">
        <v>15</v>
      </c>
      <c r="I13" s="187"/>
      <c r="J13" s="187"/>
      <c r="K13" s="187"/>
      <c r="L13" s="190"/>
      <c r="M13" s="187"/>
      <c r="N13" s="172"/>
      <c r="O13" s="161"/>
    </row>
    <row r="14" spans="1:20" ht="19.8" customHeight="1">
      <c r="A14" s="173"/>
      <c r="B14" s="176"/>
      <c r="C14" s="179"/>
      <c r="D14" s="179"/>
      <c r="E14" s="188"/>
      <c r="F14" s="188"/>
      <c r="G14" s="188"/>
      <c r="H14" s="188"/>
      <c r="I14" s="188"/>
      <c r="J14" s="188"/>
      <c r="K14" s="188"/>
      <c r="L14" s="191"/>
      <c r="M14" s="188"/>
      <c r="N14" s="173"/>
      <c r="O14" s="161"/>
    </row>
    <row r="15" spans="1:20" ht="20.399999999999999" customHeight="1">
      <c r="A15" s="249" t="s">
        <v>33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161"/>
    </row>
    <row r="16" spans="1:20" s="2" customFormat="1" ht="20.399999999999999" customHeight="1">
      <c r="A16" s="9">
        <v>1</v>
      </c>
      <c r="B16" s="6" t="s">
        <v>104</v>
      </c>
      <c r="C16" s="18"/>
      <c r="D16" s="107"/>
      <c r="E16" s="20"/>
      <c r="F16" s="20"/>
      <c r="G16" s="20"/>
      <c r="H16" s="20"/>
      <c r="I16" s="20"/>
      <c r="J16" s="20"/>
      <c r="K16" s="20"/>
      <c r="L16" s="21"/>
      <c r="M16" s="21"/>
      <c r="N16" s="23">
        <v>14250</v>
      </c>
      <c r="O16" s="135"/>
    </row>
    <row r="17" spans="1:20" s="2" customFormat="1" ht="20.399999999999999" customHeight="1">
      <c r="A17" s="9">
        <v>2</v>
      </c>
      <c r="B17" s="10" t="s">
        <v>2</v>
      </c>
      <c r="C17" s="18">
        <f>L17/100*100</f>
        <v>240</v>
      </c>
      <c r="D17" s="19">
        <f>C17/100*60</f>
        <v>144</v>
      </c>
      <c r="E17" s="20">
        <f>C17/100*15</f>
        <v>36</v>
      </c>
      <c r="F17" s="20"/>
      <c r="G17" s="20"/>
      <c r="H17" s="20"/>
      <c r="I17" s="20"/>
      <c r="J17" s="22">
        <f>C17/100*387</f>
        <v>928.8</v>
      </c>
      <c r="K17" s="22">
        <f>C17/100*0.09</f>
        <v>0.216</v>
      </c>
      <c r="L17" s="105">
        <v>240</v>
      </c>
      <c r="M17" s="56">
        <v>20</v>
      </c>
      <c r="N17" s="23">
        <f>L17*M17</f>
        <v>4800</v>
      </c>
      <c r="O17" s="135"/>
    </row>
    <row r="18" spans="1:20" s="2" customFormat="1" ht="20.399999999999999" customHeight="1">
      <c r="A18" s="9">
        <v>3</v>
      </c>
      <c r="B18" s="10" t="s">
        <v>115</v>
      </c>
      <c r="C18" s="18">
        <f>L18/100*100</f>
        <v>1330</v>
      </c>
      <c r="D18" s="93">
        <f>C18/100*899</f>
        <v>11956.7</v>
      </c>
      <c r="E18" s="20"/>
      <c r="F18" s="20"/>
      <c r="G18" s="92">
        <f>C18/100*100</f>
        <v>1330</v>
      </c>
      <c r="H18" s="20"/>
      <c r="I18" s="20"/>
      <c r="J18" s="20"/>
      <c r="K18" s="20"/>
      <c r="L18" s="105">
        <v>1330</v>
      </c>
      <c r="M18" s="19">
        <v>68</v>
      </c>
      <c r="N18" s="23">
        <f t="shared" ref="N18" si="0">L18*M18</f>
        <v>90440</v>
      </c>
      <c r="O18" s="390"/>
    </row>
    <row r="19" spans="1:20" s="2" customFormat="1" ht="20.399999999999999" customHeight="1">
      <c r="A19" s="9">
        <v>4</v>
      </c>
      <c r="B19" s="10" t="s">
        <v>5</v>
      </c>
      <c r="C19" s="18">
        <f>L19/100*90</f>
        <v>150.29999999999998</v>
      </c>
      <c r="D19" s="19">
        <f>C19/100*281</f>
        <v>422.34299999999996</v>
      </c>
      <c r="E19" s="20"/>
      <c r="F19" s="20">
        <f>C19/100*9.5</f>
        <v>14.278499999999999</v>
      </c>
      <c r="G19" s="20"/>
      <c r="H19" s="20">
        <f>C19/100*0.2</f>
        <v>0.30059999999999998</v>
      </c>
      <c r="I19" s="20">
        <f>C19/100*58.5</f>
        <v>87.9255</v>
      </c>
      <c r="J19" s="22">
        <f>C19/100*321.3</f>
        <v>482.91389999999996</v>
      </c>
      <c r="K19" s="22">
        <f>C19/100*0.14</f>
        <v>0.21042</v>
      </c>
      <c r="L19" s="105">
        <v>167</v>
      </c>
      <c r="M19" s="56">
        <v>120</v>
      </c>
      <c r="N19" s="23">
        <f t="shared" ref="N19:N27" si="1">L19*M19</f>
        <v>20040</v>
      </c>
      <c r="O19" s="135"/>
    </row>
    <row r="20" spans="1:20" s="2" customFormat="1" ht="20.399999999999999" customHeight="1">
      <c r="A20" s="9">
        <v>5</v>
      </c>
      <c r="B20" s="10" t="s">
        <v>62</v>
      </c>
      <c r="C20" s="18">
        <f>L20/100*90</f>
        <v>99.000000000000014</v>
      </c>
      <c r="D20" s="19">
        <f>C20/100*253</f>
        <v>250.47000000000003</v>
      </c>
      <c r="E20" s="20"/>
      <c r="F20" s="20">
        <f>C20/100*32.4</f>
        <v>32.076000000000001</v>
      </c>
      <c r="G20" s="20"/>
      <c r="H20" s="20">
        <f>C20/100*3.6</f>
        <v>3.5640000000000005</v>
      </c>
      <c r="I20" s="20">
        <f>C20/100*21.1</f>
        <v>20.889000000000003</v>
      </c>
      <c r="J20" s="22">
        <f>C20/100*165.6</f>
        <v>163.94400000000002</v>
      </c>
      <c r="K20" s="22">
        <f>C20/100*0.14</f>
        <v>0.13860000000000003</v>
      </c>
      <c r="L20" s="105">
        <v>110</v>
      </c>
      <c r="M20" s="56">
        <v>275</v>
      </c>
      <c r="N20" s="23">
        <f t="shared" si="1"/>
        <v>30250</v>
      </c>
      <c r="O20" s="135"/>
    </row>
    <row r="21" spans="1:20" s="2" customFormat="1" ht="20.399999999999999" customHeight="1">
      <c r="A21" s="9">
        <v>6</v>
      </c>
      <c r="B21" s="5" t="s">
        <v>1</v>
      </c>
      <c r="C21" s="18">
        <f>L21/100*100</f>
        <v>17480</v>
      </c>
      <c r="D21" s="93">
        <f>C21/100*344</f>
        <v>60131.200000000004</v>
      </c>
      <c r="E21" s="20"/>
      <c r="F21" s="108">
        <f>C21/100*7.9</f>
        <v>1380.92</v>
      </c>
      <c r="G21" s="20"/>
      <c r="H21" s="20">
        <f>C21/100*1</f>
        <v>174.8</v>
      </c>
      <c r="I21" s="108">
        <f>C21/100*73.3</f>
        <v>12812.84</v>
      </c>
      <c r="J21" s="22">
        <f>C21/100*30</f>
        <v>5244</v>
      </c>
      <c r="K21" s="22">
        <f>C21/100*0.1</f>
        <v>17.48</v>
      </c>
      <c r="L21" s="391">
        <v>17480</v>
      </c>
      <c r="M21" s="56">
        <v>18</v>
      </c>
      <c r="N21" s="23">
        <f t="shared" si="1"/>
        <v>314640</v>
      </c>
      <c r="O21" s="135"/>
      <c r="R21" s="14"/>
      <c r="S21" s="14"/>
    </row>
    <row r="22" spans="1:20" s="2" customFormat="1" ht="20.399999999999999" customHeight="1">
      <c r="A22" s="9">
        <v>7</v>
      </c>
      <c r="B22" s="5" t="s">
        <v>56</v>
      </c>
      <c r="C22" s="18">
        <f>L22/100*86</f>
        <v>2373.6</v>
      </c>
      <c r="D22" s="19">
        <f>C22/100*166</f>
        <v>3940.1759999999999</v>
      </c>
      <c r="E22" s="20">
        <f>C22/100*14.8</f>
        <v>351.2928</v>
      </c>
      <c r="F22" s="20"/>
      <c r="G22" s="20">
        <f>C22/100*11.6</f>
        <v>275.33760000000001</v>
      </c>
      <c r="H22" s="20"/>
      <c r="I22" s="20">
        <f>C22/100*0.5</f>
        <v>11.868</v>
      </c>
      <c r="J22" s="22">
        <f>C22/100*55</f>
        <v>1305.48</v>
      </c>
      <c r="K22" s="22">
        <f>C22/100*0.16</f>
        <v>3.7977600000000002</v>
      </c>
      <c r="L22" s="105">
        <v>2760</v>
      </c>
      <c r="M22" s="56">
        <v>62</v>
      </c>
      <c r="N22" s="23">
        <f t="shared" si="1"/>
        <v>171120</v>
      </c>
      <c r="O22" s="135"/>
      <c r="Q22" s="3"/>
      <c r="R22" s="3"/>
      <c r="S22" s="4"/>
    </row>
    <row r="23" spans="1:20" s="2" customFormat="1" ht="20.399999999999999" customHeight="1">
      <c r="A23" s="9">
        <v>8</v>
      </c>
      <c r="B23" s="10" t="s">
        <v>63</v>
      </c>
      <c r="C23" s="18">
        <f>L23/100*98</f>
        <v>5252.8</v>
      </c>
      <c r="D23" s="19">
        <f>C23/100*139</f>
        <v>7301.3919999999998</v>
      </c>
      <c r="E23" s="92">
        <f>C23/100*19</f>
        <v>998.03199999999993</v>
      </c>
      <c r="F23" s="20"/>
      <c r="G23" s="20">
        <f>C23/100*7</f>
        <v>367.69599999999997</v>
      </c>
      <c r="H23" s="20"/>
      <c r="I23" s="20"/>
      <c r="J23" s="22">
        <f>C23/100*7</f>
        <v>367.69599999999997</v>
      </c>
      <c r="K23" s="22">
        <f>C23/100*0.9</f>
        <v>47.275199999999998</v>
      </c>
      <c r="L23" s="105">
        <v>5360</v>
      </c>
      <c r="M23" s="56">
        <v>137</v>
      </c>
      <c r="N23" s="23">
        <f t="shared" si="1"/>
        <v>734320</v>
      </c>
      <c r="O23" s="135"/>
    </row>
    <row r="24" spans="1:20" s="2" customFormat="1" ht="20.399999999999999" customHeight="1">
      <c r="A24" s="9">
        <v>9</v>
      </c>
      <c r="B24" s="132" t="s">
        <v>83</v>
      </c>
      <c r="C24" s="18">
        <f>L24/100*90</f>
        <v>2295</v>
      </c>
      <c r="D24" s="19">
        <f>C24/100*90</f>
        <v>2065.5</v>
      </c>
      <c r="E24" s="20">
        <f>C24/100*18.4</f>
        <v>422.28</v>
      </c>
      <c r="F24" s="20"/>
      <c r="G24" s="20">
        <f>C24/100*1.8</f>
        <v>41.31</v>
      </c>
      <c r="H24" s="20"/>
      <c r="I24" s="20"/>
      <c r="J24" s="62">
        <f>C24/100*1120</f>
        <v>25704</v>
      </c>
      <c r="K24" s="22">
        <f>C24/100*0.02</f>
        <v>0.45900000000000002</v>
      </c>
      <c r="L24" s="105">
        <v>2550</v>
      </c>
      <c r="M24" s="21">
        <v>260</v>
      </c>
      <c r="N24" s="97">
        <f t="shared" si="1"/>
        <v>663000</v>
      </c>
      <c r="O24" s="135"/>
      <c r="Q24" s="3"/>
      <c r="R24" s="3"/>
      <c r="S24" s="4"/>
    </row>
    <row r="25" spans="1:20" s="2" customFormat="1" ht="20.399999999999999" customHeight="1">
      <c r="A25" s="9">
        <v>10</v>
      </c>
      <c r="B25" s="5" t="s">
        <v>138</v>
      </c>
      <c r="C25" s="18">
        <f>L25/100*90</f>
        <v>5697</v>
      </c>
      <c r="D25" s="19">
        <f>C25/100*29</f>
        <v>1652.1299999999999</v>
      </c>
      <c r="E25" s="20"/>
      <c r="F25" s="20">
        <f>C25/100*1.8</f>
        <v>102.54600000000001</v>
      </c>
      <c r="G25" s="20"/>
      <c r="H25" s="20">
        <f>C25/100*0.1</f>
        <v>5.6970000000000001</v>
      </c>
      <c r="I25" s="20">
        <f>C25/100*5.3</f>
        <v>301.94099999999997</v>
      </c>
      <c r="J25" s="20">
        <f>C25/100*48</f>
        <v>2734.56</v>
      </c>
      <c r="K25" s="20">
        <f>C25/100*0.05</f>
        <v>2.8485</v>
      </c>
      <c r="L25" s="105">
        <v>6330</v>
      </c>
      <c r="M25" s="56">
        <v>13</v>
      </c>
      <c r="N25" s="23">
        <f t="shared" si="1"/>
        <v>82290</v>
      </c>
      <c r="O25" s="135"/>
    </row>
    <row r="26" spans="1:20" s="2" customFormat="1" ht="20.399999999999999" customHeight="1">
      <c r="A26" s="9">
        <v>11</v>
      </c>
      <c r="B26" s="5" t="s">
        <v>82</v>
      </c>
      <c r="C26" s="18">
        <f>L26/100*81.7</f>
        <v>3006.56</v>
      </c>
      <c r="D26" s="19">
        <f>C26/100*27</f>
        <v>811.77120000000002</v>
      </c>
      <c r="E26" s="24"/>
      <c r="F26" s="24">
        <f>C26/100*0.3</f>
        <v>9.0196799999999993</v>
      </c>
      <c r="G26" s="24"/>
      <c r="H26" s="24">
        <f>C26/100*0.1</f>
        <v>3.0065600000000003</v>
      </c>
      <c r="I26" s="24">
        <f>C26/100*6.1</f>
        <v>183.40016</v>
      </c>
      <c r="J26" s="52">
        <f>C26/100*24</f>
        <v>721.57439999999997</v>
      </c>
      <c r="K26" s="52">
        <f>C26/100*0.06</f>
        <v>1.803936</v>
      </c>
      <c r="L26" s="374">
        <v>3680</v>
      </c>
      <c r="M26" s="21">
        <v>22</v>
      </c>
      <c r="N26" s="23">
        <f t="shared" si="1"/>
        <v>80960</v>
      </c>
      <c r="O26" s="135"/>
      <c r="Q26" s="3"/>
      <c r="R26" s="3"/>
      <c r="S26" s="4"/>
    </row>
    <row r="27" spans="1:20" s="2" customFormat="1" ht="20.399999999999999" customHeight="1">
      <c r="A27" s="9">
        <v>12</v>
      </c>
      <c r="B27" s="5" t="s">
        <v>112</v>
      </c>
      <c r="C27" s="18">
        <f>L27/100*100</f>
        <v>190</v>
      </c>
      <c r="D27" s="19">
        <f>C27/100*247</f>
        <v>469.29999999999995</v>
      </c>
      <c r="E27" s="24"/>
      <c r="F27" s="24">
        <f>C27/100*17.5</f>
        <v>33.25</v>
      </c>
      <c r="G27" s="24"/>
      <c r="H27" s="24">
        <f>C27/100*1.6</f>
        <v>3.04</v>
      </c>
      <c r="I27" s="24">
        <f>C27/100*39.2</f>
        <v>74.48</v>
      </c>
      <c r="J27" s="52"/>
      <c r="K27" s="52"/>
      <c r="L27" s="374">
        <v>190</v>
      </c>
      <c r="M27" s="56">
        <v>50</v>
      </c>
      <c r="N27" s="23">
        <f t="shared" si="1"/>
        <v>9500</v>
      </c>
      <c r="O27" s="135"/>
      <c r="Q27" s="3"/>
      <c r="R27" s="3"/>
      <c r="S27" s="4"/>
      <c r="T27" s="3"/>
    </row>
    <row r="28" spans="1:20" s="2" customFormat="1" ht="20.399999999999999" customHeight="1">
      <c r="A28" s="16" t="s">
        <v>90</v>
      </c>
      <c r="B28" s="17"/>
      <c r="C28" s="26"/>
      <c r="D28" s="94">
        <f>SUM(D16:D27)</f>
        <v>89144.982200000028</v>
      </c>
      <c r="E28" s="28"/>
      <c r="F28" s="28"/>
      <c r="G28" s="28"/>
      <c r="H28" s="28"/>
      <c r="I28" s="28"/>
      <c r="J28" s="28"/>
      <c r="K28" s="28"/>
      <c r="L28" s="29"/>
      <c r="M28" s="252"/>
      <c r="N28" s="180">
        <f>SUM(N16:N27)</f>
        <v>2215610</v>
      </c>
      <c r="O28" s="135"/>
    </row>
    <row r="29" spans="1:20" s="2" customFormat="1" ht="20.399999999999999" customHeight="1">
      <c r="A29" s="16" t="s">
        <v>6</v>
      </c>
      <c r="B29" s="17"/>
      <c r="C29" s="26"/>
      <c r="D29" s="27">
        <f>D28/D10</f>
        <v>484.48359891304364</v>
      </c>
      <c r="E29" s="28"/>
      <c r="F29" s="28"/>
      <c r="G29" s="28"/>
      <c r="H29" s="28"/>
      <c r="I29" s="28"/>
      <c r="J29" s="28"/>
      <c r="K29" s="28"/>
      <c r="L29" s="29"/>
      <c r="M29" s="253"/>
      <c r="N29" s="181"/>
      <c r="O29" s="135"/>
    </row>
    <row r="30" spans="1:20" s="2" customFormat="1" ht="20.399999999999999" customHeight="1">
      <c r="A30" s="222" t="s">
        <v>44</v>
      </c>
      <c r="B30" s="223"/>
      <c r="C30" s="375" t="s">
        <v>122</v>
      </c>
      <c r="D30" s="15" t="s">
        <v>41</v>
      </c>
      <c r="E30" s="28"/>
      <c r="F30" s="28"/>
      <c r="G30" s="28"/>
      <c r="H30" s="28"/>
      <c r="I30" s="28"/>
      <c r="J30" s="28"/>
      <c r="K30" s="28"/>
      <c r="L30" s="29"/>
      <c r="M30" s="29"/>
      <c r="N30" s="30"/>
      <c r="O30" s="135"/>
    </row>
    <row r="31" spans="1:20" s="2" customFormat="1" ht="20.399999999999999" customHeight="1">
      <c r="A31" s="224"/>
      <c r="B31" s="225"/>
      <c r="C31" s="57" t="s">
        <v>53</v>
      </c>
      <c r="D31" s="15">
        <f>D29*100/1320</f>
        <v>36.703302947957852</v>
      </c>
      <c r="E31" s="28"/>
      <c r="F31" s="28"/>
      <c r="G31" s="28"/>
      <c r="H31" s="28"/>
      <c r="I31" s="28"/>
      <c r="J31" s="28"/>
      <c r="K31" s="28"/>
      <c r="L31" s="29"/>
      <c r="M31" s="29"/>
      <c r="N31" s="30"/>
      <c r="O31" s="135"/>
    </row>
    <row r="32" spans="1:20" s="2" customFormat="1" ht="20.399999999999999" customHeight="1">
      <c r="A32" s="259" t="s">
        <v>34</v>
      </c>
      <c r="B32" s="259"/>
      <c r="C32" s="40"/>
      <c r="D32" s="41"/>
      <c r="E32" s="42"/>
      <c r="F32" s="42"/>
      <c r="G32" s="42"/>
      <c r="H32" s="42"/>
      <c r="I32" s="42"/>
      <c r="J32" s="42"/>
      <c r="K32" s="42"/>
      <c r="L32" s="43"/>
      <c r="M32" s="43"/>
      <c r="N32" s="51"/>
      <c r="O32" s="135"/>
    </row>
    <row r="33" spans="1:23" s="2" customFormat="1" ht="20.399999999999999" customHeight="1">
      <c r="A33" s="9">
        <v>1</v>
      </c>
      <c r="B33" s="6" t="s">
        <v>104</v>
      </c>
      <c r="C33" s="18"/>
      <c r="D33" s="107"/>
      <c r="E33" s="20"/>
      <c r="F33" s="20"/>
      <c r="G33" s="20"/>
      <c r="H33" s="20"/>
      <c r="I33" s="20">
        <v>49</v>
      </c>
      <c r="J33" s="20"/>
      <c r="K33" s="20"/>
      <c r="L33" s="21"/>
      <c r="M33" s="21"/>
      <c r="N33" s="23">
        <v>11500</v>
      </c>
      <c r="O33" s="135"/>
    </row>
    <row r="34" spans="1:23" s="2" customFormat="1" ht="20.399999999999999" customHeight="1">
      <c r="A34" s="9">
        <v>2</v>
      </c>
      <c r="B34" s="5" t="s">
        <v>1</v>
      </c>
      <c r="C34" s="18">
        <f>L34/100*100</f>
        <v>2760</v>
      </c>
      <c r="D34" s="19">
        <f>C34/100*344</f>
        <v>9494.4</v>
      </c>
      <c r="E34" s="20"/>
      <c r="F34" s="20">
        <f>C34/100*7.9</f>
        <v>218.04000000000002</v>
      </c>
      <c r="G34" s="20"/>
      <c r="H34" s="20">
        <f>C34/100*1</f>
        <v>27.6</v>
      </c>
      <c r="I34" s="20">
        <f>C34/100*73.3</f>
        <v>2023.08</v>
      </c>
      <c r="J34" s="22">
        <f>C34/100*30</f>
        <v>828</v>
      </c>
      <c r="K34" s="22">
        <f>C34/100*0.1</f>
        <v>2.7600000000000002</v>
      </c>
      <c r="L34" s="105">
        <v>2760</v>
      </c>
      <c r="M34" s="58">
        <v>18</v>
      </c>
      <c r="N34" s="23">
        <f t="shared" ref="N34:N35" si="2">L34*M34</f>
        <v>49680</v>
      </c>
      <c r="O34" s="135"/>
    </row>
    <row r="35" spans="1:23" s="2" customFormat="1" ht="20.399999999999999" customHeight="1">
      <c r="A35" s="9">
        <v>3</v>
      </c>
      <c r="B35" s="5" t="s">
        <v>64</v>
      </c>
      <c r="C35" s="18">
        <f>L35/100*100</f>
        <v>1839.9999999999998</v>
      </c>
      <c r="D35" s="19">
        <f>C35/100*344</f>
        <v>6329.5999999999995</v>
      </c>
      <c r="E35" s="20"/>
      <c r="F35" s="20">
        <f>C35/100*8.6</f>
        <v>158.23999999999998</v>
      </c>
      <c r="G35" s="20"/>
      <c r="H35" s="20">
        <f>C35/100*1.5</f>
        <v>27.599999999999998</v>
      </c>
      <c r="I35" s="20">
        <f>C35/100*74.5</f>
        <v>1370.8</v>
      </c>
      <c r="J35" s="20">
        <f>C35/100*32</f>
        <v>588.79999999999995</v>
      </c>
      <c r="K35" s="20">
        <f>C35/100*0.14</f>
        <v>2.5760000000000001</v>
      </c>
      <c r="L35" s="105">
        <v>1840</v>
      </c>
      <c r="M35" s="56">
        <v>30</v>
      </c>
      <c r="N35" s="23">
        <f t="shared" si="2"/>
        <v>55200</v>
      </c>
      <c r="O35" s="135"/>
      <c r="P35" s="14"/>
    </row>
    <row r="36" spans="1:23" s="2" customFormat="1" ht="20.399999999999999" customHeight="1">
      <c r="A36" s="9">
        <v>4</v>
      </c>
      <c r="B36" s="10" t="s">
        <v>2</v>
      </c>
      <c r="C36" s="18">
        <f>L36/100*100</f>
        <v>220.00000000000003</v>
      </c>
      <c r="D36" s="19">
        <f>C36/100*60</f>
        <v>132</v>
      </c>
      <c r="E36" s="20">
        <f>C36/100*15</f>
        <v>33</v>
      </c>
      <c r="F36" s="20"/>
      <c r="G36" s="20"/>
      <c r="H36" s="20"/>
      <c r="I36" s="20"/>
      <c r="J36" s="22">
        <f>C36/100*387</f>
        <v>851.40000000000009</v>
      </c>
      <c r="K36" s="22">
        <f>C36/100*0.09</f>
        <v>0.19800000000000001</v>
      </c>
      <c r="L36" s="105">
        <v>220</v>
      </c>
      <c r="M36" s="56">
        <v>20</v>
      </c>
      <c r="N36" s="23">
        <f>L36*M36</f>
        <v>4400</v>
      </c>
      <c r="O36" s="135"/>
    </row>
    <row r="37" spans="1:23" s="2" customFormat="1" ht="20.399999999999999" customHeight="1">
      <c r="A37" s="9">
        <v>5</v>
      </c>
      <c r="B37" s="131" t="s">
        <v>119</v>
      </c>
      <c r="C37" s="18">
        <f t="shared" ref="C37" si="3">L37/100*100</f>
        <v>190</v>
      </c>
      <c r="D37" s="93">
        <f>C37/100*900</f>
        <v>1710</v>
      </c>
      <c r="E37" s="20"/>
      <c r="F37" s="20"/>
      <c r="G37" s="92"/>
      <c r="H37" s="20">
        <f>C37/100*100</f>
        <v>190</v>
      </c>
      <c r="I37" s="20"/>
      <c r="J37" s="20"/>
      <c r="K37" s="20"/>
      <c r="L37" s="105">
        <v>190</v>
      </c>
      <c r="M37" s="56">
        <v>63.5</v>
      </c>
      <c r="N37" s="23">
        <f t="shared" ref="N37" si="4">L37*M37</f>
        <v>12065</v>
      </c>
      <c r="O37" s="390"/>
    </row>
    <row r="38" spans="1:23" s="2" customFormat="1" ht="20.399999999999999" customHeight="1">
      <c r="A38" s="9">
        <v>6</v>
      </c>
      <c r="B38" s="5" t="s">
        <v>61</v>
      </c>
      <c r="C38" s="18">
        <f>L38/100*48</f>
        <v>4396.7999999999993</v>
      </c>
      <c r="D38" s="19">
        <f>C38/100*199</f>
        <v>8749.6319999999978</v>
      </c>
      <c r="E38" s="20">
        <f>C38/100*20.3</f>
        <v>892.55039999999985</v>
      </c>
      <c r="F38" s="20"/>
      <c r="G38" s="20">
        <f>C38/100*13.1</f>
        <v>575.98079999999982</v>
      </c>
      <c r="H38" s="20"/>
      <c r="I38" s="20"/>
      <c r="J38" s="22">
        <f>C38/100*12</f>
        <v>527.61599999999987</v>
      </c>
      <c r="K38" s="22">
        <f>C38/100*0.15</f>
        <v>6.5951999999999984</v>
      </c>
      <c r="L38" s="21">
        <v>9160</v>
      </c>
      <c r="M38" s="105">
        <v>84</v>
      </c>
      <c r="N38" s="23">
        <f t="shared" ref="N38:N41" si="5">L38*M38</f>
        <v>769440</v>
      </c>
      <c r="O38" s="135"/>
      <c r="Q38" s="3"/>
      <c r="R38" s="3"/>
      <c r="S38" s="4"/>
    </row>
    <row r="39" spans="1:23" s="2" customFormat="1" ht="20.399999999999999" customHeight="1">
      <c r="A39" s="9">
        <v>7</v>
      </c>
      <c r="B39" s="5" t="s">
        <v>112</v>
      </c>
      <c r="C39" s="18">
        <f>L39/100*100</f>
        <v>110.00000000000001</v>
      </c>
      <c r="D39" s="19">
        <f>C39/100*247</f>
        <v>271.70000000000005</v>
      </c>
      <c r="E39" s="24"/>
      <c r="F39" s="24">
        <f>C39/100*17.5</f>
        <v>19.25</v>
      </c>
      <c r="G39" s="24"/>
      <c r="H39" s="24">
        <f>C39/100*1.6</f>
        <v>1.7600000000000002</v>
      </c>
      <c r="I39" s="24">
        <f>C39/100*39.2</f>
        <v>43.120000000000005</v>
      </c>
      <c r="J39" s="52"/>
      <c r="K39" s="52"/>
      <c r="L39" s="374">
        <v>110</v>
      </c>
      <c r="M39" s="56">
        <v>50</v>
      </c>
      <c r="N39" s="23">
        <f t="shared" si="5"/>
        <v>5500</v>
      </c>
      <c r="O39" s="135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65</v>
      </c>
      <c r="C40" s="18">
        <f>L40/100*75</f>
        <v>2760</v>
      </c>
      <c r="D40" s="19">
        <f>C40/100*12</f>
        <v>331.20000000000005</v>
      </c>
      <c r="E40" s="20"/>
      <c r="F40" s="20">
        <f>C40/100*0.6</f>
        <v>16.559999999999999</v>
      </c>
      <c r="G40" s="20"/>
      <c r="H40" s="20"/>
      <c r="I40" s="20">
        <f>C40/100*2.4</f>
        <v>66.239999999999995</v>
      </c>
      <c r="J40" s="20">
        <f>C40/100*26</f>
        <v>717.6</v>
      </c>
      <c r="K40" s="20">
        <f>C40/100*0.02</f>
        <v>0.55200000000000005</v>
      </c>
      <c r="L40" s="105">
        <v>3680</v>
      </c>
      <c r="M40" s="56">
        <v>30</v>
      </c>
      <c r="N40" s="23">
        <f t="shared" si="5"/>
        <v>110400</v>
      </c>
      <c r="O40" s="135"/>
    </row>
    <row r="41" spans="1:23" s="2" customFormat="1" ht="20.399999999999999" customHeight="1">
      <c r="A41" s="76">
        <v>9</v>
      </c>
      <c r="B41" s="138" t="s">
        <v>121</v>
      </c>
      <c r="C41" s="77">
        <f>L41/100*100</f>
        <v>3130</v>
      </c>
      <c r="D41" s="158">
        <f>C41/100*487</f>
        <v>15243.1</v>
      </c>
      <c r="E41" s="79"/>
      <c r="F41" s="79">
        <f>C41/100*19.5</f>
        <v>610.35</v>
      </c>
      <c r="G41" s="79"/>
      <c r="H41" s="79">
        <f>C41/100*23.2</f>
        <v>726.16</v>
      </c>
      <c r="I41" s="79">
        <f>C41/100*46</f>
        <v>1439.8</v>
      </c>
      <c r="J41" s="130">
        <f>C41/100*680</f>
        <v>21284</v>
      </c>
      <c r="K41" s="79">
        <f>C41/100*0.55</f>
        <v>17.215000000000003</v>
      </c>
      <c r="L41" s="80">
        <v>3130</v>
      </c>
      <c r="M41" s="139">
        <v>260</v>
      </c>
      <c r="N41" s="81">
        <f t="shared" si="5"/>
        <v>813800</v>
      </c>
      <c r="O41" s="135"/>
      <c r="P41" s="3"/>
    </row>
    <row r="42" spans="1:23" ht="19.2" customHeight="1">
      <c r="A42" s="171" t="s">
        <v>0</v>
      </c>
      <c r="B42" s="174" t="s">
        <v>19</v>
      </c>
      <c r="C42" s="177" t="s">
        <v>8</v>
      </c>
      <c r="D42" s="177" t="s">
        <v>9</v>
      </c>
      <c r="E42" s="182" t="s">
        <v>11</v>
      </c>
      <c r="F42" s="183"/>
      <c r="G42" s="182" t="s">
        <v>13</v>
      </c>
      <c r="H42" s="183"/>
      <c r="I42" s="186" t="s">
        <v>16</v>
      </c>
      <c r="J42" s="186" t="s">
        <v>39</v>
      </c>
      <c r="K42" s="186" t="s">
        <v>40</v>
      </c>
      <c r="L42" s="186" t="s">
        <v>17</v>
      </c>
      <c r="M42" s="186" t="s">
        <v>48</v>
      </c>
      <c r="N42" s="171" t="s">
        <v>18</v>
      </c>
      <c r="O42" s="389"/>
    </row>
    <row r="43" spans="1:23" ht="19.2" customHeight="1">
      <c r="A43" s="172"/>
      <c r="B43" s="175"/>
      <c r="C43" s="178"/>
      <c r="D43" s="178"/>
      <c r="E43" s="184"/>
      <c r="F43" s="185"/>
      <c r="G43" s="184"/>
      <c r="H43" s="185"/>
      <c r="I43" s="187"/>
      <c r="J43" s="187"/>
      <c r="K43" s="187"/>
      <c r="L43" s="187"/>
      <c r="M43" s="187"/>
      <c r="N43" s="172"/>
      <c r="O43" s="161"/>
    </row>
    <row r="44" spans="1:23" ht="19.2" customHeight="1">
      <c r="A44" s="172"/>
      <c r="B44" s="175"/>
      <c r="C44" s="178"/>
      <c r="D44" s="178"/>
      <c r="E44" s="186" t="s">
        <v>10</v>
      </c>
      <c r="F44" s="186" t="s">
        <v>12</v>
      </c>
      <c r="G44" s="186" t="s">
        <v>14</v>
      </c>
      <c r="H44" s="186" t="s">
        <v>15</v>
      </c>
      <c r="I44" s="187"/>
      <c r="J44" s="187"/>
      <c r="K44" s="187"/>
      <c r="L44" s="187"/>
      <c r="M44" s="187"/>
      <c r="N44" s="172"/>
      <c r="O44" s="161"/>
    </row>
    <row r="45" spans="1:23" ht="30.6" customHeight="1">
      <c r="A45" s="173"/>
      <c r="B45" s="176"/>
      <c r="C45" s="179"/>
      <c r="D45" s="179"/>
      <c r="E45" s="188"/>
      <c r="F45" s="188"/>
      <c r="G45" s="188"/>
      <c r="H45" s="188"/>
      <c r="I45" s="188"/>
      <c r="J45" s="188"/>
      <c r="K45" s="188"/>
      <c r="L45" s="188"/>
      <c r="M45" s="188"/>
      <c r="N45" s="173"/>
      <c r="O45" s="161"/>
    </row>
    <row r="46" spans="1:23" s="2" customFormat="1" ht="22.2" customHeight="1">
      <c r="A46" s="16" t="s">
        <v>91</v>
      </c>
      <c r="B46" s="17"/>
      <c r="C46" s="26"/>
      <c r="D46" s="94">
        <f>SUM(D33:D41)</f>
        <v>42261.631999999998</v>
      </c>
      <c r="E46" s="31"/>
      <c r="F46" s="31"/>
      <c r="G46" s="31"/>
      <c r="H46" s="31"/>
      <c r="I46" s="31"/>
      <c r="J46" s="31"/>
      <c r="K46" s="31"/>
      <c r="L46" s="32"/>
      <c r="M46" s="247"/>
      <c r="N46" s="260">
        <f>SUM(N33:N41)</f>
        <v>1831985</v>
      </c>
      <c r="O46" s="135"/>
    </row>
    <row r="47" spans="1:23" ht="22.2" customHeight="1">
      <c r="A47" s="16" t="s">
        <v>7</v>
      </c>
      <c r="B47" s="17"/>
      <c r="C47" s="33"/>
      <c r="D47" s="34">
        <f>D46/D10</f>
        <v>229.68278260869565</v>
      </c>
      <c r="E47" s="34"/>
      <c r="F47" s="34"/>
      <c r="G47" s="34"/>
      <c r="H47" s="34"/>
      <c r="I47" s="34"/>
      <c r="J47" s="34"/>
      <c r="K47" s="34"/>
      <c r="L47" s="35"/>
      <c r="M47" s="248"/>
      <c r="N47" s="261"/>
      <c r="O47" s="395"/>
      <c r="P47" s="2"/>
      <c r="Q47" s="2"/>
      <c r="R47" s="2"/>
      <c r="S47" s="2"/>
      <c r="T47" s="2"/>
      <c r="U47" s="2"/>
      <c r="V47" s="2"/>
    </row>
    <row r="48" spans="1:23" ht="22.2" customHeight="1">
      <c r="A48" s="222" t="s">
        <v>45</v>
      </c>
      <c r="B48" s="223"/>
      <c r="C48" s="375" t="s">
        <v>122</v>
      </c>
      <c r="D48" s="15" t="s">
        <v>51</v>
      </c>
      <c r="E48" s="34"/>
      <c r="F48" s="34"/>
      <c r="G48" s="34"/>
      <c r="H48" s="34"/>
      <c r="I48" s="34"/>
      <c r="J48" s="36"/>
      <c r="K48" s="36"/>
      <c r="L48" s="35"/>
      <c r="M48" s="35"/>
      <c r="N48" s="162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24"/>
      <c r="B49" s="225"/>
      <c r="C49" s="57" t="s">
        <v>53</v>
      </c>
      <c r="D49" s="15">
        <f>D47*100/1320</f>
        <v>17.400210803689063</v>
      </c>
      <c r="E49" s="34"/>
      <c r="F49" s="34"/>
      <c r="G49" s="34"/>
      <c r="H49" s="34"/>
      <c r="I49" s="34"/>
      <c r="J49" s="36"/>
      <c r="K49" s="36"/>
      <c r="L49" s="35"/>
      <c r="M49" s="35"/>
      <c r="N49" s="162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03" t="s">
        <v>92</v>
      </c>
      <c r="B50" s="204"/>
      <c r="C50" s="226"/>
      <c r="D50" s="228">
        <f>D28+D46</f>
        <v>131406.61420000001</v>
      </c>
      <c r="E50" s="96">
        <f>SUM(E16:E41)</f>
        <v>2733.1551999999997</v>
      </c>
      <c r="F50" s="96">
        <f>SUM(F17:F41)</f>
        <v>2594.5301800000002</v>
      </c>
      <c r="G50" s="96">
        <f>SUM(G17:G41)</f>
        <v>2590.3243999999995</v>
      </c>
      <c r="H50" s="96">
        <f>SUM(H17:H41)</f>
        <v>1163.5281599999998</v>
      </c>
      <c r="I50" s="245">
        <f>SUM(I17:I41)</f>
        <v>18485.38366</v>
      </c>
      <c r="J50" s="245">
        <f>SUM(J16:J41)</f>
        <v>62450.384299999998</v>
      </c>
      <c r="K50" s="254">
        <f>SUM(K16:K41)</f>
        <v>104.12561599999999</v>
      </c>
      <c r="L50" s="239"/>
      <c r="M50" s="239"/>
      <c r="N50" s="271">
        <f>N28+N46</f>
        <v>4047595</v>
      </c>
      <c r="U50" s="12"/>
      <c r="V50" s="12"/>
    </row>
    <row r="51" spans="1:23" ht="22.2" customHeight="1">
      <c r="A51" s="205"/>
      <c r="B51" s="206"/>
      <c r="C51" s="227"/>
      <c r="D51" s="229"/>
      <c r="E51" s="199">
        <f>E50+F50</f>
        <v>5327.6853799999999</v>
      </c>
      <c r="F51" s="200"/>
      <c r="G51" s="199">
        <f>G50+H50</f>
        <v>3753.8525599999994</v>
      </c>
      <c r="H51" s="200"/>
      <c r="I51" s="246"/>
      <c r="J51" s="246"/>
      <c r="K51" s="255"/>
      <c r="L51" s="239"/>
      <c r="M51" s="239"/>
      <c r="N51" s="271"/>
      <c r="U51" s="12"/>
      <c r="V51" s="12"/>
    </row>
    <row r="52" spans="1:23" ht="22.2" customHeight="1">
      <c r="A52" s="213" t="s">
        <v>67</v>
      </c>
      <c r="B52" s="214"/>
      <c r="C52" s="215"/>
      <c r="D52" s="106">
        <f>D50/D10</f>
        <v>714.16638152173914</v>
      </c>
      <c r="E52" s="376">
        <f>E50/D10</f>
        <v>14.854104347826086</v>
      </c>
      <c r="F52" s="377">
        <f>F50/D10</f>
        <v>14.1007075</v>
      </c>
      <c r="G52" s="376">
        <f>G50/D10</f>
        <v>14.077849999999998</v>
      </c>
      <c r="H52" s="396">
        <f>H50/D10</f>
        <v>6.3235226086956517</v>
      </c>
      <c r="I52" s="201">
        <f>I50/D10</f>
        <v>100.46404163043478</v>
      </c>
      <c r="J52" s="256">
        <f>J50/D10</f>
        <v>339.40426250000002</v>
      </c>
      <c r="K52" s="256">
        <f>K50/D10</f>
        <v>0.56590008695652172</v>
      </c>
      <c r="L52" s="239"/>
      <c r="M52" s="239"/>
      <c r="N52" s="271"/>
      <c r="Q52" s="372"/>
      <c r="R52" s="372"/>
      <c r="S52" s="372"/>
      <c r="T52" s="372"/>
      <c r="U52" s="401"/>
      <c r="V52" s="401"/>
    </row>
    <row r="53" spans="1:23" ht="22.2" customHeight="1">
      <c r="A53" s="216"/>
      <c r="B53" s="217"/>
      <c r="C53" s="218"/>
      <c r="D53" s="407"/>
      <c r="E53" s="378">
        <f>E52+F52</f>
        <v>28.954811847826086</v>
      </c>
      <c r="F53" s="379"/>
      <c r="G53" s="378">
        <f>G52+H52</f>
        <v>20.401372608695649</v>
      </c>
      <c r="H53" s="379"/>
      <c r="I53" s="202"/>
      <c r="J53" s="257"/>
      <c r="K53" s="257"/>
      <c r="L53" s="239"/>
      <c r="M53" s="239"/>
      <c r="N53" s="271"/>
      <c r="P53" s="397"/>
      <c r="Q53" s="372"/>
      <c r="R53" s="372"/>
      <c r="S53" s="372"/>
      <c r="T53" s="372"/>
      <c r="U53" s="372"/>
      <c r="V53" s="372"/>
    </row>
    <row r="54" spans="1:23" ht="22.2" customHeight="1">
      <c r="A54" s="219" t="s">
        <v>70</v>
      </c>
      <c r="B54" s="220"/>
      <c r="C54" s="221"/>
      <c r="D54" s="160" t="s">
        <v>27</v>
      </c>
      <c r="E54" s="170" t="s">
        <v>21</v>
      </c>
      <c r="F54" s="170"/>
      <c r="G54" s="170" t="s">
        <v>22</v>
      </c>
      <c r="H54" s="170"/>
      <c r="I54" s="163" t="s">
        <v>23</v>
      </c>
      <c r="J54" s="380">
        <v>600</v>
      </c>
      <c r="K54" s="380">
        <v>0.7</v>
      </c>
      <c r="L54" s="239"/>
      <c r="M54" s="239"/>
      <c r="N54" s="271"/>
      <c r="O54" s="398"/>
      <c r="P54" s="109"/>
      <c r="Q54" s="371"/>
      <c r="R54" s="371"/>
      <c r="S54" s="371"/>
      <c r="T54" s="75"/>
    </row>
    <row r="55" spans="1:23" ht="22.2" customHeight="1">
      <c r="A55" s="192" t="s">
        <v>68</v>
      </c>
      <c r="B55" s="258"/>
      <c r="C55" s="193"/>
      <c r="D55" s="37"/>
      <c r="E55" s="197">
        <f>E53*4.1</f>
        <v>118.71472857608694</v>
      </c>
      <c r="F55" s="198"/>
      <c r="G55" s="197">
        <f>G53*9</f>
        <v>183.61235347826084</v>
      </c>
      <c r="H55" s="198"/>
      <c r="I55" s="66">
        <f>I52*4.1</f>
        <v>411.90257068478257</v>
      </c>
      <c r="J55" s="230"/>
      <c r="K55" s="230"/>
      <c r="L55" s="239"/>
      <c r="M55" s="239"/>
      <c r="N55" s="271"/>
      <c r="O55" s="398"/>
      <c r="P55" s="402"/>
      <c r="Q55" s="109"/>
      <c r="R55" s="109"/>
      <c r="S55" s="109"/>
    </row>
    <row r="56" spans="1:23" ht="22.2" customHeight="1">
      <c r="A56" s="233" t="s">
        <v>71</v>
      </c>
      <c r="B56" s="234"/>
      <c r="C56" s="192" t="s">
        <v>52</v>
      </c>
      <c r="D56" s="193"/>
      <c r="E56" s="237">
        <f>E55*100/D52</f>
        <v>16.62283910972268</v>
      </c>
      <c r="F56" s="238"/>
      <c r="G56" s="237">
        <f>G55*100/D52</f>
        <v>25.710024754598688</v>
      </c>
      <c r="H56" s="238"/>
      <c r="I56" s="88">
        <f>I55*100/D52</f>
        <v>57.675995586225206</v>
      </c>
      <c r="J56" s="231"/>
      <c r="K56" s="231"/>
      <c r="L56" s="239"/>
      <c r="M56" s="239"/>
      <c r="N56" s="271"/>
      <c r="O56" s="398"/>
    </row>
    <row r="57" spans="1:23" ht="22.2" customHeight="1">
      <c r="A57" s="235"/>
      <c r="B57" s="236"/>
      <c r="C57" s="192" t="s">
        <v>69</v>
      </c>
      <c r="D57" s="193"/>
      <c r="E57" s="192" t="s">
        <v>72</v>
      </c>
      <c r="F57" s="193"/>
      <c r="G57" s="192" t="s">
        <v>73</v>
      </c>
      <c r="H57" s="193"/>
      <c r="I57" s="160" t="s">
        <v>74</v>
      </c>
      <c r="J57" s="232"/>
      <c r="K57" s="232"/>
      <c r="L57" s="239"/>
      <c r="M57" s="239"/>
      <c r="N57" s="271"/>
      <c r="O57" s="398"/>
      <c r="P57" s="399"/>
    </row>
    <row r="58" spans="1:23" ht="22.2" customHeight="1">
      <c r="A58" s="69"/>
      <c r="B58" s="72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0"/>
      <c r="N58" s="71"/>
      <c r="O58" s="398"/>
    </row>
    <row r="59" spans="1:23" ht="21" customHeight="1">
      <c r="A59" s="240" t="s">
        <v>95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398"/>
    </row>
    <row r="60" spans="1:23" ht="21" customHeight="1">
      <c r="A60" s="90" t="s">
        <v>96</v>
      </c>
      <c r="B60" s="241" t="s">
        <v>106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398"/>
    </row>
    <row r="61" spans="1:23" ht="21" customHeight="1">
      <c r="A61" s="91"/>
      <c r="B61" s="211" t="s">
        <v>166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398"/>
    </row>
    <row r="62" spans="1:23" ht="21" customHeight="1">
      <c r="A62" s="91"/>
      <c r="B62" s="211" t="s">
        <v>167</v>
      </c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398"/>
    </row>
    <row r="63" spans="1:23" ht="21" customHeight="1">
      <c r="A63" s="91"/>
      <c r="B63" s="211" t="s">
        <v>168</v>
      </c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398"/>
    </row>
    <row r="64" spans="1:23" ht="21" customHeight="1">
      <c r="A64" s="69"/>
      <c r="B64" s="212" t="s">
        <v>98</v>
      </c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398"/>
    </row>
    <row r="65" spans="1:20" ht="21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3"/>
      <c r="M65" s="73"/>
      <c r="N65" s="74"/>
      <c r="O65" s="398"/>
    </row>
    <row r="66" spans="1:20" ht="21" customHeight="1">
      <c r="A66" s="210" t="s">
        <v>55</v>
      </c>
      <c r="B66" s="210"/>
      <c r="C66" s="210"/>
      <c r="D66" s="210"/>
      <c r="E66" s="381"/>
      <c r="F66" s="381"/>
      <c r="G66" s="381"/>
      <c r="H66" s="381"/>
      <c r="I66" s="381"/>
      <c r="J66" s="382" t="s">
        <v>32</v>
      </c>
      <c r="K66" s="382"/>
      <c r="L66" s="382"/>
      <c r="M66" s="382"/>
      <c r="N66" s="382"/>
      <c r="O66" s="398"/>
    </row>
    <row r="67" spans="1:20" ht="21" customHeight="1">
      <c r="A67" s="161"/>
      <c r="B67" s="161"/>
      <c r="C67" s="161"/>
      <c r="D67" s="381"/>
      <c r="E67" s="381"/>
      <c r="F67" s="381"/>
      <c r="G67" s="381"/>
      <c r="H67" s="383"/>
      <c r="I67" s="383"/>
      <c r="J67" s="383"/>
      <c r="K67" s="383"/>
      <c r="L67" s="383"/>
      <c r="M67" s="383"/>
      <c r="N67" s="383"/>
      <c r="O67" s="398"/>
    </row>
    <row r="68" spans="1:20" ht="21" customHeight="1">
      <c r="A68" s="161"/>
      <c r="B68" s="161"/>
      <c r="C68" s="161"/>
      <c r="D68" s="381"/>
      <c r="E68" s="381"/>
      <c r="F68" s="381"/>
      <c r="G68" s="381"/>
      <c r="H68" s="383"/>
      <c r="I68" s="383"/>
      <c r="J68" s="383"/>
      <c r="K68" s="383"/>
      <c r="L68" s="383"/>
      <c r="M68" s="383"/>
      <c r="N68" s="383"/>
      <c r="O68" s="398"/>
    </row>
    <row r="69" spans="1:20" ht="21" customHeight="1">
      <c r="A69" s="161"/>
      <c r="B69" s="161"/>
      <c r="C69" s="161"/>
      <c r="D69" s="381"/>
      <c r="E69" s="381"/>
      <c r="F69" s="381"/>
      <c r="G69" s="381"/>
      <c r="H69" s="383"/>
      <c r="I69" s="383"/>
      <c r="J69" s="384" t="s">
        <v>105</v>
      </c>
      <c r="K69" s="384"/>
      <c r="L69" s="384"/>
      <c r="M69" s="384"/>
      <c r="N69" s="384"/>
      <c r="O69" s="398"/>
    </row>
    <row r="70" spans="1:20" ht="22.2" customHeight="1">
      <c r="A70" s="194" t="s">
        <v>80</v>
      </c>
      <c r="B70" s="194"/>
      <c r="C70" s="194"/>
      <c r="D70" s="194"/>
      <c r="E70" s="381"/>
      <c r="F70" s="381"/>
      <c r="G70" s="381"/>
      <c r="H70" s="383"/>
      <c r="I70" s="383"/>
      <c r="J70" s="384"/>
      <c r="K70" s="384"/>
      <c r="L70" s="384"/>
      <c r="M70" s="384"/>
      <c r="N70" s="384"/>
      <c r="O70" s="398"/>
    </row>
    <row r="71" spans="1:20" ht="22.2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3"/>
      <c r="M71" s="73"/>
      <c r="N71" s="74"/>
      <c r="O71" s="398"/>
    </row>
    <row r="72" spans="1:20" ht="22.2" customHeight="1">
      <c r="A72" s="69"/>
      <c r="B72" s="69"/>
      <c r="C72" s="69"/>
      <c r="D72" s="69"/>
      <c r="E72" s="69"/>
      <c r="F72" s="69"/>
      <c r="G72" s="69"/>
      <c r="H72" s="69"/>
      <c r="I72" s="69"/>
      <c r="J72" s="384" t="s">
        <v>108</v>
      </c>
      <c r="K72" s="384"/>
      <c r="L72" s="384"/>
      <c r="M72" s="384"/>
      <c r="N72" s="384"/>
      <c r="O72" s="398"/>
    </row>
    <row r="73" spans="1:20" ht="22.2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3"/>
      <c r="M73" s="73"/>
      <c r="N73" s="74"/>
      <c r="O73" s="398"/>
    </row>
    <row r="74" spans="1:20" ht="22.2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73"/>
      <c r="M74" s="73"/>
      <c r="N74" s="74"/>
      <c r="O74" s="398"/>
    </row>
    <row r="75" spans="1:20" ht="22.2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3"/>
      <c r="M75" s="73"/>
      <c r="N75" s="74"/>
      <c r="O75" s="398"/>
    </row>
    <row r="76" spans="1:20" ht="22.2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3"/>
      <c r="M76" s="73"/>
      <c r="N76" s="74"/>
      <c r="O76" s="398"/>
    </row>
    <row r="77" spans="1:20" ht="22.2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3"/>
      <c r="M77" s="73"/>
      <c r="N77" s="74"/>
      <c r="O77" s="398"/>
    </row>
    <row r="78" spans="1:20" ht="22.2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3"/>
      <c r="M78" s="73"/>
      <c r="N78" s="74"/>
      <c r="O78" s="398"/>
    </row>
    <row r="79" spans="1:20" ht="22.2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3"/>
      <c r="M79" s="73"/>
      <c r="N79" s="74"/>
      <c r="O79" s="398"/>
    </row>
    <row r="80" spans="1:20" ht="17.399999999999999" customHeight="1">
      <c r="A80" s="11" t="s">
        <v>54</v>
      </c>
      <c r="B80" s="8"/>
      <c r="C80" s="8"/>
      <c r="D80" s="8"/>
      <c r="E80" s="8"/>
      <c r="F80" s="244" t="s">
        <v>31</v>
      </c>
      <c r="G80" s="244"/>
      <c r="H80" s="244"/>
      <c r="I80" s="244"/>
      <c r="J80" s="244"/>
      <c r="K80" s="244"/>
      <c r="L80" s="244"/>
      <c r="M80" s="244"/>
      <c r="N80" s="244"/>
      <c r="O80" s="159"/>
      <c r="P80" s="408"/>
      <c r="Q80" s="408"/>
      <c r="R80" s="109"/>
      <c r="S80" s="109"/>
      <c r="T80" s="2"/>
    </row>
    <row r="81" spans="1:20" ht="17.399999999999999" customHeight="1">
      <c r="A81" s="8" t="s">
        <v>165</v>
      </c>
      <c r="B81" s="8"/>
      <c r="C81" s="8"/>
      <c r="D81" s="8"/>
      <c r="E81" s="8"/>
      <c r="F81" s="165"/>
      <c r="G81" s="165"/>
      <c r="H81" s="165"/>
      <c r="I81" s="165"/>
      <c r="J81" s="165"/>
      <c r="K81" s="165"/>
      <c r="L81" s="165"/>
      <c r="M81" s="165"/>
      <c r="N81" s="165"/>
      <c r="O81" s="159"/>
      <c r="P81" s="159"/>
      <c r="T81" s="2"/>
    </row>
    <row r="82" spans="1:20" s="2" customFormat="1" ht="17.399999999999999" customHeight="1">
      <c r="A82" s="170" t="s">
        <v>84</v>
      </c>
      <c r="B82" s="170"/>
      <c r="C82" s="170"/>
      <c r="D82" s="170"/>
      <c r="E82" s="170" t="s">
        <v>78</v>
      </c>
      <c r="F82" s="170"/>
      <c r="G82" s="170"/>
      <c r="H82" s="170"/>
      <c r="I82" s="170"/>
      <c r="J82" s="170"/>
      <c r="K82" s="170"/>
      <c r="L82" s="170"/>
      <c r="M82" s="170"/>
      <c r="N82" s="170"/>
      <c r="O82" s="388"/>
    </row>
    <row r="83" spans="1:20" s="2" customFormat="1" ht="17.399999999999999" customHeight="1">
      <c r="A83" s="170"/>
      <c r="B83" s="170"/>
      <c r="C83" s="170"/>
      <c r="D83" s="170"/>
      <c r="E83" s="170" t="s">
        <v>86</v>
      </c>
      <c r="F83" s="170"/>
      <c r="G83" s="170"/>
      <c r="H83" s="170"/>
      <c r="I83" s="170"/>
      <c r="J83" s="170" t="s">
        <v>87</v>
      </c>
      <c r="K83" s="170"/>
      <c r="L83" s="170"/>
      <c r="M83" s="170"/>
      <c r="N83" s="170"/>
      <c r="O83" s="388"/>
    </row>
    <row r="84" spans="1:20" s="2" customFormat="1" ht="17.399999999999999" customHeight="1">
      <c r="A84" s="242" t="s">
        <v>79</v>
      </c>
      <c r="B84" s="242"/>
      <c r="C84" s="242"/>
      <c r="D84" s="242"/>
      <c r="E84" s="243" t="s">
        <v>120</v>
      </c>
      <c r="F84" s="243"/>
      <c r="G84" s="243"/>
      <c r="H84" s="243"/>
      <c r="I84" s="243"/>
      <c r="J84" s="242" t="s">
        <v>79</v>
      </c>
      <c r="K84" s="242"/>
      <c r="L84" s="242"/>
      <c r="M84" s="242"/>
      <c r="N84" s="242"/>
      <c r="O84" s="388"/>
    </row>
    <row r="85" spans="1:20" s="2" customFormat="1" ht="17.399999999999999" customHeight="1">
      <c r="A85" s="167" t="s">
        <v>124</v>
      </c>
      <c r="B85" s="168"/>
      <c r="C85" s="168"/>
      <c r="D85" s="169"/>
      <c r="E85" s="243"/>
      <c r="F85" s="243"/>
      <c r="G85" s="243"/>
      <c r="H85" s="243"/>
      <c r="I85" s="243"/>
      <c r="J85" s="195" t="s">
        <v>88</v>
      </c>
      <c r="K85" s="195"/>
      <c r="L85" s="195"/>
      <c r="M85" s="195"/>
      <c r="N85" s="195"/>
      <c r="O85" s="388"/>
    </row>
    <row r="86" spans="1:20" s="2" customFormat="1" ht="17.399999999999999" customHeight="1">
      <c r="A86" s="196" t="s">
        <v>140</v>
      </c>
      <c r="B86" s="196"/>
      <c r="C86" s="196"/>
      <c r="D86" s="196"/>
      <c r="E86" s="243"/>
      <c r="F86" s="243"/>
      <c r="G86" s="243"/>
      <c r="H86" s="243"/>
      <c r="I86" s="243"/>
      <c r="J86" s="196" t="s">
        <v>132</v>
      </c>
      <c r="K86" s="196"/>
      <c r="L86" s="196"/>
      <c r="M86" s="196"/>
      <c r="N86" s="196"/>
      <c r="O86" s="266"/>
      <c r="P86" s="266"/>
      <c r="Q86" s="266"/>
      <c r="R86" s="266"/>
    </row>
    <row r="87" spans="1:20" ht="17.399999999999999" customHeight="1">
      <c r="A87" s="207" t="s">
        <v>103</v>
      </c>
      <c r="B87" s="208"/>
      <c r="C87" s="209"/>
      <c r="D87" s="99">
        <v>46</v>
      </c>
      <c r="E87" s="8"/>
      <c r="F87" s="165"/>
      <c r="G87" s="165"/>
      <c r="H87" s="165"/>
      <c r="I87" s="165"/>
      <c r="J87" s="165"/>
      <c r="K87" s="165"/>
      <c r="L87" s="165"/>
      <c r="M87" s="165"/>
      <c r="N87" s="165"/>
      <c r="O87" s="159"/>
      <c r="P87" s="159"/>
      <c r="T87" s="2"/>
    </row>
    <row r="88" spans="1:20" ht="17.399999999999999" customHeight="1">
      <c r="A88" s="171" t="s">
        <v>0</v>
      </c>
      <c r="B88" s="174" t="s">
        <v>19</v>
      </c>
      <c r="C88" s="177" t="s">
        <v>8</v>
      </c>
      <c r="D88" s="177" t="s">
        <v>9</v>
      </c>
      <c r="E88" s="182" t="s">
        <v>11</v>
      </c>
      <c r="F88" s="183"/>
      <c r="G88" s="182" t="s">
        <v>13</v>
      </c>
      <c r="H88" s="183"/>
      <c r="I88" s="186" t="s">
        <v>16</v>
      </c>
      <c r="J88" s="186" t="s">
        <v>39</v>
      </c>
      <c r="K88" s="186" t="s">
        <v>40</v>
      </c>
      <c r="L88" s="186" t="s">
        <v>17</v>
      </c>
      <c r="M88" s="186" t="s">
        <v>48</v>
      </c>
      <c r="N88" s="171" t="s">
        <v>18</v>
      </c>
      <c r="O88" s="389"/>
    </row>
    <row r="89" spans="1:20" ht="17.399999999999999" customHeight="1">
      <c r="A89" s="172"/>
      <c r="B89" s="175"/>
      <c r="C89" s="178"/>
      <c r="D89" s="178"/>
      <c r="E89" s="184"/>
      <c r="F89" s="185"/>
      <c r="G89" s="184"/>
      <c r="H89" s="185"/>
      <c r="I89" s="187"/>
      <c r="J89" s="187"/>
      <c r="K89" s="187"/>
      <c r="L89" s="187"/>
      <c r="M89" s="187"/>
      <c r="N89" s="172"/>
      <c r="O89" s="161"/>
    </row>
    <row r="90" spans="1:20" ht="17.399999999999999" customHeight="1">
      <c r="A90" s="172"/>
      <c r="B90" s="175"/>
      <c r="C90" s="178"/>
      <c r="D90" s="178"/>
      <c r="E90" s="186" t="s">
        <v>10</v>
      </c>
      <c r="F90" s="186" t="s">
        <v>12</v>
      </c>
      <c r="G90" s="186" t="s">
        <v>14</v>
      </c>
      <c r="H90" s="186" t="s">
        <v>15</v>
      </c>
      <c r="I90" s="187"/>
      <c r="J90" s="187"/>
      <c r="K90" s="187"/>
      <c r="L90" s="187"/>
      <c r="M90" s="187"/>
      <c r="N90" s="172"/>
      <c r="O90" s="161"/>
    </row>
    <row r="91" spans="1:20" ht="17.399999999999999" customHeight="1">
      <c r="A91" s="173"/>
      <c r="B91" s="176"/>
      <c r="C91" s="179"/>
      <c r="D91" s="179"/>
      <c r="E91" s="188"/>
      <c r="F91" s="188"/>
      <c r="G91" s="188"/>
      <c r="H91" s="188"/>
      <c r="I91" s="188"/>
      <c r="J91" s="188"/>
      <c r="K91" s="188"/>
      <c r="L91" s="188"/>
      <c r="M91" s="188"/>
      <c r="N91" s="173"/>
      <c r="O91" s="161"/>
    </row>
    <row r="92" spans="1:20" ht="18.600000000000001" customHeight="1">
      <c r="A92" s="249" t="s">
        <v>38</v>
      </c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1"/>
      <c r="O92" s="161"/>
    </row>
    <row r="93" spans="1:20" s="2" customFormat="1" ht="18.600000000000001" customHeight="1">
      <c r="A93" s="9">
        <v>1</v>
      </c>
      <c r="B93" s="10" t="s">
        <v>2</v>
      </c>
      <c r="C93" s="18">
        <f>L93/100*100</f>
        <v>60</v>
      </c>
      <c r="D93" s="19">
        <f>C93/100*60</f>
        <v>36</v>
      </c>
      <c r="E93" s="20">
        <f>C93/100*15</f>
        <v>9</v>
      </c>
      <c r="F93" s="20"/>
      <c r="G93" s="20"/>
      <c r="H93" s="20"/>
      <c r="I93" s="20"/>
      <c r="J93" s="22">
        <f>C93/100*387</f>
        <v>232.2</v>
      </c>
      <c r="K93" s="22">
        <f>C93/100*0.09</f>
        <v>5.3999999999999999E-2</v>
      </c>
      <c r="L93" s="105">
        <v>60</v>
      </c>
      <c r="M93" s="56">
        <v>20</v>
      </c>
      <c r="N93" s="23">
        <f>L93*M93</f>
        <v>1200</v>
      </c>
      <c r="O93" s="135"/>
    </row>
    <row r="94" spans="1:20" s="2" customFormat="1" ht="18.600000000000001" customHeight="1">
      <c r="A94" s="9">
        <v>2</v>
      </c>
      <c r="B94" s="131" t="s">
        <v>115</v>
      </c>
      <c r="C94" s="18">
        <f>L94/100*100</f>
        <v>250</v>
      </c>
      <c r="D94" s="19">
        <f>C94/100*899</f>
        <v>2247.5</v>
      </c>
      <c r="E94" s="20"/>
      <c r="F94" s="20"/>
      <c r="G94" s="20">
        <f>C94/100*100</f>
        <v>250</v>
      </c>
      <c r="H94" s="20"/>
      <c r="I94" s="20"/>
      <c r="J94" s="20"/>
      <c r="K94" s="20"/>
      <c r="L94" s="105">
        <v>250</v>
      </c>
      <c r="M94" s="19">
        <v>68</v>
      </c>
      <c r="N94" s="23">
        <f t="shared" ref="N94:N103" si="6">L94*M94</f>
        <v>17000</v>
      </c>
      <c r="O94" s="390"/>
    </row>
    <row r="95" spans="1:20" s="2" customFormat="1" ht="18.600000000000001" customHeight="1">
      <c r="A95" s="9">
        <v>3</v>
      </c>
      <c r="B95" s="131" t="s">
        <v>119</v>
      </c>
      <c r="C95" s="18">
        <f>L95/100*100</f>
        <v>110.00000000000001</v>
      </c>
      <c r="D95" s="93">
        <f>C95/100*900</f>
        <v>990.00000000000011</v>
      </c>
      <c r="E95" s="20"/>
      <c r="F95" s="20"/>
      <c r="G95" s="92"/>
      <c r="H95" s="20">
        <f>C95/100*100</f>
        <v>110.00000000000001</v>
      </c>
      <c r="I95" s="20"/>
      <c r="J95" s="20"/>
      <c r="K95" s="20"/>
      <c r="L95" s="105">
        <v>110</v>
      </c>
      <c r="M95" s="56">
        <v>63.5</v>
      </c>
      <c r="N95" s="23">
        <f t="shared" si="6"/>
        <v>6985</v>
      </c>
      <c r="O95" s="390"/>
    </row>
    <row r="96" spans="1:20" s="2" customFormat="1" ht="18.600000000000001" customHeight="1">
      <c r="A96" s="9">
        <v>3</v>
      </c>
      <c r="B96" s="132" t="s">
        <v>1</v>
      </c>
      <c r="C96" s="18">
        <f>L96/100*100</f>
        <v>1978</v>
      </c>
      <c r="D96" s="93">
        <f>C96/100*353</f>
        <v>6982.34</v>
      </c>
      <c r="E96" s="20"/>
      <c r="F96" s="92">
        <f>C96/100*7.9</f>
        <v>156.26200000000003</v>
      </c>
      <c r="G96" s="20"/>
      <c r="H96" s="20">
        <f>C96/100*1</f>
        <v>19.78</v>
      </c>
      <c r="I96" s="92">
        <f>C96/100*75.9</f>
        <v>1501.3020000000001</v>
      </c>
      <c r="J96" s="22">
        <f>C96/100*30</f>
        <v>593.40000000000009</v>
      </c>
      <c r="K96" s="22">
        <f>C96/100*0.1</f>
        <v>1.9780000000000002</v>
      </c>
      <c r="L96" s="391">
        <v>1978</v>
      </c>
      <c r="M96" s="56">
        <v>18</v>
      </c>
      <c r="N96" s="23">
        <f t="shared" si="6"/>
        <v>35604</v>
      </c>
      <c r="O96" s="135"/>
    </row>
    <row r="97" spans="1:23" s="2" customFormat="1" ht="18.600000000000001" customHeight="1">
      <c r="A97" s="9">
        <v>4</v>
      </c>
      <c r="B97" s="131" t="s">
        <v>5</v>
      </c>
      <c r="C97" s="18">
        <f>L97/100*90</f>
        <v>11.700000000000001</v>
      </c>
      <c r="D97" s="19">
        <f>C97/100*281</f>
        <v>32.877000000000002</v>
      </c>
      <c r="E97" s="20"/>
      <c r="F97" s="20">
        <f>C97/100*9.5</f>
        <v>1.1115000000000002</v>
      </c>
      <c r="G97" s="20"/>
      <c r="H97" s="20">
        <f>C97/100*0.2</f>
        <v>2.3400000000000004E-2</v>
      </c>
      <c r="I97" s="20">
        <f>C97/100*58.5</f>
        <v>6.8445</v>
      </c>
      <c r="J97" s="22">
        <f>C97/100*321.3</f>
        <v>37.592100000000002</v>
      </c>
      <c r="K97" s="22">
        <f>C97/100*0.14</f>
        <v>1.6380000000000002E-2</v>
      </c>
      <c r="L97" s="105">
        <v>13</v>
      </c>
      <c r="M97" s="56">
        <v>120</v>
      </c>
      <c r="N97" s="23">
        <f t="shared" si="6"/>
        <v>1560</v>
      </c>
      <c r="O97" s="135"/>
    </row>
    <row r="98" spans="1:23" s="2" customFormat="1" ht="18.600000000000001" customHeight="1">
      <c r="A98" s="9">
        <v>5</v>
      </c>
      <c r="B98" s="131" t="s">
        <v>62</v>
      </c>
      <c r="C98" s="18">
        <f>L98/100*90</f>
        <v>14.4</v>
      </c>
      <c r="D98" s="19">
        <f>C98/100*253</f>
        <v>36.432000000000002</v>
      </c>
      <c r="E98" s="20"/>
      <c r="F98" s="20">
        <f>C98/100*32.4</f>
        <v>4.6656000000000004</v>
      </c>
      <c r="G98" s="20"/>
      <c r="H98" s="20">
        <f>C98/100*3.6</f>
        <v>0.51840000000000008</v>
      </c>
      <c r="I98" s="20">
        <f>C98/100*21.1</f>
        <v>3.0384000000000007</v>
      </c>
      <c r="J98" s="22">
        <f>C98/100*165.6</f>
        <v>23.846400000000003</v>
      </c>
      <c r="K98" s="22">
        <f>C98/100*0.14</f>
        <v>2.0160000000000004E-2</v>
      </c>
      <c r="L98" s="105">
        <v>16</v>
      </c>
      <c r="M98" s="56">
        <v>275</v>
      </c>
      <c r="N98" s="23">
        <f t="shared" si="6"/>
        <v>4400</v>
      </c>
      <c r="O98" s="135"/>
    </row>
    <row r="99" spans="1:23" s="2" customFormat="1" ht="18.600000000000001" customHeight="1">
      <c r="A99" s="9">
        <v>7</v>
      </c>
      <c r="B99" s="132" t="s">
        <v>56</v>
      </c>
      <c r="C99" s="18">
        <f>L99/100*86</f>
        <v>524.6</v>
      </c>
      <c r="D99" s="19">
        <f>C99/100*166</f>
        <v>870.83600000000013</v>
      </c>
      <c r="E99" s="20">
        <f>C99/100*14.8</f>
        <v>77.640800000000013</v>
      </c>
      <c r="F99" s="20"/>
      <c r="G99" s="20">
        <f>C99/100*11.6</f>
        <v>60.8536</v>
      </c>
      <c r="H99" s="20"/>
      <c r="I99" s="20">
        <f>C99/100*0.5</f>
        <v>2.6230000000000002</v>
      </c>
      <c r="J99" s="22">
        <f>C99/100*55</f>
        <v>288.53000000000003</v>
      </c>
      <c r="K99" s="22">
        <f>C99/100*0.16</f>
        <v>0.83936000000000011</v>
      </c>
      <c r="L99" s="105">
        <v>610</v>
      </c>
      <c r="M99" s="56">
        <v>62</v>
      </c>
      <c r="N99" s="23">
        <f t="shared" si="6"/>
        <v>37820</v>
      </c>
      <c r="O99" s="135"/>
      <c r="Q99" s="3"/>
      <c r="R99" s="3"/>
      <c r="S99" s="4"/>
    </row>
    <row r="100" spans="1:23" s="2" customFormat="1" ht="18.600000000000001" customHeight="1">
      <c r="A100" s="9">
        <v>8</v>
      </c>
      <c r="B100" s="131" t="s">
        <v>63</v>
      </c>
      <c r="C100" s="18">
        <f>L100/100*98</f>
        <v>1185.8</v>
      </c>
      <c r="D100" s="19">
        <f>C100/100*139</f>
        <v>1648.2619999999997</v>
      </c>
      <c r="E100" s="20">
        <f>C100/100*19</f>
        <v>225.30199999999996</v>
      </c>
      <c r="F100" s="20"/>
      <c r="G100" s="20">
        <f>C100/100*7</f>
        <v>83.005999999999986</v>
      </c>
      <c r="H100" s="20"/>
      <c r="I100" s="20"/>
      <c r="J100" s="22">
        <f>C100/100*7</f>
        <v>83.005999999999986</v>
      </c>
      <c r="K100" s="22">
        <f>C100/100*0.9</f>
        <v>10.672199999999998</v>
      </c>
      <c r="L100" s="105">
        <v>1210</v>
      </c>
      <c r="M100" s="56">
        <v>137</v>
      </c>
      <c r="N100" s="23">
        <f t="shared" si="6"/>
        <v>165770</v>
      </c>
      <c r="O100" s="135"/>
    </row>
    <row r="101" spans="1:23" s="2" customFormat="1" ht="18.600000000000001" customHeight="1">
      <c r="A101" s="9">
        <v>9</v>
      </c>
      <c r="B101" s="132" t="s">
        <v>83</v>
      </c>
      <c r="C101" s="18">
        <f>L101/100*90</f>
        <v>288</v>
      </c>
      <c r="D101" s="19">
        <f>C101/100*90</f>
        <v>259.2</v>
      </c>
      <c r="E101" s="20">
        <f>C101/100*18.4</f>
        <v>52.991999999999997</v>
      </c>
      <c r="F101" s="20"/>
      <c r="G101" s="20">
        <f>C101/100*1.8</f>
        <v>5.1840000000000002</v>
      </c>
      <c r="H101" s="20"/>
      <c r="I101" s="20"/>
      <c r="J101" s="62">
        <f>C101/100*1120</f>
        <v>3225.6</v>
      </c>
      <c r="K101" s="22">
        <f>C101/100*0.02</f>
        <v>5.7599999999999998E-2</v>
      </c>
      <c r="L101" s="105">
        <v>320</v>
      </c>
      <c r="M101" s="21">
        <v>260</v>
      </c>
      <c r="N101" s="97">
        <f t="shared" si="6"/>
        <v>83200</v>
      </c>
      <c r="O101" s="135"/>
      <c r="Q101" s="3"/>
      <c r="R101" s="3"/>
      <c r="S101" s="4"/>
    </row>
    <row r="102" spans="1:23" s="2" customFormat="1" ht="18" customHeight="1">
      <c r="A102" s="9">
        <v>10</v>
      </c>
      <c r="B102" s="5" t="s">
        <v>138</v>
      </c>
      <c r="C102" s="18">
        <f>L102/100*90</f>
        <v>1116</v>
      </c>
      <c r="D102" s="19">
        <f>C102/100*29</f>
        <v>323.64</v>
      </c>
      <c r="E102" s="20"/>
      <c r="F102" s="20">
        <f>C102/100*1.8</f>
        <v>20.088000000000001</v>
      </c>
      <c r="G102" s="20"/>
      <c r="H102" s="20">
        <f>C102/100*0.1</f>
        <v>1.1160000000000001</v>
      </c>
      <c r="I102" s="20">
        <f>C102/100*5.3</f>
        <v>59.147999999999996</v>
      </c>
      <c r="J102" s="20">
        <f>C102/100*48</f>
        <v>535.68000000000006</v>
      </c>
      <c r="K102" s="20">
        <f>C102/100*0.05</f>
        <v>0.55800000000000005</v>
      </c>
      <c r="L102" s="105">
        <v>1240</v>
      </c>
      <c r="M102" s="56">
        <v>13</v>
      </c>
      <c r="N102" s="23">
        <f t="shared" si="6"/>
        <v>16120</v>
      </c>
      <c r="O102" s="135"/>
    </row>
    <row r="103" spans="1:23" s="2" customFormat="1" ht="18.600000000000001" customHeight="1">
      <c r="A103" s="9">
        <v>11</v>
      </c>
      <c r="B103" s="5" t="s">
        <v>112</v>
      </c>
      <c r="C103" s="18">
        <f>L103/100*100</f>
        <v>40</v>
      </c>
      <c r="D103" s="19">
        <f>C103/100*247</f>
        <v>98.800000000000011</v>
      </c>
      <c r="E103" s="24"/>
      <c r="F103" s="24">
        <f>C103/100*17.5</f>
        <v>7</v>
      </c>
      <c r="G103" s="24"/>
      <c r="H103" s="24">
        <f>C103/100*1.6</f>
        <v>0.64000000000000012</v>
      </c>
      <c r="I103" s="24">
        <f>C103/100*39.2</f>
        <v>15.680000000000001</v>
      </c>
      <c r="J103" s="52"/>
      <c r="K103" s="52"/>
      <c r="L103" s="374">
        <v>40</v>
      </c>
      <c r="M103" s="56">
        <v>50</v>
      </c>
      <c r="N103" s="23">
        <f t="shared" si="6"/>
        <v>2000</v>
      </c>
      <c r="O103" s="135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104</v>
      </c>
      <c r="C104" s="18"/>
      <c r="D104" s="107"/>
      <c r="E104" s="20"/>
      <c r="F104" s="20"/>
      <c r="G104" s="20"/>
      <c r="H104" s="20"/>
      <c r="I104" s="20"/>
      <c r="J104" s="22"/>
      <c r="K104" s="22"/>
      <c r="L104" s="21"/>
      <c r="M104" s="21"/>
      <c r="N104" s="23">
        <v>3000</v>
      </c>
      <c r="O104" s="135"/>
    </row>
    <row r="105" spans="1:23" s="2" customFormat="1" ht="18.600000000000001" customHeight="1">
      <c r="A105" s="16" t="s">
        <v>99</v>
      </c>
      <c r="B105" s="17"/>
      <c r="C105" s="26"/>
      <c r="D105" s="94">
        <f>SUM(D93:D104)</f>
        <v>13525.886999999999</v>
      </c>
      <c r="E105" s="31"/>
      <c r="F105" s="31"/>
      <c r="G105" s="31"/>
      <c r="H105" s="31"/>
      <c r="I105" s="31"/>
      <c r="J105" s="31"/>
      <c r="K105" s="31"/>
      <c r="L105" s="32"/>
      <c r="M105" s="247"/>
      <c r="N105" s="272">
        <f>SUM(N93:N104)</f>
        <v>374659</v>
      </c>
      <c r="O105" s="135"/>
    </row>
    <row r="106" spans="1:23" ht="18.600000000000001" customHeight="1">
      <c r="A106" s="16" t="s">
        <v>36</v>
      </c>
      <c r="B106" s="17"/>
      <c r="C106" s="33"/>
      <c r="D106" s="34">
        <f>D105/D87</f>
        <v>294.04102173913043</v>
      </c>
      <c r="E106" s="34"/>
      <c r="F106" s="34"/>
      <c r="G106" s="34"/>
      <c r="H106" s="34"/>
      <c r="I106" s="34"/>
      <c r="J106" s="34"/>
      <c r="K106" s="34"/>
      <c r="L106" s="35"/>
      <c r="M106" s="248"/>
      <c r="N106" s="273"/>
      <c r="O106" s="395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222" t="s">
        <v>46</v>
      </c>
      <c r="B107" s="223"/>
      <c r="C107" s="375" t="s">
        <v>122</v>
      </c>
      <c r="D107" s="15" t="s">
        <v>41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62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24"/>
      <c r="B108" s="225"/>
      <c r="C108" s="57" t="s">
        <v>53</v>
      </c>
      <c r="D108" s="59">
        <f>D106*100/930</f>
        <v>31.617314165497898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62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59" t="s">
        <v>37</v>
      </c>
      <c r="B109" s="259"/>
      <c r="C109" s="40"/>
      <c r="D109" s="41"/>
      <c r="E109" s="42"/>
      <c r="F109" s="42"/>
      <c r="G109" s="42"/>
      <c r="H109" s="42"/>
      <c r="I109" s="42"/>
      <c r="J109" s="42"/>
      <c r="K109" s="42"/>
      <c r="L109" s="43"/>
      <c r="M109" s="43"/>
      <c r="N109" s="44"/>
      <c r="O109" s="135"/>
    </row>
    <row r="110" spans="1:23" s="2" customFormat="1" ht="18.600000000000001" customHeight="1">
      <c r="A110" s="9">
        <v>1</v>
      </c>
      <c r="B110" s="10" t="s">
        <v>2</v>
      </c>
      <c r="C110" s="18">
        <f>L110/100*100</f>
        <v>60</v>
      </c>
      <c r="D110" s="19">
        <f>C110/100*60</f>
        <v>36</v>
      </c>
      <c r="E110" s="20">
        <f>C110/100*15</f>
        <v>9</v>
      </c>
      <c r="F110" s="20"/>
      <c r="G110" s="20"/>
      <c r="H110" s="20"/>
      <c r="I110" s="20"/>
      <c r="J110" s="22">
        <f>C110/100*387</f>
        <v>232.2</v>
      </c>
      <c r="K110" s="22">
        <f>C110/100*0.09</f>
        <v>5.3999999999999999E-2</v>
      </c>
      <c r="L110" s="105">
        <v>60</v>
      </c>
      <c r="M110" s="56">
        <v>20</v>
      </c>
      <c r="N110" s="23">
        <f>L110*M110</f>
        <v>1200</v>
      </c>
      <c r="O110" s="135"/>
    </row>
    <row r="111" spans="1:23" s="2" customFormat="1" ht="18.600000000000001" customHeight="1">
      <c r="A111" s="9">
        <v>2</v>
      </c>
      <c r="B111" s="10" t="s">
        <v>115</v>
      </c>
      <c r="C111" s="18">
        <f>L111/100*100</f>
        <v>180</v>
      </c>
      <c r="D111" s="19">
        <f>C111/100*899</f>
        <v>1618.2</v>
      </c>
      <c r="E111" s="20"/>
      <c r="F111" s="20"/>
      <c r="G111" s="20">
        <f>C111/100*100</f>
        <v>180</v>
      </c>
      <c r="H111" s="20"/>
      <c r="I111" s="20"/>
      <c r="J111" s="22"/>
      <c r="K111" s="22"/>
      <c r="L111" s="105">
        <v>180</v>
      </c>
      <c r="M111" s="56">
        <v>68</v>
      </c>
      <c r="N111" s="23">
        <f t="shared" ref="N111" si="7">L111*M111</f>
        <v>12240</v>
      </c>
      <c r="O111" s="135"/>
    </row>
    <row r="112" spans="1:23" s="2" customFormat="1" ht="18.600000000000001" customHeight="1">
      <c r="A112" s="9">
        <v>3</v>
      </c>
      <c r="B112" s="5" t="s">
        <v>1</v>
      </c>
      <c r="C112" s="18">
        <f>L112/100*100</f>
        <v>1932</v>
      </c>
      <c r="D112" s="19">
        <f>C112/100*353</f>
        <v>6819.96</v>
      </c>
      <c r="E112" s="20"/>
      <c r="F112" s="20">
        <f>C112/100*7.9</f>
        <v>152.62800000000001</v>
      </c>
      <c r="G112" s="20"/>
      <c r="H112" s="20">
        <f>C112/100*1</f>
        <v>19.32</v>
      </c>
      <c r="I112" s="20">
        <f>C112/100*75.9</f>
        <v>1466.3880000000001</v>
      </c>
      <c r="J112" s="22">
        <f>C112/100*30</f>
        <v>579.6</v>
      </c>
      <c r="K112" s="22">
        <f>C112/100*0.1</f>
        <v>1.9320000000000002</v>
      </c>
      <c r="L112" s="105">
        <v>1932</v>
      </c>
      <c r="M112" s="56">
        <v>18</v>
      </c>
      <c r="N112" s="23">
        <f t="shared" ref="N112:N117" si="8">L112*M112</f>
        <v>34776</v>
      </c>
      <c r="O112" s="135"/>
    </row>
    <row r="113" spans="1:23" s="2" customFormat="1" ht="18.600000000000001" customHeight="1">
      <c r="A113" s="9">
        <v>4</v>
      </c>
      <c r="B113" s="5" t="s">
        <v>112</v>
      </c>
      <c r="C113" s="18">
        <f>L113/100*100</f>
        <v>40</v>
      </c>
      <c r="D113" s="19">
        <f>C113/100*247</f>
        <v>98.800000000000011</v>
      </c>
      <c r="E113" s="24"/>
      <c r="F113" s="24">
        <f>C113/100*17.5</f>
        <v>7</v>
      </c>
      <c r="G113" s="24"/>
      <c r="H113" s="24">
        <f>C113/100*1.6</f>
        <v>0.64000000000000012</v>
      </c>
      <c r="I113" s="24">
        <f>C113/100*39.2</f>
        <v>15.680000000000001</v>
      </c>
      <c r="J113" s="52"/>
      <c r="K113" s="52"/>
      <c r="L113" s="374">
        <v>40</v>
      </c>
      <c r="M113" s="56">
        <v>50</v>
      </c>
      <c r="N113" s="23">
        <f t="shared" si="8"/>
        <v>2000</v>
      </c>
      <c r="O113" s="135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62</v>
      </c>
      <c r="C114" s="18">
        <f>L114/100*90</f>
        <v>12.600000000000001</v>
      </c>
      <c r="D114" s="19">
        <f>C114/100*253</f>
        <v>31.878</v>
      </c>
      <c r="E114" s="20"/>
      <c r="F114" s="20">
        <f>C114/100*32.4</f>
        <v>4.0823999999999998</v>
      </c>
      <c r="G114" s="20"/>
      <c r="H114" s="20">
        <f>C114/100*3.6</f>
        <v>0.4536</v>
      </c>
      <c r="I114" s="20">
        <f>C114/100*21.1</f>
        <v>2.6586000000000003</v>
      </c>
      <c r="J114" s="22">
        <f>C114/100*165.6</f>
        <v>20.865600000000001</v>
      </c>
      <c r="K114" s="22">
        <f>C114/100*0.14</f>
        <v>1.7640000000000003E-2</v>
      </c>
      <c r="L114" s="105">
        <v>14</v>
      </c>
      <c r="M114" s="56">
        <v>275</v>
      </c>
      <c r="N114" s="23">
        <f t="shared" si="8"/>
        <v>3850</v>
      </c>
      <c r="O114" s="135"/>
    </row>
    <row r="115" spans="1:23" s="2" customFormat="1" ht="18.600000000000001" customHeight="1">
      <c r="A115" s="9">
        <v>6</v>
      </c>
      <c r="B115" s="5" t="s">
        <v>65</v>
      </c>
      <c r="C115" s="18">
        <f>L115/100*75</f>
        <v>1110</v>
      </c>
      <c r="D115" s="19">
        <f>C115/100*12</f>
        <v>133.19999999999999</v>
      </c>
      <c r="E115" s="20"/>
      <c r="F115" s="20">
        <f>C115/100*0.6</f>
        <v>6.6599999999999993</v>
      </c>
      <c r="G115" s="20"/>
      <c r="H115" s="20"/>
      <c r="I115" s="20">
        <f>C115/100*2.4</f>
        <v>26.639999999999997</v>
      </c>
      <c r="J115" s="20">
        <f>C115/100*26</f>
        <v>288.59999999999997</v>
      </c>
      <c r="K115" s="20">
        <f>C115/100*0.02</f>
        <v>0.222</v>
      </c>
      <c r="L115" s="105">
        <v>1480</v>
      </c>
      <c r="M115" s="56">
        <v>30</v>
      </c>
      <c r="N115" s="23">
        <f t="shared" si="8"/>
        <v>44400</v>
      </c>
      <c r="O115" s="135"/>
    </row>
    <row r="116" spans="1:23" s="2" customFormat="1" ht="18.600000000000001" customHeight="1">
      <c r="A116" s="9">
        <v>7</v>
      </c>
      <c r="B116" s="10" t="s">
        <v>63</v>
      </c>
      <c r="C116" s="18">
        <f>L116/100*98</f>
        <v>450.79999999999995</v>
      </c>
      <c r="D116" s="19">
        <f>C116/100*139</f>
        <v>626.61199999999985</v>
      </c>
      <c r="E116" s="20">
        <f>C116/100*19</f>
        <v>85.651999999999987</v>
      </c>
      <c r="F116" s="20"/>
      <c r="G116" s="20">
        <f>C116/100*7</f>
        <v>31.555999999999994</v>
      </c>
      <c r="H116" s="20"/>
      <c r="I116" s="20"/>
      <c r="J116" s="22">
        <f>C116/100*7</f>
        <v>31.555999999999994</v>
      </c>
      <c r="K116" s="22">
        <f>C116/100*0.9</f>
        <v>4.057199999999999</v>
      </c>
      <c r="L116" s="105">
        <v>460</v>
      </c>
      <c r="M116" s="56">
        <v>137</v>
      </c>
      <c r="N116" s="23">
        <f t="shared" si="8"/>
        <v>63020</v>
      </c>
      <c r="O116" s="135"/>
    </row>
    <row r="117" spans="1:23" s="2" customFormat="1" ht="18.600000000000001" customHeight="1">
      <c r="A117" s="9">
        <v>8</v>
      </c>
      <c r="B117" s="10" t="s">
        <v>81</v>
      </c>
      <c r="C117" s="18">
        <f>L117/100*48</f>
        <v>1545.6000000000001</v>
      </c>
      <c r="D117" s="19">
        <f>C117/100*199</f>
        <v>3075.7440000000001</v>
      </c>
      <c r="E117" s="20">
        <f>C117/100*20.3</f>
        <v>313.75680000000006</v>
      </c>
      <c r="F117" s="20"/>
      <c r="G117" s="20">
        <f>C117/100*13.1</f>
        <v>202.4736</v>
      </c>
      <c r="H117" s="20"/>
      <c r="I117" s="20"/>
      <c r="J117" s="22">
        <f>C117/100*12</f>
        <v>185.47200000000001</v>
      </c>
      <c r="K117" s="22">
        <f>C117/100*0.15</f>
        <v>2.3184</v>
      </c>
      <c r="L117" s="105">
        <v>3220</v>
      </c>
      <c r="M117" s="56">
        <v>84</v>
      </c>
      <c r="N117" s="23">
        <f t="shared" si="8"/>
        <v>270480</v>
      </c>
      <c r="O117" s="135"/>
      <c r="Q117" s="135"/>
    </row>
    <row r="118" spans="1:23" s="2" customFormat="1" ht="18.600000000000001" customHeight="1">
      <c r="A118" s="9">
        <v>9</v>
      </c>
      <c r="B118" s="6" t="s">
        <v>104</v>
      </c>
      <c r="C118" s="18"/>
      <c r="D118" s="107"/>
      <c r="E118" s="20"/>
      <c r="F118" s="20"/>
      <c r="G118" s="20"/>
      <c r="H118" s="20"/>
      <c r="I118" s="20"/>
      <c r="J118" s="22"/>
      <c r="K118" s="22"/>
      <c r="L118" s="21"/>
      <c r="M118" s="21"/>
      <c r="N118" s="23">
        <v>3000</v>
      </c>
      <c r="O118" s="135"/>
    </row>
    <row r="119" spans="1:23" s="2" customFormat="1" ht="18.600000000000001" customHeight="1">
      <c r="A119" s="16" t="s">
        <v>100</v>
      </c>
      <c r="B119" s="17"/>
      <c r="C119" s="26"/>
      <c r="D119" s="94">
        <f>SUM(D110:D118)</f>
        <v>12440.394</v>
      </c>
      <c r="E119" s="31"/>
      <c r="F119" s="31"/>
      <c r="G119" s="31"/>
      <c r="H119" s="31"/>
      <c r="I119" s="31"/>
      <c r="J119" s="31"/>
      <c r="K119" s="31"/>
      <c r="L119" s="32"/>
      <c r="M119" s="247"/>
      <c r="N119" s="272">
        <f>SUM(N110:N118)</f>
        <v>434966</v>
      </c>
      <c r="O119" s="135"/>
    </row>
    <row r="120" spans="1:23" ht="18.600000000000001" customHeight="1">
      <c r="A120" s="16" t="s">
        <v>35</v>
      </c>
      <c r="B120" s="17"/>
      <c r="C120" s="45"/>
      <c r="D120" s="36">
        <f>D119/D87</f>
        <v>270.44334782608695</v>
      </c>
      <c r="E120" s="36"/>
      <c r="F120" s="36"/>
      <c r="G120" s="36"/>
      <c r="H120" s="36"/>
      <c r="I120" s="36"/>
      <c r="J120" s="36"/>
      <c r="K120" s="36"/>
      <c r="L120" s="46"/>
      <c r="M120" s="248"/>
      <c r="N120" s="283"/>
      <c r="O120" s="395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222" t="s">
        <v>47</v>
      </c>
      <c r="B121" s="223"/>
      <c r="C121" s="375" t="s">
        <v>122</v>
      </c>
      <c r="D121" s="15" t="s">
        <v>42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62"/>
      <c r="O121" s="4"/>
      <c r="P121" s="2"/>
      <c r="Q121" s="2"/>
      <c r="R121" s="2"/>
      <c r="S121" s="150"/>
      <c r="T121" s="2"/>
      <c r="U121" s="2"/>
      <c r="V121" s="2"/>
      <c r="W121" s="2"/>
    </row>
    <row r="122" spans="1:23" ht="18.600000000000001" customHeight="1">
      <c r="A122" s="224"/>
      <c r="B122" s="225"/>
      <c r="C122" s="57" t="s">
        <v>53</v>
      </c>
      <c r="D122" s="59">
        <f>D120*100/930</f>
        <v>29.079929873772787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62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59" t="s">
        <v>34</v>
      </c>
      <c r="B123" s="259"/>
      <c r="C123" s="47"/>
      <c r="D123" s="48"/>
      <c r="E123" s="48"/>
      <c r="F123" s="48"/>
      <c r="G123" s="48"/>
      <c r="H123" s="48"/>
      <c r="I123" s="48"/>
      <c r="J123" s="48"/>
      <c r="K123" s="48"/>
      <c r="L123" s="49"/>
      <c r="M123" s="49"/>
      <c r="N123" s="50"/>
      <c r="O123" s="395"/>
      <c r="P123" s="2"/>
      <c r="Q123" s="2"/>
      <c r="R123" s="2"/>
      <c r="S123" s="150"/>
      <c r="T123" s="2"/>
      <c r="U123" s="2"/>
      <c r="V123" s="2"/>
    </row>
    <row r="124" spans="1:23" s="2" customFormat="1" ht="18.600000000000001" customHeight="1">
      <c r="A124" s="76">
        <v>1</v>
      </c>
      <c r="B124" s="138" t="s">
        <v>121</v>
      </c>
      <c r="C124" s="77">
        <f>L124/100*100</f>
        <v>780</v>
      </c>
      <c r="D124" s="78">
        <f>C124/100*487</f>
        <v>3798.6</v>
      </c>
      <c r="E124" s="79"/>
      <c r="F124" s="79">
        <f>C124/100*19.5</f>
        <v>152.1</v>
      </c>
      <c r="G124" s="79"/>
      <c r="H124" s="79">
        <f>C124/100*23.2</f>
        <v>180.95999999999998</v>
      </c>
      <c r="I124" s="79">
        <f>C124/100*46</f>
        <v>358.8</v>
      </c>
      <c r="J124" s="130">
        <f>C124/100*680</f>
        <v>5304</v>
      </c>
      <c r="K124" s="79">
        <f>C124/100*0.55</f>
        <v>4.29</v>
      </c>
      <c r="L124" s="80">
        <v>780</v>
      </c>
      <c r="M124" s="139">
        <v>260</v>
      </c>
      <c r="N124" s="81">
        <f t="shared" ref="N124" si="9">L124*M124</f>
        <v>202800</v>
      </c>
      <c r="O124" s="135"/>
      <c r="P124" s="3"/>
    </row>
    <row r="125" spans="1:23" ht="17.399999999999999" customHeight="1">
      <c r="A125" s="171" t="s">
        <v>0</v>
      </c>
      <c r="B125" s="174" t="s">
        <v>19</v>
      </c>
      <c r="C125" s="177" t="s">
        <v>8</v>
      </c>
      <c r="D125" s="177" t="s">
        <v>9</v>
      </c>
      <c r="E125" s="182" t="s">
        <v>11</v>
      </c>
      <c r="F125" s="183"/>
      <c r="G125" s="182" t="s">
        <v>13</v>
      </c>
      <c r="H125" s="183"/>
      <c r="I125" s="186" t="s">
        <v>16</v>
      </c>
      <c r="J125" s="186" t="s">
        <v>39</v>
      </c>
      <c r="K125" s="186" t="s">
        <v>40</v>
      </c>
      <c r="L125" s="186" t="s">
        <v>17</v>
      </c>
      <c r="M125" s="186" t="s">
        <v>48</v>
      </c>
      <c r="N125" s="171" t="s">
        <v>18</v>
      </c>
      <c r="O125" s="389"/>
    </row>
    <row r="126" spans="1:23" ht="17.399999999999999" customHeight="1">
      <c r="A126" s="172"/>
      <c r="B126" s="175"/>
      <c r="C126" s="178"/>
      <c r="D126" s="178"/>
      <c r="E126" s="184"/>
      <c r="F126" s="185"/>
      <c r="G126" s="184"/>
      <c r="H126" s="185"/>
      <c r="I126" s="187"/>
      <c r="J126" s="187"/>
      <c r="K126" s="187"/>
      <c r="L126" s="187"/>
      <c r="M126" s="187"/>
      <c r="N126" s="172"/>
      <c r="O126" s="161"/>
    </row>
    <row r="127" spans="1:23" ht="17.399999999999999" customHeight="1">
      <c r="A127" s="172"/>
      <c r="B127" s="175"/>
      <c r="C127" s="178"/>
      <c r="D127" s="178"/>
      <c r="E127" s="186" t="s">
        <v>10</v>
      </c>
      <c r="F127" s="186" t="s">
        <v>12</v>
      </c>
      <c r="G127" s="186" t="s">
        <v>14</v>
      </c>
      <c r="H127" s="186" t="s">
        <v>15</v>
      </c>
      <c r="I127" s="187"/>
      <c r="J127" s="187"/>
      <c r="K127" s="187"/>
      <c r="L127" s="187"/>
      <c r="M127" s="187"/>
      <c r="N127" s="172"/>
      <c r="O127" s="161"/>
    </row>
    <row r="128" spans="1:23" ht="17.399999999999999" customHeight="1">
      <c r="A128" s="173"/>
      <c r="B128" s="176"/>
      <c r="C128" s="179"/>
      <c r="D128" s="179"/>
      <c r="E128" s="188"/>
      <c r="F128" s="188"/>
      <c r="G128" s="188"/>
      <c r="H128" s="188"/>
      <c r="I128" s="188"/>
      <c r="J128" s="188"/>
      <c r="K128" s="188"/>
      <c r="L128" s="188"/>
      <c r="M128" s="188"/>
      <c r="N128" s="173"/>
      <c r="O128" s="161"/>
    </row>
    <row r="129" spans="1:23" s="2" customFormat="1" ht="18" customHeight="1">
      <c r="A129" s="16" t="s">
        <v>91</v>
      </c>
      <c r="B129" s="17"/>
      <c r="C129" s="26"/>
      <c r="D129" s="27">
        <f>SUM(D123:D124)</f>
        <v>3798.6</v>
      </c>
      <c r="E129" s="31"/>
      <c r="F129" s="31"/>
      <c r="G129" s="31"/>
      <c r="H129" s="31"/>
      <c r="I129" s="31"/>
      <c r="J129" s="31"/>
      <c r="K129" s="31"/>
      <c r="L129" s="32"/>
      <c r="M129" s="247"/>
      <c r="N129" s="272">
        <f>SUM(N123:N124)</f>
        <v>202800</v>
      </c>
      <c r="O129" s="135"/>
    </row>
    <row r="130" spans="1:23" ht="18" customHeight="1">
      <c r="A130" s="16" t="s">
        <v>7</v>
      </c>
      <c r="B130" s="17"/>
      <c r="C130" s="33"/>
      <c r="D130" s="34">
        <f>D129/D87</f>
        <v>82.578260869565213</v>
      </c>
      <c r="E130" s="34"/>
      <c r="F130" s="34"/>
      <c r="G130" s="34"/>
      <c r="H130" s="34"/>
      <c r="I130" s="34"/>
      <c r="J130" s="34"/>
      <c r="K130" s="34"/>
      <c r="L130" s="35"/>
      <c r="M130" s="248"/>
      <c r="N130" s="273"/>
      <c r="O130" s="395"/>
      <c r="P130" s="2"/>
      <c r="Q130" s="2"/>
      <c r="R130" s="2"/>
      <c r="S130" s="2"/>
      <c r="T130" s="2"/>
      <c r="U130" s="2"/>
      <c r="V130" s="2"/>
    </row>
    <row r="131" spans="1:23" ht="18" customHeight="1">
      <c r="A131" s="222" t="s">
        <v>45</v>
      </c>
      <c r="B131" s="223"/>
      <c r="C131" s="375" t="s">
        <v>122</v>
      </c>
      <c r="D131" s="15" t="s">
        <v>43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62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24"/>
      <c r="B132" s="225"/>
      <c r="C132" s="57" t="s">
        <v>53</v>
      </c>
      <c r="D132" s="15">
        <f>D130*100/930</f>
        <v>8.8793828892005617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62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03" t="s">
        <v>92</v>
      </c>
      <c r="B133" s="204"/>
      <c r="C133" s="226"/>
      <c r="D133" s="280">
        <f>D105+D119+D129</f>
        <v>29764.880999999998</v>
      </c>
      <c r="E133" s="7">
        <f>SUM(E93:E130)</f>
        <v>773.34360000000004</v>
      </c>
      <c r="F133" s="7">
        <f>SUM(F93:F130)</f>
        <v>511.59750000000008</v>
      </c>
      <c r="G133" s="7">
        <f>SUM(G93:G130)</f>
        <v>813.07320000000004</v>
      </c>
      <c r="H133" s="7">
        <f>SUM(H93:H130)</f>
        <v>333.45140000000004</v>
      </c>
      <c r="I133" s="254">
        <f>SUM(I93:I130)</f>
        <v>3458.8025000000002</v>
      </c>
      <c r="J133" s="245">
        <f>SUM(J93:J124)</f>
        <v>11662.1481</v>
      </c>
      <c r="K133" s="254">
        <f>SUM(K93:K124)</f>
        <v>27.086939999999998</v>
      </c>
      <c r="L133" s="239"/>
      <c r="M133" s="239"/>
      <c r="N133" s="271">
        <f>N105+N119+N129</f>
        <v>1012425</v>
      </c>
      <c r="U133" s="12"/>
      <c r="V133" s="12"/>
    </row>
    <row r="134" spans="1:23" ht="18" customHeight="1">
      <c r="A134" s="205"/>
      <c r="B134" s="206"/>
      <c r="C134" s="227"/>
      <c r="D134" s="281"/>
      <c r="E134" s="199">
        <f>E133+F133</f>
        <v>1284.9411</v>
      </c>
      <c r="F134" s="200"/>
      <c r="G134" s="199">
        <f>G133+H133</f>
        <v>1146.5246000000002</v>
      </c>
      <c r="H134" s="200"/>
      <c r="I134" s="409"/>
      <c r="J134" s="282"/>
      <c r="K134" s="409"/>
      <c r="L134" s="239"/>
      <c r="M134" s="239"/>
      <c r="N134" s="271"/>
      <c r="Q134" s="372"/>
      <c r="R134" s="372"/>
      <c r="S134" s="372"/>
      <c r="T134" s="372"/>
      <c r="U134" s="401"/>
      <c r="V134" s="401"/>
    </row>
    <row r="135" spans="1:23" ht="18" customHeight="1">
      <c r="A135" s="274" t="s">
        <v>67</v>
      </c>
      <c r="B135" s="275"/>
      <c r="C135" s="276"/>
      <c r="D135" s="106">
        <f>D133/D87</f>
        <v>647.06263043478259</v>
      </c>
      <c r="E135" s="400">
        <f>E133/D87</f>
        <v>16.811817391304348</v>
      </c>
      <c r="F135" s="396">
        <f>F133/D87</f>
        <v>11.121684782608698</v>
      </c>
      <c r="G135" s="400">
        <f>G133/D87</f>
        <v>17.675504347826088</v>
      </c>
      <c r="H135" s="396">
        <f>H133/D87</f>
        <v>7.2489434782608706</v>
      </c>
      <c r="I135" s="256">
        <f>I133/D87</f>
        <v>75.191358695652184</v>
      </c>
      <c r="J135" s="256">
        <f>J133/D87</f>
        <v>253.52495869565217</v>
      </c>
      <c r="K135" s="256">
        <f>K133/D87</f>
        <v>0.58884652173913044</v>
      </c>
      <c r="L135" s="239"/>
      <c r="M135" s="239"/>
      <c r="N135" s="271"/>
      <c r="P135" s="397"/>
      <c r="Q135" s="403"/>
      <c r="R135" s="403"/>
      <c r="S135" s="404"/>
      <c r="T135" s="404"/>
      <c r="U135" s="403"/>
      <c r="V135" s="403"/>
    </row>
    <row r="136" spans="1:23" ht="18" customHeight="1">
      <c r="A136" s="277"/>
      <c r="B136" s="278"/>
      <c r="C136" s="279"/>
      <c r="D136" s="98"/>
      <c r="E136" s="378">
        <f>E135+F135</f>
        <v>27.933502173913048</v>
      </c>
      <c r="F136" s="379"/>
      <c r="G136" s="378">
        <f>G135+H135</f>
        <v>24.924447826086958</v>
      </c>
      <c r="H136" s="379"/>
      <c r="I136" s="409"/>
      <c r="J136" s="409"/>
      <c r="K136" s="409"/>
      <c r="L136" s="239"/>
      <c r="M136" s="239"/>
      <c r="N136" s="271"/>
    </row>
    <row r="137" spans="1:23" ht="18" customHeight="1">
      <c r="A137" s="219" t="s">
        <v>70</v>
      </c>
      <c r="B137" s="220"/>
      <c r="C137" s="221"/>
      <c r="D137" s="160" t="s">
        <v>28</v>
      </c>
      <c r="E137" s="406" t="s">
        <v>24</v>
      </c>
      <c r="F137" s="406"/>
      <c r="G137" s="406" t="s">
        <v>25</v>
      </c>
      <c r="H137" s="406"/>
      <c r="I137" s="160" t="s">
        <v>26</v>
      </c>
      <c r="J137" s="164">
        <v>500</v>
      </c>
      <c r="K137" s="164">
        <v>0.5</v>
      </c>
      <c r="L137" s="239"/>
      <c r="M137" s="239"/>
      <c r="N137" s="271"/>
      <c r="O137" s="398"/>
      <c r="P137" s="109"/>
      <c r="Q137" s="371"/>
      <c r="R137" s="371"/>
      <c r="S137" s="371"/>
    </row>
    <row r="138" spans="1:23" ht="18" customHeight="1">
      <c r="A138" s="192" t="s">
        <v>68</v>
      </c>
      <c r="B138" s="258"/>
      <c r="C138" s="193"/>
      <c r="D138" s="37"/>
      <c r="E138" s="197">
        <f>E136*4.1</f>
        <v>114.52735891304349</v>
      </c>
      <c r="F138" s="198"/>
      <c r="G138" s="197">
        <f>G136*9</f>
        <v>224.32003043478261</v>
      </c>
      <c r="H138" s="198"/>
      <c r="I138" s="66">
        <f>I135*4.1</f>
        <v>308.28457065217395</v>
      </c>
      <c r="J138" s="230"/>
      <c r="K138" s="230"/>
      <c r="L138" s="239"/>
      <c r="M138" s="239"/>
      <c r="N138" s="271"/>
      <c r="O138" s="398"/>
      <c r="P138" s="402"/>
      <c r="Q138" s="109"/>
      <c r="R138" s="109"/>
      <c r="S138" s="109"/>
    </row>
    <row r="139" spans="1:23" ht="18" customHeight="1">
      <c r="A139" s="233" t="s">
        <v>77</v>
      </c>
      <c r="B139" s="234"/>
      <c r="C139" s="192" t="s">
        <v>52</v>
      </c>
      <c r="D139" s="193"/>
      <c r="E139" s="237">
        <f>E138*100/D135</f>
        <v>17.699578607419934</v>
      </c>
      <c r="F139" s="238"/>
      <c r="G139" s="237">
        <f>G138*100/D135</f>
        <v>34.667437104821616</v>
      </c>
      <c r="H139" s="238"/>
      <c r="I139" s="88">
        <f>I138*100/D135</f>
        <v>47.6436987938907</v>
      </c>
      <c r="J139" s="231"/>
      <c r="K139" s="231"/>
      <c r="L139" s="239"/>
      <c r="M139" s="239"/>
      <c r="N139" s="271"/>
      <c r="O139" s="398"/>
    </row>
    <row r="140" spans="1:23" ht="18" customHeight="1">
      <c r="A140" s="235"/>
      <c r="B140" s="236"/>
      <c r="C140" s="192" t="s">
        <v>69</v>
      </c>
      <c r="D140" s="193"/>
      <c r="E140" s="192" t="s">
        <v>72</v>
      </c>
      <c r="F140" s="193"/>
      <c r="G140" s="192" t="s">
        <v>75</v>
      </c>
      <c r="H140" s="193"/>
      <c r="I140" s="160" t="s">
        <v>76</v>
      </c>
      <c r="J140" s="232"/>
      <c r="K140" s="232"/>
      <c r="L140" s="239"/>
      <c r="M140" s="239"/>
      <c r="N140" s="271"/>
      <c r="O140" s="398"/>
      <c r="P140" s="399"/>
    </row>
    <row r="141" spans="1:23" ht="22.2" customHeight="1">
      <c r="A141" s="69"/>
      <c r="B141" s="72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0"/>
      <c r="N141" s="71"/>
      <c r="O141" s="398"/>
    </row>
    <row r="142" spans="1:23" ht="21" customHeight="1">
      <c r="A142" s="240" t="s">
        <v>95</v>
      </c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398"/>
    </row>
    <row r="143" spans="1:23" ht="21" customHeight="1">
      <c r="A143" s="90" t="s">
        <v>96</v>
      </c>
      <c r="B143" s="241" t="s">
        <v>107</v>
      </c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398"/>
    </row>
    <row r="144" spans="1:23" ht="21" customHeight="1">
      <c r="A144" s="91"/>
      <c r="B144" s="211" t="s">
        <v>169</v>
      </c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398"/>
    </row>
    <row r="145" spans="1:15" ht="21" customHeight="1">
      <c r="A145" s="91"/>
      <c r="B145" s="211" t="s">
        <v>147</v>
      </c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398"/>
    </row>
    <row r="146" spans="1:15" ht="21" customHeight="1">
      <c r="A146" s="91"/>
      <c r="B146" s="211" t="s">
        <v>170</v>
      </c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398"/>
    </row>
    <row r="147" spans="1:15" ht="21" customHeight="1">
      <c r="A147" s="69"/>
      <c r="B147" s="212" t="s">
        <v>98</v>
      </c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398"/>
    </row>
    <row r="148" spans="1:15" ht="21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73"/>
      <c r="M148" s="73"/>
      <c r="N148" s="74"/>
      <c r="O148" s="398"/>
    </row>
    <row r="149" spans="1:15" ht="21" customHeight="1">
      <c r="A149" s="210" t="s">
        <v>55</v>
      </c>
      <c r="B149" s="210"/>
      <c r="C149" s="210"/>
      <c r="D149" s="210"/>
      <c r="E149" s="381"/>
      <c r="F149" s="381"/>
      <c r="G149" s="381"/>
      <c r="H149" s="381"/>
      <c r="I149" s="381"/>
      <c r="J149" s="382" t="s">
        <v>32</v>
      </c>
      <c r="K149" s="382"/>
      <c r="L149" s="382"/>
      <c r="M149" s="382"/>
      <c r="N149" s="382"/>
      <c r="O149" s="398"/>
    </row>
    <row r="150" spans="1:15" ht="21" customHeight="1">
      <c r="A150" s="161"/>
      <c r="B150" s="161"/>
      <c r="C150" s="161"/>
      <c r="D150" s="381"/>
      <c r="E150" s="381"/>
      <c r="F150" s="381"/>
      <c r="G150" s="381"/>
      <c r="H150" s="383"/>
      <c r="I150" s="383"/>
      <c r="J150" s="383"/>
      <c r="K150" s="383"/>
      <c r="L150" s="383"/>
      <c r="M150" s="383"/>
      <c r="N150" s="383"/>
      <c r="O150" s="398"/>
    </row>
    <row r="151" spans="1:15" ht="21" customHeight="1">
      <c r="A151" s="161"/>
      <c r="B151" s="161"/>
      <c r="C151" s="161"/>
      <c r="D151" s="381"/>
      <c r="E151" s="381"/>
      <c r="F151" s="381"/>
      <c r="G151" s="381"/>
      <c r="H151" s="383"/>
      <c r="I151" s="383"/>
      <c r="J151" s="383"/>
      <c r="K151" s="383"/>
      <c r="L151" s="383"/>
      <c r="M151" s="383"/>
      <c r="N151" s="383"/>
      <c r="O151" s="398"/>
    </row>
    <row r="152" spans="1:15" ht="21" customHeight="1">
      <c r="A152" s="161"/>
      <c r="B152" s="161"/>
      <c r="C152" s="161"/>
      <c r="D152" s="381"/>
      <c r="E152" s="381"/>
      <c r="F152" s="381"/>
      <c r="G152" s="381"/>
      <c r="H152" s="383"/>
      <c r="I152" s="383"/>
      <c r="J152" s="384" t="s">
        <v>105</v>
      </c>
      <c r="K152" s="384"/>
      <c r="L152" s="384"/>
      <c r="M152" s="384"/>
      <c r="N152" s="384"/>
      <c r="O152" s="398"/>
    </row>
    <row r="153" spans="1:15" ht="22.2" customHeight="1">
      <c r="A153" s="194" t="s">
        <v>80</v>
      </c>
      <c r="B153" s="194"/>
      <c r="C153" s="194"/>
      <c r="D153" s="194"/>
      <c r="E153" s="381"/>
      <c r="F153" s="381"/>
      <c r="G153" s="381"/>
      <c r="H153" s="383"/>
      <c r="I153" s="383"/>
      <c r="O153" s="398"/>
    </row>
    <row r="155" spans="1:15" ht="22.2" customHeight="1">
      <c r="J155" s="384" t="s">
        <v>108</v>
      </c>
      <c r="K155" s="384"/>
      <c r="L155" s="384"/>
      <c r="M155" s="384"/>
      <c r="N155" s="384"/>
    </row>
    <row r="156" spans="1:15" ht="22.2" customHeight="1">
      <c r="J156" s="384"/>
      <c r="K156" s="384"/>
      <c r="L156" s="384"/>
      <c r="M156" s="384"/>
      <c r="N156" s="384"/>
    </row>
  </sheetData>
  <mergeCells count="208"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</mergeCells>
  <pageMargins left="0.25833333333333336" right="0.11666666666666667" top="0.44791666666666669" bottom="0.406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7"/>
  <sheetViews>
    <sheetView view="pageLayout" zoomScaleNormal="106" workbookViewId="0">
      <selection activeCell="P140" sqref="P140:S141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9.1093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58</v>
      </c>
      <c r="B1" s="8"/>
      <c r="C1" s="8"/>
      <c r="D1" s="8"/>
      <c r="E1" s="8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159"/>
      <c r="P1" s="159"/>
      <c r="T1" s="2"/>
    </row>
    <row r="2" spans="1:20" ht="10.199999999999999" customHeight="1">
      <c r="A2" s="11"/>
      <c r="B2" s="8"/>
      <c r="C2" s="8"/>
      <c r="D2" s="8"/>
      <c r="E2" s="8"/>
      <c r="F2" s="165"/>
      <c r="G2" s="165"/>
      <c r="H2" s="165"/>
      <c r="I2" s="165"/>
      <c r="J2" s="165"/>
      <c r="K2" s="165"/>
      <c r="L2" s="165"/>
      <c r="M2" s="165"/>
      <c r="N2" s="165"/>
      <c r="O2" s="159"/>
      <c r="P2" s="159"/>
      <c r="T2" s="2"/>
    </row>
    <row r="3" spans="1:20" ht="19.8" customHeight="1">
      <c r="A3" s="8" t="s">
        <v>164</v>
      </c>
      <c r="B3" s="8"/>
      <c r="C3" s="8"/>
      <c r="D3" s="8"/>
      <c r="E3" s="8"/>
      <c r="F3" s="165"/>
      <c r="G3" s="165"/>
      <c r="H3" s="165"/>
      <c r="I3" s="165"/>
      <c r="J3" s="165"/>
      <c r="K3" s="165"/>
      <c r="L3" s="165"/>
      <c r="M3" s="165"/>
      <c r="N3" s="165"/>
      <c r="O3" s="159"/>
      <c r="P3" s="159"/>
      <c r="T3" s="2"/>
    </row>
    <row r="4" spans="1:20" ht="10.199999999999999" customHeight="1">
      <c r="A4" s="8"/>
      <c r="B4" s="8"/>
      <c r="C4" s="8"/>
      <c r="D4" s="8"/>
      <c r="E4" s="8"/>
      <c r="F4" s="165"/>
      <c r="G4" s="165"/>
      <c r="H4" s="165"/>
      <c r="I4" s="165"/>
      <c r="J4" s="165"/>
      <c r="K4" s="165"/>
      <c r="L4" s="165"/>
      <c r="M4" s="165"/>
      <c r="N4" s="165"/>
      <c r="O4" s="159"/>
      <c r="P4" s="159"/>
      <c r="T4" s="2"/>
    </row>
    <row r="5" spans="1:20" s="2" customFormat="1" ht="19.8" customHeight="1">
      <c r="A5" s="170" t="s">
        <v>84</v>
      </c>
      <c r="B5" s="170"/>
      <c r="C5" s="170"/>
      <c r="D5" s="170"/>
      <c r="E5" s="170" t="s">
        <v>85</v>
      </c>
      <c r="F5" s="170"/>
      <c r="G5" s="170"/>
      <c r="H5" s="170"/>
      <c r="I5" s="170"/>
      <c r="J5" s="170"/>
      <c r="K5" s="170"/>
      <c r="L5" s="170"/>
      <c r="M5" s="170"/>
      <c r="N5" s="170"/>
      <c r="O5" s="388"/>
    </row>
    <row r="6" spans="1:20" s="2" customFormat="1" ht="19.8" customHeight="1">
      <c r="A6" s="242" t="s">
        <v>79</v>
      </c>
      <c r="B6" s="242"/>
      <c r="C6" s="242"/>
      <c r="D6" s="242"/>
      <c r="E6" s="243" t="s">
        <v>66</v>
      </c>
      <c r="F6" s="243"/>
      <c r="G6" s="243"/>
      <c r="H6" s="243"/>
      <c r="I6" s="243"/>
      <c r="J6" s="310" t="s">
        <v>127</v>
      </c>
      <c r="K6" s="263"/>
      <c r="L6" s="263"/>
      <c r="M6" s="263"/>
      <c r="N6" s="264"/>
      <c r="O6" s="388"/>
    </row>
    <row r="7" spans="1:20" s="2" customFormat="1" ht="19.8" customHeight="1">
      <c r="A7" s="295" t="s">
        <v>128</v>
      </c>
      <c r="B7" s="296"/>
      <c r="C7" s="296"/>
      <c r="D7" s="297"/>
      <c r="E7" s="243"/>
      <c r="F7" s="243"/>
      <c r="G7" s="243"/>
      <c r="H7" s="243"/>
      <c r="I7" s="243"/>
      <c r="J7" s="265"/>
      <c r="K7" s="266"/>
      <c r="L7" s="266"/>
      <c r="M7" s="266"/>
      <c r="N7" s="267"/>
      <c r="O7" s="388"/>
    </row>
    <row r="8" spans="1:20" s="2" customFormat="1" ht="19.8" customHeight="1">
      <c r="A8" s="195" t="s">
        <v>125</v>
      </c>
      <c r="B8" s="195"/>
      <c r="C8" s="195"/>
      <c r="D8" s="195"/>
      <c r="E8" s="243"/>
      <c r="F8" s="243"/>
      <c r="G8" s="243"/>
      <c r="H8" s="243"/>
      <c r="I8" s="243"/>
      <c r="J8" s="265"/>
      <c r="K8" s="266"/>
      <c r="L8" s="266"/>
      <c r="M8" s="266"/>
      <c r="N8" s="267"/>
      <c r="O8" s="388"/>
    </row>
    <row r="9" spans="1:20" s="2" customFormat="1" ht="19.8" customHeight="1">
      <c r="A9" s="196" t="s">
        <v>126</v>
      </c>
      <c r="B9" s="196"/>
      <c r="C9" s="196"/>
      <c r="D9" s="196"/>
      <c r="E9" s="243"/>
      <c r="F9" s="243"/>
      <c r="G9" s="243"/>
      <c r="H9" s="243"/>
      <c r="I9" s="243"/>
      <c r="J9" s="268"/>
      <c r="K9" s="269"/>
      <c r="L9" s="269"/>
      <c r="M9" s="269"/>
      <c r="N9" s="270"/>
      <c r="O9" s="388"/>
    </row>
    <row r="10" spans="1:20" s="2" customFormat="1" ht="19.8" customHeight="1">
      <c r="A10" s="207" t="s">
        <v>103</v>
      </c>
      <c r="B10" s="208"/>
      <c r="C10" s="209"/>
      <c r="D10" s="99">
        <v>194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88"/>
    </row>
    <row r="11" spans="1:20" ht="19.8" customHeight="1">
      <c r="A11" s="171" t="s">
        <v>59</v>
      </c>
      <c r="B11" s="174" t="s">
        <v>19</v>
      </c>
      <c r="C11" s="289" t="s">
        <v>8</v>
      </c>
      <c r="D11" s="177" t="s">
        <v>9</v>
      </c>
      <c r="E11" s="182" t="s">
        <v>11</v>
      </c>
      <c r="F11" s="183"/>
      <c r="G11" s="182" t="s">
        <v>13</v>
      </c>
      <c r="H11" s="183"/>
      <c r="I11" s="186" t="s">
        <v>16</v>
      </c>
      <c r="J11" s="186" t="s">
        <v>39</v>
      </c>
      <c r="K11" s="186" t="s">
        <v>40</v>
      </c>
      <c r="L11" s="186" t="s">
        <v>17</v>
      </c>
      <c r="M11" s="186" t="s">
        <v>48</v>
      </c>
      <c r="N11" s="171" t="s">
        <v>18</v>
      </c>
      <c r="O11" s="389"/>
    </row>
    <row r="12" spans="1:20" ht="19.8" customHeight="1">
      <c r="A12" s="172"/>
      <c r="B12" s="175"/>
      <c r="C12" s="290"/>
      <c r="D12" s="178"/>
      <c r="E12" s="184"/>
      <c r="F12" s="185"/>
      <c r="G12" s="184"/>
      <c r="H12" s="185"/>
      <c r="I12" s="187"/>
      <c r="J12" s="187"/>
      <c r="K12" s="187"/>
      <c r="L12" s="187"/>
      <c r="M12" s="187"/>
      <c r="N12" s="172"/>
      <c r="O12" s="161"/>
    </row>
    <row r="13" spans="1:20" ht="19.8" customHeight="1">
      <c r="A13" s="172"/>
      <c r="B13" s="175"/>
      <c r="C13" s="290"/>
      <c r="D13" s="178"/>
      <c r="E13" s="186" t="s">
        <v>10</v>
      </c>
      <c r="F13" s="186" t="s">
        <v>12</v>
      </c>
      <c r="G13" s="186" t="s">
        <v>14</v>
      </c>
      <c r="H13" s="186" t="s">
        <v>15</v>
      </c>
      <c r="I13" s="187"/>
      <c r="J13" s="187"/>
      <c r="K13" s="187"/>
      <c r="L13" s="187"/>
      <c r="M13" s="187"/>
      <c r="N13" s="172"/>
      <c r="O13" s="161"/>
    </row>
    <row r="14" spans="1:20" ht="19.8" customHeight="1">
      <c r="A14" s="173"/>
      <c r="B14" s="176"/>
      <c r="C14" s="291"/>
      <c r="D14" s="179"/>
      <c r="E14" s="188"/>
      <c r="F14" s="188"/>
      <c r="G14" s="188"/>
      <c r="H14" s="188"/>
      <c r="I14" s="188"/>
      <c r="J14" s="188"/>
      <c r="K14" s="188"/>
      <c r="L14" s="188"/>
      <c r="M14" s="188"/>
      <c r="N14" s="173"/>
      <c r="O14" s="161"/>
    </row>
    <row r="15" spans="1:20" ht="19.8" customHeight="1">
      <c r="A15" s="249" t="s">
        <v>33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161"/>
    </row>
    <row r="16" spans="1:20" s="2" customFormat="1" ht="21" customHeight="1">
      <c r="A16" s="9">
        <v>1</v>
      </c>
      <c r="B16" s="10" t="s">
        <v>2</v>
      </c>
      <c r="C16" s="18">
        <f>L16/100*100</f>
        <v>250</v>
      </c>
      <c r="D16" s="19">
        <f>C16/100*60</f>
        <v>150</v>
      </c>
      <c r="E16" s="20">
        <f>C16/100*15</f>
        <v>37.5</v>
      </c>
      <c r="F16" s="20"/>
      <c r="G16" s="20"/>
      <c r="H16" s="20"/>
      <c r="I16" s="20"/>
      <c r="J16" s="22">
        <f>C16/100*387</f>
        <v>967.5</v>
      </c>
      <c r="K16" s="22">
        <f>C16/100*0.09</f>
        <v>0.22499999999999998</v>
      </c>
      <c r="L16" s="105">
        <v>250</v>
      </c>
      <c r="M16" s="56">
        <v>20</v>
      </c>
      <c r="N16" s="103">
        <f>L16*M16</f>
        <v>5000</v>
      </c>
      <c r="O16" s="135"/>
    </row>
    <row r="17" spans="1:20" s="2" customFormat="1" ht="21" customHeight="1">
      <c r="A17" s="9">
        <v>2</v>
      </c>
      <c r="B17" s="115" t="s">
        <v>115</v>
      </c>
      <c r="C17" s="18">
        <f>L17/100*100</f>
        <v>810</v>
      </c>
      <c r="D17" s="19">
        <f>C17/100*899</f>
        <v>7281.9</v>
      </c>
      <c r="E17" s="20"/>
      <c r="F17" s="20"/>
      <c r="G17" s="20">
        <f>C17/100*100</f>
        <v>810</v>
      </c>
      <c r="H17" s="20"/>
      <c r="I17" s="20"/>
      <c r="J17" s="22"/>
      <c r="K17" s="22"/>
      <c r="L17" s="105">
        <v>810</v>
      </c>
      <c r="M17" s="56">
        <v>68</v>
      </c>
      <c r="N17" s="103">
        <f t="shared" ref="N17:N26" si="0">L17*M17</f>
        <v>55080</v>
      </c>
      <c r="O17" s="135"/>
    </row>
    <row r="18" spans="1:20" s="2" customFormat="1" ht="21" customHeight="1">
      <c r="A18" s="9">
        <v>3</v>
      </c>
      <c r="B18" s="5" t="s">
        <v>1</v>
      </c>
      <c r="C18" s="18">
        <f>L18/100*100</f>
        <v>18430</v>
      </c>
      <c r="D18" s="93">
        <f>C18/100*331</f>
        <v>61003.3</v>
      </c>
      <c r="E18" s="20"/>
      <c r="F18" s="101">
        <f>C18/100*7.9</f>
        <v>1455.9700000000003</v>
      </c>
      <c r="G18" s="20"/>
      <c r="H18" s="20">
        <f>C18/100*1</f>
        <v>184.3</v>
      </c>
      <c r="I18" s="92">
        <f>C18/100*75.9</f>
        <v>13988.370000000003</v>
      </c>
      <c r="J18" s="22">
        <f>C18/100*30</f>
        <v>5529</v>
      </c>
      <c r="K18" s="22">
        <f>C18/100*0.1</f>
        <v>18.430000000000003</v>
      </c>
      <c r="L18" s="105">
        <v>18430</v>
      </c>
      <c r="M18" s="56">
        <v>18</v>
      </c>
      <c r="N18" s="103">
        <f t="shared" si="0"/>
        <v>331740</v>
      </c>
      <c r="O18" s="135"/>
    </row>
    <row r="19" spans="1:20" s="2" customFormat="1" ht="21" customHeight="1">
      <c r="A19" s="9">
        <v>4</v>
      </c>
      <c r="B19" s="10" t="s">
        <v>63</v>
      </c>
      <c r="C19" s="18">
        <f>L19/100*98</f>
        <v>4184.6000000000004</v>
      </c>
      <c r="D19" s="19">
        <f>C19/100*139</f>
        <v>5816.594000000001</v>
      </c>
      <c r="E19" s="92">
        <f>C19/100*19</f>
        <v>795.07400000000007</v>
      </c>
      <c r="F19" s="20"/>
      <c r="G19" s="20">
        <f>C19/100*7</f>
        <v>292.92200000000003</v>
      </c>
      <c r="H19" s="20"/>
      <c r="I19" s="20"/>
      <c r="J19" s="22">
        <f>C19/100*7</f>
        <v>292.92200000000003</v>
      </c>
      <c r="K19" s="22">
        <f>C19/100*0.9</f>
        <v>37.661400000000008</v>
      </c>
      <c r="L19" s="105">
        <v>4270</v>
      </c>
      <c r="M19" s="111">
        <v>137</v>
      </c>
      <c r="N19" s="103">
        <f t="shared" si="0"/>
        <v>584990</v>
      </c>
      <c r="O19" s="135"/>
    </row>
    <row r="20" spans="1:20" s="2" customFormat="1" ht="21" customHeight="1">
      <c r="A20" s="9">
        <v>5</v>
      </c>
      <c r="B20" s="10" t="s">
        <v>117</v>
      </c>
      <c r="C20" s="18">
        <f>L20/100*43</f>
        <v>937.4</v>
      </c>
      <c r="D20" s="19">
        <f>C20/100*83</f>
        <v>778.04200000000003</v>
      </c>
      <c r="E20" s="20">
        <f>C20/100*7.7</f>
        <v>72.1798</v>
      </c>
      <c r="F20" s="20"/>
      <c r="G20" s="20">
        <f>C20/100*5.5</f>
        <v>51.557000000000002</v>
      </c>
      <c r="H20" s="20"/>
      <c r="I20" s="20"/>
      <c r="J20" s="22"/>
      <c r="K20" s="22"/>
      <c r="L20" s="105">
        <v>2180</v>
      </c>
      <c r="M20" s="111">
        <v>137</v>
      </c>
      <c r="N20" s="103">
        <f>L20*M20</f>
        <v>298660</v>
      </c>
      <c r="O20" s="135"/>
    </row>
    <row r="21" spans="1:20" s="2" customFormat="1" ht="21" customHeight="1">
      <c r="A21" s="9">
        <v>6</v>
      </c>
      <c r="B21" s="5" t="s">
        <v>29</v>
      </c>
      <c r="C21" s="18">
        <f>L21/100*88</f>
        <v>4734.3999999999996</v>
      </c>
      <c r="D21" s="19">
        <f>C21/100*184</f>
        <v>8711.2959999999985</v>
      </c>
      <c r="E21" s="92">
        <f>C21/100*13</f>
        <v>615.47199999999998</v>
      </c>
      <c r="F21" s="20"/>
      <c r="G21" s="20">
        <f>C21/100*14.2</f>
        <v>672.2847999999999</v>
      </c>
      <c r="H21" s="20"/>
      <c r="I21" s="20">
        <f>C21/100*1</f>
        <v>47.343999999999994</v>
      </c>
      <c r="J21" s="22">
        <f>C21/100*71</f>
        <v>3361.4239999999995</v>
      </c>
      <c r="K21" s="22">
        <f>C21/100*0.15</f>
        <v>7.1015999999999986</v>
      </c>
      <c r="L21" s="105">
        <v>5380</v>
      </c>
      <c r="M21" s="56">
        <v>62</v>
      </c>
      <c r="N21" s="103">
        <f t="shared" si="0"/>
        <v>333560</v>
      </c>
      <c r="O21" s="135"/>
      <c r="Q21" s="3"/>
      <c r="R21" s="3"/>
      <c r="S21" s="4"/>
    </row>
    <row r="22" spans="1:20" s="2" customFormat="1" ht="21" customHeight="1">
      <c r="A22" s="9">
        <v>7</v>
      </c>
      <c r="B22" s="10" t="s">
        <v>3</v>
      </c>
      <c r="C22" s="18">
        <f>L22/100*98</f>
        <v>1901.1999999999998</v>
      </c>
      <c r="D22" s="19">
        <f>C22/100*118</f>
        <v>2243.4159999999997</v>
      </c>
      <c r="E22" s="92">
        <f>C22/100*21</f>
        <v>399.25199999999995</v>
      </c>
      <c r="F22" s="20"/>
      <c r="G22" s="20">
        <f>C22/100*3.8</f>
        <v>72.245599999999982</v>
      </c>
      <c r="H22" s="20"/>
      <c r="I22" s="20"/>
      <c r="J22" s="20">
        <f>C22/100*12</f>
        <v>228.14399999999995</v>
      </c>
      <c r="K22" s="20">
        <f>C22/100*0.1</f>
        <v>1.9011999999999998</v>
      </c>
      <c r="L22" s="105">
        <v>1940</v>
      </c>
      <c r="M22" s="111">
        <v>250</v>
      </c>
      <c r="N22" s="103">
        <f t="shared" si="0"/>
        <v>485000</v>
      </c>
      <c r="O22" s="135"/>
    </row>
    <row r="23" spans="1:20" s="2" customFormat="1" ht="21" customHeight="1">
      <c r="A23" s="9">
        <v>8</v>
      </c>
      <c r="B23" s="5" t="s">
        <v>4</v>
      </c>
      <c r="C23" s="18">
        <f>L23/100*98.5</f>
        <v>1950.3000000000002</v>
      </c>
      <c r="D23" s="19">
        <f>C23/100*39</f>
        <v>760.61699999999996</v>
      </c>
      <c r="E23" s="24"/>
      <c r="F23" s="24">
        <f>C23/100*1.5</f>
        <v>29.2545</v>
      </c>
      <c r="G23" s="24"/>
      <c r="H23" s="24">
        <f>C23/100*0.2</f>
        <v>3.9006000000000003</v>
      </c>
      <c r="I23" s="24">
        <f>C23/100*7.8</f>
        <v>152.1234</v>
      </c>
      <c r="J23" s="24">
        <f>C23/100*43</f>
        <v>838.62900000000002</v>
      </c>
      <c r="K23" s="24">
        <f>C23/100*0.06</f>
        <v>1.17018</v>
      </c>
      <c r="L23" s="374">
        <v>1980</v>
      </c>
      <c r="M23" s="21">
        <v>17</v>
      </c>
      <c r="N23" s="103">
        <f t="shared" si="0"/>
        <v>33660</v>
      </c>
      <c r="O23" s="135"/>
      <c r="Q23" s="3"/>
      <c r="R23" s="3"/>
      <c r="S23" s="4"/>
    </row>
    <row r="24" spans="1:20" s="2" customFormat="1" ht="21" customHeight="1">
      <c r="A24" s="9">
        <v>9</v>
      </c>
      <c r="B24" s="5" t="s">
        <v>116</v>
      </c>
      <c r="C24" s="18">
        <f>L24/100*87</f>
        <v>5072.0999999999995</v>
      </c>
      <c r="D24" s="19">
        <f>C24/100*21</f>
        <v>1065.1409999999998</v>
      </c>
      <c r="E24" s="24"/>
      <c r="F24" s="24">
        <f>C24/100*1.5</f>
        <v>76.081499999999991</v>
      </c>
      <c r="G24" s="24"/>
      <c r="H24" s="24">
        <f>C24/100*0.1</f>
        <v>5.0720999999999998</v>
      </c>
      <c r="I24" s="24">
        <f>C24/100*3.6</f>
        <v>182.59559999999999</v>
      </c>
      <c r="J24" s="24">
        <f>C24/100*40</f>
        <v>2028.84</v>
      </c>
      <c r="K24" s="24">
        <f>C24/100*0.06</f>
        <v>3.0432599999999996</v>
      </c>
      <c r="L24" s="374">
        <v>5830</v>
      </c>
      <c r="M24" s="21">
        <v>18</v>
      </c>
      <c r="N24" s="103">
        <f t="shared" si="0"/>
        <v>104940</v>
      </c>
      <c r="O24" s="135"/>
      <c r="Q24" s="3"/>
      <c r="R24" s="3"/>
      <c r="S24" s="4"/>
    </row>
    <row r="25" spans="1:20" s="2" customFormat="1" ht="21" customHeight="1">
      <c r="A25" s="67">
        <v>10</v>
      </c>
      <c r="B25" s="5" t="s">
        <v>65</v>
      </c>
      <c r="C25" s="18">
        <f>L25/100*75</f>
        <v>2910</v>
      </c>
      <c r="D25" s="19">
        <f>C25/100*12</f>
        <v>349.20000000000005</v>
      </c>
      <c r="E25" s="20"/>
      <c r="F25" s="20">
        <f>C25/100*0.6</f>
        <v>17.46</v>
      </c>
      <c r="G25" s="20"/>
      <c r="H25" s="20"/>
      <c r="I25" s="20">
        <f>C25/100*2.4</f>
        <v>69.84</v>
      </c>
      <c r="J25" s="20">
        <f>C25/100*26</f>
        <v>756.6</v>
      </c>
      <c r="K25" s="20">
        <f>C25/100*0.02</f>
        <v>0.58200000000000007</v>
      </c>
      <c r="L25" s="105">
        <v>3880</v>
      </c>
      <c r="M25" s="56">
        <v>30</v>
      </c>
      <c r="N25" s="103">
        <f t="shared" si="0"/>
        <v>116400</v>
      </c>
      <c r="O25" s="135"/>
    </row>
    <row r="26" spans="1:20" s="2" customFormat="1" ht="21" customHeight="1">
      <c r="A26" s="67">
        <v>11</v>
      </c>
      <c r="B26" s="5" t="s">
        <v>112</v>
      </c>
      <c r="C26" s="18">
        <f>L26/100*100</f>
        <v>190</v>
      </c>
      <c r="D26" s="19">
        <f>C26/100*247</f>
        <v>469.29999999999995</v>
      </c>
      <c r="E26" s="24"/>
      <c r="F26" s="24">
        <f>C26/100*17.5</f>
        <v>33.25</v>
      </c>
      <c r="G26" s="24"/>
      <c r="H26" s="24">
        <f>C26/100*1.6</f>
        <v>3.04</v>
      </c>
      <c r="I26" s="24">
        <f>C26/100*39.2</f>
        <v>74.48</v>
      </c>
      <c r="J26" s="52"/>
      <c r="K26" s="52"/>
      <c r="L26" s="374">
        <v>190</v>
      </c>
      <c r="M26" s="56">
        <v>50</v>
      </c>
      <c r="N26" s="23">
        <f t="shared" si="0"/>
        <v>9500</v>
      </c>
      <c r="O26" s="135"/>
      <c r="Q26" s="3"/>
      <c r="R26" s="3"/>
      <c r="S26" s="4"/>
      <c r="T26" s="3"/>
    </row>
    <row r="27" spans="1:20" s="2" customFormat="1" ht="21" customHeight="1">
      <c r="A27" s="67">
        <v>12</v>
      </c>
      <c r="B27" s="6" t="s">
        <v>104</v>
      </c>
      <c r="C27" s="18"/>
      <c r="D27" s="19"/>
      <c r="E27" s="20"/>
      <c r="F27" s="20"/>
      <c r="G27" s="20"/>
      <c r="H27" s="20"/>
      <c r="I27" s="20"/>
      <c r="J27" s="22"/>
      <c r="K27" s="22"/>
      <c r="L27" s="21"/>
      <c r="M27" s="21"/>
      <c r="N27" s="23">
        <v>14250</v>
      </c>
      <c r="O27" s="135"/>
    </row>
    <row r="28" spans="1:20" s="2" customFormat="1" ht="21" customHeight="1">
      <c r="A28" s="16" t="s">
        <v>101</v>
      </c>
      <c r="B28" s="17"/>
      <c r="C28" s="26"/>
      <c r="D28" s="94">
        <f>SUM(D16:D27)</f>
        <v>88628.805999999997</v>
      </c>
      <c r="E28" s="28"/>
      <c r="F28" s="28"/>
      <c r="G28" s="28"/>
      <c r="H28" s="28"/>
      <c r="I28" s="28"/>
      <c r="J28" s="28"/>
      <c r="K28" s="28"/>
      <c r="L28" s="29"/>
      <c r="M28" s="54"/>
      <c r="N28" s="180">
        <f>SUM(N16:N27)</f>
        <v>2372780</v>
      </c>
      <c r="O28" s="135"/>
    </row>
    <row r="29" spans="1:20" s="2" customFormat="1" ht="21" customHeight="1">
      <c r="A29" s="16" t="s">
        <v>6</v>
      </c>
      <c r="B29" s="17"/>
      <c r="C29" s="26"/>
      <c r="D29" s="27">
        <f>D28/D10</f>
        <v>456.8495154639175</v>
      </c>
      <c r="E29" s="28"/>
      <c r="F29" s="28"/>
      <c r="G29" s="28"/>
      <c r="H29" s="28"/>
      <c r="I29" s="28"/>
      <c r="J29" s="28"/>
      <c r="K29" s="28"/>
      <c r="L29" s="29"/>
      <c r="M29" s="55"/>
      <c r="N29" s="181"/>
      <c r="O29" s="135"/>
    </row>
    <row r="30" spans="1:20" s="2" customFormat="1" ht="21" customHeight="1">
      <c r="A30" s="222" t="s">
        <v>44</v>
      </c>
      <c r="B30" s="223"/>
      <c r="C30" s="375" t="s">
        <v>122</v>
      </c>
      <c r="D30" s="15" t="s">
        <v>41</v>
      </c>
      <c r="E30" s="28"/>
      <c r="F30" s="28"/>
      <c r="G30" s="28"/>
      <c r="H30" s="28"/>
      <c r="I30" s="28"/>
      <c r="J30" s="28"/>
      <c r="K30" s="28"/>
      <c r="L30" s="29"/>
      <c r="M30" s="29"/>
      <c r="N30" s="30"/>
      <c r="O30" s="135"/>
    </row>
    <row r="31" spans="1:20" s="2" customFormat="1" ht="21" customHeight="1">
      <c r="A31" s="224"/>
      <c r="B31" s="225"/>
      <c r="C31" s="57" t="s">
        <v>53</v>
      </c>
      <c r="D31" s="15">
        <f>D29*100/1320</f>
        <v>34.609811777569504</v>
      </c>
      <c r="E31" s="28"/>
      <c r="F31" s="28"/>
      <c r="G31" s="28"/>
      <c r="H31" s="28"/>
      <c r="I31" s="28"/>
      <c r="J31" s="28"/>
      <c r="K31" s="28"/>
      <c r="L31" s="29"/>
      <c r="M31" s="29"/>
      <c r="N31" s="30"/>
      <c r="O31" s="135"/>
    </row>
    <row r="32" spans="1:20" s="2" customFormat="1" ht="21" customHeight="1">
      <c r="A32" s="259" t="s">
        <v>34</v>
      </c>
      <c r="B32" s="259"/>
      <c r="C32" s="40"/>
      <c r="D32" s="41"/>
      <c r="E32" s="42"/>
      <c r="F32" s="42"/>
      <c r="G32" s="42"/>
      <c r="H32" s="42"/>
      <c r="I32" s="42"/>
      <c r="J32" s="42"/>
      <c r="K32" s="42"/>
      <c r="L32" s="43"/>
      <c r="M32" s="43"/>
      <c r="N32" s="51"/>
      <c r="O32" s="135"/>
    </row>
    <row r="33" spans="1:23" s="2" customFormat="1" ht="21" customHeight="1">
      <c r="A33" s="9">
        <v>1</v>
      </c>
      <c r="B33" s="10" t="s">
        <v>2</v>
      </c>
      <c r="C33" s="18">
        <f>L33/100*100</f>
        <v>229.99999999999997</v>
      </c>
      <c r="D33" s="19">
        <f>C33/100*60</f>
        <v>138</v>
      </c>
      <c r="E33" s="20">
        <f>C33/100*15</f>
        <v>34.5</v>
      </c>
      <c r="F33" s="20"/>
      <c r="G33" s="20"/>
      <c r="H33" s="20"/>
      <c r="I33" s="20"/>
      <c r="J33" s="22">
        <f>C33/100*387</f>
        <v>890.09999999999991</v>
      </c>
      <c r="K33" s="22">
        <f>C33/100*0.09</f>
        <v>0.20699999999999999</v>
      </c>
      <c r="L33" s="105">
        <v>230</v>
      </c>
      <c r="M33" s="56">
        <v>20</v>
      </c>
      <c r="N33" s="23">
        <f>L33*M33</f>
        <v>4600</v>
      </c>
      <c r="O33" s="135"/>
    </row>
    <row r="34" spans="1:23" s="2" customFormat="1" ht="20.399999999999999" customHeight="1">
      <c r="A34" s="9">
        <v>2</v>
      </c>
      <c r="B34" s="5" t="s">
        <v>64</v>
      </c>
      <c r="C34" s="18">
        <f>L34/100*100</f>
        <v>5430</v>
      </c>
      <c r="D34" s="93">
        <f>C34/100*344</f>
        <v>18679.2</v>
      </c>
      <c r="E34" s="20"/>
      <c r="F34" s="92">
        <f>C34/100*8.6</f>
        <v>466.97999999999996</v>
      </c>
      <c r="G34" s="20"/>
      <c r="H34" s="20">
        <f>C34/100*1.5</f>
        <v>81.449999999999989</v>
      </c>
      <c r="I34" s="20">
        <f>C34/100*74.5</f>
        <v>4045.35</v>
      </c>
      <c r="J34" s="20">
        <f>C34/100*32</f>
        <v>1737.6</v>
      </c>
      <c r="K34" s="20">
        <f>C34/100*0.14</f>
        <v>7.6020000000000003</v>
      </c>
      <c r="L34" s="105">
        <v>5430</v>
      </c>
      <c r="M34" s="56">
        <v>30</v>
      </c>
      <c r="N34" s="23">
        <f t="shared" ref="N34" si="1">L34*M34</f>
        <v>162900</v>
      </c>
      <c r="O34" s="135"/>
      <c r="P34" s="14"/>
    </row>
    <row r="35" spans="1:23" s="2" customFormat="1" ht="21" customHeight="1">
      <c r="A35" s="9">
        <v>3</v>
      </c>
      <c r="B35" s="115" t="s">
        <v>115</v>
      </c>
      <c r="C35" s="18">
        <f>L35/100*100</f>
        <v>450</v>
      </c>
      <c r="D35" s="19">
        <f>C35/100*899</f>
        <v>4045.5</v>
      </c>
      <c r="E35" s="20"/>
      <c r="F35" s="20"/>
      <c r="G35" s="20">
        <f>C35/100*100</f>
        <v>450</v>
      </c>
      <c r="H35" s="20"/>
      <c r="I35" s="20"/>
      <c r="J35" s="20"/>
      <c r="K35" s="20"/>
      <c r="L35" s="105">
        <v>450</v>
      </c>
      <c r="M35" s="112">
        <v>68</v>
      </c>
      <c r="N35" s="23">
        <f t="shared" ref="N35:N40" si="2">L35*M35</f>
        <v>30600</v>
      </c>
      <c r="O35" s="390"/>
    </row>
    <row r="36" spans="1:23" s="2" customFormat="1" ht="19.2" customHeight="1">
      <c r="A36" s="9">
        <v>4</v>
      </c>
      <c r="B36" s="131" t="s">
        <v>119</v>
      </c>
      <c r="C36" s="18">
        <f>L36/100*100</f>
        <v>860</v>
      </c>
      <c r="D36" s="93">
        <f>C36/100*900</f>
        <v>7740</v>
      </c>
      <c r="E36" s="20"/>
      <c r="F36" s="20"/>
      <c r="G36" s="92"/>
      <c r="H36" s="20">
        <f>C36/100*100</f>
        <v>860</v>
      </c>
      <c r="I36" s="20"/>
      <c r="J36" s="20"/>
      <c r="K36" s="20"/>
      <c r="L36" s="105">
        <v>860</v>
      </c>
      <c r="M36" s="56">
        <v>63.5</v>
      </c>
      <c r="N36" s="23">
        <f>L36*M36</f>
        <v>54610</v>
      </c>
      <c r="O36" s="390"/>
    </row>
    <row r="37" spans="1:23" s="2" customFormat="1" ht="21" customHeight="1">
      <c r="A37" s="9">
        <v>5</v>
      </c>
      <c r="B37" s="5" t="s">
        <v>112</v>
      </c>
      <c r="C37" s="18">
        <f>L37/100*100</f>
        <v>110.00000000000001</v>
      </c>
      <c r="D37" s="19">
        <f>C37/100*247</f>
        <v>271.70000000000005</v>
      </c>
      <c r="E37" s="24"/>
      <c r="F37" s="24">
        <f>C37/100*17.5</f>
        <v>19.25</v>
      </c>
      <c r="G37" s="24"/>
      <c r="H37" s="24">
        <f>C37/100*1.6</f>
        <v>1.7600000000000002</v>
      </c>
      <c r="I37" s="24">
        <f>C37/100*39.2</f>
        <v>43.120000000000005</v>
      </c>
      <c r="J37" s="52"/>
      <c r="K37" s="52"/>
      <c r="L37" s="374">
        <v>110</v>
      </c>
      <c r="M37" s="56">
        <v>50</v>
      </c>
      <c r="N37" s="23">
        <f>L37*M37</f>
        <v>5500</v>
      </c>
      <c r="O37" s="135"/>
      <c r="Q37" s="3"/>
      <c r="R37" s="3"/>
      <c r="S37" s="4"/>
      <c r="T37" s="3"/>
    </row>
    <row r="38" spans="1:23" s="2" customFormat="1" ht="20.399999999999999" customHeight="1">
      <c r="A38" s="147">
        <v>6</v>
      </c>
      <c r="B38" s="132" t="s">
        <v>142</v>
      </c>
      <c r="C38" s="18">
        <f>L38/100*20</f>
        <v>970</v>
      </c>
      <c r="D38" s="19">
        <f>C38/100*26</f>
        <v>252.2</v>
      </c>
      <c r="E38" s="20"/>
      <c r="F38" s="20">
        <f>C38/100*0.4</f>
        <v>3.88</v>
      </c>
      <c r="G38" s="20"/>
      <c r="H38" s="20">
        <f>C38/100*1.6</f>
        <v>15.52</v>
      </c>
      <c r="I38" s="20">
        <f>C38/100*2.1</f>
        <v>20.37</v>
      </c>
      <c r="J38" s="20"/>
      <c r="K38" s="20"/>
      <c r="L38" s="391">
        <v>4850</v>
      </c>
      <c r="M38" s="56">
        <v>25</v>
      </c>
      <c r="N38" s="23">
        <f t="shared" ref="N38" si="3">L38*M38</f>
        <v>121250</v>
      </c>
      <c r="O38" s="392"/>
      <c r="P38" s="402"/>
    </row>
    <row r="39" spans="1:23" s="2" customFormat="1" ht="21" customHeight="1">
      <c r="A39" s="9">
        <v>7</v>
      </c>
      <c r="B39" s="10" t="s">
        <v>63</v>
      </c>
      <c r="C39" s="18">
        <f>L39/100*98</f>
        <v>4762.8</v>
      </c>
      <c r="D39" s="19">
        <f>C39/100*139</f>
        <v>6620.2920000000004</v>
      </c>
      <c r="E39" s="92">
        <f>C39/100*19</f>
        <v>904.93200000000002</v>
      </c>
      <c r="F39" s="92"/>
      <c r="G39" s="20">
        <f>C39/100*7</f>
        <v>333.39600000000002</v>
      </c>
      <c r="H39" s="20"/>
      <c r="I39" s="20"/>
      <c r="J39" s="22">
        <f>C39/100*7</f>
        <v>333.39600000000002</v>
      </c>
      <c r="K39" s="22">
        <f>C39/100*0.9</f>
        <v>42.865200000000002</v>
      </c>
      <c r="L39" s="105">
        <v>4860</v>
      </c>
      <c r="M39" s="111">
        <v>137</v>
      </c>
      <c r="N39" s="23">
        <f t="shared" si="2"/>
        <v>665820</v>
      </c>
      <c r="O39" s="135"/>
    </row>
    <row r="40" spans="1:23" s="2" customFormat="1" ht="20.399999999999999" customHeight="1">
      <c r="A40" s="9">
        <v>8</v>
      </c>
      <c r="B40" s="5" t="s">
        <v>66</v>
      </c>
      <c r="C40" s="18">
        <f>L40/100*80</f>
        <v>20952</v>
      </c>
      <c r="D40" s="19">
        <f>C40/100*40</f>
        <v>8380.8000000000011</v>
      </c>
      <c r="E40" s="92"/>
      <c r="F40" s="92">
        <f>C40/100*1.3</f>
        <v>272.37600000000003</v>
      </c>
      <c r="G40" s="20"/>
      <c r="H40" s="20"/>
      <c r="I40" s="20">
        <f>C40/100*2.8</f>
        <v>586.65599999999995</v>
      </c>
      <c r="J40" s="20">
        <f>C40/100*11</f>
        <v>2304.7200000000003</v>
      </c>
      <c r="K40" s="20"/>
      <c r="L40" s="391">
        <v>26190</v>
      </c>
      <c r="M40" s="56">
        <v>32</v>
      </c>
      <c r="N40" s="23">
        <f t="shared" si="2"/>
        <v>838080</v>
      </c>
      <c r="O40" s="392"/>
      <c r="P40" s="402"/>
    </row>
    <row r="41" spans="1:23" s="2" customFormat="1" ht="21" customHeight="1">
      <c r="A41" s="86">
        <v>9</v>
      </c>
      <c r="B41" s="85" t="s">
        <v>104</v>
      </c>
      <c r="C41" s="77"/>
      <c r="D41" s="78"/>
      <c r="E41" s="79"/>
      <c r="F41" s="79"/>
      <c r="G41" s="79"/>
      <c r="H41" s="79"/>
      <c r="I41" s="79"/>
      <c r="J41" s="79"/>
      <c r="K41" s="79"/>
      <c r="L41" s="80"/>
      <c r="M41" s="80"/>
      <c r="N41" s="81">
        <v>12600</v>
      </c>
      <c r="O41" s="135"/>
    </row>
    <row r="42" spans="1:23" ht="19.8" customHeight="1">
      <c r="A42" s="171" t="s">
        <v>59</v>
      </c>
      <c r="B42" s="174" t="s">
        <v>19</v>
      </c>
      <c r="C42" s="289" t="s">
        <v>8</v>
      </c>
      <c r="D42" s="177" t="s">
        <v>9</v>
      </c>
      <c r="E42" s="182" t="s">
        <v>11</v>
      </c>
      <c r="F42" s="183"/>
      <c r="G42" s="182" t="s">
        <v>13</v>
      </c>
      <c r="H42" s="183"/>
      <c r="I42" s="186" t="s">
        <v>16</v>
      </c>
      <c r="J42" s="186" t="s">
        <v>39</v>
      </c>
      <c r="K42" s="186" t="s">
        <v>40</v>
      </c>
      <c r="L42" s="186" t="s">
        <v>17</v>
      </c>
      <c r="M42" s="186" t="s">
        <v>48</v>
      </c>
      <c r="N42" s="171" t="s">
        <v>18</v>
      </c>
      <c r="O42" s="389"/>
    </row>
    <row r="43" spans="1:23" ht="19.8" customHeight="1">
      <c r="A43" s="172"/>
      <c r="B43" s="175"/>
      <c r="C43" s="290"/>
      <c r="D43" s="178"/>
      <c r="E43" s="184"/>
      <c r="F43" s="185"/>
      <c r="G43" s="184"/>
      <c r="H43" s="185"/>
      <c r="I43" s="187"/>
      <c r="J43" s="187"/>
      <c r="K43" s="187"/>
      <c r="L43" s="187"/>
      <c r="M43" s="187"/>
      <c r="N43" s="172"/>
      <c r="O43" s="161"/>
    </row>
    <row r="44" spans="1:23" ht="19.8" customHeight="1">
      <c r="A44" s="172"/>
      <c r="B44" s="175"/>
      <c r="C44" s="290"/>
      <c r="D44" s="178"/>
      <c r="E44" s="186" t="s">
        <v>10</v>
      </c>
      <c r="F44" s="186" t="s">
        <v>12</v>
      </c>
      <c r="G44" s="186" t="s">
        <v>14</v>
      </c>
      <c r="H44" s="186" t="s">
        <v>15</v>
      </c>
      <c r="I44" s="187"/>
      <c r="J44" s="187"/>
      <c r="K44" s="187"/>
      <c r="L44" s="187"/>
      <c r="M44" s="187"/>
      <c r="N44" s="172"/>
      <c r="O44" s="161"/>
    </row>
    <row r="45" spans="1:23" ht="19.8" customHeight="1">
      <c r="A45" s="173"/>
      <c r="B45" s="176"/>
      <c r="C45" s="291"/>
      <c r="D45" s="179"/>
      <c r="E45" s="188"/>
      <c r="F45" s="188"/>
      <c r="G45" s="188"/>
      <c r="H45" s="188"/>
      <c r="I45" s="188"/>
      <c r="J45" s="188"/>
      <c r="K45" s="188"/>
      <c r="L45" s="188"/>
      <c r="M45" s="188"/>
      <c r="N45" s="173"/>
      <c r="O45" s="161"/>
    </row>
    <row r="46" spans="1:23" s="2" customFormat="1" ht="19.2" customHeight="1">
      <c r="A46" s="16" t="s">
        <v>93</v>
      </c>
      <c r="B46" s="17"/>
      <c r="C46" s="26"/>
      <c r="D46" s="94">
        <f>SUM(D33:D41)</f>
        <v>46127.692000000003</v>
      </c>
      <c r="E46" s="31"/>
      <c r="F46" s="31"/>
      <c r="G46" s="31"/>
      <c r="H46" s="31"/>
      <c r="I46" s="31"/>
      <c r="J46" s="31"/>
      <c r="K46" s="31"/>
      <c r="L46" s="32"/>
      <c r="M46" s="247"/>
      <c r="N46" s="260">
        <f>SUM(N33:N41)</f>
        <v>1895960</v>
      </c>
      <c r="O46" s="135"/>
    </row>
    <row r="47" spans="1:23" ht="19.2" customHeight="1">
      <c r="A47" s="16" t="s">
        <v>7</v>
      </c>
      <c r="B47" s="17"/>
      <c r="C47" s="33"/>
      <c r="D47" s="34">
        <f>D46/D10</f>
        <v>237.77160824742271</v>
      </c>
      <c r="E47" s="34"/>
      <c r="F47" s="34"/>
      <c r="G47" s="34"/>
      <c r="H47" s="34"/>
      <c r="I47" s="34"/>
      <c r="J47" s="34"/>
      <c r="K47" s="34"/>
      <c r="L47" s="35"/>
      <c r="M47" s="248"/>
      <c r="N47" s="261"/>
      <c r="O47" s="4"/>
      <c r="P47" s="2"/>
      <c r="Q47" s="2"/>
      <c r="R47" s="2"/>
      <c r="S47" s="2"/>
      <c r="T47" s="2"/>
      <c r="U47" s="2"/>
      <c r="V47" s="2"/>
    </row>
    <row r="48" spans="1:23" ht="19.2" customHeight="1">
      <c r="A48" s="222" t="s">
        <v>45</v>
      </c>
      <c r="B48" s="223"/>
      <c r="C48" s="375" t="s">
        <v>122</v>
      </c>
      <c r="D48" s="15" t="s">
        <v>51</v>
      </c>
      <c r="E48" s="34"/>
      <c r="F48" s="34"/>
      <c r="G48" s="34"/>
      <c r="H48" s="34"/>
      <c r="I48" s="34"/>
      <c r="J48" s="36"/>
      <c r="K48" s="36"/>
      <c r="L48" s="35"/>
      <c r="M48" s="35"/>
      <c r="N48" s="162"/>
      <c r="O48" s="4"/>
      <c r="P48" s="2"/>
      <c r="Q48" s="2"/>
      <c r="R48" s="2"/>
      <c r="S48" s="2"/>
      <c r="T48" s="2"/>
      <c r="U48" s="2"/>
      <c r="V48" s="2"/>
      <c r="W48" s="2"/>
    </row>
    <row r="49" spans="1:23" ht="19.2" customHeight="1">
      <c r="A49" s="224"/>
      <c r="B49" s="225"/>
      <c r="C49" s="57" t="s">
        <v>53</v>
      </c>
      <c r="D49" s="15">
        <f>D47*100/1320</f>
        <v>18.01300062480475</v>
      </c>
      <c r="E49" s="34"/>
      <c r="F49" s="34"/>
      <c r="G49" s="34"/>
      <c r="H49" s="34"/>
      <c r="I49" s="34"/>
      <c r="J49" s="36"/>
      <c r="K49" s="36"/>
      <c r="L49" s="35"/>
      <c r="M49" s="35"/>
      <c r="N49" s="162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303" t="s">
        <v>92</v>
      </c>
      <c r="B50" s="304"/>
      <c r="C50" s="226"/>
      <c r="D50" s="228">
        <f>D28+D46</f>
        <v>134756.49799999999</v>
      </c>
      <c r="E50" s="96">
        <f>SUM(E16:E41)</f>
        <v>2858.9098000000004</v>
      </c>
      <c r="F50" s="96">
        <f t="shared" ref="F50:H50" si="4">SUM(F16:F41)</f>
        <v>2374.5020000000004</v>
      </c>
      <c r="G50" s="96">
        <f t="shared" si="4"/>
        <v>2682.4054000000001</v>
      </c>
      <c r="H50" s="96">
        <f t="shared" si="4"/>
        <v>1155.0427</v>
      </c>
      <c r="I50" s="245">
        <f>SUM(I16:I41)</f>
        <v>19210.249</v>
      </c>
      <c r="J50" s="245">
        <f>SUM(J16:J41)</f>
        <v>19268.875000000004</v>
      </c>
      <c r="K50" s="254">
        <f>SUM(K16:K41)</f>
        <v>120.78884000000001</v>
      </c>
      <c r="L50" s="239"/>
      <c r="M50" s="239"/>
      <c r="N50" s="271">
        <f>N28+N46</f>
        <v>4268740</v>
      </c>
      <c r="P50" s="2"/>
      <c r="Q50" s="2"/>
      <c r="R50" s="2"/>
      <c r="S50" s="2"/>
      <c r="T50" s="2"/>
      <c r="U50" s="2"/>
      <c r="V50" s="2"/>
    </row>
    <row r="51" spans="1:23" ht="19.2" customHeight="1">
      <c r="A51" s="305"/>
      <c r="B51" s="306"/>
      <c r="C51" s="227"/>
      <c r="D51" s="229"/>
      <c r="E51" s="284">
        <f>E50+F50</f>
        <v>5233.4118000000008</v>
      </c>
      <c r="F51" s="285"/>
      <c r="G51" s="199">
        <f>G50+H50</f>
        <v>3837.4481000000001</v>
      </c>
      <c r="H51" s="200"/>
      <c r="I51" s="246"/>
      <c r="J51" s="307"/>
      <c r="K51" s="308"/>
      <c r="L51" s="239"/>
      <c r="M51" s="239"/>
      <c r="N51" s="271"/>
      <c r="U51" s="12"/>
      <c r="V51" s="12"/>
    </row>
    <row r="52" spans="1:23" ht="19.2" customHeight="1">
      <c r="A52" s="213" t="s">
        <v>67</v>
      </c>
      <c r="B52" s="214"/>
      <c r="C52" s="215"/>
      <c r="D52" s="106">
        <f>D50/D10</f>
        <v>694.62112371134015</v>
      </c>
      <c r="E52" s="376">
        <f>E50/D10</f>
        <v>14.736648453608248</v>
      </c>
      <c r="F52" s="377">
        <f>F50/D10</f>
        <v>12.239701030927836</v>
      </c>
      <c r="G52" s="376">
        <f>G50/D10</f>
        <v>13.826831958762886</v>
      </c>
      <c r="H52" s="396">
        <f>H50/D10</f>
        <v>5.9538283505154634</v>
      </c>
      <c r="I52" s="201">
        <f>I50/D10</f>
        <v>99.02190206185567</v>
      </c>
      <c r="J52" s="309">
        <f>J50/D10</f>
        <v>99.324097938144348</v>
      </c>
      <c r="K52" s="309">
        <f>K50/D10</f>
        <v>0.62262288659793819</v>
      </c>
      <c r="L52" s="239"/>
      <c r="M52" s="239"/>
      <c r="N52" s="271"/>
      <c r="U52" s="12"/>
      <c r="V52" s="12"/>
    </row>
    <row r="53" spans="1:23" ht="19.2" customHeight="1">
      <c r="A53" s="216"/>
      <c r="B53" s="217"/>
      <c r="C53" s="218"/>
      <c r="D53" s="98"/>
      <c r="E53" s="378">
        <f>E52+F52</f>
        <v>26.976349484536087</v>
      </c>
      <c r="F53" s="379"/>
      <c r="G53" s="378">
        <f>G52+H52</f>
        <v>19.78066030927835</v>
      </c>
      <c r="H53" s="379"/>
      <c r="I53" s="202"/>
      <c r="J53" s="309"/>
      <c r="K53" s="309"/>
      <c r="L53" s="239"/>
      <c r="M53" s="239"/>
      <c r="N53" s="271"/>
      <c r="Q53" s="372"/>
      <c r="R53" s="372"/>
      <c r="S53" s="372"/>
      <c r="T53" s="372"/>
      <c r="U53" s="401"/>
      <c r="V53" s="401"/>
    </row>
    <row r="54" spans="1:23" ht="19.2" customHeight="1">
      <c r="A54" s="219" t="s">
        <v>70</v>
      </c>
      <c r="B54" s="220"/>
      <c r="C54" s="221"/>
      <c r="D54" s="160" t="s">
        <v>27</v>
      </c>
      <c r="E54" s="170" t="s">
        <v>21</v>
      </c>
      <c r="F54" s="170"/>
      <c r="G54" s="170" t="s">
        <v>22</v>
      </c>
      <c r="H54" s="170"/>
      <c r="I54" s="163" t="s">
        <v>23</v>
      </c>
      <c r="J54" s="380">
        <v>600</v>
      </c>
      <c r="K54" s="380">
        <v>0.7</v>
      </c>
      <c r="L54" s="239"/>
      <c r="M54" s="239"/>
      <c r="N54" s="271"/>
      <c r="O54" s="398"/>
      <c r="P54" s="397"/>
      <c r="Q54" s="372"/>
      <c r="R54" s="372"/>
      <c r="S54" s="372"/>
      <c r="T54" s="372"/>
      <c r="U54" s="372"/>
      <c r="V54" s="372"/>
    </row>
    <row r="55" spans="1:23" ht="19.2" customHeight="1">
      <c r="A55" s="192" t="s">
        <v>68</v>
      </c>
      <c r="B55" s="258"/>
      <c r="C55" s="193"/>
      <c r="D55" s="37"/>
      <c r="E55" s="197">
        <f>E53*4.1</f>
        <v>110.60303288659794</v>
      </c>
      <c r="F55" s="198"/>
      <c r="G55" s="197">
        <f>G53*9</f>
        <v>178.02594278350514</v>
      </c>
      <c r="H55" s="198"/>
      <c r="I55" s="66">
        <f>I52*4.1</f>
        <v>405.98979845360822</v>
      </c>
      <c r="J55" s="230"/>
      <c r="K55" s="230"/>
      <c r="L55" s="239"/>
      <c r="M55" s="239"/>
      <c r="N55" s="271"/>
      <c r="O55" s="398"/>
      <c r="P55" s="402"/>
      <c r="Q55" s="371"/>
      <c r="R55" s="371"/>
      <c r="S55" s="371"/>
    </row>
    <row r="56" spans="1:23" ht="19.2" customHeight="1">
      <c r="A56" s="233" t="s">
        <v>77</v>
      </c>
      <c r="B56" s="234"/>
      <c r="C56" s="192" t="s">
        <v>52</v>
      </c>
      <c r="D56" s="193"/>
      <c r="E56" s="301">
        <f>E55*100/D52</f>
        <v>15.922785690082272</v>
      </c>
      <c r="F56" s="302"/>
      <c r="G56" s="301">
        <f>G55*100/D52</f>
        <v>25.629215223446966</v>
      </c>
      <c r="H56" s="302"/>
      <c r="I56" s="89">
        <f>I55*100/D52</f>
        <v>58.447660831910312</v>
      </c>
      <c r="J56" s="231"/>
      <c r="K56" s="231"/>
      <c r="L56" s="239"/>
      <c r="M56" s="239"/>
      <c r="N56" s="271"/>
      <c r="O56" s="398"/>
      <c r="P56" s="109"/>
      <c r="Q56" s="109"/>
      <c r="R56" s="109"/>
      <c r="S56" s="109"/>
    </row>
    <row r="57" spans="1:23" ht="19.2" customHeight="1">
      <c r="A57" s="235"/>
      <c r="B57" s="236"/>
      <c r="C57" s="192" t="s">
        <v>69</v>
      </c>
      <c r="D57" s="193"/>
      <c r="E57" s="192" t="s">
        <v>72</v>
      </c>
      <c r="F57" s="193"/>
      <c r="G57" s="192" t="s">
        <v>73</v>
      </c>
      <c r="H57" s="193"/>
      <c r="I57" s="160" t="s">
        <v>74</v>
      </c>
      <c r="J57" s="232"/>
      <c r="K57" s="232"/>
      <c r="L57" s="239"/>
      <c r="M57" s="239"/>
      <c r="N57" s="271"/>
      <c r="O57" s="398"/>
    </row>
    <row r="58" spans="1:23" ht="19.2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3"/>
      <c r="M58" s="73"/>
      <c r="N58" s="74"/>
      <c r="O58" s="398"/>
      <c r="P58" s="399"/>
    </row>
    <row r="59" spans="1:23" ht="21" customHeight="1">
      <c r="A59" s="240" t="s">
        <v>95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398"/>
    </row>
    <row r="60" spans="1:23" ht="21" customHeight="1">
      <c r="A60" s="90" t="s">
        <v>96</v>
      </c>
      <c r="B60" s="241" t="s">
        <v>97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398"/>
    </row>
    <row r="61" spans="1:23" ht="21" customHeight="1">
      <c r="A61" s="91"/>
      <c r="B61" s="211" t="s">
        <v>171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398"/>
    </row>
    <row r="62" spans="1:23" ht="21" customHeight="1">
      <c r="A62" s="91"/>
      <c r="B62" s="211" t="s">
        <v>172</v>
      </c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398"/>
    </row>
    <row r="63" spans="1:23" ht="21" customHeight="1">
      <c r="A63" s="91"/>
      <c r="B63" s="211" t="s">
        <v>148</v>
      </c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398"/>
    </row>
    <row r="64" spans="1:23" ht="21" customHeight="1">
      <c r="A64" s="69"/>
      <c r="B64" s="212" t="s">
        <v>98</v>
      </c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398"/>
    </row>
    <row r="65" spans="1:15" ht="21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3"/>
      <c r="M65" s="73"/>
      <c r="N65" s="74"/>
      <c r="O65" s="398"/>
    </row>
    <row r="66" spans="1:15" ht="21" customHeight="1">
      <c r="A66" s="210" t="s">
        <v>55</v>
      </c>
      <c r="B66" s="210"/>
      <c r="C66" s="210"/>
      <c r="D66" s="210"/>
      <c r="E66" s="381"/>
      <c r="F66" s="381"/>
      <c r="G66" s="381"/>
      <c r="H66" s="381"/>
      <c r="I66" s="381"/>
      <c r="J66" s="382" t="s">
        <v>32</v>
      </c>
      <c r="K66" s="382"/>
      <c r="L66" s="382"/>
      <c r="M66" s="382"/>
      <c r="N66" s="382"/>
      <c r="O66" s="398"/>
    </row>
    <row r="67" spans="1:15" ht="21" customHeight="1">
      <c r="A67" s="161"/>
      <c r="B67" s="161"/>
      <c r="C67" s="161"/>
      <c r="D67" s="381"/>
      <c r="E67" s="381"/>
      <c r="F67" s="381"/>
      <c r="G67" s="381"/>
      <c r="H67" s="383"/>
      <c r="I67" s="383"/>
      <c r="J67" s="383"/>
      <c r="K67" s="383"/>
      <c r="L67" s="383"/>
      <c r="M67" s="383"/>
      <c r="N67" s="383"/>
      <c r="O67" s="398"/>
    </row>
    <row r="68" spans="1:15" ht="21" customHeight="1">
      <c r="A68" s="161"/>
      <c r="B68" s="161"/>
      <c r="C68" s="161"/>
      <c r="D68" s="381"/>
      <c r="E68" s="381"/>
      <c r="F68" s="381"/>
      <c r="G68" s="381"/>
      <c r="H68" s="383"/>
      <c r="I68" s="383"/>
      <c r="J68" s="383"/>
      <c r="K68" s="383"/>
      <c r="L68" s="383"/>
      <c r="M68" s="383"/>
      <c r="N68" s="383"/>
      <c r="O68" s="398"/>
    </row>
    <row r="69" spans="1:15" ht="21" customHeight="1">
      <c r="A69" s="161"/>
      <c r="B69" s="161"/>
      <c r="C69" s="161"/>
      <c r="D69" s="381"/>
      <c r="E69" s="381"/>
      <c r="F69" s="381"/>
      <c r="G69" s="381"/>
      <c r="H69" s="383"/>
      <c r="I69" s="383"/>
      <c r="J69" s="384" t="s">
        <v>105</v>
      </c>
      <c r="K69" s="384"/>
      <c r="L69" s="384"/>
      <c r="M69" s="384"/>
      <c r="N69" s="384"/>
      <c r="O69" s="398"/>
    </row>
    <row r="70" spans="1:15" ht="21" customHeight="1">
      <c r="A70" s="194" t="s">
        <v>80</v>
      </c>
      <c r="B70" s="194"/>
      <c r="C70" s="194"/>
      <c r="D70" s="194"/>
      <c r="E70" s="381"/>
      <c r="F70" s="381"/>
      <c r="G70" s="381"/>
      <c r="H70" s="383"/>
      <c r="I70" s="383"/>
      <c r="O70" s="398"/>
    </row>
    <row r="71" spans="1:15" ht="19.2" customHeight="1">
      <c r="A71" s="161"/>
      <c r="B71" s="161"/>
      <c r="C71" s="161"/>
      <c r="D71" s="381"/>
      <c r="E71" s="381"/>
      <c r="F71" s="381"/>
      <c r="G71" s="381"/>
      <c r="H71" s="383"/>
      <c r="I71" s="383"/>
      <c r="J71" s="383"/>
      <c r="K71" s="383"/>
      <c r="L71" s="383"/>
      <c r="M71" s="383"/>
      <c r="N71" s="383"/>
      <c r="O71" s="398"/>
    </row>
    <row r="72" spans="1:15" ht="19.2" customHeight="1">
      <c r="A72" s="161"/>
      <c r="B72" s="161"/>
      <c r="C72" s="161"/>
      <c r="D72" s="381"/>
      <c r="E72" s="381"/>
      <c r="F72" s="381"/>
      <c r="G72" s="381"/>
      <c r="H72" s="383"/>
      <c r="I72" s="383"/>
      <c r="J72" s="383"/>
      <c r="K72" s="383"/>
      <c r="L72" s="383"/>
      <c r="M72" s="383"/>
      <c r="N72" s="383"/>
      <c r="O72" s="398"/>
    </row>
    <row r="73" spans="1:15" ht="19.2" customHeight="1">
      <c r="A73" s="161"/>
      <c r="B73" s="161"/>
      <c r="C73" s="161"/>
      <c r="D73" s="381"/>
      <c r="E73" s="381"/>
      <c r="F73" s="381"/>
      <c r="G73" s="381"/>
      <c r="H73" s="383"/>
      <c r="I73" s="383"/>
      <c r="J73" s="384" t="s">
        <v>108</v>
      </c>
      <c r="K73" s="384"/>
      <c r="L73" s="384"/>
      <c r="M73" s="384"/>
      <c r="N73" s="384"/>
      <c r="O73" s="398"/>
    </row>
    <row r="74" spans="1:15" ht="19.2" customHeight="1">
      <c r="A74" s="161"/>
      <c r="B74" s="161"/>
      <c r="C74" s="161"/>
      <c r="D74" s="381"/>
      <c r="E74" s="381"/>
      <c r="F74" s="381"/>
      <c r="G74" s="381"/>
      <c r="H74" s="383"/>
      <c r="I74" s="383"/>
      <c r="J74" s="383"/>
      <c r="K74" s="383"/>
      <c r="L74" s="383"/>
      <c r="M74" s="383"/>
      <c r="N74" s="383"/>
      <c r="O74" s="398"/>
    </row>
    <row r="75" spans="1:15" ht="19.2" customHeight="1">
      <c r="A75" s="161"/>
      <c r="B75" s="161"/>
      <c r="C75" s="161"/>
      <c r="D75" s="381"/>
      <c r="E75" s="381"/>
      <c r="F75" s="381"/>
      <c r="G75" s="381"/>
      <c r="H75" s="383"/>
      <c r="I75" s="383"/>
      <c r="J75" s="383"/>
      <c r="K75" s="383"/>
      <c r="L75" s="383"/>
      <c r="M75" s="383"/>
      <c r="N75" s="383"/>
      <c r="O75" s="398"/>
    </row>
    <row r="76" spans="1:15" ht="19.2" customHeight="1">
      <c r="A76" s="161"/>
      <c r="B76" s="161"/>
      <c r="C76" s="161"/>
      <c r="D76" s="381"/>
      <c r="E76" s="381"/>
      <c r="F76" s="381"/>
      <c r="G76" s="381"/>
      <c r="H76" s="383"/>
      <c r="I76" s="383"/>
      <c r="J76" s="383"/>
      <c r="K76" s="383"/>
      <c r="L76" s="383"/>
      <c r="M76" s="383"/>
      <c r="N76" s="383"/>
      <c r="O76" s="398"/>
    </row>
    <row r="77" spans="1:15" ht="19.2" customHeight="1">
      <c r="A77" s="161"/>
      <c r="B77" s="161"/>
      <c r="C77" s="161"/>
      <c r="D77" s="381"/>
      <c r="E77" s="381"/>
      <c r="F77" s="381"/>
      <c r="G77" s="381"/>
      <c r="H77" s="383"/>
      <c r="I77" s="383"/>
      <c r="J77" s="383"/>
      <c r="K77" s="383"/>
      <c r="L77" s="383"/>
      <c r="M77" s="383"/>
      <c r="N77" s="383"/>
      <c r="O77" s="398"/>
    </row>
    <row r="78" spans="1:15" ht="19.2" customHeight="1">
      <c r="A78" s="161"/>
      <c r="B78" s="161"/>
      <c r="C78" s="161"/>
      <c r="D78" s="381"/>
      <c r="E78" s="381"/>
      <c r="F78" s="381"/>
      <c r="G78" s="381"/>
      <c r="H78" s="383"/>
      <c r="I78" s="383"/>
      <c r="J78" s="383"/>
      <c r="K78" s="383"/>
      <c r="L78" s="383"/>
      <c r="M78" s="383"/>
      <c r="N78" s="383"/>
      <c r="O78" s="398"/>
    </row>
    <row r="79" spans="1:15" ht="19.2" customHeight="1">
      <c r="A79" s="161"/>
      <c r="B79" s="161"/>
      <c r="C79" s="161"/>
      <c r="D79" s="381"/>
      <c r="E79" s="381"/>
      <c r="F79" s="381"/>
      <c r="G79" s="381"/>
      <c r="H79" s="383"/>
      <c r="I79" s="383"/>
      <c r="J79" s="383"/>
      <c r="K79" s="383"/>
      <c r="L79" s="383"/>
      <c r="M79" s="383"/>
      <c r="N79" s="383"/>
      <c r="O79" s="398"/>
    </row>
    <row r="80" spans="1:15" ht="19.2" customHeight="1">
      <c r="A80" s="161"/>
      <c r="B80" s="161"/>
      <c r="C80" s="161"/>
      <c r="D80" s="381"/>
      <c r="E80" s="381"/>
      <c r="F80" s="381"/>
      <c r="G80" s="381"/>
      <c r="H80" s="383"/>
      <c r="I80" s="383"/>
      <c r="J80" s="383"/>
      <c r="K80" s="383"/>
      <c r="L80" s="383"/>
      <c r="M80" s="383"/>
      <c r="N80" s="383"/>
      <c r="O80" s="398"/>
    </row>
    <row r="81" spans="1:20" ht="19.2" customHeight="1">
      <c r="A81" s="161"/>
      <c r="B81" s="161"/>
      <c r="C81" s="161"/>
      <c r="D81" s="381"/>
      <c r="E81" s="381"/>
      <c r="F81" s="381"/>
      <c r="G81" s="381"/>
      <c r="H81" s="383"/>
      <c r="I81" s="383"/>
      <c r="J81" s="383"/>
      <c r="K81" s="383"/>
      <c r="L81" s="383"/>
      <c r="M81" s="383"/>
      <c r="N81" s="383"/>
      <c r="O81" s="398"/>
    </row>
    <row r="82" spans="1:20" ht="19.2" customHeight="1">
      <c r="A82" s="161"/>
      <c r="B82" s="161"/>
      <c r="C82" s="161"/>
      <c r="D82" s="381"/>
      <c r="E82" s="381"/>
      <c r="F82" s="381"/>
      <c r="G82" s="381"/>
      <c r="H82" s="383"/>
      <c r="I82" s="383"/>
      <c r="J82" s="383"/>
      <c r="K82" s="383"/>
      <c r="L82" s="383"/>
      <c r="M82" s="383"/>
      <c r="N82" s="383"/>
      <c r="O82" s="398"/>
    </row>
    <row r="83" spans="1:20" ht="19.2" customHeight="1">
      <c r="A83" s="161"/>
      <c r="B83" s="161"/>
      <c r="C83" s="161"/>
      <c r="D83" s="381"/>
      <c r="E83" s="381"/>
      <c r="F83" s="381"/>
      <c r="G83" s="381"/>
      <c r="H83" s="383"/>
      <c r="I83" s="383"/>
      <c r="J83" s="383"/>
      <c r="K83" s="383"/>
      <c r="L83" s="383"/>
      <c r="M83" s="383"/>
      <c r="N83" s="383"/>
      <c r="O83" s="398"/>
    </row>
    <row r="84" spans="1:20" ht="19.2" customHeight="1">
      <c r="A84" s="11" t="s">
        <v>54</v>
      </c>
      <c r="B84" s="8"/>
      <c r="C84" s="8"/>
      <c r="D84" s="8"/>
      <c r="E84" s="8"/>
      <c r="F84" s="244" t="s">
        <v>31</v>
      </c>
      <c r="G84" s="244"/>
      <c r="H84" s="244"/>
      <c r="I84" s="244"/>
      <c r="J84" s="244"/>
      <c r="K84" s="244"/>
      <c r="L84" s="244"/>
      <c r="M84" s="244"/>
      <c r="N84" s="244"/>
      <c r="O84" s="159"/>
      <c r="P84" s="159"/>
      <c r="T84" s="2"/>
    </row>
    <row r="85" spans="1:20" ht="19.2" customHeight="1">
      <c r="A85" s="8" t="s">
        <v>164</v>
      </c>
      <c r="B85" s="8"/>
      <c r="C85" s="8"/>
      <c r="D85" s="8"/>
      <c r="E85" s="8"/>
      <c r="F85" s="165"/>
      <c r="G85" s="165"/>
      <c r="H85" s="165"/>
      <c r="I85" s="165"/>
      <c r="J85" s="165"/>
      <c r="K85" s="165"/>
      <c r="L85" s="165"/>
      <c r="M85" s="165"/>
      <c r="N85" s="165"/>
      <c r="O85" s="159"/>
      <c r="P85" s="159"/>
      <c r="T85" s="2"/>
    </row>
    <row r="86" spans="1:20" s="2" customFormat="1" ht="19.2" customHeight="1">
      <c r="A86" s="170" t="s">
        <v>84</v>
      </c>
      <c r="B86" s="170"/>
      <c r="C86" s="170"/>
      <c r="D86" s="170"/>
      <c r="E86" s="170" t="s">
        <v>78</v>
      </c>
      <c r="F86" s="170"/>
      <c r="G86" s="170"/>
      <c r="H86" s="170"/>
      <c r="I86" s="170"/>
      <c r="J86" s="170"/>
      <c r="K86" s="170"/>
      <c r="L86" s="170"/>
      <c r="M86" s="170"/>
      <c r="N86" s="170"/>
      <c r="O86" s="388"/>
    </row>
    <row r="87" spans="1:20" s="2" customFormat="1" ht="19.2" customHeight="1">
      <c r="A87" s="170"/>
      <c r="B87" s="170"/>
      <c r="C87" s="170"/>
      <c r="D87" s="170"/>
      <c r="E87" s="170" t="s">
        <v>86</v>
      </c>
      <c r="F87" s="170"/>
      <c r="G87" s="170"/>
      <c r="H87" s="170"/>
      <c r="I87" s="170"/>
      <c r="J87" s="170" t="s">
        <v>87</v>
      </c>
      <c r="K87" s="170"/>
      <c r="L87" s="170"/>
      <c r="M87" s="170"/>
      <c r="N87" s="170"/>
      <c r="O87" s="388"/>
    </row>
    <row r="88" spans="1:20" s="2" customFormat="1" ht="19.2" customHeight="1">
      <c r="A88" s="242" t="s">
        <v>79</v>
      </c>
      <c r="B88" s="242"/>
      <c r="C88" s="242"/>
      <c r="D88" s="242"/>
      <c r="E88" s="243" t="s">
        <v>66</v>
      </c>
      <c r="F88" s="243"/>
      <c r="G88" s="243"/>
      <c r="H88" s="243"/>
      <c r="I88" s="243"/>
      <c r="J88" s="292" t="s">
        <v>79</v>
      </c>
      <c r="K88" s="293"/>
      <c r="L88" s="293"/>
      <c r="M88" s="293"/>
      <c r="N88" s="294"/>
      <c r="O88" s="388"/>
    </row>
    <row r="89" spans="1:20" s="2" customFormat="1" ht="19.2" customHeight="1">
      <c r="A89" s="295" t="s">
        <v>129</v>
      </c>
      <c r="B89" s="296"/>
      <c r="C89" s="296"/>
      <c r="D89" s="297"/>
      <c r="E89" s="243"/>
      <c r="F89" s="243"/>
      <c r="G89" s="243"/>
      <c r="H89" s="243"/>
      <c r="I89" s="243"/>
      <c r="J89" s="295" t="s">
        <v>130</v>
      </c>
      <c r="K89" s="296"/>
      <c r="L89" s="296"/>
      <c r="M89" s="296"/>
      <c r="N89" s="297"/>
      <c r="O89" s="388"/>
    </row>
    <row r="90" spans="1:20" s="2" customFormat="1" ht="19.2" customHeight="1">
      <c r="A90" s="196" t="s">
        <v>126</v>
      </c>
      <c r="B90" s="196"/>
      <c r="C90" s="196"/>
      <c r="D90" s="196"/>
      <c r="E90" s="243"/>
      <c r="F90" s="243"/>
      <c r="G90" s="243"/>
      <c r="H90" s="243"/>
      <c r="I90" s="243"/>
      <c r="J90" s="298" t="s">
        <v>131</v>
      </c>
      <c r="K90" s="299"/>
      <c r="L90" s="299"/>
      <c r="M90" s="299"/>
      <c r="N90" s="300"/>
      <c r="O90" s="388"/>
    </row>
    <row r="91" spans="1:20" ht="19.2" customHeight="1">
      <c r="A91" s="207" t="s">
        <v>103</v>
      </c>
      <c r="B91" s="208"/>
      <c r="C91" s="209"/>
      <c r="D91" s="99">
        <v>47</v>
      </c>
      <c r="E91" s="8"/>
      <c r="F91" s="165"/>
      <c r="G91" s="165"/>
      <c r="H91" s="165"/>
      <c r="I91" s="165"/>
      <c r="J91" s="165"/>
      <c r="K91" s="165"/>
      <c r="L91" s="165"/>
      <c r="M91" s="165"/>
      <c r="N91" s="165"/>
      <c r="O91" s="159"/>
      <c r="P91" s="159"/>
      <c r="T91" s="2"/>
    </row>
    <row r="92" spans="1:20" ht="19.2" customHeight="1">
      <c r="A92" s="171" t="s">
        <v>59</v>
      </c>
      <c r="B92" s="174" t="s">
        <v>19</v>
      </c>
      <c r="C92" s="289" t="s">
        <v>8</v>
      </c>
      <c r="D92" s="177" t="s">
        <v>9</v>
      </c>
      <c r="E92" s="182" t="s">
        <v>11</v>
      </c>
      <c r="F92" s="183"/>
      <c r="G92" s="182" t="s">
        <v>13</v>
      </c>
      <c r="H92" s="183"/>
      <c r="I92" s="186" t="s">
        <v>16</v>
      </c>
      <c r="J92" s="186" t="s">
        <v>39</v>
      </c>
      <c r="K92" s="186" t="s">
        <v>40</v>
      </c>
      <c r="L92" s="186" t="s">
        <v>17</v>
      </c>
      <c r="M92" s="186" t="s">
        <v>49</v>
      </c>
      <c r="N92" s="171" t="s">
        <v>18</v>
      </c>
      <c r="O92" s="389"/>
    </row>
    <row r="93" spans="1:20" ht="19.2" customHeight="1">
      <c r="A93" s="172"/>
      <c r="B93" s="175"/>
      <c r="C93" s="290"/>
      <c r="D93" s="178"/>
      <c r="E93" s="184"/>
      <c r="F93" s="185"/>
      <c r="G93" s="184"/>
      <c r="H93" s="185"/>
      <c r="I93" s="187"/>
      <c r="J93" s="187"/>
      <c r="K93" s="187"/>
      <c r="L93" s="187"/>
      <c r="M93" s="187"/>
      <c r="N93" s="172"/>
      <c r="O93" s="161"/>
    </row>
    <row r="94" spans="1:20" ht="19.2" customHeight="1">
      <c r="A94" s="172"/>
      <c r="B94" s="175"/>
      <c r="C94" s="290"/>
      <c r="D94" s="178"/>
      <c r="E94" s="186" t="s">
        <v>10</v>
      </c>
      <c r="F94" s="186" t="s">
        <v>12</v>
      </c>
      <c r="G94" s="186" t="s">
        <v>14</v>
      </c>
      <c r="H94" s="186" t="s">
        <v>15</v>
      </c>
      <c r="I94" s="187"/>
      <c r="J94" s="187"/>
      <c r="K94" s="187"/>
      <c r="L94" s="187"/>
      <c r="M94" s="187"/>
      <c r="N94" s="172"/>
      <c r="O94" s="161"/>
    </row>
    <row r="95" spans="1:20" ht="19.2" customHeight="1">
      <c r="A95" s="173"/>
      <c r="B95" s="176"/>
      <c r="C95" s="291"/>
      <c r="D95" s="179"/>
      <c r="E95" s="188"/>
      <c r="F95" s="188"/>
      <c r="G95" s="188"/>
      <c r="H95" s="188"/>
      <c r="I95" s="188"/>
      <c r="J95" s="188"/>
      <c r="K95" s="188"/>
      <c r="L95" s="188"/>
      <c r="M95" s="188"/>
      <c r="N95" s="173"/>
      <c r="O95" s="161"/>
    </row>
    <row r="96" spans="1:20" ht="19.2" customHeight="1">
      <c r="A96" s="249" t="s">
        <v>38</v>
      </c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1"/>
      <c r="O96" s="161"/>
    </row>
    <row r="97" spans="1:23" s="2" customFormat="1" ht="19.2" customHeight="1">
      <c r="A97" s="9">
        <v>1</v>
      </c>
      <c r="B97" s="10" t="s">
        <v>2</v>
      </c>
      <c r="C97" s="18">
        <f>L97/100*100</f>
        <v>60</v>
      </c>
      <c r="D97" s="19">
        <f>C97/100*60</f>
        <v>36</v>
      </c>
      <c r="E97" s="20">
        <f>C97/100*15</f>
        <v>9</v>
      </c>
      <c r="F97" s="20"/>
      <c r="G97" s="20"/>
      <c r="H97" s="20"/>
      <c r="I97" s="20"/>
      <c r="J97" s="22">
        <f>C97/100*387</f>
        <v>232.2</v>
      </c>
      <c r="K97" s="22">
        <f>C97/100*0.09</f>
        <v>5.3999999999999999E-2</v>
      </c>
      <c r="L97" s="105">
        <v>60</v>
      </c>
      <c r="M97" s="56">
        <v>20</v>
      </c>
      <c r="N97" s="23">
        <f>L97*M97</f>
        <v>1200</v>
      </c>
      <c r="O97" s="135"/>
    </row>
    <row r="98" spans="1:23" s="2" customFormat="1" ht="19.2" customHeight="1">
      <c r="A98" s="9">
        <v>2</v>
      </c>
      <c r="B98" s="115" t="s">
        <v>115</v>
      </c>
      <c r="C98" s="18">
        <f>L98/100*100</f>
        <v>310</v>
      </c>
      <c r="D98" s="19">
        <f>C98/100*899</f>
        <v>2786.9</v>
      </c>
      <c r="E98" s="20"/>
      <c r="F98" s="20"/>
      <c r="G98" s="20">
        <f>C98/100*100</f>
        <v>310</v>
      </c>
      <c r="H98" s="20"/>
      <c r="I98" s="20"/>
      <c r="J98" s="20"/>
      <c r="K98" s="20"/>
      <c r="L98" s="105">
        <v>310</v>
      </c>
      <c r="M98" s="112">
        <v>68</v>
      </c>
      <c r="N98" s="23">
        <f t="shared" ref="N98:N105" si="5">L98*M98</f>
        <v>21080</v>
      </c>
      <c r="O98" s="390"/>
    </row>
    <row r="99" spans="1:23" s="2" customFormat="1" ht="19.2" customHeight="1">
      <c r="A99" s="9">
        <v>3</v>
      </c>
      <c r="B99" s="5" t="s">
        <v>1</v>
      </c>
      <c r="C99" s="18">
        <f>L99/100*100</f>
        <v>2021</v>
      </c>
      <c r="D99" s="19">
        <f>C99/100*344</f>
        <v>6952.2400000000007</v>
      </c>
      <c r="E99" s="20"/>
      <c r="F99" s="92">
        <f>C99/100*7.9</f>
        <v>159.65900000000002</v>
      </c>
      <c r="G99" s="20"/>
      <c r="H99" s="20">
        <f>C99/100*1</f>
        <v>20.21</v>
      </c>
      <c r="I99" s="20">
        <f>C99/100*73</f>
        <v>1475.3300000000002</v>
      </c>
      <c r="J99" s="22">
        <f>C99/100*30</f>
        <v>606.30000000000007</v>
      </c>
      <c r="K99" s="22">
        <f>C99/100*0.1</f>
        <v>2.0210000000000004</v>
      </c>
      <c r="L99" s="105">
        <v>2021</v>
      </c>
      <c r="M99" s="56">
        <v>18</v>
      </c>
      <c r="N99" s="23">
        <f t="shared" si="5"/>
        <v>36378</v>
      </c>
      <c r="O99" s="135"/>
    </row>
    <row r="100" spans="1:23" s="2" customFormat="1" ht="19.2" customHeight="1">
      <c r="A100" s="9">
        <v>4</v>
      </c>
      <c r="B100" s="10" t="s">
        <v>63</v>
      </c>
      <c r="C100" s="18">
        <f>L100/100*98</f>
        <v>1009.4000000000001</v>
      </c>
      <c r="D100" s="19">
        <f>C100/100*139</f>
        <v>1403.0660000000003</v>
      </c>
      <c r="E100" s="92">
        <f>C100/100*19</f>
        <v>191.78600000000003</v>
      </c>
      <c r="F100" s="20"/>
      <c r="G100" s="20">
        <f>C100/100*7</f>
        <v>70.658000000000015</v>
      </c>
      <c r="H100" s="20"/>
      <c r="I100" s="20"/>
      <c r="J100" s="22">
        <f>C100/100*7</f>
        <v>70.658000000000015</v>
      </c>
      <c r="K100" s="22">
        <f>C100/100*0.9</f>
        <v>9.0846000000000018</v>
      </c>
      <c r="L100" s="105">
        <v>1030</v>
      </c>
      <c r="M100" s="111">
        <v>137</v>
      </c>
      <c r="N100" s="23">
        <f t="shared" si="5"/>
        <v>141110</v>
      </c>
      <c r="O100" s="135"/>
    </row>
    <row r="101" spans="1:23" s="2" customFormat="1" ht="19.2" customHeight="1">
      <c r="A101" s="9">
        <v>5</v>
      </c>
      <c r="B101" s="5" t="s">
        <v>29</v>
      </c>
      <c r="C101" s="18">
        <f>L101/100*88</f>
        <v>1161.5999999999999</v>
      </c>
      <c r="D101" s="19">
        <f>C101/100*184</f>
        <v>2137.3440000000001</v>
      </c>
      <c r="E101" s="92">
        <f>C101/100*13</f>
        <v>151.00799999999998</v>
      </c>
      <c r="F101" s="20"/>
      <c r="G101" s="20">
        <f>C101/100*14.2</f>
        <v>164.94719999999998</v>
      </c>
      <c r="H101" s="20"/>
      <c r="I101" s="20">
        <f>C101/100*1</f>
        <v>11.616</v>
      </c>
      <c r="J101" s="22">
        <f>C101/100*71</f>
        <v>824.73599999999999</v>
      </c>
      <c r="K101" s="22">
        <f>C101/100*0.15</f>
        <v>1.7423999999999999</v>
      </c>
      <c r="L101" s="105">
        <v>1320</v>
      </c>
      <c r="M101" s="21">
        <v>62</v>
      </c>
      <c r="N101" s="23">
        <f t="shared" si="5"/>
        <v>81840</v>
      </c>
      <c r="O101" s="135"/>
      <c r="Q101" s="3"/>
      <c r="R101" s="3"/>
      <c r="S101" s="4"/>
    </row>
    <row r="102" spans="1:23" s="2" customFormat="1" ht="19.2" customHeight="1">
      <c r="A102" s="9">
        <v>5</v>
      </c>
      <c r="B102" s="10" t="s">
        <v>117</v>
      </c>
      <c r="C102" s="18">
        <f>L102/100*43</f>
        <v>305.3</v>
      </c>
      <c r="D102" s="19">
        <f>C102/100*83</f>
        <v>253.399</v>
      </c>
      <c r="E102" s="20">
        <f>C102/100*7.7</f>
        <v>23.508099999999999</v>
      </c>
      <c r="F102" s="20"/>
      <c r="G102" s="20">
        <f>C102/100*5.5</f>
        <v>16.791499999999999</v>
      </c>
      <c r="H102" s="20"/>
      <c r="I102" s="20"/>
      <c r="J102" s="22"/>
      <c r="K102" s="22"/>
      <c r="L102" s="105">
        <v>710</v>
      </c>
      <c r="M102" s="111">
        <v>137</v>
      </c>
      <c r="N102" s="103">
        <f>L102*M102</f>
        <v>97270</v>
      </c>
      <c r="O102" s="135"/>
    </row>
    <row r="103" spans="1:23" s="2" customFormat="1" ht="19.2" customHeight="1">
      <c r="A103" s="9">
        <v>9</v>
      </c>
      <c r="B103" s="5" t="s">
        <v>116</v>
      </c>
      <c r="C103" s="18">
        <f>L103/100*87</f>
        <v>983.1</v>
      </c>
      <c r="D103" s="19">
        <f>C103/100*21</f>
        <v>206.45099999999999</v>
      </c>
      <c r="E103" s="24"/>
      <c r="F103" s="24">
        <f>C103/100*1.5</f>
        <v>14.746499999999999</v>
      </c>
      <c r="G103" s="24"/>
      <c r="H103" s="24">
        <f>C103/100*0.1</f>
        <v>0.98309999999999997</v>
      </c>
      <c r="I103" s="24">
        <f>C103/100*3.6</f>
        <v>35.391599999999997</v>
      </c>
      <c r="J103" s="24">
        <f>C103/100*40</f>
        <v>393.24</v>
      </c>
      <c r="K103" s="24">
        <f>C103/100*0.06</f>
        <v>0.58985999999999994</v>
      </c>
      <c r="L103" s="374">
        <v>1130</v>
      </c>
      <c r="M103" s="21">
        <v>18</v>
      </c>
      <c r="N103" s="103">
        <f t="shared" ref="N103:N104" si="6">L103*M103</f>
        <v>20340</v>
      </c>
      <c r="O103" s="135"/>
      <c r="Q103" s="3"/>
      <c r="R103" s="3"/>
      <c r="S103" s="4"/>
    </row>
    <row r="104" spans="1:23" s="2" customFormat="1" ht="19.2" customHeight="1">
      <c r="A104" s="9">
        <v>8</v>
      </c>
      <c r="B104" s="5" t="s">
        <v>4</v>
      </c>
      <c r="C104" s="18">
        <f>L104/100*98.5</f>
        <v>374.29999999999995</v>
      </c>
      <c r="D104" s="19">
        <f>C104/100*39</f>
        <v>145.97699999999998</v>
      </c>
      <c r="E104" s="24"/>
      <c r="F104" s="24">
        <f>C104/100*1.5</f>
        <v>5.6144999999999996</v>
      </c>
      <c r="G104" s="24"/>
      <c r="H104" s="24">
        <f>C104/100*0.2</f>
        <v>0.74859999999999993</v>
      </c>
      <c r="I104" s="24">
        <f>C104/100*7.8</f>
        <v>29.195399999999996</v>
      </c>
      <c r="J104" s="24">
        <f>C104/100*43</f>
        <v>160.94899999999998</v>
      </c>
      <c r="K104" s="24">
        <f>C104/100*0.06</f>
        <v>0.22457999999999995</v>
      </c>
      <c r="L104" s="374">
        <v>380</v>
      </c>
      <c r="M104" s="21">
        <v>17</v>
      </c>
      <c r="N104" s="103">
        <f t="shared" si="6"/>
        <v>6460</v>
      </c>
      <c r="O104" s="135"/>
      <c r="Q104" s="3"/>
      <c r="R104" s="3"/>
      <c r="S104" s="4"/>
    </row>
    <row r="105" spans="1:23" s="2" customFormat="1" ht="19.2" customHeight="1">
      <c r="A105" s="9">
        <v>9</v>
      </c>
      <c r="B105" s="5" t="s">
        <v>112</v>
      </c>
      <c r="C105" s="18">
        <f>L105/100*100</f>
        <v>40</v>
      </c>
      <c r="D105" s="19">
        <f>C105/100*247</f>
        <v>98.800000000000011</v>
      </c>
      <c r="E105" s="24"/>
      <c r="F105" s="24">
        <f>C105/100*17.5</f>
        <v>7</v>
      </c>
      <c r="G105" s="24"/>
      <c r="H105" s="24">
        <f>C105/100*1.6</f>
        <v>0.64000000000000012</v>
      </c>
      <c r="I105" s="24">
        <f>C105/100*39.2</f>
        <v>15.680000000000001</v>
      </c>
      <c r="J105" s="52"/>
      <c r="K105" s="52"/>
      <c r="L105" s="374">
        <v>40</v>
      </c>
      <c r="M105" s="56">
        <v>50</v>
      </c>
      <c r="N105" s="23">
        <f t="shared" si="5"/>
        <v>2000</v>
      </c>
      <c r="O105" s="135"/>
      <c r="Q105" s="3"/>
      <c r="R105" s="3"/>
      <c r="S105" s="4"/>
      <c r="T105" s="3"/>
    </row>
    <row r="106" spans="1:23" s="2" customFormat="1" ht="19.2" customHeight="1">
      <c r="A106" s="61">
        <v>10</v>
      </c>
      <c r="B106" s="6" t="s">
        <v>104</v>
      </c>
      <c r="C106" s="18"/>
      <c r="D106" s="19"/>
      <c r="E106" s="20"/>
      <c r="F106" s="20"/>
      <c r="G106" s="20"/>
      <c r="H106" s="20"/>
      <c r="I106" s="20"/>
      <c r="J106" s="22"/>
      <c r="K106" s="22"/>
      <c r="L106" s="21"/>
      <c r="M106" s="21"/>
      <c r="N106" s="23">
        <v>3200</v>
      </c>
      <c r="O106" s="135"/>
    </row>
    <row r="107" spans="1:23" s="2" customFormat="1" ht="19.2" customHeight="1">
      <c r="A107" s="16" t="s">
        <v>99</v>
      </c>
      <c r="B107" s="17"/>
      <c r="C107" s="26"/>
      <c r="D107" s="94">
        <f>SUM(D97:D106)</f>
        <v>14020.177000000001</v>
      </c>
      <c r="E107" s="31"/>
      <c r="F107" s="31"/>
      <c r="G107" s="31"/>
      <c r="H107" s="31"/>
      <c r="I107" s="31"/>
      <c r="J107" s="31"/>
      <c r="K107" s="31"/>
      <c r="L107" s="32"/>
      <c r="M107" s="247"/>
      <c r="N107" s="286">
        <f>SUM(N97:N106)</f>
        <v>410878</v>
      </c>
      <c r="O107" s="135"/>
    </row>
    <row r="108" spans="1:23" ht="19.2" customHeight="1">
      <c r="A108" s="16" t="s">
        <v>36</v>
      </c>
      <c r="B108" s="17"/>
      <c r="C108" s="33"/>
      <c r="D108" s="34">
        <f>D107/D91</f>
        <v>298.30163829787239</v>
      </c>
      <c r="E108" s="34"/>
      <c r="F108" s="34"/>
      <c r="G108" s="34"/>
      <c r="H108" s="34"/>
      <c r="I108" s="34"/>
      <c r="J108" s="34"/>
      <c r="K108" s="34"/>
      <c r="L108" s="35"/>
      <c r="M108" s="248"/>
      <c r="N108" s="287"/>
      <c r="O108" s="4"/>
      <c r="P108" s="2"/>
      <c r="Q108" s="2"/>
      <c r="R108" s="2"/>
      <c r="S108" s="2"/>
      <c r="T108" s="2"/>
      <c r="U108" s="2"/>
      <c r="V108" s="2"/>
    </row>
    <row r="109" spans="1:23" ht="19.2" customHeight="1">
      <c r="A109" s="222" t="s">
        <v>46</v>
      </c>
      <c r="B109" s="223"/>
      <c r="C109" s="375" t="s">
        <v>122</v>
      </c>
      <c r="D109" s="15" t="s">
        <v>41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62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9.2" customHeight="1">
      <c r="A110" s="224"/>
      <c r="B110" s="225"/>
      <c r="C110" s="57" t="s">
        <v>53</v>
      </c>
      <c r="D110" s="59">
        <f>D108*100/930</f>
        <v>32.07544497826585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62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9.2" customHeight="1">
      <c r="A111" s="259" t="s">
        <v>37</v>
      </c>
      <c r="B111" s="259"/>
      <c r="C111" s="40"/>
      <c r="D111" s="41"/>
      <c r="E111" s="42"/>
      <c r="F111" s="42"/>
      <c r="G111" s="42"/>
      <c r="H111" s="42"/>
      <c r="I111" s="42"/>
      <c r="J111" s="42"/>
      <c r="K111" s="42"/>
      <c r="L111" s="43"/>
      <c r="M111" s="43"/>
      <c r="N111" s="44"/>
      <c r="O111" s="135"/>
    </row>
    <row r="112" spans="1:23" s="2" customFormat="1" ht="19.2" customHeight="1">
      <c r="A112" s="9">
        <v>1</v>
      </c>
      <c r="B112" s="10" t="s">
        <v>2</v>
      </c>
      <c r="C112" s="18">
        <f>L112/100*100</f>
        <v>60</v>
      </c>
      <c r="D112" s="19">
        <f>C112/100*60</f>
        <v>36</v>
      </c>
      <c r="E112" s="20">
        <f>C112/100*15</f>
        <v>9</v>
      </c>
      <c r="F112" s="20"/>
      <c r="G112" s="20"/>
      <c r="H112" s="20"/>
      <c r="I112" s="20"/>
      <c r="J112" s="22">
        <f>C112/100*387</f>
        <v>232.2</v>
      </c>
      <c r="K112" s="22">
        <f>C112/100*0.09</f>
        <v>5.3999999999999999E-2</v>
      </c>
      <c r="L112" s="105">
        <v>60</v>
      </c>
      <c r="M112" s="56">
        <v>20</v>
      </c>
      <c r="N112" s="23">
        <f>L112*M112</f>
        <v>1200</v>
      </c>
      <c r="O112" s="135"/>
    </row>
    <row r="113" spans="1:23" s="2" customFormat="1" ht="19.2" customHeight="1">
      <c r="A113" s="9">
        <v>2</v>
      </c>
      <c r="B113" s="133" t="s">
        <v>115</v>
      </c>
      <c r="C113" s="18">
        <f>L113/100*100</f>
        <v>70</v>
      </c>
      <c r="D113" s="19">
        <f>C113/100*899</f>
        <v>629.29999999999995</v>
      </c>
      <c r="E113" s="20"/>
      <c r="F113" s="20"/>
      <c r="G113" s="20">
        <f>C113/100*100</f>
        <v>70</v>
      </c>
      <c r="H113" s="20"/>
      <c r="I113" s="20"/>
      <c r="J113" s="22"/>
      <c r="K113" s="22"/>
      <c r="L113" s="105">
        <v>70</v>
      </c>
      <c r="M113" s="56">
        <v>68</v>
      </c>
      <c r="N113" s="23">
        <f t="shared" ref="N113:N119" si="7">L113*M113</f>
        <v>4760</v>
      </c>
      <c r="O113" s="135"/>
    </row>
    <row r="114" spans="1:23" s="2" customFormat="1" ht="19.2" customHeight="1">
      <c r="A114" s="9">
        <v>3</v>
      </c>
      <c r="B114" s="131" t="s">
        <v>119</v>
      </c>
      <c r="C114" s="18">
        <f>L114/100*100</f>
        <v>210</v>
      </c>
      <c r="D114" s="93">
        <f>C114/100*900</f>
        <v>1890</v>
      </c>
      <c r="E114" s="20"/>
      <c r="F114" s="20"/>
      <c r="G114" s="92"/>
      <c r="H114" s="20">
        <f>C114/100*100</f>
        <v>210</v>
      </c>
      <c r="I114" s="20"/>
      <c r="J114" s="20"/>
      <c r="K114" s="20"/>
      <c r="L114" s="105">
        <v>210</v>
      </c>
      <c r="M114" s="56">
        <v>63.5</v>
      </c>
      <c r="N114" s="23">
        <f t="shared" si="7"/>
        <v>13335</v>
      </c>
      <c r="O114" s="390"/>
    </row>
    <row r="115" spans="1:23" s="2" customFormat="1" ht="19.2" customHeight="1">
      <c r="A115" s="9">
        <v>4</v>
      </c>
      <c r="B115" s="132" t="s">
        <v>60</v>
      </c>
      <c r="C115" s="18">
        <f>L115/100*98</f>
        <v>186.2</v>
      </c>
      <c r="D115" s="19">
        <f>C115/100*573</f>
        <v>1066.9259999999999</v>
      </c>
      <c r="E115" s="24"/>
      <c r="F115" s="24">
        <f>C115/100*27.5</f>
        <v>51.204999999999998</v>
      </c>
      <c r="G115" s="24"/>
      <c r="H115" s="24">
        <f>C115/100*44.5</f>
        <v>82.858999999999995</v>
      </c>
      <c r="I115" s="24">
        <f>C115/100*15.5</f>
        <v>28.860999999999997</v>
      </c>
      <c r="J115" s="52">
        <f>C115/100*68</f>
        <v>126.61599999999999</v>
      </c>
      <c r="K115" s="52">
        <f>C115/100*0.44</f>
        <v>0.8192799999999999</v>
      </c>
      <c r="L115" s="374">
        <v>190</v>
      </c>
      <c r="M115" s="21">
        <v>70</v>
      </c>
      <c r="N115" s="23">
        <f t="shared" si="7"/>
        <v>13300</v>
      </c>
      <c r="O115" s="135"/>
      <c r="Q115" s="3"/>
      <c r="R115" s="3"/>
      <c r="S115" s="4"/>
    </row>
    <row r="116" spans="1:23" s="2" customFormat="1" ht="19.2" customHeight="1">
      <c r="A116" s="9">
        <v>5</v>
      </c>
      <c r="B116" s="132" t="s">
        <v>1</v>
      </c>
      <c r="C116" s="18">
        <f>L116/100*100</f>
        <v>1973.9999999999998</v>
      </c>
      <c r="D116" s="19">
        <f>C116/100*344</f>
        <v>6790.5599999999995</v>
      </c>
      <c r="E116" s="20"/>
      <c r="F116" s="92">
        <f>C116/100*7.9</f>
        <v>155.946</v>
      </c>
      <c r="G116" s="20"/>
      <c r="H116" s="20">
        <f>C116/100*1</f>
        <v>19.739999999999998</v>
      </c>
      <c r="I116" s="20">
        <f>C116/100*73</f>
        <v>1441.02</v>
      </c>
      <c r="J116" s="22">
        <f>C116/100*30</f>
        <v>592.19999999999993</v>
      </c>
      <c r="K116" s="22">
        <f>C116/100*0.1</f>
        <v>1.974</v>
      </c>
      <c r="L116" s="105">
        <v>1974</v>
      </c>
      <c r="M116" s="56">
        <v>18</v>
      </c>
      <c r="N116" s="23">
        <f t="shared" si="7"/>
        <v>35532</v>
      </c>
      <c r="O116" s="135"/>
    </row>
    <row r="117" spans="1:23" s="2" customFormat="1" ht="19.2" customHeight="1">
      <c r="A117" s="9">
        <v>6</v>
      </c>
      <c r="B117" s="132" t="s">
        <v>89</v>
      </c>
      <c r="C117" s="18">
        <f>L117/100*87</f>
        <v>1148.3999999999999</v>
      </c>
      <c r="D117" s="19">
        <f>C117/100*14</f>
        <v>160.77599999999998</v>
      </c>
      <c r="E117" s="20"/>
      <c r="F117" s="20">
        <f>C117/100*1.9</f>
        <v>21.819599999999994</v>
      </c>
      <c r="G117" s="20"/>
      <c r="H117" s="20"/>
      <c r="I117" s="20">
        <f>C117/100*1.6</f>
        <v>18.374399999999998</v>
      </c>
      <c r="J117" s="92">
        <f>C117/100*48.7</f>
        <v>559.27079999999989</v>
      </c>
      <c r="K117" s="20">
        <f>C117/100*0.03</f>
        <v>0.34451999999999994</v>
      </c>
      <c r="L117" s="21">
        <v>1320</v>
      </c>
      <c r="M117" s="56">
        <v>25</v>
      </c>
      <c r="N117" s="23">
        <f t="shared" si="7"/>
        <v>33000</v>
      </c>
      <c r="O117" s="135"/>
      <c r="S117" s="150"/>
    </row>
    <row r="118" spans="1:23" s="2" customFormat="1" ht="19.2" customHeight="1">
      <c r="A118" s="9">
        <v>7</v>
      </c>
      <c r="B118" s="5" t="s">
        <v>112</v>
      </c>
      <c r="C118" s="18">
        <f>L118/100*100</f>
        <v>40</v>
      </c>
      <c r="D118" s="19">
        <f>C118/100*247</f>
        <v>98.800000000000011</v>
      </c>
      <c r="E118" s="24"/>
      <c r="F118" s="24">
        <f>C118/100*17.5</f>
        <v>7</v>
      </c>
      <c r="G118" s="24"/>
      <c r="H118" s="24">
        <f>C118/100*1.6</f>
        <v>0.64000000000000012</v>
      </c>
      <c r="I118" s="24">
        <f>C118/100*39.2</f>
        <v>15.680000000000001</v>
      </c>
      <c r="J118" s="52"/>
      <c r="K118" s="52"/>
      <c r="L118" s="374">
        <v>40</v>
      </c>
      <c r="M118" s="56">
        <v>50</v>
      </c>
      <c r="N118" s="23">
        <f t="shared" si="7"/>
        <v>2000</v>
      </c>
      <c r="O118" s="135"/>
      <c r="Q118" s="3"/>
      <c r="R118" s="3"/>
      <c r="S118" s="4"/>
      <c r="T118" s="3"/>
    </row>
    <row r="119" spans="1:23" s="2" customFormat="1" ht="19.2" customHeight="1">
      <c r="A119" s="9">
        <v>8</v>
      </c>
      <c r="B119" s="10" t="s">
        <v>63</v>
      </c>
      <c r="C119" s="18">
        <f>L119/100*98</f>
        <v>2077.6</v>
      </c>
      <c r="D119" s="19">
        <f>C119/100*139</f>
        <v>2887.864</v>
      </c>
      <c r="E119" s="92">
        <f>C119/100*19</f>
        <v>394.74399999999997</v>
      </c>
      <c r="F119" s="20"/>
      <c r="G119" s="20">
        <f>C119/100*7</f>
        <v>145.43199999999999</v>
      </c>
      <c r="H119" s="20"/>
      <c r="I119" s="20"/>
      <c r="J119" s="22">
        <f>C119/100*7</f>
        <v>145.43199999999999</v>
      </c>
      <c r="K119" s="22">
        <f>C119/100*0.9</f>
        <v>18.698399999999999</v>
      </c>
      <c r="L119" s="105">
        <v>2120</v>
      </c>
      <c r="M119" s="111">
        <v>137</v>
      </c>
      <c r="N119" s="97">
        <f t="shared" si="7"/>
        <v>290440</v>
      </c>
      <c r="O119" s="135"/>
    </row>
    <row r="120" spans="1:23" s="2" customFormat="1" ht="19.2" customHeight="1">
      <c r="A120" s="61">
        <v>9</v>
      </c>
      <c r="B120" s="6" t="s">
        <v>104</v>
      </c>
      <c r="C120" s="18"/>
      <c r="D120" s="19"/>
      <c r="E120" s="20"/>
      <c r="F120" s="20"/>
      <c r="G120" s="20"/>
      <c r="H120" s="20"/>
      <c r="I120" s="20"/>
      <c r="J120" s="20"/>
      <c r="K120" s="20"/>
      <c r="L120" s="21"/>
      <c r="M120" s="21"/>
      <c r="N120" s="23">
        <v>3200</v>
      </c>
      <c r="O120" s="135"/>
      <c r="R120" s="150"/>
    </row>
    <row r="121" spans="1:23" s="2" customFormat="1" ht="19.2" customHeight="1">
      <c r="A121" s="16" t="s">
        <v>100</v>
      </c>
      <c r="B121" s="17"/>
      <c r="C121" s="26"/>
      <c r="D121" s="94">
        <f>SUM(D112:D120)</f>
        <v>13560.225999999999</v>
      </c>
      <c r="E121" s="31"/>
      <c r="F121" s="31"/>
      <c r="G121" s="31"/>
      <c r="H121" s="31"/>
      <c r="I121" s="31"/>
      <c r="J121" s="31"/>
      <c r="K121" s="31"/>
      <c r="L121" s="32"/>
      <c r="M121" s="247"/>
      <c r="N121" s="286">
        <f>SUM(N112:N120)</f>
        <v>396767</v>
      </c>
      <c r="O121" s="135"/>
    </row>
    <row r="122" spans="1:23" ht="19.2" customHeight="1">
      <c r="A122" s="16" t="s">
        <v>35</v>
      </c>
      <c r="B122" s="17"/>
      <c r="C122" s="45"/>
      <c r="D122" s="65">
        <f>D121/D91</f>
        <v>288.5154468085106</v>
      </c>
      <c r="E122" s="36"/>
      <c r="F122" s="36"/>
      <c r="G122" s="36"/>
      <c r="H122" s="36"/>
      <c r="I122" s="36"/>
      <c r="J122" s="36"/>
      <c r="K122" s="36"/>
      <c r="L122" s="46"/>
      <c r="M122" s="248"/>
      <c r="N122" s="288"/>
      <c r="O122" s="4"/>
      <c r="P122" s="2"/>
      <c r="Q122" s="2"/>
      <c r="R122" s="2"/>
      <c r="S122" s="2"/>
      <c r="T122" s="2"/>
      <c r="U122" s="2"/>
      <c r="V122" s="2"/>
    </row>
    <row r="123" spans="1:23" ht="19.2" customHeight="1">
      <c r="A123" s="222" t="s">
        <v>47</v>
      </c>
      <c r="B123" s="223"/>
      <c r="C123" s="375" t="s">
        <v>122</v>
      </c>
      <c r="D123" s="15" t="s">
        <v>42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62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24"/>
      <c r="B124" s="225"/>
      <c r="C124" s="57" t="s">
        <v>53</v>
      </c>
      <c r="D124" s="59">
        <f>D122*100/930</f>
        <v>31.023166323495765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62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59" t="s">
        <v>34</v>
      </c>
      <c r="B125" s="259"/>
      <c r="C125" s="47"/>
      <c r="D125" s="48"/>
      <c r="E125" s="48"/>
      <c r="F125" s="48"/>
      <c r="G125" s="48"/>
      <c r="H125" s="48"/>
      <c r="I125" s="48"/>
      <c r="J125" s="48"/>
      <c r="K125" s="48"/>
      <c r="L125" s="49"/>
      <c r="M125" s="49"/>
      <c r="N125" s="50"/>
      <c r="O125" s="4"/>
      <c r="P125" s="2"/>
      <c r="Q125" s="2"/>
      <c r="R125" s="2"/>
      <c r="S125" s="2"/>
      <c r="T125" s="2"/>
      <c r="U125" s="2"/>
      <c r="V125" s="2"/>
    </row>
    <row r="126" spans="1:23" s="2" customFormat="1" ht="19.2" customHeight="1">
      <c r="A126" s="76">
        <v>1</v>
      </c>
      <c r="B126" s="85" t="s">
        <v>66</v>
      </c>
      <c r="C126" s="77">
        <f>L126/100*80</f>
        <v>5640</v>
      </c>
      <c r="D126" s="78">
        <f>C126/100*40</f>
        <v>2256</v>
      </c>
      <c r="E126" s="79"/>
      <c r="F126" s="79">
        <f>C126/100*1.3</f>
        <v>73.320000000000007</v>
      </c>
      <c r="G126" s="79"/>
      <c r="H126" s="79"/>
      <c r="I126" s="79">
        <f>C126/100*8.7</f>
        <v>490.67999999999995</v>
      </c>
      <c r="J126" s="79">
        <f>C126/100*11</f>
        <v>620.4</v>
      </c>
      <c r="K126" s="79"/>
      <c r="L126" s="405">
        <v>7050</v>
      </c>
      <c r="M126" s="114">
        <v>32</v>
      </c>
      <c r="N126" s="81">
        <f t="shared" ref="N126" si="8">L126*M126</f>
        <v>225600</v>
      </c>
      <c r="O126" s="135"/>
      <c r="P126" s="3"/>
    </row>
    <row r="127" spans="1:23" ht="19.2" customHeight="1">
      <c r="A127" s="171" t="s">
        <v>59</v>
      </c>
      <c r="B127" s="174" t="s">
        <v>19</v>
      </c>
      <c r="C127" s="289" t="s">
        <v>8</v>
      </c>
      <c r="D127" s="177" t="s">
        <v>9</v>
      </c>
      <c r="E127" s="182" t="s">
        <v>11</v>
      </c>
      <c r="F127" s="183"/>
      <c r="G127" s="182" t="s">
        <v>13</v>
      </c>
      <c r="H127" s="183"/>
      <c r="I127" s="186" t="s">
        <v>16</v>
      </c>
      <c r="J127" s="186" t="s">
        <v>39</v>
      </c>
      <c r="K127" s="186" t="s">
        <v>40</v>
      </c>
      <c r="L127" s="186" t="s">
        <v>17</v>
      </c>
      <c r="M127" s="186" t="s">
        <v>49</v>
      </c>
      <c r="N127" s="171" t="s">
        <v>18</v>
      </c>
      <c r="O127" s="389"/>
    </row>
    <row r="128" spans="1:23" ht="19.2" customHeight="1">
      <c r="A128" s="172"/>
      <c r="B128" s="175"/>
      <c r="C128" s="290"/>
      <c r="D128" s="178"/>
      <c r="E128" s="184"/>
      <c r="F128" s="185"/>
      <c r="G128" s="184"/>
      <c r="H128" s="185"/>
      <c r="I128" s="187"/>
      <c r="J128" s="187"/>
      <c r="K128" s="187"/>
      <c r="L128" s="187"/>
      <c r="M128" s="187"/>
      <c r="N128" s="172"/>
      <c r="O128" s="161"/>
    </row>
    <row r="129" spans="1:23" ht="19.2" customHeight="1">
      <c r="A129" s="172"/>
      <c r="B129" s="175"/>
      <c r="C129" s="290"/>
      <c r="D129" s="178"/>
      <c r="E129" s="186" t="s">
        <v>10</v>
      </c>
      <c r="F129" s="186" t="s">
        <v>12</v>
      </c>
      <c r="G129" s="186" t="s">
        <v>14</v>
      </c>
      <c r="H129" s="186" t="s">
        <v>15</v>
      </c>
      <c r="I129" s="187"/>
      <c r="J129" s="187"/>
      <c r="K129" s="187"/>
      <c r="L129" s="187"/>
      <c r="M129" s="187"/>
      <c r="N129" s="172"/>
      <c r="O129" s="161"/>
    </row>
    <row r="130" spans="1:23" ht="19.2" customHeight="1">
      <c r="A130" s="173"/>
      <c r="B130" s="176"/>
      <c r="C130" s="291"/>
      <c r="D130" s="179"/>
      <c r="E130" s="188"/>
      <c r="F130" s="188"/>
      <c r="G130" s="188"/>
      <c r="H130" s="188"/>
      <c r="I130" s="188"/>
      <c r="J130" s="188"/>
      <c r="K130" s="188"/>
      <c r="L130" s="188"/>
      <c r="M130" s="188"/>
      <c r="N130" s="173"/>
      <c r="O130" s="161"/>
    </row>
    <row r="131" spans="1:23" s="2" customFormat="1" ht="19.2" customHeight="1">
      <c r="A131" s="16" t="s">
        <v>91</v>
      </c>
      <c r="B131" s="17"/>
      <c r="C131" s="26"/>
      <c r="D131" s="27">
        <f>SUM(D125:D126)</f>
        <v>2256</v>
      </c>
      <c r="E131" s="31"/>
      <c r="F131" s="31"/>
      <c r="G131" s="31"/>
      <c r="H131" s="31"/>
      <c r="I131" s="31"/>
      <c r="J131" s="31"/>
      <c r="K131" s="31"/>
      <c r="L131" s="32"/>
      <c r="M131" s="247"/>
      <c r="N131" s="272">
        <f>SUM(N125:N126)</f>
        <v>225600</v>
      </c>
      <c r="O131" s="135"/>
    </row>
    <row r="132" spans="1:23" ht="19.2" customHeight="1">
      <c r="A132" s="16" t="s">
        <v>7</v>
      </c>
      <c r="B132" s="17"/>
      <c r="C132" s="33"/>
      <c r="D132" s="34">
        <f>D131/D91</f>
        <v>48</v>
      </c>
      <c r="E132" s="34"/>
      <c r="F132" s="34"/>
      <c r="G132" s="34"/>
      <c r="H132" s="34"/>
      <c r="I132" s="34"/>
      <c r="J132" s="34"/>
      <c r="K132" s="34"/>
      <c r="L132" s="35"/>
      <c r="M132" s="248"/>
      <c r="N132" s="273"/>
      <c r="O132" s="4"/>
      <c r="P132" s="2"/>
      <c r="Q132" s="2"/>
      <c r="R132" s="2"/>
      <c r="S132" s="2"/>
      <c r="T132" s="2"/>
      <c r="U132" s="2"/>
      <c r="V132" s="2"/>
    </row>
    <row r="133" spans="1:23" ht="19.2" customHeight="1">
      <c r="A133" s="222" t="s">
        <v>45</v>
      </c>
      <c r="B133" s="223"/>
      <c r="C133" s="375" t="s">
        <v>122</v>
      </c>
      <c r="D133" s="15" t="s">
        <v>43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62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19.2" customHeight="1">
      <c r="A134" s="224"/>
      <c r="B134" s="225"/>
      <c r="C134" s="57" t="s">
        <v>53</v>
      </c>
      <c r="D134" s="59">
        <f>D132*100/930</f>
        <v>5.161290322580645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62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03" t="s">
        <v>94</v>
      </c>
      <c r="B135" s="204"/>
      <c r="C135" s="226"/>
      <c r="D135" s="280">
        <f>D107+D121+D131</f>
        <v>29836.402999999998</v>
      </c>
      <c r="E135" s="38">
        <f>SUM(E97:E132)</f>
        <v>779.04610000000002</v>
      </c>
      <c r="F135" s="38">
        <f>SUM(F97:F132)</f>
        <v>496.31060000000002</v>
      </c>
      <c r="G135" s="7">
        <f>SUM(G97:G132)</f>
        <v>777.82870000000003</v>
      </c>
      <c r="H135" s="7">
        <f>SUM(H97:H132)</f>
        <v>335.82069999999999</v>
      </c>
      <c r="I135" s="254">
        <f>SUM(I97:I132)</f>
        <v>3561.8283999999999</v>
      </c>
      <c r="J135" s="254">
        <f>SUM(J97:J126)</f>
        <v>4564.2017999999989</v>
      </c>
      <c r="K135" s="254">
        <f>SUM(K97:K126)</f>
        <v>35.606639999999999</v>
      </c>
      <c r="L135" s="239"/>
      <c r="M135" s="239"/>
      <c r="N135" s="271">
        <f>N107+N121+N131</f>
        <v>1033245</v>
      </c>
      <c r="U135" s="12"/>
      <c r="V135" s="12"/>
    </row>
    <row r="136" spans="1:23" ht="19.2" customHeight="1">
      <c r="A136" s="205"/>
      <c r="B136" s="206"/>
      <c r="C136" s="227"/>
      <c r="D136" s="281"/>
      <c r="E136" s="284">
        <f>E135+F135</f>
        <v>1275.3567</v>
      </c>
      <c r="F136" s="285"/>
      <c r="G136" s="199">
        <f>G135+H135</f>
        <v>1113.6494</v>
      </c>
      <c r="H136" s="200"/>
      <c r="I136" s="255"/>
      <c r="J136" s="255"/>
      <c r="K136" s="255"/>
      <c r="L136" s="239"/>
      <c r="M136" s="239"/>
      <c r="N136" s="271"/>
      <c r="Q136" s="372"/>
      <c r="R136" s="372"/>
      <c r="S136" s="372"/>
      <c r="T136" s="372"/>
      <c r="U136" s="401"/>
      <c r="V136" s="401"/>
    </row>
    <row r="137" spans="1:23" ht="19.2" customHeight="1">
      <c r="A137" s="274" t="s">
        <v>67</v>
      </c>
      <c r="B137" s="275"/>
      <c r="C137" s="276"/>
      <c r="D137" s="106">
        <f>D135/D91</f>
        <v>634.81708510638293</v>
      </c>
      <c r="E137" s="376">
        <f>E135/D91</f>
        <v>16.575448936170215</v>
      </c>
      <c r="F137" s="377">
        <f>F135/D91</f>
        <v>10.559800000000001</v>
      </c>
      <c r="G137" s="400">
        <f>G135/D91</f>
        <v>16.549546808510637</v>
      </c>
      <c r="H137" s="396">
        <f>H135/D91</f>
        <v>7.1451212765957441</v>
      </c>
      <c r="I137" s="256">
        <f>I135/D91</f>
        <v>75.783582978723402</v>
      </c>
      <c r="J137" s="256">
        <f>J135/D91</f>
        <v>97.110676595744664</v>
      </c>
      <c r="K137" s="256">
        <f>K135/D91</f>
        <v>0.75758808510638298</v>
      </c>
      <c r="L137" s="239"/>
      <c r="M137" s="239"/>
      <c r="N137" s="271"/>
      <c r="P137" s="397"/>
      <c r="Q137" s="403"/>
      <c r="R137" s="403"/>
      <c r="S137" s="404"/>
      <c r="T137" s="404"/>
      <c r="U137" s="403"/>
      <c r="V137" s="403"/>
    </row>
    <row r="138" spans="1:23" ht="19.2" customHeight="1">
      <c r="A138" s="277"/>
      <c r="B138" s="278"/>
      <c r="C138" s="279"/>
      <c r="D138" s="98"/>
      <c r="E138" s="378">
        <f>E137+F137</f>
        <v>27.135248936170214</v>
      </c>
      <c r="F138" s="379"/>
      <c r="G138" s="378">
        <f>G137+H137</f>
        <v>23.694668085106382</v>
      </c>
      <c r="H138" s="379"/>
      <c r="I138" s="257"/>
      <c r="J138" s="257"/>
      <c r="K138" s="257"/>
      <c r="L138" s="239"/>
      <c r="M138" s="239"/>
      <c r="N138" s="271"/>
    </row>
    <row r="139" spans="1:23" ht="19.2" customHeight="1">
      <c r="A139" s="219" t="s">
        <v>70</v>
      </c>
      <c r="B139" s="220"/>
      <c r="C139" s="221"/>
      <c r="D139" s="160" t="s">
        <v>28</v>
      </c>
      <c r="E139" s="406" t="s">
        <v>24</v>
      </c>
      <c r="F139" s="406"/>
      <c r="G139" s="406" t="s">
        <v>25</v>
      </c>
      <c r="H139" s="406"/>
      <c r="I139" s="160" t="s">
        <v>26</v>
      </c>
      <c r="J139" s="164">
        <v>500</v>
      </c>
      <c r="K139" s="164">
        <v>0.5</v>
      </c>
      <c r="L139" s="239"/>
      <c r="M139" s="239"/>
      <c r="N139" s="271"/>
      <c r="O139" s="398"/>
    </row>
    <row r="140" spans="1:23" ht="19.2" customHeight="1">
      <c r="A140" s="192" t="s">
        <v>68</v>
      </c>
      <c r="B140" s="258"/>
      <c r="C140" s="193"/>
      <c r="D140" s="37"/>
      <c r="E140" s="197">
        <f>E138*4.1</f>
        <v>111.25452063829786</v>
      </c>
      <c r="F140" s="198"/>
      <c r="G140" s="197">
        <f>G138*9</f>
        <v>213.25201276595743</v>
      </c>
      <c r="H140" s="198"/>
      <c r="I140" s="66">
        <f>I137*4.1</f>
        <v>310.71269021276595</v>
      </c>
      <c r="J140" s="230"/>
      <c r="K140" s="230"/>
      <c r="L140" s="239"/>
      <c r="M140" s="239"/>
      <c r="N140" s="271"/>
      <c r="O140" s="398"/>
      <c r="P140" s="402"/>
      <c r="Q140" s="371"/>
      <c r="R140" s="371"/>
      <c r="S140" s="371"/>
    </row>
    <row r="141" spans="1:23" ht="19.2" customHeight="1">
      <c r="A141" s="233" t="s">
        <v>77</v>
      </c>
      <c r="B141" s="234"/>
      <c r="C141" s="192" t="s">
        <v>52</v>
      </c>
      <c r="D141" s="193"/>
      <c r="E141" s="237">
        <f>E140*100/D137</f>
        <v>17.52544524217614</v>
      </c>
      <c r="F141" s="238"/>
      <c r="G141" s="237">
        <f>G140*100/D137</f>
        <v>33.592670671461306</v>
      </c>
      <c r="H141" s="238"/>
      <c r="I141" s="88">
        <f>I140*100/D137</f>
        <v>48.945231233134912</v>
      </c>
      <c r="J141" s="231"/>
      <c r="K141" s="231"/>
      <c r="L141" s="239"/>
      <c r="M141" s="239"/>
      <c r="N141" s="271"/>
      <c r="O141" s="398"/>
      <c r="P141" s="109"/>
      <c r="Q141" s="109"/>
      <c r="R141" s="109"/>
      <c r="S141" s="109"/>
    </row>
    <row r="142" spans="1:23" ht="19.2" customHeight="1">
      <c r="A142" s="235"/>
      <c r="B142" s="236"/>
      <c r="C142" s="192" t="s">
        <v>69</v>
      </c>
      <c r="D142" s="193"/>
      <c r="E142" s="192" t="s">
        <v>72</v>
      </c>
      <c r="F142" s="193"/>
      <c r="G142" s="192" t="s">
        <v>75</v>
      </c>
      <c r="H142" s="193"/>
      <c r="I142" s="160" t="s">
        <v>76</v>
      </c>
      <c r="J142" s="232"/>
      <c r="K142" s="232"/>
      <c r="L142" s="239"/>
      <c r="M142" s="239"/>
      <c r="N142" s="271"/>
      <c r="O142" s="398"/>
      <c r="P142" s="399"/>
    </row>
    <row r="143" spans="1:23" ht="19.2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3"/>
      <c r="M143" s="73"/>
      <c r="N143" s="74"/>
      <c r="O143" s="398"/>
    </row>
    <row r="144" spans="1:23" ht="21" customHeight="1">
      <c r="A144" s="240" t="s">
        <v>95</v>
      </c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398"/>
    </row>
    <row r="145" spans="1:15" ht="21" customHeight="1">
      <c r="A145" s="90" t="s">
        <v>96</v>
      </c>
      <c r="B145" s="241" t="s">
        <v>97</v>
      </c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398"/>
    </row>
    <row r="146" spans="1:15" ht="21" customHeight="1">
      <c r="A146" s="91"/>
      <c r="B146" s="211" t="s">
        <v>173</v>
      </c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398"/>
    </row>
    <row r="147" spans="1:15" ht="21" customHeight="1">
      <c r="A147" s="91"/>
      <c r="B147" s="211" t="s">
        <v>149</v>
      </c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398"/>
    </row>
    <row r="148" spans="1:15" ht="21" customHeight="1">
      <c r="A148" s="91"/>
      <c r="B148" s="211" t="s">
        <v>174</v>
      </c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398"/>
    </row>
    <row r="149" spans="1:15" ht="21" customHeight="1">
      <c r="A149" s="69"/>
      <c r="B149" s="212" t="s">
        <v>109</v>
      </c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398"/>
    </row>
    <row r="150" spans="1:15" ht="21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73"/>
      <c r="M150" s="73"/>
      <c r="N150" s="74"/>
      <c r="O150" s="398"/>
    </row>
    <row r="151" spans="1:15" ht="21" customHeight="1">
      <c r="A151" s="210" t="s">
        <v>55</v>
      </c>
      <c r="B151" s="210"/>
      <c r="C151" s="210"/>
      <c r="D151" s="210"/>
      <c r="E151" s="381"/>
      <c r="F151" s="381"/>
      <c r="G151" s="381"/>
      <c r="H151" s="381"/>
      <c r="I151" s="381"/>
      <c r="J151" s="382" t="s">
        <v>32</v>
      </c>
      <c r="K151" s="382"/>
      <c r="L151" s="382"/>
      <c r="M151" s="382"/>
      <c r="N151" s="382"/>
      <c r="O151" s="398"/>
    </row>
    <row r="152" spans="1:15" ht="21" customHeight="1">
      <c r="A152" s="161"/>
      <c r="B152" s="161"/>
      <c r="C152" s="161"/>
      <c r="D152" s="381"/>
      <c r="E152" s="381"/>
      <c r="F152" s="381"/>
      <c r="G152" s="381"/>
      <c r="H152" s="383"/>
      <c r="I152" s="383"/>
      <c r="J152" s="383"/>
      <c r="K152" s="383"/>
      <c r="L152" s="383"/>
      <c r="M152" s="383"/>
      <c r="N152" s="383"/>
      <c r="O152" s="398"/>
    </row>
    <row r="153" spans="1:15" ht="21" customHeight="1">
      <c r="A153" s="161"/>
      <c r="B153" s="161"/>
      <c r="C153" s="161"/>
      <c r="D153" s="381"/>
      <c r="E153" s="381"/>
      <c r="F153" s="381"/>
      <c r="G153" s="381"/>
      <c r="H153" s="383"/>
      <c r="I153" s="383"/>
      <c r="J153" s="383"/>
      <c r="K153" s="383"/>
      <c r="L153" s="383"/>
      <c r="M153" s="383"/>
      <c r="N153" s="383"/>
      <c r="O153" s="398"/>
    </row>
    <row r="154" spans="1:15" ht="21" customHeight="1">
      <c r="A154" s="161"/>
      <c r="B154" s="161"/>
      <c r="C154" s="161"/>
      <c r="D154" s="381"/>
      <c r="E154" s="381"/>
      <c r="F154" s="381"/>
      <c r="G154" s="381"/>
      <c r="H154" s="383"/>
      <c r="I154" s="383"/>
      <c r="J154" s="384" t="s">
        <v>105</v>
      </c>
      <c r="K154" s="384"/>
      <c r="L154" s="384"/>
      <c r="M154" s="384"/>
      <c r="N154" s="384"/>
      <c r="O154" s="398"/>
    </row>
    <row r="155" spans="1:15" ht="21" customHeight="1">
      <c r="A155" s="194" t="s">
        <v>80</v>
      </c>
      <c r="B155" s="194"/>
      <c r="C155" s="194"/>
      <c r="D155" s="194"/>
      <c r="E155" s="381"/>
      <c r="F155" s="381"/>
      <c r="G155" s="381"/>
      <c r="H155" s="383"/>
      <c r="I155" s="383"/>
      <c r="J155" s="384"/>
      <c r="K155" s="384"/>
      <c r="L155" s="384"/>
      <c r="M155" s="384"/>
      <c r="N155" s="384"/>
      <c r="O155" s="398"/>
    </row>
    <row r="157" spans="1:15" ht="19.2" customHeight="1">
      <c r="J157" s="384" t="s">
        <v>108</v>
      </c>
      <c r="K157" s="384"/>
      <c r="L157" s="384"/>
      <c r="M157" s="384"/>
      <c r="N157" s="384"/>
    </row>
  </sheetData>
  <mergeCells count="205"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65"/>
  <sheetViews>
    <sheetView view="pageLayout" topLeftCell="A97" workbookViewId="0">
      <selection activeCell="P148" sqref="P148:S149"/>
    </sheetView>
  </sheetViews>
  <sheetFormatPr defaultColWidth="9.109375" defaultRowHeight="21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9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54</v>
      </c>
      <c r="B1" s="8"/>
      <c r="C1" s="8"/>
      <c r="D1" s="8"/>
      <c r="E1" s="8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159"/>
      <c r="P1" s="159"/>
      <c r="T1" s="2"/>
    </row>
    <row r="2" spans="1:20" ht="12.6" customHeight="1">
      <c r="A2" s="11"/>
      <c r="B2" s="8"/>
      <c r="C2" s="8"/>
      <c r="D2" s="8"/>
      <c r="E2" s="8"/>
      <c r="F2" s="165"/>
      <c r="G2" s="165"/>
      <c r="H2" s="165"/>
      <c r="I2" s="165"/>
      <c r="J2" s="165"/>
      <c r="K2" s="165"/>
      <c r="L2" s="165"/>
      <c r="M2" s="165"/>
      <c r="N2" s="165"/>
      <c r="O2" s="159"/>
      <c r="P2" s="159"/>
      <c r="T2" s="2"/>
    </row>
    <row r="3" spans="1:20" ht="23.4" customHeight="1">
      <c r="A3" s="8" t="s">
        <v>175</v>
      </c>
      <c r="B3" s="8"/>
      <c r="C3" s="8"/>
      <c r="D3" s="8"/>
      <c r="E3" s="8"/>
      <c r="F3" s="165"/>
      <c r="G3" s="165"/>
      <c r="H3" s="165"/>
      <c r="I3" s="165"/>
      <c r="J3" s="165"/>
      <c r="K3" s="165"/>
      <c r="L3" s="165"/>
      <c r="M3" s="165"/>
      <c r="N3" s="165"/>
      <c r="O3" s="159"/>
      <c r="P3" s="159"/>
      <c r="T3" s="2"/>
    </row>
    <row r="4" spans="1:20" ht="12.6" customHeight="1">
      <c r="A4" s="8"/>
      <c r="B4" s="8"/>
      <c r="C4" s="8"/>
      <c r="D4" s="8"/>
      <c r="E4" s="8"/>
      <c r="F4" s="165"/>
      <c r="G4" s="165"/>
      <c r="H4" s="165"/>
      <c r="I4" s="165"/>
      <c r="J4" s="165"/>
      <c r="K4" s="165"/>
      <c r="L4" s="165"/>
      <c r="M4" s="165"/>
      <c r="N4" s="165"/>
      <c r="O4" s="159"/>
      <c r="P4" s="159"/>
      <c r="T4" s="2"/>
    </row>
    <row r="5" spans="1:20" s="2" customFormat="1" ht="19.2" customHeight="1">
      <c r="A5" s="328" t="s">
        <v>84</v>
      </c>
      <c r="B5" s="329"/>
      <c r="C5" s="329"/>
      <c r="D5" s="330"/>
      <c r="E5" s="328" t="s">
        <v>85</v>
      </c>
      <c r="F5" s="329"/>
      <c r="G5" s="329"/>
      <c r="H5" s="329"/>
      <c r="I5" s="329"/>
      <c r="J5" s="329"/>
      <c r="K5" s="329"/>
      <c r="L5" s="329"/>
      <c r="M5" s="329"/>
      <c r="N5" s="330"/>
      <c r="O5" s="388"/>
    </row>
    <row r="6" spans="1:20" s="2" customFormat="1" ht="19.2" customHeight="1">
      <c r="A6" s="292" t="s">
        <v>79</v>
      </c>
      <c r="B6" s="293"/>
      <c r="C6" s="293"/>
      <c r="D6" s="294"/>
      <c r="E6" s="262" t="s">
        <v>134</v>
      </c>
      <c r="F6" s="263"/>
      <c r="G6" s="263"/>
      <c r="H6" s="263"/>
      <c r="I6" s="264"/>
      <c r="J6" s="262" t="s">
        <v>113</v>
      </c>
      <c r="K6" s="263"/>
      <c r="L6" s="263"/>
      <c r="M6" s="263"/>
      <c r="N6" s="264"/>
      <c r="O6" s="388"/>
    </row>
    <row r="7" spans="1:20" s="2" customFormat="1" ht="19.2" customHeight="1">
      <c r="A7" s="316" t="s">
        <v>133</v>
      </c>
      <c r="B7" s="317"/>
      <c r="C7" s="317"/>
      <c r="D7" s="318"/>
      <c r="E7" s="265"/>
      <c r="F7" s="266"/>
      <c r="G7" s="266"/>
      <c r="H7" s="266"/>
      <c r="I7" s="267"/>
      <c r="J7" s="265"/>
      <c r="K7" s="266"/>
      <c r="L7" s="266"/>
      <c r="M7" s="266"/>
      <c r="N7" s="267"/>
      <c r="O7" s="388"/>
    </row>
    <row r="8" spans="1:20" s="2" customFormat="1" ht="19.2" customHeight="1">
      <c r="A8" s="316" t="s">
        <v>143</v>
      </c>
      <c r="B8" s="317"/>
      <c r="C8" s="317"/>
      <c r="D8" s="318"/>
      <c r="E8" s="265"/>
      <c r="F8" s="266"/>
      <c r="G8" s="266"/>
      <c r="H8" s="266"/>
      <c r="I8" s="267"/>
      <c r="J8" s="265"/>
      <c r="K8" s="266"/>
      <c r="L8" s="266"/>
      <c r="M8" s="266"/>
      <c r="N8" s="267"/>
      <c r="O8" s="388"/>
    </row>
    <row r="9" spans="1:20" s="2" customFormat="1" ht="19.2" customHeight="1">
      <c r="A9" s="319" t="s">
        <v>144</v>
      </c>
      <c r="B9" s="320"/>
      <c r="C9" s="320"/>
      <c r="D9" s="321"/>
      <c r="E9" s="268"/>
      <c r="F9" s="269"/>
      <c r="G9" s="269"/>
      <c r="H9" s="269"/>
      <c r="I9" s="270"/>
      <c r="J9" s="268"/>
      <c r="K9" s="269"/>
      <c r="L9" s="269"/>
      <c r="M9" s="269"/>
      <c r="N9" s="270"/>
      <c r="O9" s="388"/>
    </row>
    <row r="10" spans="1:20" s="2" customFormat="1" ht="19.2" customHeight="1">
      <c r="A10" s="207" t="s">
        <v>103</v>
      </c>
      <c r="B10" s="208"/>
      <c r="C10" s="209"/>
      <c r="D10" s="99">
        <v>191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88"/>
    </row>
    <row r="11" spans="1:20" ht="21" customHeight="1">
      <c r="A11" s="171" t="s">
        <v>0</v>
      </c>
      <c r="B11" s="174" t="s">
        <v>19</v>
      </c>
      <c r="C11" s="177" t="s">
        <v>8</v>
      </c>
      <c r="D11" s="177" t="s">
        <v>9</v>
      </c>
      <c r="E11" s="182" t="s">
        <v>11</v>
      </c>
      <c r="F11" s="183"/>
      <c r="G11" s="182" t="s">
        <v>13</v>
      </c>
      <c r="H11" s="183"/>
      <c r="I11" s="186" t="s">
        <v>16</v>
      </c>
      <c r="J11" s="186" t="s">
        <v>39</v>
      </c>
      <c r="K11" s="186" t="s">
        <v>40</v>
      </c>
      <c r="L11" s="341" t="s">
        <v>17</v>
      </c>
      <c r="M11" s="186" t="s">
        <v>50</v>
      </c>
      <c r="N11" s="171" t="s">
        <v>18</v>
      </c>
      <c r="O11" s="389"/>
    </row>
    <row r="12" spans="1:20" ht="21" customHeight="1">
      <c r="A12" s="337"/>
      <c r="B12" s="339"/>
      <c r="C12" s="311"/>
      <c r="D12" s="311"/>
      <c r="E12" s="184"/>
      <c r="F12" s="185"/>
      <c r="G12" s="184"/>
      <c r="H12" s="185"/>
      <c r="I12" s="187"/>
      <c r="J12" s="187"/>
      <c r="K12" s="187"/>
      <c r="L12" s="342"/>
      <c r="M12" s="187"/>
      <c r="N12" s="337"/>
      <c r="O12" s="161"/>
    </row>
    <row r="13" spans="1:20" ht="21" customHeight="1">
      <c r="A13" s="337"/>
      <c r="B13" s="339"/>
      <c r="C13" s="311"/>
      <c r="D13" s="311"/>
      <c r="E13" s="186" t="s">
        <v>10</v>
      </c>
      <c r="F13" s="186" t="s">
        <v>12</v>
      </c>
      <c r="G13" s="186" t="s">
        <v>14</v>
      </c>
      <c r="H13" s="186" t="s">
        <v>15</v>
      </c>
      <c r="I13" s="187"/>
      <c r="J13" s="187"/>
      <c r="K13" s="187"/>
      <c r="L13" s="342"/>
      <c r="M13" s="187"/>
      <c r="N13" s="337"/>
      <c r="O13" s="161"/>
    </row>
    <row r="14" spans="1:20" ht="21" customHeight="1">
      <c r="A14" s="338"/>
      <c r="B14" s="340"/>
      <c r="C14" s="312"/>
      <c r="D14" s="312"/>
      <c r="E14" s="188"/>
      <c r="F14" s="188"/>
      <c r="G14" s="188"/>
      <c r="H14" s="188"/>
      <c r="I14" s="188"/>
      <c r="J14" s="188"/>
      <c r="K14" s="188"/>
      <c r="L14" s="343"/>
      <c r="M14" s="188"/>
      <c r="N14" s="338"/>
      <c r="O14" s="161"/>
    </row>
    <row r="15" spans="1:20" ht="18.600000000000001" customHeight="1">
      <c r="A15" s="249" t="s">
        <v>33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161"/>
    </row>
    <row r="16" spans="1:20" s="2" customFormat="1" ht="18.600000000000001" customHeight="1">
      <c r="A16" s="9">
        <v>1</v>
      </c>
      <c r="B16" s="10" t="s">
        <v>2</v>
      </c>
      <c r="C16" s="18">
        <f>L16/100*100</f>
        <v>250</v>
      </c>
      <c r="D16" s="19">
        <f>C16/100*60</f>
        <v>150</v>
      </c>
      <c r="E16" s="20">
        <f>C16/100*15</f>
        <v>37.5</v>
      </c>
      <c r="F16" s="20"/>
      <c r="G16" s="20"/>
      <c r="H16" s="20"/>
      <c r="I16" s="20"/>
      <c r="J16" s="22">
        <f>C16/100*387</f>
        <v>967.5</v>
      </c>
      <c r="K16" s="22">
        <f>C16/100*0.09</f>
        <v>0.22499999999999998</v>
      </c>
      <c r="L16" s="105">
        <v>250</v>
      </c>
      <c r="M16" s="56">
        <v>20</v>
      </c>
      <c r="N16" s="23">
        <f>L16*M16</f>
        <v>5000</v>
      </c>
      <c r="O16" s="135"/>
    </row>
    <row r="17" spans="1:20" s="2" customFormat="1" ht="18.600000000000001" customHeight="1">
      <c r="A17" s="9">
        <v>3</v>
      </c>
      <c r="B17" s="131" t="s">
        <v>119</v>
      </c>
      <c r="C17" s="18">
        <f>L17/100*100</f>
        <v>860</v>
      </c>
      <c r="D17" s="93">
        <f>C17/100*900</f>
        <v>7740</v>
      </c>
      <c r="E17" s="20"/>
      <c r="F17" s="20"/>
      <c r="G17" s="92"/>
      <c r="H17" s="20">
        <f>C17/100*100</f>
        <v>860</v>
      </c>
      <c r="I17" s="20"/>
      <c r="J17" s="20"/>
      <c r="K17" s="20"/>
      <c r="L17" s="105">
        <v>860</v>
      </c>
      <c r="M17" s="56">
        <v>63.5</v>
      </c>
      <c r="N17" s="23">
        <f t="shared" ref="N17:N25" si="0">L17*M17</f>
        <v>54610</v>
      </c>
      <c r="O17" s="390"/>
    </row>
    <row r="18" spans="1:20" s="2" customFormat="1" ht="18.600000000000001" customHeight="1">
      <c r="A18" s="9">
        <v>4</v>
      </c>
      <c r="B18" s="5" t="s">
        <v>1</v>
      </c>
      <c r="C18" s="18">
        <f>L18/100*100</f>
        <v>18145</v>
      </c>
      <c r="D18" s="93">
        <f>C18/100*344</f>
        <v>62418.799999999996</v>
      </c>
      <c r="E18" s="20"/>
      <c r="F18" s="92">
        <f>C18/100*7.9</f>
        <v>1433.4549999999999</v>
      </c>
      <c r="G18" s="20"/>
      <c r="H18" s="20">
        <f>C18/100*1</f>
        <v>181.45</v>
      </c>
      <c r="I18" s="101">
        <f>C18/100*73.2</f>
        <v>13282.14</v>
      </c>
      <c r="J18" s="62">
        <f>C18/100*30</f>
        <v>5443.5</v>
      </c>
      <c r="K18" s="22">
        <f>C18/100*0.1</f>
        <v>18.145</v>
      </c>
      <c r="L18" s="391">
        <v>18145</v>
      </c>
      <c r="M18" s="56">
        <v>18</v>
      </c>
      <c r="N18" s="97">
        <f t="shared" si="0"/>
        <v>326610</v>
      </c>
      <c r="O18" s="135"/>
    </row>
    <row r="19" spans="1:20" s="2" customFormat="1" ht="18.600000000000001" customHeight="1">
      <c r="A19" s="9">
        <v>5</v>
      </c>
      <c r="B19" s="5" t="s">
        <v>83</v>
      </c>
      <c r="C19" s="18">
        <f>L19/100*90</f>
        <v>3581.9999999999995</v>
      </c>
      <c r="D19" s="19">
        <f>C19/100*90</f>
        <v>3223.7999999999993</v>
      </c>
      <c r="E19" s="20">
        <f>C19/100*18.4</f>
        <v>659.08799999999985</v>
      </c>
      <c r="F19" s="20"/>
      <c r="G19" s="20">
        <f>C19/100*1.8</f>
        <v>64.475999999999985</v>
      </c>
      <c r="H19" s="20"/>
      <c r="I19" s="20"/>
      <c r="J19" s="62">
        <f>C19/100*1120</f>
        <v>40118.399999999994</v>
      </c>
      <c r="K19" s="22">
        <f>C19/100*0.02</f>
        <v>0.71639999999999993</v>
      </c>
      <c r="L19" s="105">
        <v>3980</v>
      </c>
      <c r="M19" s="56">
        <v>260</v>
      </c>
      <c r="N19" s="97">
        <f t="shared" si="0"/>
        <v>1034800</v>
      </c>
      <c r="O19" s="135"/>
      <c r="Q19" s="3"/>
      <c r="R19" s="3"/>
      <c r="S19" s="4"/>
    </row>
    <row r="20" spans="1:20" s="2" customFormat="1" ht="18.600000000000001" customHeight="1">
      <c r="A20" s="9">
        <v>6</v>
      </c>
      <c r="B20" s="10" t="s">
        <v>63</v>
      </c>
      <c r="C20" s="18">
        <f>L20/100*98</f>
        <v>7310.7999999999993</v>
      </c>
      <c r="D20" s="93">
        <f>C20/100*139</f>
        <v>10162.011999999999</v>
      </c>
      <c r="E20" s="92">
        <f>C20/100*19</f>
        <v>1389.0519999999999</v>
      </c>
      <c r="F20" s="20"/>
      <c r="G20" s="20">
        <f>C20/100*7</f>
        <v>511.75599999999991</v>
      </c>
      <c r="H20" s="20"/>
      <c r="I20" s="20"/>
      <c r="J20" s="22">
        <f>C20/100*7</f>
        <v>511.75599999999991</v>
      </c>
      <c r="K20" s="22">
        <f>C20/100*0.9</f>
        <v>65.797199999999989</v>
      </c>
      <c r="L20" s="105">
        <v>7460</v>
      </c>
      <c r="M20" s="111">
        <v>137</v>
      </c>
      <c r="N20" s="97">
        <f t="shared" si="0"/>
        <v>1022020</v>
      </c>
      <c r="O20" s="135"/>
    </row>
    <row r="21" spans="1:20" s="109" customFormat="1" ht="18.600000000000001" customHeight="1">
      <c r="A21" s="147">
        <v>7</v>
      </c>
      <c r="B21" s="132" t="s">
        <v>137</v>
      </c>
      <c r="C21" s="148">
        <f>L21/100*78</f>
        <v>2995.2</v>
      </c>
      <c r="D21" s="107">
        <f>C21/100*37</f>
        <v>1108.2239999999999</v>
      </c>
      <c r="E21" s="104"/>
      <c r="F21" s="104">
        <f>C21/100*2.8</f>
        <v>83.865599999999986</v>
      </c>
      <c r="G21" s="104"/>
      <c r="H21" s="104">
        <f>C21/100*0.1</f>
        <v>2.9952000000000001</v>
      </c>
      <c r="I21" s="104">
        <f>C21/100*6.2</f>
        <v>185.70239999999998</v>
      </c>
      <c r="J21" s="108">
        <f>C21/100*46</f>
        <v>1377.7919999999999</v>
      </c>
      <c r="K21" s="104">
        <f>C21/100*0.02</f>
        <v>0.59904000000000002</v>
      </c>
      <c r="L21" s="105">
        <v>3840</v>
      </c>
      <c r="M21" s="149">
        <v>20</v>
      </c>
      <c r="N21" s="103">
        <f t="shared" si="0"/>
        <v>76800</v>
      </c>
      <c r="O21" s="392"/>
    </row>
    <row r="22" spans="1:20" s="2" customFormat="1" ht="18.600000000000001" customHeight="1">
      <c r="A22" s="9">
        <v>8</v>
      </c>
      <c r="B22" s="5" t="s">
        <v>20</v>
      </c>
      <c r="C22" s="18">
        <f>L22/100*95</f>
        <v>1444</v>
      </c>
      <c r="D22" s="19">
        <f>C22/100*20</f>
        <v>288.8</v>
      </c>
      <c r="E22" s="20"/>
      <c r="F22" s="20">
        <f>C22/100*0.6</f>
        <v>8.6639999999999997</v>
      </c>
      <c r="G22" s="20"/>
      <c r="H22" s="20">
        <f>C22/100*0.2</f>
        <v>2.8879999999999999</v>
      </c>
      <c r="I22" s="20">
        <f>C22/100*4</f>
        <v>57.76</v>
      </c>
      <c r="J22" s="22">
        <f>C22/100*12</f>
        <v>173.28</v>
      </c>
      <c r="K22" s="19">
        <f>C22/100*0.04</f>
        <v>0.5776</v>
      </c>
      <c r="L22" s="105">
        <v>1520</v>
      </c>
      <c r="M22" s="58">
        <v>30</v>
      </c>
      <c r="N22" s="23">
        <f t="shared" si="0"/>
        <v>45600</v>
      </c>
      <c r="O22" s="393"/>
      <c r="Q22" s="3"/>
      <c r="R22" s="3"/>
      <c r="S22" s="4"/>
    </row>
    <row r="23" spans="1:20" s="2" customFormat="1" ht="18.600000000000001" customHeight="1">
      <c r="A23" s="9">
        <v>9</v>
      </c>
      <c r="B23" s="5" t="s">
        <v>123</v>
      </c>
      <c r="C23" s="18">
        <f>L23/100*81</f>
        <v>1701</v>
      </c>
      <c r="D23" s="19">
        <f>C23/100*17</f>
        <v>289.17</v>
      </c>
      <c r="E23" s="24"/>
      <c r="F23" s="24">
        <f>C23/100*0.9</f>
        <v>15.309000000000001</v>
      </c>
      <c r="G23" s="24"/>
      <c r="H23" s="24">
        <f>C23/100*0.2</f>
        <v>3.4020000000000006</v>
      </c>
      <c r="I23" s="24">
        <f>C23/100*2.8</f>
        <v>47.628</v>
      </c>
      <c r="J23" s="20">
        <f>C23/100*28</f>
        <v>476.28000000000003</v>
      </c>
      <c r="K23" s="22">
        <f>C23/100*0.04</f>
        <v>0.68040000000000012</v>
      </c>
      <c r="L23" s="374">
        <v>2100</v>
      </c>
      <c r="M23" s="56">
        <v>20</v>
      </c>
      <c r="N23" s="23">
        <f t="shared" si="0"/>
        <v>42000</v>
      </c>
      <c r="O23" s="135"/>
      <c r="P23" s="3"/>
    </row>
    <row r="24" spans="1:20" s="109" customFormat="1" ht="16.2" customHeight="1">
      <c r="A24" s="147">
        <v>10</v>
      </c>
      <c r="B24" s="132" t="s">
        <v>145</v>
      </c>
      <c r="C24" s="148">
        <f>L24/100*65</f>
        <v>4348.5</v>
      </c>
      <c r="D24" s="107">
        <f>C24/100*14</f>
        <v>608.79</v>
      </c>
      <c r="E24" s="104"/>
      <c r="F24" s="104">
        <f>C24/100*1.6</f>
        <v>69.576000000000008</v>
      </c>
      <c r="G24" s="104"/>
      <c r="H24" s="104"/>
      <c r="I24" s="104">
        <f>C24/100*1.9</f>
        <v>82.621499999999997</v>
      </c>
      <c r="J24" s="108">
        <f>C24/100*63</f>
        <v>2739.5549999999998</v>
      </c>
      <c r="K24" s="104">
        <f>C24/100*0.01</f>
        <v>0.43485000000000001</v>
      </c>
      <c r="L24" s="105">
        <v>6690</v>
      </c>
      <c r="M24" s="149">
        <v>18</v>
      </c>
      <c r="N24" s="103">
        <f t="shared" si="0"/>
        <v>120420</v>
      </c>
      <c r="O24" s="392"/>
    </row>
    <row r="25" spans="1:20" s="2" customFormat="1" ht="18.600000000000001" customHeight="1">
      <c r="A25" s="9">
        <v>11</v>
      </c>
      <c r="B25" s="5" t="s">
        <v>112</v>
      </c>
      <c r="C25" s="18">
        <f>L25/100*100</f>
        <v>190</v>
      </c>
      <c r="D25" s="19">
        <f>C25/100*247</f>
        <v>469.29999999999995</v>
      </c>
      <c r="E25" s="24"/>
      <c r="F25" s="24">
        <f>C25/100*17.5</f>
        <v>33.25</v>
      </c>
      <c r="G25" s="24"/>
      <c r="H25" s="24">
        <f>C25/100*1.6</f>
        <v>3.04</v>
      </c>
      <c r="I25" s="24">
        <f>C25/100*39.2</f>
        <v>74.48</v>
      </c>
      <c r="J25" s="52"/>
      <c r="K25" s="52"/>
      <c r="L25" s="374">
        <v>190</v>
      </c>
      <c r="M25" s="56">
        <v>50</v>
      </c>
      <c r="N25" s="23">
        <f t="shared" si="0"/>
        <v>9500</v>
      </c>
      <c r="O25" s="135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104</v>
      </c>
      <c r="C26" s="18"/>
      <c r="D26" s="19"/>
      <c r="E26" s="24"/>
      <c r="F26" s="24"/>
      <c r="G26" s="24"/>
      <c r="H26" s="24"/>
      <c r="I26" s="24"/>
      <c r="J26" s="52"/>
      <c r="K26" s="52"/>
      <c r="L26" s="25"/>
      <c r="M26" s="21"/>
      <c r="N26" s="23">
        <v>14250</v>
      </c>
      <c r="O26" s="135"/>
    </row>
    <row r="27" spans="1:20" s="2" customFormat="1" ht="18.600000000000001" customHeight="1">
      <c r="A27" s="16" t="s">
        <v>102</v>
      </c>
      <c r="B27" s="17"/>
      <c r="C27" s="26"/>
      <c r="D27" s="94">
        <f>SUM(D16:D26)</f>
        <v>86458.895999999993</v>
      </c>
      <c r="E27" s="28"/>
      <c r="F27" s="28"/>
      <c r="G27" s="28"/>
      <c r="H27" s="28"/>
      <c r="I27" s="28"/>
      <c r="J27" s="28"/>
      <c r="K27" s="28"/>
      <c r="L27" s="29"/>
      <c r="M27" s="252"/>
      <c r="N27" s="351">
        <f>SUM(N16:N26)</f>
        <v>2751610</v>
      </c>
      <c r="O27" s="135"/>
    </row>
    <row r="28" spans="1:20" s="2" customFormat="1" ht="18.600000000000001" customHeight="1">
      <c r="A28" s="16" t="s">
        <v>6</v>
      </c>
      <c r="B28" s="17"/>
      <c r="C28" s="26"/>
      <c r="D28" s="27">
        <f>D27/D10</f>
        <v>452.66437696335078</v>
      </c>
      <c r="E28" s="28"/>
      <c r="F28" s="28"/>
      <c r="G28" s="28"/>
      <c r="H28" s="28"/>
      <c r="I28" s="28"/>
      <c r="J28" s="28"/>
      <c r="K28" s="28"/>
      <c r="L28" s="29"/>
      <c r="M28" s="253"/>
      <c r="N28" s="352"/>
      <c r="O28" s="135"/>
    </row>
    <row r="29" spans="1:20" s="2" customFormat="1" ht="18.600000000000001" customHeight="1">
      <c r="A29" s="222" t="s">
        <v>44</v>
      </c>
      <c r="B29" s="313"/>
      <c r="C29" s="375" t="s">
        <v>122</v>
      </c>
      <c r="D29" s="15" t="s">
        <v>41</v>
      </c>
      <c r="E29" s="28"/>
      <c r="F29" s="28"/>
      <c r="G29" s="28"/>
      <c r="H29" s="28"/>
      <c r="I29" s="28"/>
      <c r="J29" s="28"/>
      <c r="K29" s="28"/>
      <c r="L29" s="29"/>
      <c r="M29" s="29"/>
      <c r="N29" s="30"/>
      <c r="O29" s="135"/>
    </row>
    <row r="30" spans="1:20" s="2" customFormat="1" ht="18.600000000000001" customHeight="1">
      <c r="A30" s="314"/>
      <c r="B30" s="315"/>
      <c r="C30" s="57" t="s">
        <v>53</v>
      </c>
      <c r="D30" s="15">
        <f>D28*100/1320</f>
        <v>34.292755830556878</v>
      </c>
      <c r="E30" s="28"/>
      <c r="F30" s="28"/>
      <c r="G30" s="28"/>
      <c r="H30" s="28"/>
      <c r="I30" s="28"/>
      <c r="J30" s="28"/>
      <c r="K30" s="28"/>
      <c r="L30" s="29"/>
      <c r="M30" s="29"/>
      <c r="N30" s="30"/>
      <c r="O30" s="135"/>
    </row>
    <row r="31" spans="1:20" s="2" customFormat="1" ht="18.600000000000001" customHeight="1">
      <c r="A31" s="259" t="s">
        <v>34</v>
      </c>
      <c r="B31" s="259"/>
      <c r="C31" s="40"/>
      <c r="D31" s="41"/>
      <c r="E31" s="42"/>
      <c r="F31" s="42"/>
      <c r="G31" s="42"/>
      <c r="H31" s="42"/>
      <c r="I31" s="42"/>
      <c r="J31" s="42"/>
      <c r="K31" s="42"/>
      <c r="L31" s="43"/>
      <c r="M31" s="43"/>
      <c r="N31" s="51"/>
      <c r="O31" s="135"/>
    </row>
    <row r="32" spans="1:20" s="2" customFormat="1" ht="18.600000000000001" customHeight="1">
      <c r="A32" s="13">
        <v>1</v>
      </c>
      <c r="B32" s="141" t="s">
        <v>104</v>
      </c>
      <c r="C32" s="142"/>
      <c r="D32" s="143"/>
      <c r="E32" s="144"/>
      <c r="F32" s="144"/>
      <c r="G32" s="144"/>
      <c r="H32" s="144"/>
      <c r="I32" s="144"/>
      <c r="J32" s="144"/>
      <c r="K32" s="144"/>
      <c r="L32" s="145"/>
      <c r="M32" s="145"/>
      <c r="N32" s="146">
        <v>12050</v>
      </c>
      <c r="O32" s="135"/>
    </row>
    <row r="33" spans="1:20" s="2" customFormat="1" ht="18.600000000000001" customHeight="1">
      <c r="A33" s="9">
        <v>2</v>
      </c>
      <c r="B33" s="10" t="s">
        <v>2</v>
      </c>
      <c r="C33" s="18">
        <f>L33/100*100</f>
        <v>240</v>
      </c>
      <c r="D33" s="19">
        <f>C33/100*60</f>
        <v>144</v>
      </c>
      <c r="E33" s="20">
        <f>C33/100*15</f>
        <v>36</v>
      </c>
      <c r="F33" s="20"/>
      <c r="G33" s="20"/>
      <c r="H33" s="20"/>
      <c r="I33" s="20"/>
      <c r="J33" s="22">
        <f>C33/100*387</f>
        <v>928.8</v>
      </c>
      <c r="K33" s="22">
        <f>C33/100*0.09</f>
        <v>0.216</v>
      </c>
      <c r="L33" s="105">
        <v>240</v>
      </c>
      <c r="M33" s="56">
        <v>20</v>
      </c>
      <c r="N33" s="23">
        <f>L33*M33</f>
        <v>4800</v>
      </c>
      <c r="O33" s="135"/>
    </row>
    <row r="34" spans="1:20" s="2" customFormat="1" ht="18.600000000000001" customHeight="1">
      <c r="A34" s="9">
        <v>3</v>
      </c>
      <c r="B34" s="5" t="s">
        <v>1</v>
      </c>
      <c r="C34" s="18">
        <f>L34/100*100</f>
        <v>2865</v>
      </c>
      <c r="D34" s="19">
        <f>C34/100*344</f>
        <v>9855.6</v>
      </c>
      <c r="E34" s="20"/>
      <c r="F34" s="20">
        <f>C34/100*7.9</f>
        <v>226.33500000000001</v>
      </c>
      <c r="G34" s="20"/>
      <c r="H34" s="20">
        <f>C34/100*1</f>
        <v>28.65</v>
      </c>
      <c r="I34" s="92">
        <f>C34/100*73.2</f>
        <v>2097.1799999999998</v>
      </c>
      <c r="J34" s="22">
        <f>C34/100*30</f>
        <v>859.5</v>
      </c>
      <c r="K34" s="22">
        <f>C34/100*0.1</f>
        <v>2.8650000000000002</v>
      </c>
      <c r="L34" s="105">
        <v>2865</v>
      </c>
      <c r="M34" s="56">
        <v>18</v>
      </c>
      <c r="N34" s="23">
        <f t="shared" ref="N34:N44" si="1">L34*M34</f>
        <v>51570</v>
      </c>
      <c r="O34" s="135"/>
    </row>
    <row r="35" spans="1:20" s="2" customFormat="1" ht="18.600000000000001" customHeight="1">
      <c r="A35" s="9">
        <v>4</v>
      </c>
      <c r="B35" s="5" t="s">
        <v>64</v>
      </c>
      <c r="C35" s="18">
        <f>L35/100*100</f>
        <v>1910.0000000000002</v>
      </c>
      <c r="D35" s="19">
        <f>C35/100*344</f>
        <v>6570.4000000000005</v>
      </c>
      <c r="E35" s="20"/>
      <c r="F35" s="20">
        <f>C35/100*8.6</f>
        <v>164.26000000000002</v>
      </c>
      <c r="G35" s="20"/>
      <c r="H35" s="20">
        <f>C35/100*1.5</f>
        <v>28.650000000000002</v>
      </c>
      <c r="I35" s="92">
        <f>C35/100*74.5</f>
        <v>1422.95</v>
      </c>
      <c r="J35" s="20">
        <f>C35/100*32</f>
        <v>611.20000000000005</v>
      </c>
      <c r="K35" s="20">
        <f>C35/100*0.14</f>
        <v>2.6740000000000004</v>
      </c>
      <c r="L35" s="105">
        <v>1910</v>
      </c>
      <c r="M35" s="56">
        <v>30</v>
      </c>
      <c r="N35" s="23">
        <f t="shared" si="1"/>
        <v>57300</v>
      </c>
      <c r="O35" s="135"/>
      <c r="P35" s="14"/>
    </row>
    <row r="36" spans="1:20" s="2" customFormat="1" ht="18.600000000000001" customHeight="1">
      <c r="A36" s="9">
        <v>5</v>
      </c>
      <c r="B36" s="115" t="s">
        <v>115</v>
      </c>
      <c r="C36" s="18">
        <f>L36/100*100</f>
        <v>1150</v>
      </c>
      <c r="D36" s="93">
        <f>C36/100*899</f>
        <v>10338.5</v>
      </c>
      <c r="E36" s="20"/>
      <c r="F36" s="20"/>
      <c r="G36" s="92">
        <f>C36/100*100</f>
        <v>1150</v>
      </c>
      <c r="H36" s="20"/>
      <c r="I36" s="20"/>
      <c r="J36" s="22"/>
      <c r="K36" s="22"/>
      <c r="L36" s="105">
        <v>1150</v>
      </c>
      <c r="M36" s="56">
        <v>68</v>
      </c>
      <c r="N36" s="23">
        <f t="shared" si="1"/>
        <v>78200</v>
      </c>
      <c r="O36" s="135"/>
    </row>
    <row r="37" spans="1:20" s="2" customFormat="1" ht="18.600000000000001" customHeight="1">
      <c r="A37" s="9">
        <v>6</v>
      </c>
      <c r="B37" s="5" t="s">
        <v>112</v>
      </c>
      <c r="C37" s="18">
        <f>L37/100*100</f>
        <v>110.00000000000001</v>
      </c>
      <c r="D37" s="19">
        <f>C37/100*247</f>
        <v>271.70000000000005</v>
      </c>
      <c r="E37" s="24"/>
      <c r="F37" s="24">
        <f>C37/100*17.5</f>
        <v>19.25</v>
      </c>
      <c r="G37" s="24"/>
      <c r="H37" s="24">
        <f>C37/100*1.6</f>
        <v>1.7600000000000002</v>
      </c>
      <c r="I37" s="24">
        <f>C37/100*39.2</f>
        <v>43.120000000000005</v>
      </c>
      <c r="J37" s="52"/>
      <c r="K37" s="52"/>
      <c r="L37" s="374">
        <v>110</v>
      </c>
      <c r="M37" s="56">
        <v>50</v>
      </c>
      <c r="N37" s="23">
        <f t="shared" si="1"/>
        <v>5500</v>
      </c>
      <c r="O37" s="135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62</v>
      </c>
      <c r="C38" s="18">
        <f>L38/100*90</f>
        <v>54</v>
      </c>
      <c r="D38" s="19">
        <f>C38/100*253</f>
        <v>136.62</v>
      </c>
      <c r="E38" s="20"/>
      <c r="F38" s="20">
        <f>C38/100*32.4</f>
        <v>17.495999999999999</v>
      </c>
      <c r="G38" s="20"/>
      <c r="H38" s="20">
        <f>C38/100*3.6</f>
        <v>1.9440000000000002</v>
      </c>
      <c r="I38" s="20">
        <f>C38/100*21.1</f>
        <v>11.394000000000002</v>
      </c>
      <c r="J38" s="22">
        <f>C38/100*165.6</f>
        <v>89.424000000000007</v>
      </c>
      <c r="K38" s="22">
        <f>C38/100*0.14</f>
        <v>7.5600000000000014E-2</v>
      </c>
      <c r="L38" s="105">
        <v>60</v>
      </c>
      <c r="M38" s="56">
        <v>275</v>
      </c>
      <c r="N38" s="23">
        <f t="shared" si="1"/>
        <v>16500</v>
      </c>
      <c r="O38" s="135"/>
    </row>
    <row r="39" spans="1:20" s="2" customFormat="1" ht="18.600000000000001" customHeight="1">
      <c r="A39" s="9">
        <v>8</v>
      </c>
      <c r="B39" s="5" t="s">
        <v>114</v>
      </c>
      <c r="C39" s="18">
        <f>L39/100*100</f>
        <v>760</v>
      </c>
      <c r="D39" s="19">
        <f>C39/100*340</f>
        <v>2584</v>
      </c>
      <c r="E39" s="24"/>
      <c r="F39" s="24">
        <f>C39/100*0.7</f>
        <v>5.3199999999999994</v>
      </c>
      <c r="G39" s="24"/>
      <c r="H39" s="24"/>
      <c r="I39" s="24">
        <f>C39/100*84.3</f>
        <v>640.67999999999995</v>
      </c>
      <c r="J39" s="52"/>
      <c r="K39" s="52"/>
      <c r="L39" s="374">
        <v>760</v>
      </c>
      <c r="M39" s="56">
        <v>180</v>
      </c>
      <c r="N39" s="23">
        <f t="shared" si="1"/>
        <v>136800</v>
      </c>
      <c r="O39" s="135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82</v>
      </c>
      <c r="C40" s="18">
        <f>L40/100*81.7</f>
        <v>3120.9400000000005</v>
      </c>
      <c r="D40" s="19">
        <f>C40/100*27</f>
        <v>842.65380000000016</v>
      </c>
      <c r="E40" s="24"/>
      <c r="F40" s="24">
        <f>C40/100*0.3</f>
        <v>9.362820000000001</v>
      </c>
      <c r="G40" s="24"/>
      <c r="H40" s="24">
        <f>C40/100*0.1</f>
        <v>3.1209400000000009</v>
      </c>
      <c r="I40" s="24">
        <f>C40/100*6.1</f>
        <v>190.37734000000003</v>
      </c>
      <c r="J40" s="52">
        <f>C40/100*24</f>
        <v>749.02560000000017</v>
      </c>
      <c r="K40" s="52">
        <f>C40/100*0.06</f>
        <v>1.8725640000000003</v>
      </c>
      <c r="L40" s="374">
        <v>3820</v>
      </c>
      <c r="M40" s="21">
        <v>22</v>
      </c>
      <c r="N40" s="23">
        <f t="shared" si="1"/>
        <v>84040</v>
      </c>
      <c r="O40" s="135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135</v>
      </c>
      <c r="C41" s="18">
        <f>L41/100*55</f>
        <v>1578.5</v>
      </c>
      <c r="D41" s="93">
        <f>C41/100*196</f>
        <v>3093.86</v>
      </c>
      <c r="E41" s="20"/>
      <c r="F41" s="104">
        <f>C41/100*4.1</f>
        <v>64.718499999999992</v>
      </c>
      <c r="G41" s="20"/>
      <c r="H41" s="20">
        <f>C41/100*2.3</f>
        <v>36.305499999999995</v>
      </c>
      <c r="I41" s="20">
        <f>C41/100*39.6</f>
        <v>625.08600000000001</v>
      </c>
      <c r="J41" s="22">
        <f>C41/100*4</f>
        <v>63.14</v>
      </c>
      <c r="K41" s="22">
        <f>C41/100*0.15</f>
        <v>2.36775</v>
      </c>
      <c r="L41" s="391">
        <v>2870</v>
      </c>
      <c r="M41" s="56">
        <v>22</v>
      </c>
      <c r="N41" s="23">
        <f t="shared" si="1"/>
        <v>63140</v>
      </c>
      <c r="O41" s="392"/>
      <c r="P41" s="109"/>
      <c r="Q41" s="109"/>
    </row>
    <row r="42" spans="1:20" s="2" customFormat="1" ht="18.600000000000001" customHeight="1">
      <c r="A42" s="9">
        <v>11</v>
      </c>
      <c r="B42" s="5" t="s">
        <v>61</v>
      </c>
      <c r="C42" s="18">
        <f>L42/100*48</f>
        <v>3480</v>
      </c>
      <c r="D42" s="19">
        <f>C42/100*199</f>
        <v>6925.2</v>
      </c>
      <c r="E42" s="20">
        <f>C42/100*20.3</f>
        <v>706.43999999999994</v>
      </c>
      <c r="F42" s="20"/>
      <c r="G42" s="20">
        <f>C42/100*13.1</f>
        <v>455.87999999999994</v>
      </c>
      <c r="H42" s="20"/>
      <c r="I42" s="20"/>
      <c r="J42" s="22">
        <f>C42/100*12</f>
        <v>417.59999999999997</v>
      </c>
      <c r="K42" s="22">
        <f>C42/100*0.15</f>
        <v>5.22</v>
      </c>
      <c r="L42" s="21">
        <v>7250</v>
      </c>
      <c r="M42" s="105">
        <v>84</v>
      </c>
      <c r="N42" s="23">
        <f t="shared" si="1"/>
        <v>609000</v>
      </c>
      <c r="O42" s="135"/>
      <c r="Q42" s="3"/>
      <c r="R42" s="3"/>
      <c r="S42" s="4"/>
    </row>
    <row r="43" spans="1:20" s="2" customFormat="1" ht="18.600000000000001" customHeight="1">
      <c r="A43" s="9">
        <v>12</v>
      </c>
      <c r="B43" s="10" t="s">
        <v>57</v>
      </c>
      <c r="C43" s="18">
        <f>L43/100*40</f>
        <v>2068</v>
      </c>
      <c r="D43" s="19">
        <f>C43/100*276</f>
        <v>5707.68</v>
      </c>
      <c r="E43" s="20">
        <f>C43/100*17.8</f>
        <v>368.10399999999998</v>
      </c>
      <c r="F43" s="20"/>
      <c r="G43" s="20">
        <f>C43/100*21.8</f>
        <v>450.82400000000001</v>
      </c>
      <c r="H43" s="20"/>
      <c r="I43" s="20"/>
      <c r="J43" s="22">
        <f>C43/100*13</f>
        <v>268.83999999999997</v>
      </c>
      <c r="K43" s="22">
        <f>C43/100*0.07</f>
        <v>1.4476000000000002</v>
      </c>
      <c r="L43" s="105">
        <v>5170</v>
      </c>
      <c r="M43" s="56">
        <v>63</v>
      </c>
      <c r="N43" s="97">
        <f t="shared" si="1"/>
        <v>325710</v>
      </c>
      <c r="O43" s="135"/>
    </row>
    <row r="44" spans="1:20" s="2" customFormat="1" ht="18.600000000000001" customHeight="1">
      <c r="A44" s="76">
        <v>13</v>
      </c>
      <c r="B44" s="85" t="s">
        <v>136</v>
      </c>
      <c r="C44" s="77">
        <f>L44/100*85</f>
        <v>161.5</v>
      </c>
      <c r="D44" s="78">
        <f>C44/100*11</f>
        <v>17.765000000000001</v>
      </c>
      <c r="E44" s="79"/>
      <c r="F44" s="79">
        <f>C44/100*2.2</f>
        <v>3.5530000000000004</v>
      </c>
      <c r="G44" s="79"/>
      <c r="H44" s="79"/>
      <c r="I44" s="79">
        <f>C44/100*0.6</f>
        <v>0.96899999999999997</v>
      </c>
      <c r="J44" s="87"/>
      <c r="K44" s="87"/>
      <c r="L44" s="394">
        <v>190</v>
      </c>
      <c r="M44" s="114">
        <v>30</v>
      </c>
      <c r="N44" s="81">
        <f t="shared" si="1"/>
        <v>5700</v>
      </c>
      <c r="O44" s="135"/>
      <c r="Q44" s="3"/>
      <c r="R44" s="3"/>
    </row>
    <row r="45" spans="1:20" ht="22.8" customHeight="1">
      <c r="A45" s="171" t="s">
        <v>0</v>
      </c>
      <c r="B45" s="174" t="s">
        <v>19</v>
      </c>
      <c r="C45" s="177" t="s">
        <v>8</v>
      </c>
      <c r="D45" s="177" t="s">
        <v>9</v>
      </c>
      <c r="E45" s="182" t="s">
        <v>11</v>
      </c>
      <c r="F45" s="183"/>
      <c r="G45" s="182" t="s">
        <v>13</v>
      </c>
      <c r="H45" s="183"/>
      <c r="I45" s="186" t="s">
        <v>16</v>
      </c>
      <c r="J45" s="186" t="s">
        <v>39</v>
      </c>
      <c r="K45" s="186" t="s">
        <v>40</v>
      </c>
      <c r="L45" s="341" t="s">
        <v>17</v>
      </c>
      <c r="M45" s="186" t="s">
        <v>50</v>
      </c>
      <c r="N45" s="171" t="s">
        <v>18</v>
      </c>
      <c r="O45" s="389"/>
    </row>
    <row r="46" spans="1:20" ht="22.8" customHeight="1">
      <c r="A46" s="337"/>
      <c r="B46" s="339"/>
      <c r="C46" s="311"/>
      <c r="D46" s="311"/>
      <c r="E46" s="184"/>
      <c r="F46" s="185"/>
      <c r="G46" s="184"/>
      <c r="H46" s="185"/>
      <c r="I46" s="187"/>
      <c r="J46" s="187"/>
      <c r="K46" s="187"/>
      <c r="L46" s="342"/>
      <c r="M46" s="187"/>
      <c r="N46" s="337"/>
      <c r="O46" s="161"/>
    </row>
    <row r="47" spans="1:20" ht="22.8" customHeight="1">
      <c r="A47" s="337"/>
      <c r="B47" s="339"/>
      <c r="C47" s="311"/>
      <c r="D47" s="311"/>
      <c r="E47" s="186" t="s">
        <v>10</v>
      </c>
      <c r="F47" s="186" t="s">
        <v>12</v>
      </c>
      <c r="G47" s="186" t="s">
        <v>14</v>
      </c>
      <c r="H47" s="186" t="s">
        <v>15</v>
      </c>
      <c r="I47" s="187"/>
      <c r="J47" s="187"/>
      <c r="K47" s="187"/>
      <c r="L47" s="342"/>
      <c r="M47" s="187"/>
      <c r="N47" s="337"/>
      <c r="O47" s="161"/>
    </row>
    <row r="48" spans="1:20" ht="22.8" customHeight="1">
      <c r="A48" s="338"/>
      <c r="B48" s="340"/>
      <c r="C48" s="312"/>
      <c r="D48" s="312"/>
      <c r="E48" s="188"/>
      <c r="F48" s="188"/>
      <c r="G48" s="188"/>
      <c r="H48" s="188"/>
      <c r="I48" s="188"/>
      <c r="J48" s="188"/>
      <c r="K48" s="188"/>
      <c r="L48" s="343"/>
      <c r="M48" s="188"/>
      <c r="N48" s="338"/>
      <c r="O48" s="161"/>
    </row>
    <row r="49" spans="1:23" s="2" customFormat="1" ht="19.2" customHeight="1">
      <c r="A49" s="16" t="s">
        <v>91</v>
      </c>
      <c r="B49" s="17"/>
      <c r="C49" s="26"/>
      <c r="D49" s="94">
        <f>SUM(D33:D44)</f>
        <v>46487.978799999997</v>
      </c>
      <c r="E49" s="31"/>
      <c r="F49" s="31"/>
      <c r="G49" s="31"/>
      <c r="H49" s="31"/>
      <c r="I49" s="31"/>
      <c r="J49" s="31"/>
      <c r="K49" s="31"/>
      <c r="L49" s="32"/>
      <c r="M49" s="247"/>
      <c r="N49" s="286">
        <f>SUM(N30:N44)</f>
        <v>1450310</v>
      </c>
      <c r="O49" s="135"/>
    </row>
    <row r="50" spans="1:23" ht="19.2" customHeight="1">
      <c r="A50" s="16" t="s">
        <v>7</v>
      </c>
      <c r="B50" s="17"/>
      <c r="C50" s="33"/>
      <c r="D50" s="34">
        <f>D49/D10</f>
        <v>243.39255916230366</v>
      </c>
      <c r="E50" s="34"/>
      <c r="F50" s="34"/>
      <c r="G50" s="34"/>
      <c r="H50" s="34"/>
      <c r="I50" s="34"/>
      <c r="J50" s="34"/>
      <c r="K50" s="34"/>
      <c r="L50" s="35"/>
      <c r="M50" s="248"/>
      <c r="N50" s="287"/>
      <c r="O50" s="395"/>
      <c r="P50" s="2"/>
      <c r="Q50" s="2"/>
      <c r="R50" s="2"/>
      <c r="S50" s="2"/>
      <c r="T50" s="2"/>
      <c r="U50" s="2"/>
      <c r="V50" s="2"/>
    </row>
    <row r="51" spans="1:23" ht="19.2" customHeight="1">
      <c r="A51" s="222" t="s">
        <v>45</v>
      </c>
      <c r="B51" s="313"/>
      <c r="C51" s="375" t="s">
        <v>122</v>
      </c>
      <c r="D51" s="15" t="s">
        <v>51</v>
      </c>
      <c r="E51" s="34"/>
      <c r="F51" s="34"/>
      <c r="G51" s="34"/>
      <c r="H51" s="34"/>
      <c r="I51" s="34"/>
      <c r="J51" s="36"/>
      <c r="K51" s="36"/>
      <c r="L51" s="35"/>
      <c r="M51" s="35"/>
      <c r="N51" s="162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314"/>
      <c r="B52" s="315"/>
      <c r="C52" s="57" t="s">
        <v>53</v>
      </c>
      <c r="D52" s="15">
        <f>D50*100/1320</f>
        <v>18.43883023956846</v>
      </c>
      <c r="E52" s="34"/>
      <c r="F52" s="34"/>
      <c r="G52" s="34"/>
      <c r="H52" s="34"/>
      <c r="I52" s="34"/>
      <c r="J52" s="36"/>
      <c r="K52" s="36"/>
      <c r="L52" s="35"/>
      <c r="M52" s="35"/>
      <c r="N52" s="162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203" t="s">
        <v>92</v>
      </c>
      <c r="B53" s="204"/>
      <c r="C53" s="346"/>
      <c r="D53" s="228">
        <f>D27+D49</f>
        <v>132946.87479999999</v>
      </c>
      <c r="E53" s="96">
        <f t="shared" ref="E53:K53" si="2">SUM(E16:E44)</f>
        <v>3196.1839999999997</v>
      </c>
      <c r="F53" s="96">
        <f t="shared" si="2"/>
        <v>2154.4149200000002</v>
      </c>
      <c r="G53" s="96">
        <f t="shared" si="2"/>
        <v>2632.9360000000001</v>
      </c>
      <c r="H53" s="96">
        <f t="shared" si="2"/>
        <v>1154.2056400000001</v>
      </c>
      <c r="I53" s="332">
        <f t="shared" si="2"/>
        <v>18762.088239999997</v>
      </c>
      <c r="J53" s="332">
        <f t="shared" si="2"/>
        <v>55795.592599999989</v>
      </c>
      <c r="K53" s="254">
        <f t="shared" si="2"/>
        <v>103.91400399999998</v>
      </c>
      <c r="L53" s="254"/>
      <c r="M53" s="254"/>
      <c r="N53" s="348">
        <f>N27+N49</f>
        <v>4201920</v>
      </c>
      <c r="U53" s="12"/>
      <c r="V53" s="12"/>
    </row>
    <row r="54" spans="1:23" ht="19.2" customHeight="1">
      <c r="A54" s="205"/>
      <c r="B54" s="206"/>
      <c r="C54" s="347"/>
      <c r="D54" s="353"/>
      <c r="E54" s="199">
        <f>E53+F53</f>
        <v>5350.5989200000004</v>
      </c>
      <c r="F54" s="200"/>
      <c r="G54" s="199">
        <f>G53+H53</f>
        <v>3787.1416400000003</v>
      </c>
      <c r="H54" s="200"/>
      <c r="I54" s="333"/>
      <c r="J54" s="333"/>
      <c r="K54" s="255"/>
      <c r="L54" s="308"/>
      <c r="M54" s="308"/>
      <c r="N54" s="349"/>
      <c r="Q54" s="372"/>
      <c r="R54" s="372"/>
      <c r="S54" s="372"/>
      <c r="T54" s="372"/>
      <c r="U54" s="401"/>
      <c r="V54" s="401"/>
      <c r="W54" s="1">
        <f>Q54+S54+U54</f>
        <v>0</v>
      </c>
    </row>
    <row r="55" spans="1:23" ht="20.399999999999999" customHeight="1">
      <c r="A55" s="274" t="s">
        <v>67</v>
      </c>
      <c r="B55" s="275"/>
      <c r="C55" s="276"/>
      <c r="D55" s="110">
        <f>D53/D10</f>
        <v>696.05693612565437</v>
      </c>
      <c r="E55" s="376">
        <f>E53/D10</f>
        <v>16.733947643979057</v>
      </c>
      <c r="F55" s="377">
        <f>F53/D10</f>
        <v>11.279659267015708</v>
      </c>
      <c r="G55" s="376">
        <f>G53/D10</f>
        <v>13.785005235602094</v>
      </c>
      <c r="H55" s="396">
        <f>H53/D10</f>
        <v>6.0429614659685873</v>
      </c>
      <c r="I55" s="344">
        <f>I53/D10</f>
        <v>98.230828481675374</v>
      </c>
      <c r="J55" s="344">
        <f>J53/D10</f>
        <v>292.12352146596851</v>
      </c>
      <c r="K55" s="256">
        <f>K53/D10</f>
        <v>0.54405237696335063</v>
      </c>
      <c r="L55" s="308"/>
      <c r="M55" s="308"/>
      <c r="N55" s="349"/>
      <c r="P55" s="397"/>
      <c r="Q55" s="372"/>
      <c r="R55" s="372"/>
      <c r="S55" s="372"/>
      <c r="T55" s="372"/>
      <c r="U55" s="372"/>
      <c r="V55" s="372"/>
    </row>
    <row r="56" spans="1:23" ht="20.399999999999999" customHeight="1">
      <c r="A56" s="277"/>
      <c r="B56" s="278"/>
      <c r="C56" s="279"/>
      <c r="D56" s="98"/>
      <c r="E56" s="378">
        <f>E55+F55</f>
        <v>28.013606910994767</v>
      </c>
      <c r="F56" s="379"/>
      <c r="G56" s="378">
        <f>G55+H55</f>
        <v>19.827966701570681</v>
      </c>
      <c r="H56" s="379"/>
      <c r="I56" s="345"/>
      <c r="J56" s="345"/>
      <c r="K56" s="257"/>
      <c r="L56" s="308"/>
      <c r="M56" s="308"/>
      <c r="N56" s="349"/>
    </row>
    <row r="57" spans="1:23" ht="20.399999999999999" customHeight="1">
      <c r="A57" s="219" t="s">
        <v>70</v>
      </c>
      <c r="B57" s="220"/>
      <c r="C57" s="221"/>
      <c r="D57" s="160" t="s">
        <v>27</v>
      </c>
      <c r="E57" s="328" t="s">
        <v>21</v>
      </c>
      <c r="F57" s="330"/>
      <c r="G57" s="328" t="s">
        <v>22</v>
      </c>
      <c r="H57" s="330"/>
      <c r="I57" s="163" t="s">
        <v>23</v>
      </c>
      <c r="J57" s="380">
        <v>600</v>
      </c>
      <c r="K57" s="380">
        <v>0.7</v>
      </c>
      <c r="L57" s="308"/>
      <c r="M57" s="308"/>
      <c r="N57" s="349"/>
      <c r="O57" s="398"/>
    </row>
    <row r="58" spans="1:23" ht="20.399999999999999" customHeight="1">
      <c r="A58" s="192" t="s">
        <v>68</v>
      </c>
      <c r="B58" s="258"/>
      <c r="C58" s="193"/>
      <c r="D58" s="37"/>
      <c r="E58" s="197">
        <f>E56*4.1</f>
        <v>114.85578833507853</v>
      </c>
      <c r="F58" s="198"/>
      <c r="G58" s="197">
        <f>G56*9</f>
        <v>178.45170031413613</v>
      </c>
      <c r="H58" s="198"/>
      <c r="I58" s="95">
        <f>I55*4.1</f>
        <v>402.74639677486903</v>
      </c>
      <c r="J58" s="230"/>
      <c r="K58" s="230"/>
      <c r="L58" s="308"/>
      <c r="M58" s="308"/>
      <c r="N58" s="349"/>
      <c r="O58" s="398"/>
      <c r="P58" s="402"/>
      <c r="Q58" s="371"/>
      <c r="R58" s="371"/>
      <c r="S58" s="371"/>
    </row>
    <row r="59" spans="1:23" ht="20.399999999999999" customHeight="1">
      <c r="A59" s="233" t="s">
        <v>71</v>
      </c>
      <c r="B59" s="234"/>
      <c r="C59" s="192" t="s">
        <v>52</v>
      </c>
      <c r="D59" s="193"/>
      <c r="E59" s="237">
        <f>E58*100/D55</f>
        <v>16.500918584962481</v>
      </c>
      <c r="F59" s="238"/>
      <c r="G59" s="237">
        <f>G58*100/D55</f>
        <v>25.637514842883697</v>
      </c>
      <c r="H59" s="238"/>
      <c r="I59" s="88">
        <f>I58*100/D55</f>
        <v>57.86112828881631</v>
      </c>
      <c r="J59" s="231"/>
      <c r="K59" s="231"/>
      <c r="L59" s="308"/>
      <c r="M59" s="308"/>
      <c r="N59" s="349"/>
      <c r="O59" s="398"/>
      <c r="P59" s="109"/>
      <c r="Q59" s="109"/>
      <c r="R59" s="109"/>
      <c r="S59" s="109"/>
    </row>
    <row r="60" spans="1:23" ht="20.399999999999999" customHeight="1">
      <c r="A60" s="235"/>
      <c r="B60" s="236"/>
      <c r="C60" s="192" t="s">
        <v>69</v>
      </c>
      <c r="D60" s="193"/>
      <c r="E60" s="192" t="s">
        <v>72</v>
      </c>
      <c r="F60" s="193"/>
      <c r="G60" s="192" t="s">
        <v>73</v>
      </c>
      <c r="H60" s="193"/>
      <c r="I60" s="160" t="s">
        <v>74</v>
      </c>
      <c r="J60" s="232"/>
      <c r="K60" s="232"/>
      <c r="L60" s="255"/>
      <c r="M60" s="255"/>
      <c r="N60" s="350"/>
      <c r="O60" s="398"/>
      <c r="P60" s="399"/>
    </row>
    <row r="61" spans="1:23" ht="20.399999999999999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3"/>
      <c r="M61" s="73"/>
      <c r="N61" s="74"/>
      <c r="O61" s="398"/>
    </row>
    <row r="62" spans="1:23" ht="21" customHeight="1">
      <c r="A62" s="240" t="s">
        <v>95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398"/>
    </row>
    <row r="63" spans="1:23" ht="21" customHeight="1">
      <c r="A63" s="90" t="s">
        <v>96</v>
      </c>
      <c r="B63" s="241" t="s">
        <v>97</v>
      </c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398"/>
    </row>
    <row r="64" spans="1:23" ht="21" customHeight="1">
      <c r="A64" s="91"/>
      <c r="B64" s="211" t="s">
        <v>176</v>
      </c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398"/>
    </row>
    <row r="65" spans="1:15" ht="21" customHeight="1">
      <c r="A65" s="91"/>
      <c r="B65" s="211" t="s">
        <v>150</v>
      </c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398"/>
    </row>
    <row r="66" spans="1:15" ht="21" customHeight="1">
      <c r="A66" s="91"/>
      <c r="B66" s="211" t="s">
        <v>146</v>
      </c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398"/>
    </row>
    <row r="67" spans="1:15" ht="21" customHeight="1">
      <c r="A67" s="69"/>
      <c r="B67" s="212" t="s">
        <v>98</v>
      </c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398"/>
    </row>
    <row r="68" spans="1:15" ht="21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3"/>
      <c r="M68" s="73"/>
      <c r="N68" s="74"/>
      <c r="O68" s="398"/>
    </row>
    <row r="69" spans="1:15" ht="21" customHeight="1">
      <c r="A69" s="210" t="s">
        <v>55</v>
      </c>
      <c r="B69" s="210"/>
      <c r="C69" s="210"/>
      <c r="D69" s="210"/>
      <c r="E69" s="381"/>
      <c r="F69" s="381"/>
      <c r="G69" s="381"/>
      <c r="H69" s="381"/>
      <c r="I69" s="381"/>
      <c r="J69" s="382" t="s">
        <v>32</v>
      </c>
      <c r="K69" s="382"/>
      <c r="L69" s="382"/>
      <c r="M69" s="382"/>
      <c r="N69" s="382"/>
      <c r="O69" s="398"/>
    </row>
    <row r="70" spans="1:15" ht="21" customHeight="1">
      <c r="A70" s="161"/>
      <c r="B70" s="161"/>
      <c r="C70" s="161"/>
      <c r="D70" s="381"/>
      <c r="E70" s="381"/>
      <c r="F70" s="381"/>
      <c r="G70" s="381"/>
      <c r="H70" s="383"/>
      <c r="I70" s="383"/>
      <c r="J70" s="383"/>
      <c r="K70" s="383"/>
      <c r="L70" s="383"/>
      <c r="M70" s="383"/>
      <c r="N70" s="383"/>
      <c r="O70" s="398"/>
    </row>
    <row r="71" spans="1:15" ht="21" customHeight="1">
      <c r="A71" s="161"/>
      <c r="B71" s="161"/>
      <c r="C71" s="161"/>
      <c r="D71" s="381"/>
      <c r="E71" s="381"/>
      <c r="F71" s="381"/>
      <c r="G71" s="381"/>
      <c r="H71" s="383"/>
      <c r="I71" s="383"/>
      <c r="J71" s="383"/>
      <c r="K71" s="383"/>
      <c r="L71" s="383"/>
      <c r="M71" s="383"/>
      <c r="N71" s="383"/>
      <c r="O71" s="398"/>
    </row>
    <row r="72" spans="1:15" ht="21" customHeight="1">
      <c r="A72" s="161"/>
      <c r="B72" s="161"/>
      <c r="C72" s="161"/>
      <c r="D72" s="381"/>
      <c r="E72" s="381"/>
      <c r="F72" s="381"/>
      <c r="G72" s="381"/>
      <c r="H72" s="383"/>
      <c r="I72" s="383"/>
      <c r="J72" s="384" t="s">
        <v>105</v>
      </c>
      <c r="K72" s="384"/>
      <c r="L72" s="384"/>
      <c r="M72" s="384"/>
      <c r="N72" s="384"/>
      <c r="O72" s="398"/>
    </row>
    <row r="73" spans="1:15" ht="21" customHeight="1">
      <c r="A73" s="194" t="s">
        <v>80</v>
      </c>
      <c r="B73" s="194"/>
      <c r="C73" s="194"/>
      <c r="D73" s="194"/>
      <c r="E73" s="381"/>
      <c r="F73" s="381"/>
      <c r="G73" s="381"/>
      <c r="H73" s="383"/>
      <c r="I73" s="383"/>
      <c r="J73" s="384"/>
      <c r="K73" s="384"/>
      <c r="L73" s="384"/>
      <c r="M73" s="384"/>
      <c r="N73" s="384"/>
      <c r="O73" s="398"/>
    </row>
    <row r="74" spans="1:15" ht="20.399999999999999" customHeight="1">
      <c r="A74" s="161"/>
      <c r="B74" s="161"/>
      <c r="C74" s="161"/>
      <c r="D74" s="381"/>
      <c r="E74" s="381"/>
      <c r="F74" s="381"/>
      <c r="G74" s="381"/>
      <c r="H74" s="383"/>
      <c r="I74" s="383"/>
      <c r="J74" s="383"/>
      <c r="K74" s="383"/>
      <c r="L74" s="383"/>
      <c r="M74" s="383"/>
      <c r="N74" s="383"/>
      <c r="O74" s="398"/>
    </row>
    <row r="75" spans="1:15" ht="20.399999999999999" customHeight="1">
      <c r="A75" s="161"/>
      <c r="B75" s="161"/>
      <c r="C75" s="161"/>
      <c r="D75" s="381"/>
      <c r="E75" s="381"/>
      <c r="F75" s="381"/>
      <c r="G75" s="381"/>
      <c r="H75" s="383"/>
      <c r="I75" s="383"/>
      <c r="J75" s="384" t="s">
        <v>108</v>
      </c>
      <c r="K75" s="384"/>
      <c r="L75" s="384"/>
      <c r="M75" s="384"/>
      <c r="N75" s="384"/>
      <c r="O75" s="398"/>
    </row>
    <row r="76" spans="1:15" ht="20.399999999999999" customHeight="1">
      <c r="A76" s="161"/>
      <c r="B76" s="161"/>
      <c r="C76" s="161"/>
      <c r="D76" s="381"/>
      <c r="E76" s="381"/>
      <c r="F76" s="381"/>
      <c r="G76" s="381"/>
      <c r="H76" s="383"/>
      <c r="I76" s="383"/>
      <c r="J76" s="383"/>
      <c r="K76" s="383"/>
      <c r="L76" s="383"/>
      <c r="M76" s="383"/>
      <c r="N76" s="383"/>
      <c r="O76" s="398"/>
    </row>
    <row r="77" spans="1:15" ht="20.399999999999999" customHeight="1">
      <c r="A77" s="161"/>
      <c r="B77" s="161"/>
      <c r="C77" s="161"/>
      <c r="D77" s="381"/>
      <c r="E77" s="381"/>
      <c r="F77" s="381"/>
      <c r="G77" s="381"/>
      <c r="H77" s="383"/>
      <c r="I77" s="383"/>
      <c r="J77" s="383"/>
      <c r="K77" s="383"/>
      <c r="L77" s="383"/>
      <c r="M77" s="383"/>
      <c r="N77" s="383"/>
      <c r="O77" s="398"/>
    </row>
    <row r="78" spans="1:15" ht="20.399999999999999" customHeight="1">
      <c r="A78" s="161"/>
      <c r="B78" s="161"/>
      <c r="C78" s="161"/>
      <c r="D78" s="381"/>
      <c r="E78" s="381"/>
      <c r="F78" s="381"/>
      <c r="G78" s="381"/>
      <c r="H78" s="383"/>
      <c r="I78" s="383"/>
      <c r="J78" s="383"/>
      <c r="K78" s="383"/>
      <c r="L78" s="383"/>
      <c r="M78" s="383"/>
      <c r="N78" s="383"/>
      <c r="O78" s="398"/>
    </row>
    <row r="79" spans="1:15" ht="20.399999999999999" customHeight="1">
      <c r="A79" s="161"/>
      <c r="B79" s="161"/>
      <c r="C79" s="161"/>
      <c r="D79" s="381"/>
      <c r="E79" s="381"/>
      <c r="F79" s="381"/>
      <c r="G79" s="381"/>
      <c r="H79" s="383"/>
      <c r="I79" s="383"/>
      <c r="J79" s="383"/>
      <c r="K79" s="383"/>
      <c r="L79" s="383"/>
      <c r="M79" s="383"/>
      <c r="N79" s="383"/>
      <c r="O79" s="398"/>
    </row>
    <row r="80" spans="1:15" ht="20.399999999999999" customHeight="1">
      <c r="A80" s="161"/>
      <c r="B80" s="161"/>
      <c r="C80" s="161"/>
      <c r="D80" s="381"/>
      <c r="E80" s="381"/>
      <c r="F80" s="381"/>
      <c r="G80" s="381"/>
      <c r="H80" s="383"/>
      <c r="I80" s="383"/>
      <c r="J80" s="383"/>
      <c r="K80" s="383"/>
      <c r="L80" s="383"/>
      <c r="M80" s="383"/>
      <c r="N80" s="383"/>
      <c r="O80" s="398"/>
    </row>
    <row r="81" spans="1:20" ht="20.399999999999999" customHeight="1">
      <c r="A81" s="161"/>
      <c r="B81" s="161"/>
      <c r="C81" s="161"/>
      <c r="D81" s="381"/>
      <c r="E81" s="381"/>
      <c r="F81" s="381"/>
      <c r="G81" s="381"/>
      <c r="H81" s="383"/>
      <c r="I81" s="383"/>
      <c r="J81" s="383"/>
      <c r="K81" s="383"/>
      <c r="L81" s="383"/>
      <c r="M81" s="383"/>
      <c r="N81" s="383"/>
      <c r="O81" s="398"/>
    </row>
    <row r="82" spans="1:20" ht="20.399999999999999" customHeight="1">
      <c r="A82" s="161"/>
      <c r="B82" s="161"/>
      <c r="C82" s="161"/>
      <c r="D82" s="381"/>
      <c r="E82" s="381"/>
      <c r="F82" s="381"/>
      <c r="G82" s="381"/>
      <c r="H82" s="383"/>
      <c r="I82" s="383"/>
      <c r="J82" s="383"/>
      <c r="K82" s="383"/>
      <c r="L82" s="383"/>
      <c r="M82" s="383"/>
      <c r="N82" s="383"/>
      <c r="O82" s="398"/>
    </row>
    <row r="83" spans="1:20" ht="20.399999999999999" customHeight="1">
      <c r="A83" s="161"/>
      <c r="B83" s="161"/>
      <c r="C83" s="161"/>
      <c r="D83" s="381"/>
      <c r="E83" s="381"/>
      <c r="F83" s="381"/>
      <c r="G83" s="381"/>
      <c r="H83" s="383"/>
      <c r="I83" s="383"/>
      <c r="J83" s="383"/>
      <c r="K83" s="383"/>
      <c r="L83" s="383"/>
      <c r="M83" s="383"/>
      <c r="N83" s="383"/>
      <c r="O83" s="398"/>
    </row>
    <row r="84" spans="1:20" ht="20.399999999999999" customHeight="1">
      <c r="A84" s="161"/>
      <c r="B84" s="161"/>
      <c r="C84" s="161"/>
      <c r="D84" s="381"/>
      <c r="E84" s="381"/>
      <c r="F84" s="381"/>
      <c r="G84" s="381"/>
      <c r="H84" s="383"/>
      <c r="I84" s="383"/>
      <c r="J84" s="383"/>
      <c r="K84" s="383"/>
      <c r="L84" s="383"/>
      <c r="M84" s="383"/>
      <c r="N84" s="383"/>
      <c r="O84" s="398"/>
    </row>
    <row r="85" spans="1:20" ht="19.8" customHeight="1">
      <c r="A85" s="11" t="s">
        <v>54</v>
      </c>
      <c r="B85" s="8"/>
      <c r="C85" s="8"/>
      <c r="D85" s="8"/>
      <c r="E85" s="8"/>
      <c r="F85" s="244" t="s">
        <v>31</v>
      </c>
      <c r="G85" s="244"/>
      <c r="H85" s="244"/>
      <c r="I85" s="244"/>
      <c r="J85" s="244"/>
      <c r="K85" s="244"/>
      <c r="L85" s="244"/>
      <c r="M85" s="244"/>
      <c r="N85" s="244"/>
      <c r="O85" s="159"/>
      <c r="P85" s="159"/>
      <c r="T85" s="2"/>
    </row>
    <row r="86" spans="1:20" ht="12" customHeight="1">
      <c r="A86" s="11"/>
      <c r="B86" s="8"/>
      <c r="C86" s="8"/>
      <c r="D86" s="8"/>
      <c r="E86" s="8"/>
      <c r="F86" s="165"/>
      <c r="G86" s="165"/>
      <c r="H86" s="165"/>
      <c r="I86" s="165"/>
      <c r="J86" s="165"/>
      <c r="K86" s="165"/>
      <c r="L86" s="165"/>
      <c r="M86" s="165"/>
      <c r="N86" s="165"/>
      <c r="O86" s="159"/>
      <c r="P86" s="159"/>
      <c r="T86" s="2"/>
    </row>
    <row r="87" spans="1:20" ht="19.8" customHeight="1">
      <c r="A87" s="8" t="s">
        <v>175</v>
      </c>
      <c r="B87" s="8"/>
      <c r="C87" s="8"/>
      <c r="D87" s="8"/>
      <c r="E87" s="8"/>
      <c r="F87" s="165"/>
      <c r="G87" s="165"/>
      <c r="H87" s="165"/>
      <c r="I87" s="165"/>
      <c r="J87" s="165"/>
      <c r="K87" s="165"/>
      <c r="L87" s="165"/>
      <c r="M87" s="165"/>
      <c r="N87" s="165"/>
      <c r="O87" s="159"/>
      <c r="P87" s="159"/>
      <c r="T87" s="2"/>
    </row>
    <row r="88" spans="1:20" ht="12.6" customHeight="1">
      <c r="A88" s="8"/>
      <c r="B88" s="8"/>
      <c r="C88" s="8"/>
      <c r="D88" s="8"/>
      <c r="E88" s="8"/>
      <c r="F88" s="165"/>
      <c r="G88" s="165"/>
      <c r="H88" s="165"/>
      <c r="I88" s="165"/>
      <c r="J88" s="165"/>
      <c r="K88" s="165"/>
      <c r="L88" s="165"/>
      <c r="M88" s="165"/>
      <c r="N88" s="165"/>
      <c r="O88" s="159"/>
      <c r="P88" s="159"/>
      <c r="T88" s="2"/>
    </row>
    <row r="89" spans="1:20" s="2" customFormat="1" ht="16.2" customHeight="1">
      <c r="A89" s="322" t="s">
        <v>84</v>
      </c>
      <c r="B89" s="323"/>
      <c r="C89" s="323"/>
      <c r="D89" s="324"/>
      <c r="E89" s="328" t="s">
        <v>78</v>
      </c>
      <c r="F89" s="329"/>
      <c r="G89" s="329"/>
      <c r="H89" s="329"/>
      <c r="I89" s="329"/>
      <c r="J89" s="329"/>
      <c r="K89" s="329"/>
      <c r="L89" s="329"/>
      <c r="M89" s="329"/>
      <c r="N89" s="330"/>
      <c r="O89" s="388"/>
    </row>
    <row r="90" spans="1:20" s="2" customFormat="1" ht="16.2" customHeight="1">
      <c r="A90" s="325"/>
      <c r="B90" s="326"/>
      <c r="C90" s="326"/>
      <c r="D90" s="327"/>
      <c r="E90" s="328" t="s">
        <v>86</v>
      </c>
      <c r="F90" s="329"/>
      <c r="G90" s="329"/>
      <c r="H90" s="329"/>
      <c r="I90" s="330"/>
      <c r="J90" s="328" t="s">
        <v>87</v>
      </c>
      <c r="K90" s="329"/>
      <c r="L90" s="329"/>
      <c r="M90" s="329"/>
      <c r="N90" s="330"/>
      <c r="O90" s="388"/>
    </row>
    <row r="91" spans="1:20" s="2" customFormat="1" ht="16.2" customHeight="1">
      <c r="A91" s="292" t="s">
        <v>79</v>
      </c>
      <c r="B91" s="293"/>
      <c r="C91" s="293"/>
      <c r="D91" s="294"/>
      <c r="E91" s="262" t="s">
        <v>134</v>
      </c>
      <c r="F91" s="263"/>
      <c r="G91" s="263"/>
      <c r="H91" s="263"/>
      <c r="I91" s="264"/>
      <c r="J91" s="292" t="s">
        <v>79</v>
      </c>
      <c r="K91" s="293"/>
      <c r="L91" s="293"/>
      <c r="M91" s="293"/>
      <c r="N91" s="294"/>
      <c r="O91" s="388"/>
    </row>
    <row r="92" spans="1:20" s="2" customFormat="1" ht="16.2" customHeight="1">
      <c r="A92" s="316" t="s">
        <v>133</v>
      </c>
      <c r="B92" s="317"/>
      <c r="C92" s="317"/>
      <c r="D92" s="318"/>
      <c r="E92" s="265"/>
      <c r="F92" s="266"/>
      <c r="G92" s="266"/>
      <c r="H92" s="266"/>
      <c r="I92" s="267"/>
      <c r="J92" s="295" t="s">
        <v>110</v>
      </c>
      <c r="K92" s="296"/>
      <c r="L92" s="296"/>
      <c r="M92" s="296"/>
      <c r="N92" s="297"/>
      <c r="O92" s="388"/>
    </row>
    <row r="93" spans="1:20" s="2" customFormat="1" ht="16.2" customHeight="1">
      <c r="A93" s="319" t="s">
        <v>144</v>
      </c>
      <c r="B93" s="320"/>
      <c r="C93" s="320"/>
      <c r="D93" s="321"/>
      <c r="E93" s="268"/>
      <c r="F93" s="269"/>
      <c r="G93" s="269"/>
      <c r="H93" s="269"/>
      <c r="I93" s="270"/>
      <c r="J93" s="298" t="s">
        <v>111</v>
      </c>
      <c r="K93" s="299"/>
      <c r="L93" s="299"/>
      <c r="M93" s="299"/>
      <c r="N93" s="300"/>
      <c r="O93" s="388"/>
    </row>
    <row r="94" spans="1:20" s="2" customFormat="1" ht="16.2" customHeight="1">
      <c r="A94" s="207" t="s">
        <v>103</v>
      </c>
      <c r="B94" s="208"/>
      <c r="C94" s="209"/>
      <c r="D94" s="99">
        <v>48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388"/>
    </row>
    <row r="95" spans="1:20" ht="19.8" customHeight="1">
      <c r="A95" s="171" t="s">
        <v>0</v>
      </c>
      <c r="B95" s="174" t="s">
        <v>19</v>
      </c>
      <c r="C95" s="177" t="s">
        <v>8</v>
      </c>
      <c r="D95" s="177" t="s">
        <v>9</v>
      </c>
      <c r="E95" s="182" t="s">
        <v>11</v>
      </c>
      <c r="F95" s="183"/>
      <c r="G95" s="182" t="s">
        <v>13</v>
      </c>
      <c r="H95" s="183"/>
      <c r="I95" s="186" t="s">
        <v>16</v>
      </c>
      <c r="J95" s="186" t="s">
        <v>39</v>
      </c>
      <c r="K95" s="186" t="s">
        <v>40</v>
      </c>
      <c r="L95" s="341" t="s">
        <v>17</v>
      </c>
      <c r="M95" s="186" t="s">
        <v>50</v>
      </c>
      <c r="N95" s="171" t="s">
        <v>18</v>
      </c>
      <c r="O95" s="389"/>
    </row>
    <row r="96" spans="1:20" ht="19.8" customHeight="1">
      <c r="A96" s="337"/>
      <c r="B96" s="339"/>
      <c r="C96" s="311"/>
      <c r="D96" s="311"/>
      <c r="E96" s="184"/>
      <c r="F96" s="185"/>
      <c r="G96" s="184"/>
      <c r="H96" s="185"/>
      <c r="I96" s="187"/>
      <c r="J96" s="187"/>
      <c r="K96" s="187"/>
      <c r="L96" s="342"/>
      <c r="M96" s="187"/>
      <c r="N96" s="337"/>
      <c r="O96" s="161"/>
    </row>
    <row r="97" spans="1:22" ht="19.8" customHeight="1">
      <c r="A97" s="337"/>
      <c r="B97" s="339"/>
      <c r="C97" s="311"/>
      <c r="D97" s="311"/>
      <c r="E97" s="186" t="s">
        <v>10</v>
      </c>
      <c r="F97" s="186" t="s">
        <v>12</v>
      </c>
      <c r="G97" s="186" t="s">
        <v>14</v>
      </c>
      <c r="H97" s="186" t="s">
        <v>15</v>
      </c>
      <c r="I97" s="187"/>
      <c r="J97" s="187"/>
      <c r="K97" s="187"/>
      <c r="L97" s="342"/>
      <c r="M97" s="187"/>
      <c r="N97" s="337"/>
      <c r="O97" s="161"/>
    </row>
    <row r="98" spans="1:22" ht="19.8" customHeight="1">
      <c r="A98" s="338"/>
      <c r="B98" s="340"/>
      <c r="C98" s="312"/>
      <c r="D98" s="312"/>
      <c r="E98" s="188"/>
      <c r="F98" s="188"/>
      <c r="G98" s="188"/>
      <c r="H98" s="188"/>
      <c r="I98" s="188"/>
      <c r="J98" s="188"/>
      <c r="K98" s="188"/>
      <c r="L98" s="343"/>
      <c r="M98" s="188"/>
      <c r="N98" s="338"/>
      <c r="O98" s="161"/>
    </row>
    <row r="99" spans="1:22" ht="16.2" customHeight="1">
      <c r="A99" s="249" t="s">
        <v>38</v>
      </c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1"/>
      <c r="O99" s="161"/>
    </row>
    <row r="100" spans="1:22" s="2" customFormat="1" ht="16.2" customHeight="1">
      <c r="A100" s="9">
        <v>1</v>
      </c>
      <c r="B100" s="10" t="s">
        <v>2</v>
      </c>
      <c r="C100" s="18">
        <f>L100/100*100</f>
        <v>60</v>
      </c>
      <c r="D100" s="19">
        <f>C100/100*60</f>
        <v>36</v>
      </c>
      <c r="E100" s="20">
        <f>C100/100*15</f>
        <v>9</v>
      </c>
      <c r="F100" s="20"/>
      <c r="G100" s="20"/>
      <c r="H100" s="20"/>
      <c r="I100" s="20"/>
      <c r="J100" s="22">
        <f>C100/100*387</f>
        <v>232.2</v>
      </c>
      <c r="K100" s="22">
        <f>C100/100*0.09</f>
        <v>5.3999999999999999E-2</v>
      </c>
      <c r="L100" s="105">
        <v>60</v>
      </c>
      <c r="M100" s="56">
        <v>20</v>
      </c>
      <c r="N100" s="23">
        <f>L100*M100</f>
        <v>1200</v>
      </c>
      <c r="O100" s="135"/>
    </row>
    <row r="101" spans="1:22" s="2" customFormat="1" ht="16.2" customHeight="1">
      <c r="A101" s="9">
        <v>2</v>
      </c>
      <c r="B101" s="115" t="s">
        <v>115</v>
      </c>
      <c r="C101" s="18">
        <f>L101/100*100</f>
        <v>100</v>
      </c>
      <c r="D101" s="19">
        <f>C101/100*899</f>
        <v>899</v>
      </c>
      <c r="E101" s="20"/>
      <c r="F101" s="20"/>
      <c r="G101" s="20">
        <f>C101/100*100</f>
        <v>100</v>
      </c>
      <c r="H101" s="20"/>
      <c r="I101" s="20"/>
      <c r="J101" s="20"/>
      <c r="K101" s="20"/>
      <c r="L101" s="105">
        <v>100</v>
      </c>
      <c r="M101" s="93">
        <v>68</v>
      </c>
      <c r="N101" s="23">
        <f t="shared" ref="N101:N109" si="3">L101*M101</f>
        <v>6800</v>
      </c>
      <c r="O101" s="390"/>
    </row>
    <row r="102" spans="1:22" s="2" customFormat="1" ht="16.2" customHeight="1">
      <c r="A102" s="9">
        <v>3</v>
      </c>
      <c r="B102" s="131" t="s">
        <v>119</v>
      </c>
      <c r="C102" s="18">
        <f>L102/100*100</f>
        <v>310</v>
      </c>
      <c r="D102" s="93">
        <f>C102/100*900</f>
        <v>2790</v>
      </c>
      <c r="E102" s="20"/>
      <c r="F102" s="20"/>
      <c r="G102" s="92"/>
      <c r="H102" s="20">
        <f>C102/100*100</f>
        <v>310</v>
      </c>
      <c r="I102" s="20"/>
      <c r="J102" s="20"/>
      <c r="K102" s="20"/>
      <c r="L102" s="105">
        <v>310</v>
      </c>
      <c r="M102" s="56">
        <v>63.5</v>
      </c>
      <c r="N102" s="23">
        <f t="shared" si="3"/>
        <v>19685</v>
      </c>
      <c r="O102" s="390"/>
    </row>
    <row r="103" spans="1:22" s="2" customFormat="1" ht="16.2" customHeight="1">
      <c r="A103" s="9">
        <v>4</v>
      </c>
      <c r="B103" s="5" t="s">
        <v>1</v>
      </c>
      <c r="C103" s="18">
        <f>L103/100*100</f>
        <v>2064</v>
      </c>
      <c r="D103" s="19">
        <f>C103/100*344</f>
        <v>7100.16</v>
      </c>
      <c r="E103" s="20"/>
      <c r="F103" s="20">
        <f>C103/100*7.9</f>
        <v>163.05600000000001</v>
      </c>
      <c r="G103" s="20"/>
      <c r="H103" s="20">
        <f>C103/100*1</f>
        <v>20.64</v>
      </c>
      <c r="I103" s="92">
        <f>C103/100*73.2</f>
        <v>1510.8480000000002</v>
      </c>
      <c r="J103" s="22">
        <f>C103/100*30</f>
        <v>619.20000000000005</v>
      </c>
      <c r="K103" s="22">
        <f>C103/100*0.1</f>
        <v>2.0640000000000001</v>
      </c>
      <c r="L103" s="105">
        <v>2064</v>
      </c>
      <c r="M103" s="56">
        <v>18</v>
      </c>
      <c r="N103" s="23">
        <f t="shared" si="3"/>
        <v>37152</v>
      </c>
      <c r="O103" s="135"/>
    </row>
    <row r="104" spans="1:22" s="2" customFormat="1" ht="16.2" customHeight="1">
      <c r="A104" s="9">
        <v>5</v>
      </c>
      <c r="B104" s="5" t="s">
        <v>83</v>
      </c>
      <c r="C104" s="18">
        <f>L104/100*90</f>
        <v>909</v>
      </c>
      <c r="D104" s="19">
        <f>C104/100*90</f>
        <v>818.1</v>
      </c>
      <c r="E104" s="20">
        <f>C104/100*18.4</f>
        <v>167.25599999999997</v>
      </c>
      <c r="F104" s="20"/>
      <c r="G104" s="20">
        <f>C104/100*1.8</f>
        <v>16.362000000000002</v>
      </c>
      <c r="H104" s="20"/>
      <c r="I104" s="20"/>
      <c r="J104" s="62">
        <f>C104/100*1120</f>
        <v>10180.799999999999</v>
      </c>
      <c r="K104" s="22">
        <f>C104/100*0.02</f>
        <v>0.18179999999999999</v>
      </c>
      <c r="L104" s="105">
        <v>1010</v>
      </c>
      <c r="M104" s="21">
        <v>260</v>
      </c>
      <c r="N104" s="97">
        <f t="shared" si="3"/>
        <v>262600</v>
      </c>
      <c r="O104" s="135"/>
      <c r="Q104" s="3"/>
      <c r="R104" s="3"/>
      <c r="S104" s="4"/>
    </row>
    <row r="105" spans="1:22" s="2" customFormat="1" ht="16.2" customHeight="1">
      <c r="A105" s="9">
        <v>6</v>
      </c>
      <c r="B105" s="10" t="s">
        <v>63</v>
      </c>
      <c r="C105" s="18">
        <f>L105/100*98</f>
        <v>1430.8</v>
      </c>
      <c r="D105" s="19">
        <f>C105/100*139</f>
        <v>1988.8119999999999</v>
      </c>
      <c r="E105" s="20">
        <f>C105/100*19</f>
        <v>271.85199999999998</v>
      </c>
      <c r="F105" s="20"/>
      <c r="G105" s="20">
        <f>C105/100*7</f>
        <v>100.15600000000001</v>
      </c>
      <c r="H105" s="20"/>
      <c r="I105" s="20"/>
      <c r="J105" s="22">
        <f>C105/100*7</f>
        <v>100.15600000000001</v>
      </c>
      <c r="K105" s="22">
        <f>C105/100*0.9</f>
        <v>12.8772</v>
      </c>
      <c r="L105" s="105">
        <v>1460</v>
      </c>
      <c r="M105" s="111">
        <v>137</v>
      </c>
      <c r="N105" s="23">
        <f t="shared" si="3"/>
        <v>200020</v>
      </c>
      <c r="O105" s="135"/>
    </row>
    <row r="106" spans="1:22" s="2" customFormat="1" ht="16.2" customHeight="1">
      <c r="A106" s="9">
        <v>7</v>
      </c>
      <c r="B106" s="5" t="s">
        <v>20</v>
      </c>
      <c r="C106" s="18">
        <f>L106/100*95</f>
        <v>323</v>
      </c>
      <c r="D106" s="19">
        <f>C106/100*20</f>
        <v>64.599999999999994</v>
      </c>
      <c r="E106" s="20"/>
      <c r="F106" s="20">
        <f>C106/100*0.6</f>
        <v>1.9379999999999999</v>
      </c>
      <c r="G106" s="20"/>
      <c r="H106" s="20">
        <f>C106/100*0.2</f>
        <v>0.64600000000000002</v>
      </c>
      <c r="I106" s="20">
        <f>C106/100*4</f>
        <v>12.92</v>
      </c>
      <c r="J106" s="22">
        <f>C106/100*12</f>
        <v>38.76</v>
      </c>
      <c r="K106" s="19">
        <f>C106/100*0.04</f>
        <v>0.12920000000000001</v>
      </c>
      <c r="L106" s="105">
        <v>340</v>
      </c>
      <c r="M106" s="58">
        <v>30</v>
      </c>
      <c r="N106" s="23">
        <f t="shared" si="3"/>
        <v>10200</v>
      </c>
      <c r="O106" s="393"/>
      <c r="Q106" s="3"/>
      <c r="R106" s="3"/>
      <c r="S106" s="4"/>
    </row>
    <row r="107" spans="1:22" s="2" customFormat="1" ht="16.2" customHeight="1">
      <c r="A107" s="9">
        <v>8</v>
      </c>
      <c r="B107" s="5" t="s">
        <v>123</v>
      </c>
      <c r="C107" s="18">
        <f>L107/100*81</f>
        <v>388.8</v>
      </c>
      <c r="D107" s="19">
        <f>C107/100*17</f>
        <v>66.096000000000004</v>
      </c>
      <c r="E107" s="24"/>
      <c r="F107" s="24">
        <f>C107/100*0.9</f>
        <v>3.4992000000000001</v>
      </c>
      <c r="G107" s="24"/>
      <c r="H107" s="24">
        <f>C107/100*0.2</f>
        <v>0.77760000000000007</v>
      </c>
      <c r="I107" s="24">
        <f>C107/100*2.8</f>
        <v>10.886399999999998</v>
      </c>
      <c r="J107" s="20">
        <f>C107/100*28</f>
        <v>108.864</v>
      </c>
      <c r="K107" s="22">
        <f>C107/100*0.04</f>
        <v>0.15551999999999999</v>
      </c>
      <c r="L107" s="374">
        <v>480</v>
      </c>
      <c r="M107" s="56">
        <v>20</v>
      </c>
      <c r="N107" s="23">
        <f t="shared" si="3"/>
        <v>9600</v>
      </c>
      <c r="O107" s="135"/>
      <c r="P107" s="3"/>
    </row>
    <row r="108" spans="1:22" s="109" customFormat="1" ht="16.2" customHeight="1">
      <c r="A108" s="147">
        <v>9</v>
      </c>
      <c r="B108" s="132" t="s">
        <v>145</v>
      </c>
      <c r="C108" s="148">
        <f>L108/100*65</f>
        <v>871</v>
      </c>
      <c r="D108" s="107">
        <f>C108/100*14</f>
        <v>121.94000000000001</v>
      </c>
      <c r="E108" s="104"/>
      <c r="F108" s="104">
        <f>C108/100*1.6</f>
        <v>13.936000000000002</v>
      </c>
      <c r="G108" s="104"/>
      <c r="H108" s="104"/>
      <c r="I108" s="104">
        <f>C108/100*1.9</f>
        <v>16.548999999999999</v>
      </c>
      <c r="J108" s="104">
        <f>C108/100*63</f>
        <v>548.73</v>
      </c>
      <c r="K108" s="104">
        <f>C108/100*0.01</f>
        <v>8.7100000000000011E-2</v>
      </c>
      <c r="L108" s="105">
        <v>1340</v>
      </c>
      <c r="M108" s="149">
        <v>18</v>
      </c>
      <c r="N108" s="103">
        <f t="shared" si="3"/>
        <v>24120</v>
      </c>
      <c r="O108" s="392"/>
    </row>
    <row r="109" spans="1:22" s="2" customFormat="1" ht="16.2" customHeight="1">
      <c r="A109" s="9">
        <v>10</v>
      </c>
      <c r="B109" s="5" t="s">
        <v>112</v>
      </c>
      <c r="C109" s="18">
        <f>L109/100*100</f>
        <v>40</v>
      </c>
      <c r="D109" s="19">
        <f>C109/100*247</f>
        <v>98.800000000000011</v>
      </c>
      <c r="E109" s="24"/>
      <c r="F109" s="24">
        <f>C109/100*17.5</f>
        <v>7</v>
      </c>
      <c r="G109" s="24"/>
      <c r="H109" s="24">
        <f>C109/100*1.6</f>
        <v>0.64000000000000012</v>
      </c>
      <c r="I109" s="24">
        <f>C109/100*39.2</f>
        <v>15.680000000000001</v>
      </c>
      <c r="J109" s="52"/>
      <c r="K109" s="52"/>
      <c r="L109" s="374">
        <v>40</v>
      </c>
      <c r="M109" s="56">
        <v>50</v>
      </c>
      <c r="N109" s="23">
        <f t="shared" si="3"/>
        <v>2000</v>
      </c>
      <c r="O109" s="135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104</v>
      </c>
      <c r="C110" s="18"/>
      <c r="D110" s="19"/>
      <c r="E110" s="20"/>
      <c r="F110" s="20"/>
      <c r="G110" s="20"/>
      <c r="H110" s="20"/>
      <c r="I110" s="20"/>
      <c r="J110" s="22"/>
      <c r="K110" s="22"/>
      <c r="L110" s="21"/>
      <c r="M110" s="21"/>
      <c r="N110" s="23">
        <v>3200</v>
      </c>
      <c r="O110" s="135"/>
      <c r="Q110" s="3"/>
      <c r="R110" s="3"/>
      <c r="S110" s="4"/>
      <c r="T110" s="3"/>
    </row>
    <row r="111" spans="1:22" s="2" customFormat="1" ht="16.2" customHeight="1">
      <c r="A111" s="16" t="s">
        <v>99</v>
      </c>
      <c r="B111" s="17"/>
      <c r="C111" s="26"/>
      <c r="D111" s="94">
        <f>SUM(D100:D110)</f>
        <v>13983.508</v>
      </c>
      <c r="E111" s="31"/>
      <c r="F111" s="31"/>
      <c r="G111" s="31"/>
      <c r="H111" s="31"/>
      <c r="I111" s="31"/>
      <c r="J111" s="31"/>
      <c r="K111" s="31"/>
      <c r="L111" s="32"/>
      <c r="M111" s="247"/>
      <c r="N111" s="286">
        <f>SUM(N100:N110)</f>
        <v>576577</v>
      </c>
      <c r="O111" s="135"/>
    </row>
    <row r="112" spans="1:22" ht="16.2" customHeight="1">
      <c r="A112" s="16" t="s">
        <v>36</v>
      </c>
      <c r="B112" s="17"/>
      <c r="C112" s="33"/>
      <c r="D112" s="34">
        <f>D111/D94</f>
        <v>291.32308333333333</v>
      </c>
      <c r="E112" s="34"/>
      <c r="F112" s="34"/>
      <c r="G112" s="34"/>
      <c r="H112" s="34"/>
      <c r="I112" s="34"/>
      <c r="J112" s="34"/>
      <c r="K112" s="34"/>
      <c r="L112" s="35"/>
      <c r="M112" s="248"/>
      <c r="N112" s="287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222" t="s">
        <v>46</v>
      </c>
      <c r="B113" s="313"/>
      <c r="C113" s="375" t="s">
        <v>122</v>
      </c>
      <c r="D113" s="15" t="s">
        <v>41</v>
      </c>
      <c r="E113" s="34"/>
      <c r="F113" s="34"/>
      <c r="G113" s="34"/>
      <c r="H113" s="34"/>
      <c r="I113" s="34"/>
      <c r="J113" s="36"/>
      <c r="K113" s="36"/>
      <c r="L113" s="35"/>
      <c r="M113" s="35"/>
      <c r="N113" s="162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314"/>
      <c r="B114" s="315"/>
      <c r="C114" s="57" t="s">
        <v>53</v>
      </c>
      <c r="D114" s="59">
        <f>D112*100/930</f>
        <v>31.325062724014337</v>
      </c>
      <c r="E114" s="34"/>
      <c r="F114" s="34"/>
      <c r="G114" s="34"/>
      <c r="H114" s="34"/>
      <c r="I114" s="34"/>
      <c r="J114" s="36"/>
      <c r="K114" s="36"/>
      <c r="L114" s="35"/>
      <c r="M114" s="35"/>
      <c r="N114" s="162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59" t="s">
        <v>37</v>
      </c>
      <c r="B115" s="259"/>
      <c r="C115" s="40"/>
      <c r="D115" s="41"/>
      <c r="E115" s="42"/>
      <c r="F115" s="42"/>
      <c r="G115" s="42"/>
      <c r="H115" s="42"/>
      <c r="I115" s="42"/>
      <c r="J115" s="42"/>
      <c r="K115" s="42"/>
      <c r="L115" s="43"/>
      <c r="M115" s="43"/>
      <c r="N115" s="44"/>
      <c r="O115" s="135"/>
    </row>
    <row r="116" spans="1:23" s="2" customFormat="1" ht="16.2" customHeight="1">
      <c r="A116" s="9">
        <v>1</v>
      </c>
      <c r="B116" s="10" t="s">
        <v>2</v>
      </c>
      <c r="C116" s="18">
        <f>L116/100*100</f>
        <v>60</v>
      </c>
      <c r="D116" s="19">
        <f>C116/100*60</f>
        <v>36</v>
      </c>
      <c r="E116" s="20">
        <f>C116/100*15</f>
        <v>9</v>
      </c>
      <c r="F116" s="20"/>
      <c r="G116" s="20"/>
      <c r="H116" s="20"/>
      <c r="I116" s="20"/>
      <c r="J116" s="22">
        <f>C116/100*387</f>
        <v>232.2</v>
      </c>
      <c r="K116" s="22">
        <f>C116/100*0.09</f>
        <v>5.3999999999999999E-2</v>
      </c>
      <c r="L116" s="105">
        <v>60</v>
      </c>
      <c r="M116" s="56">
        <v>20</v>
      </c>
      <c r="N116" s="103">
        <f>L116*M116</f>
        <v>1200</v>
      </c>
      <c r="O116" s="135"/>
    </row>
    <row r="117" spans="1:23" s="2" customFormat="1" ht="16.2" customHeight="1">
      <c r="A117" s="9">
        <v>2</v>
      </c>
      <c r="B117" s="115" t="s">
        <v>115</v>
      </c>
      <c r="C117" s="18">
        <f>L117/100*100</f>
        <v>229.99999999999997</v>
      </c>
      <c r="D117" s="19">
        <f>C117/100*899</f>
        <v>2067.6999999999998</v>
      </c>
      <c r="E117" s="20"/>
      <c r="F117" s="20"/>
      <c r="G117" s="20">
        <f>C117/100*100</f>
        <v>229.99999999999997</v>
      </c>
      <c r="H117" s="20"/>
      <c r="I117" s="20"/>
      <c r="J117" s="22"/>
      <c r="K117" s="22"/>
      <c r="L117" s="105">
        <v>230</v>
      </c>
      <c r="M117" s="56">
        <v>68</v>
      </c>
      <c r="N117" s="103">
        <f t="shared" ref="N117:N123" si="4">L117*M117</f>
        <v>15640</v>
      </c>
      <c r="O117" s="135"/>
    </row>
    <row r="118" spans="1:23" s="2" customFormat="1" ht="16.2" customHeight="1">
      <c r="A118" s="9">
        <v>3</v>
      </c>
      <c r="B118" s="5" t="s">
        <v>1</v>
      </c>
      <c r="C118" s="18">
        <f>L118/100*100</f>
        <v>2016</v>
      </c>
      <c r="D118" s="19">
        <f>C118/100*344</f>
        <v>6935.04</v>
      </c>
      <c r="E118" s="20"/>
      <c r="F118" s="20">
        <f>C118/100*7.9</f>
        <v>159.26400000000001</v>
      </c>
      <c r="G118" s="20"/>
      <c r="H118" s="20">
        <f>C118/100*1</f>
        <v>20.16</v>
      </c>
      <c r="I118" s="92">
        <f>C118/100*73.2</f>
        <v>1475.712</v>
      </c>
      <c r="J118" s="22">
        <f>C118/100*30</f>
        <v>604.79999999999995</v>
      </c>
      <c r="K118" s="22">
        <f>C118/100*0.1</f>
        <v>2.016</v>
      </c>
      <c r="L118" s="105">
        <v>2016</v>
      </c>
      <c r="M118" s="56">
        <v>18</v>
      </c>
      <c r="N118" s="103">
        <f t="shared" si="4"/>
        <v>36288</v>
      </c>
      <c r="O118" s="135"/>
    </row>
    <row r="119" spans="1:23" s="2" customFormat="1" ht="16.2" customHeight="1">
      <c r="A119" s="9">
        <v>4</v>
      </c>
      <c r="B119" s="10" t="s">
        <v>57</v>
      </c>
      <c r="C119" s="18">
        <f>L119/100*40</f>
        <v>384</v>
      </c>
      <c r="D119" s="19">
        <f>C119/100*276</f>
        <v>1059.8399999999999</v>
      </c>
      <c r="E119" s="20">
        <f>C119/100*17.8</f>
        <v>68.352000000000004</v>
      </c>
      <c r="F119" s="20"/>
      <c r="G119" s="20">
        <f>C119/100*21.8</f>
        <v>83.712000000000003</v>
      </c>
      <c r="H119" s="20"/>
      <c r="I119" s="104"/>
      <c r="J119" s="22">
        <f>C119/100*13</f>
        <v>49.92</v>
      </c>
      <c r="K119" s="22">
        <f>C119/100*0.07</f>
        <v>0.26880000000000004</v>
      </c>
      <c r="L119" s="105">
        <v>960</v>
      </c>
      <c r="M119" s="56">
        <v>63</v>
      </c>
      <c r="N119" s="23">
        <f t="shared" si="4"/>
        <v>60480</v>
      </c>
      <c r="O119" s="135"/>
    </row>
    <row r="120" spans="1:23" s="2" customFormat="1" ht="16.2" customHeight="1">
      <c r="A120" s="9">
        <v>5</v>
      </c>
      <c r="B120" s="5" t="s">
        <v>29</v>
      </c>
      <c r="C120" s="18">
        <f>L120/100*88</f>
        <v>1399.2</v>
      </c>
      <c r="D120" s="19">
        <f>C120/100*184</f>
        <v>2574.5280000000002</v>
      </c>
      <c r="E120" s="20">
        <f>C120/100*13</f>
        <v>181.89600000000002</v>
      </c>
      <c r="F120" s="20"/>
      <c r="G120" s="20">
        <f>C120/100*14.2</f>
        <v>198.68639999999999</v>
      </c>
      <c r="H120" s="20"/>
      <c r="I120" s="20">
        <f>C120/100*1</f>
        <v>13.992000000000001</v>
      </c>
      <c r="J120" s="22">
        <f>C120/100*71</f>
        <v>993.43200000000002</v>
      </c>
      <c r="K120" s="22">
        <f>C120/100*0.15</f>
        <v>2.0988000000000002</v>
      </c>
      <c r="L120" s="105">
        <v>1590</v>
      </c>
      <c r="M120" s="56">
        <v>62</v>
      </c>
      <c r="N120" s="23">
        <f t="shared" si="4"/>
        <v>98580</v>
      </c>
      <c r="O120" s="135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18">
        <f>L121/100*95</f>
        <v>693.5</v>
      </c>
      <c r="D121" s="19">
        <f>C121/100*20</f>
        <v>138.69999999999999</v>
      </c>
      <c r="E121" s="104"/>
      <c r="F121" s="20">
        <f>C121/100*0.6</f>
        <v>4.1609999999999996</v>
      </c>
      <c r="G121" s="20"/>
      <c r="H121" s="20">
        <f>C121/100*0.2</f>
        <v>1.387</v>
      </c>
      <c r="I121" s="20">
        <f>C121/100*4</f>
        <v>27.74</v>
      </c>
      <c r="J121" s="52">
        <f>C121/100*12</f>
        <v>83.22</v>
      </c>
      <c r="K121" s="52">
        <f>C121/100*0.04</f>
        <v>0.27739999999999998</v>
      </c>
      <c r="L121" s="374">
        <v>730</v>
      </c>
      <c r="M121" s="56">
        <v>30</v>
      </c>
      <c r="N121" s="23">
        <f t="shared" si="4"/>
        <v>21900</v>
      </c>
      <c r="O121" s="135"/>
      <c r="Q121" s="3"/>
      <c r="R121" s="3"/>
    </row>
    <row r="122" spans="1:23" s="2" customFormat="1" ht="16.2" customHeight="1">
      <c r="A122" s="9">
        <v>7</v>
      </c>
      <c r="B122" s="5" t="s">
        <v>82</v>
      </c>
      <c r="C122" s="18">
        <f>L122/100*81.7</f>
        <v>1176.48</v>
      </c>
      <c r="D122" s="19">
        <f>C122/100*27</f>
        <v>317.64960000000002</v>
      </c>
      <c r="E122" s="24"/>
      <c r="F122" s="24">
        <f>C122/100*0.3</f>
        <v>3.5294400000000001</v>
      </c>
      <c r="G122" s="24"/>
      <c r="H122" s="24">
        <f>C122/100*0.1</f>
        <v>1.1764800000000002</v>
      </c>
      <c r="I122" s="24">
        <f>C122/100*6.1</f>
        <v>71.765280000000004</v>
      </c>
      <c r="J122" s="52">
        <f>C122/100*24</f>
        <v>282.35520000000002</v>
      </c>
      <c r="K122" s="52">
        <f>C122/100*0.06</f>
        <v>0.70588800000000007</v>
      </c>
      <c r="L122" s="374">
        <v>1440</v>
      </c>
      <c r="M122" s="21">
        <v>22</v>
      </c>
      <c r="N122" s="23">
        <f t="shared" si="4"/>
        <v>31680</v>
      </c>
      <c r="O122" s="135"/>
      <c r="Q122" s="3"/>
      <c r="R122" s="3"/>
      <c r="S122" s="4"/>
    </row>
    <row r="123" spans="1:23" s="2" customFormat="1" ht="16.2" customHeight="1">
      <c r="A123" s="9">
        <v>8</v>
      </c>
      <c r="B123" s="5" t="s">
        <v>112</v>
      </c>
      <c r="C123" s="18">
        <f>L123/100*100</f>
        <v>40</v>
      </c>
      <c r="D123" s="19">
        <f>C123/100*247</f>
        <v>98.800000000000011</v>
      </c>
      <c r="E123" s="24"/>
      <c r="F123" s="24">
        <f>C123/100*17.5</f>
        <v>7</v>
      </c>
      <c r="G123" s="24"/>
      <c r="H123" s="24">
        <f>C123/100*1.6</f>
        <v>0.64000000000000012</v>
      </c>
      <c r="I123" s="24">
        <f>C123/100*39.2</f>
        <v>15.680000000000001</v>
      </c>
      <c r="J123" s="52"/>
      <c r="K123" s="52"/>
      <c r="L123" s="374">
        <v>40</v>
      </c>
      <c r="M123" s="56">
        <v>50</v>
      </c>
      <c r="N123" s="23">
        <f t="shared" si="4"/>
        <v>2000</v>
      </c>
      <c r="O123" s="135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104</v>
      </c>
      <c r="C124" s="18"/>
      <c r="D124" s="19"/>
      <c r="E124" s="20"/>
      <c r="F124" s="20"/>
      <c r="G124" s="20"/>
      <c r="H124" s="20"/>
      <c r="I124" s="20"/>
      <c r="J124" s="22"/>
      <c r="K124" s="22"/>
      <c r="L124" s="21"/>
      <c r="M124" s="21"/>
      <c r="N124" s="23">
        <v>3200</v>
      </c>
      <c r="O124" s="135"/>
      <c r="Q124" s="3"/>
      <c r="R124" s="3"/>
      <c r="S124" s="4"/>
      <c r="T124" s="3"/>
    </row>
    <row r="125" spans="1:23" s="2" customFormat="1" ht="16.2" customHeight="1">
      <c r="A125" s="16" t="s">
        <v>100</v>
      </c>
      <c r="B125" s="17"/>
      <c r="C125" s="26"/>
      <c r="D125" s="94">
        <f>SUM(D116:D124)</f>
        <v>13228.257600000001</v>
      </c>
      <c r="E125" s="31"/>
      <c r="F125" s="31"/>
      <c r="G125" s="31"/>
      <c r="H125" s="31"/>
      <c r="I125" s="31"/>
      <c r="J125" s="31"/>
      <c r="K125" s="31"/>
      <c r="L125" s="32"/>
      <c r="M125" s="247"/>
      <c r="N125" s="286">
        <f>SUM(N116:N124)</f>
        <v>270968</v>
      </c>
      <c r="O125" s="135"/>
    </row>
    <row r="126" spans="1:23" ht="16.2" customHeight="1">
      <c r="A126" s="16" t="s">
        <v>35</v>
      </c>
      <c r="B126" s="17"/>
      <c r="C126" s="45"/>
      <c r="D126" s="36">
        <f>D125/D94</f>
        <v>275.58870000000002</v>
      </c>
      <c r="E126" s="36"/>
      <c r="F126" s="36"/>
      <c r="G126" s="36"/>
      <c r="H126" s="36"/>
      <c r="I126" s="36"/>
      <c r="J126" s="36"/>
      <c r="K126" s="36"/>
      <c r="L126" s="46"/>
      <c r="M126" s="248"/>
      <c r="N126" s="288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222" t="s">
        <v>47</v>
      </c>
      <c r="B127" s="313"/>
      <c r="C127" s="375" t="s">
        <v>122</v>
      </c>
      <c r="D127" s="15" t="s">
        <v>42</v>
      </c>
      <c r="E127" s="34"/>
      <c r="F127" s="34"/>
      <c r="G127" s="34"/>
      <c r="H127" s="34"/>
      <c r="I127" s="34"/>
      <c r="J127" s="36"/>
      <c r="K127" s="36"/>
      <c r="L127" s="35"/>
      <c r="M127" s="35"/>
      <c r="N127" s="162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314"/>
      <c r="B128" s="315"/>
      <c r="C128" s="57" t="s">
        <v>53</v>
      </c>
      <c r="D128" s="59">
        <f>D126*100/930</f>
        <v>29.633193548387098</v>
      </c>
      <c r="E128" s="34"/>
      <c r="F128" s="34"/>
      <c r="G128" s="33"/>
      <c r="H128" s="33"/>
      <c r="I128" s="33"/>
      <c r="J128" s="36"/>
      <c r="K128" s="36"/>
      <c r="L128" s="35"/>
      <c r="M128" s="35"/>
      <c r="N128" s="162"/>
      <c r="O128" s="4"/>
      <c r="P128" s="2"/>
      <c r="Q128" s="2"/>
      <c r="R128" s="150"/>
      <c r="S128" s="2"/>
      <c r="T128" s="2"/>
      <c r="U128" s="2"/>
      <c r="V128" s="2"/>
      <c r="W128" s="2"/>
    </row>
    <row r="129" spans="1:23" ht="16.2" customHeight="1">
      <c r="A129" s="259" t="s">
        <v>34</v>
      </c>
      <c r="B129" s="259"/>
      <c r="C129" s="47"/>
      <c r="D129" s="48"/>
      <c r="E129" s="48"/>
      <c r="F129" s="48"/>
      <c r="G129" s="48"/>
      <c r="H129" s="48"/>
      <c r="I129" s="48"/>
      <c r="J129" s="48"/>
      <c r="K129" s="48"/>
      <c r="L129" s="49"/>
      <c r="M129" s="49"/>
      <c r="N129" s="50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62</v>
      </c>
      <c r="C130" s="18">
        <f>L130/100*90</f>
        <v>18</v>
      </c>
      <c r="D130" s="19">
        <f>C130/100*253</f>
        <v>45.54</v>
      </c>
      <c r="E130" s="20"/>
      <c r="F130" s="20">
        <f>C130/100*32.4</f>
        <v>5.8319999999999999</v>
      </c>
      <c r="G130" s="20"/>
      <c r="H130" s="20">
        <f>C130/100*3.6</f>
        <v>0.64800000000000002</v>
      </c>
      <c r="I130" s="20">
        <f>C130/100*21.1</f>
        <v>3.798</v>
      </c>
      <c r="J130" s="22">
        <f>C130/100*165.6</f>
        <v>29.807999999999996</v>
      </c>
      <c r="K130" s="22">
        <f>C130/100*0.14</f>
        <v>2.52E-2</v>
      </c>
      <c r="L130" s="105">
        <v>20</v>
      </c>
      <c r="M130" s="56">
        <v>275</v>
      </c>
      <c r="N130" s="23">
        <f t="shared" ref="N130:N134" si="5">L130*M130</f>
        <v>5500</v>
      </c>
      <c r="O130" s="135"/>
    </row>
    <row r="131" spans="1:23" s="2" customFormat="1" ht="16.2" customHeight="1">
      <c r="A131" s="9">
        <v>2</v>
      </c>
      <c r="B131" s="5" t="s">
        <v>114</v>
      </c>
      <c r="C131" s="18">
        <f>L131/100*100</f>
        <v>190</v>
      </c>
      <c r="D131" s="19">
        <f>C131/100*340</f>
        <v>646</v>
      </c>
      <c r="E131" s="24"/>
      <c r="F131" s="24">
        <f>C131/100*0.7</f>
        <v>1.3299999999999998</v>
      </c>
      <c r="G131" s="24"/>
      <c r="H131" s="24"/>
      <c r="I131" s="24">
        <f>C131/100*84.3</f>
        <v>160.16999999999999</v>
      </c>
      <c r="J131" s="52"/>
      <c r="K131" s="52"/>
      <c r="L131" s="374">
        <v>190</v>
      </c>
      <c r="M131" s="56">
        <v>180</v>
      </c>
      <c r="N131" s="23">
        <f t="shared" si="5"/>
        <v>34200</v>
      </c>
      <c r="O131" s="135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135</v>
      </c>
      <c r="C132" s="18">
        <f>L132/100*55</f>
        <v>401.5</v>
      </c>
      <c r="D132" s="93">
        <f>C132/100*196</f>
        <v>786.93999999999994</v>
      </c>
      <c r="E132" s="20"/>
      <c r="F132" s="104">
        <f>C132/100*4.1</f>
        <v>16.461499999999997</v>
      </c>
      <c r="G132" s="20"/>
      <c r="H132" s="20">
        <f>C132/100*2.3</f>
        <v>9.2344999999999988</v>
      </c>
      <c r="I132" s="20">
        <f>C132/100*39.6</f>
        <v>158.994</v>
      </c>
      <c r="J132" s="22">
        <f>C132/100*4</f>
        <v>16.059999999999999</v>
      </c>
      <c r="K132" s="22">
        <f>C132/100*0.15</f>
        <v>0.60224999999999995</v>
      </c>
      <c r="L132" s="391">
        <v>730</v>
      </c>
      <c r="M132" s="56">
        <v>22</v>
      </c>
      <c r="N132" s="23">
        <f t="shared" si="5"/>
        <v>16060</v>
      </c>
      <c r="O132" s="392"/>
      <c r="P132" s="109"/>
      <c r="Q132" s="109"/>
    </row>
    <row r="133" spans="1:23" s="2" customFormat="1" ht="16.2" customHeight="1">
      <c r="A133" s="9">
        <v>4</v>
      </c>
      <c r="B133" s="5" t="s">
        <v>61</v>
      </c>
      <c r="C133" s="18">
        <f>L133/100*48</f>
        <v>864</v>
      </c>
      <c r="D133" s="19">
        <f>C133/100*199</f>
        <v>1719.3600000000001</v>
      </c>
      <c r="E133" s="20">
        <f>C133/100*20.3</f>
        <v>175.39200000000002</v>
      </c>
      <c r="F133" s="20"/>
      <c r="G133" s="20">
        <f>C133/100*13.1</f>
        <v>113.184</v>
      </c>
      <c r="H133" s="20"/>
      <c r="I133" s="20"/>
      <c r="J133" s="22">
        <f>C133/100*12</f>
        <v>103.68</v>
      </c>
      <c r="K133" s="22">
        <f>C133/100*0.15</f>
        <v>1.296</v>
      </c>
      <c r="L133" s="21">
        <v>1800</v>
      </c>
      <c r="M133" s="105">
        <v>84</v>
      </c>
      <c r="N133" s="23">
        <f t="shared" si="5"/>
        <v>151200</v>
      </c>
      <c r="O133" s="135"/>
      <c r="Q133" s="3"/>
      <c r="R133" s="3"/>
      <c r="S133" s="4"/>
    </row>
    <row r="134" spans="1:23" s="2" customFormat="1" ht="16.2" customHeight="1">
      <c r="A134" s="76">
        <v>5</v>
      </c>
      <c r="B134" s="85" t="s">
        <v>136</v>
      </c>
      <c r="C134" s="77">
        <f>L134/100*85</f>
        <v>42.5</v>
      </c>
      <c r="D134" s="78">
        <f>C134/100*11</f>
        <v>4.6749999999999998</v>
      </c>
      <c r="E134" s="79"/>
      <c r="F134" s="79">
        <f>C134/100*2.2</f>
        <v>0.93500000000000005</v>
      </c>
      <c r="G134" s="79"/>
      <c r="H134" s="79"/>
      <c r="I134" s="79">
        <f>C134/100*0.6</f>
        <v>0.255</v>
      </c>
      <c r="J134" s="87"/>
      <c r="K134" s="87"/>
      <c r="L134" s="394">
        <v>50</v>
      </c>
      <c r="M134" s="114">
        <v>30</v>
      </c>
      <c r="N134" s="81">
        <f t="shared" si="5"/>
        <v>1500</v>
      </c>
      <c r="O134" s="135"/>
      <c r="Q134" s="3"/>
      <c r="R134" s="3"/>
      <c r="S134" s="150"/>
    </row>
    <row r="135" spans="1:23" ht="20.399999999999999" customHeight="1">
      <c r="A135" s="171" t="s">
        <v>0</v>
      </c>
      <c r="B135" s="174" t="s">
        <v>19</v>
      </c>
      <c r="C135" s="177" t="s">
        <v>8</v>
      </c>
      <c r="D135" s="177" t="s">
        <v>9</v>
      </c>
      <c r="E135" s="182" t="s">
        <v>11</v>
      </c>
      <c r="F135" s="183"/>
      <c r="G135" s="182" t="s">
        <v>13</v>
      </c>
      <c r="H135" s="183"/>
      <c r="I135" s="186" t="s">
        <v>16</v>
      </c>
      <c r="J135" s="186" t="s">
        <v>39</v>
      </c>
      <c r="K135" s="186" t="s">
        <v>40</v>
      </c>
      <c r="L135" s="341" t="s">
        <v>17</v>
      </c>
      <c r="M135" s="186" t="s">
        <v>50</v>
      </c>
      <c r="N135" s="171" t="s">
        <v>18</v>
      </c>
      <c r="O135" s="389"/>
    </row>
    <row r="136" spans="1:23" ht="20.399999999999999" customHeight="1">
      <c r="A136" s="337"/>
      <c r="B136" s="339"/>
      <c r="C136" s="311"/>
      <c r="D136" s="311"/>
      <c r="E136" s="184"/>
      <c r="F136" s="185"/>
      <c r="G136" s="184"/>
      <c r="H136" s="185"/>
      <c r="I136" s="187"/>
      <c r="J136" s="187"/>
      <c r="K136" s="187"/>
      <c r="L136" s="342"/>
      <c r="M136" s="187"/>
      <c r="N136" s="337"/>
      <c r="O136" s="161"/>
    </row>
    <row r="137" spans="1:23" ht="20.399999999999999" customHeight="1">
      <c r="A137" s="337"/>
      <c r="B137" s="339"/>
      <c r="C137" s="311"/>
      <c r="D137" s="311"/>
      <c r="E137" s="186" t="s">
        <v>10</v>
      </c>
      <c r="F137" s="186" t="s">
        <v>12</v>
      </c>
      <c r="G137" s="186" t="s">
        <v>14</v>
      </c>
      <c r="H137" s="186" t="s">
        <v>15</v>
      </c>
      <c r="I137" s="187"/>
      <c r="J137" s="187"/>
      <c r="K137" s="187"/>
      <c r="L137" s="342"/>
      <c r="M137" s="187"/>
      <c r="N137" s="337"/>
      <c r="O137" s="161"/>
    </row>
    <row r="138" spans="1:23" ht="20.399999999999999" customHeight="1">
      <c r="A138" s="338"/>
      <c r="B138" s="340"/>
      <c r="C138" s="312"/>
      <c r="D138" s="312"/>
      <c r="E138" s="188"/>
      <c r="F138" s="188"/>
      <c r="G138" s="188"/>
      <c r="H138" s="188"/>
      <c r="I138" s="188"/>
      <c r="J138" s="188"/>
      <c r="K138" s="188"/>
      <c r="L138" s="343"/>
      <c r="M138" s="188"/>
      <c r="N138" s="338"/>
      <c r="O138" s="161"/>
    </row>
    <row r="139" spans="1:23" s="2" customFormat="1" ht="20.399999999999999" customHeight="1">
      <c r="A139" s="16" t="s">
        <v>91</v>
      </c>
      <c r="B139" s="17"/>
      <c r="C139" s="26"/>
      <c r="D139" s="27">
        <f>SUM(D130:D134)</f>
        <v>3202.5150000000003</v>
      </c>
      <c r="E139" s="31"/>
      <c r="F139" s="31"/>
      <c r="G139" s="31"/>
      <c r="H139" s="31"/>
      <c r="I139" s="31"/>
      <c r="J139" s="63"/>
      <c r="K139" s="31"/>
      <c r="L139" s="32"/>
      <c r="M139" s="247"/>
      <c r="N139" s="286">
        <f>SUM(N130:N134)</f>
        <v>208460</v>
      </c>
      <c r="O139" s="135"/>
    </row>
    <row r="140" spans="1:23" ht="20.399999999999999" customHeight="1">
      <c r="A140" s="16" t="s">
        <v>7</v>
      </c>
      <c r="B140" s="17"/>
      <c r="C140" s="33"/>
      <c r="D140" s="53">
        <f>D139/D94</f>
        <v>66.719062500000007</v>
      </c>
      <c r="E140" s="34"/>
      <c r="F140" s="34"/>
      <c r="G140" s="34"/>
      <c r="H140" s="34"/>
      <c r="I140" s="34"/>
      <c r="J140" s="64"/>
      <c r="K140" s="34"/>
      <c r="L140" s="35"/>
      <c r="M140" s="248"/>
      <c r="N140" s="287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222" t="s">
        <v>45</v>
      </c>
      <c r="B141" s="313"/>
      <c r="C141" s="375" t="s">
        <v>122</v>
      </c>
      <c r="D141" s="15" t="s">
        <v>43</v>
      </c>
      <c r="E141" s="34"/>
      <c r="F141" s="34"/>
      <c r="G141" s="34"/>
      <c r="H141" s="34"/>
      <c r="I141" s="34"/>
      <c r="J141" s="65"/>
      <c r="K141" s="36"/>
      <c r="L141" s="35"/>
      <c r="M141" s="35"/>
      <c r="N141" s="162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314"/>
      <c r="B142" s="315"/>
      <c r="C142" s="57" t="s">
        <v>53</v>
      </c>
      <c r="D142" s="59">
        <f>D140*100/930</f>
        <v>7.1740927419354845</v>
      </c>
      <c r="E142" s="34"/>
      <c r="F142" s="34"/>
      <c r="G142" s="34"/>
      <c r="H142" s="34"/>
      <c r="I142" s="34"/>
      <c r="J142" s="65"/>
      <c r="K142" s="36"/>
      <c r="L142" s="35"/>
      <c r="M142" s="35"/>
      <c r="N142" s="162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203" t="s">
        <v>92</v>
      </c>
      <c r="B143" s="204"/>
      <c r="C143" s="346"/>
      <c r="D143" s="280">
        <f>SUM(D111+D125+D139)</f>
        <v>30414.280599999998</v>
      </c>
      <c r="E143" s="7">
        <f t="shared" ref="E143:K143" si="6">SUM(E100:E134)</f>
        <v>882.74800000000005</v>
      </c>
      <c r="F143" s="7">
        <f t="shared" si="6"/>
        <v>387.94214000000005</v>
      </c>
      <c r="G143" s="7">
        <f t="shared" si="6"/>
        <v>842.10040000000004</v>
      </c>
      <c r="H143" s="7">
        <f t="shared" si="6"/>
        <v>365.94958000000008</v>
      </c>
      <c r="I143" s="332">
        <f t="shared" si="6"/>
        <v>3494.9896800000001</v>
      </c>
      <c r="J143" s="332">
        <f t="shared" si="6"/>
        <v>14224.1852</v>
      </c>
      <c r="K143" s="254">
        <f t="shared" si="6"/>
        <v>22.893158000000003</v>
      </c>
      <c r="L143" s="254"/>
      <c r="M143" s="254"/>
      <c r="N143" s="334">
        <f>N111+N125+N139</f>
        <v>1056005</v>
      </c>
      <c r="U143" s="12"/>
      <c r="V143" s="12"/>
    </row>
    <row r="144" spans="1:23" ht="20.399999999999999" customHeight="1">
      <c r="A144" s="205"/>
      <c r="B144" s="206"/>
      <c r="C144" s="347"/>
      <c r="D144" s="331"/>
      <c r="E144" s="199">
        <f>E143+F143</f>
        <v>1270.6901400000002</v>
      </c>
      <c r="F144" s="200"/>
      <c r="G144" s="199">
        <f>G143+H143</f>
        <v>1208.0499800000002</v>
      </c>
      <c r="H144" s="200"/>
      <c r="I144" s="333"/>
      <c r="J144" s="333"/>
      <c r="K144" s="255"/>
      <c r="L144" s="308"/>
      <c r="M144" s="308"/>
      <c r="N144" s="335"/>
      <c r="U144" s="12"/>
      <c r="V144" s="12"/>
    </row>
    <row r="145" spans="1:23" ht="20.399999999999999" customHeight="1">
      <c r="A145" s="274" t="s">
        <v>67</v>
      </c>
      <c r="B145" s="275"/>
      <c r="C145" s="276"/>
      <c r="D145" s="102">
        <f>D143/D94</f>
        <v>633.6308458333333</v>
      </c>
      <c r="E145" s="400">
        <f>E143/D94</f>
        <v>18.390583333333336</v>
      </c>
      <c r="F145" s="396">
        <f>F143/D94</f>
        <v>8.0821279166666677</v>
      </c>
      <c r="G145" s="400">
        <f>G143/D94</f>
        <v>17.543758333333333</v>
      </c>
      <c r="H145" s="396">
        <f>H143/D94</f>
        <v>7.6239495833333351</v>
      </c>
      <c r="I145" s="201">
        <f>I143/D94</f>
        <v>72.812285000000003</v>
      </c>
      <c r="J145" s="201">
        <f>J143/D94</f>
        <v>296.33719166666668</v>
      </c>
      <c r="K145" s="256">
        <f>K143/D94</f>
        <v>0.47694079166666675</v>
      </c>
      <c r="L145" s="308"/>
      <c r="M145" s="308"/>
      <c r="N145" s="335"/>
      <c r="Q145" s="372"/>
      <c r="R145" s="372"/>
      <c r="S145" s="372"/>
      <c r="T145" s="372"/>
      <c r="U145" s="401"/>
      <c r="V145" s="401"/>
      <c r="W145" s="1">
        <f>Q145+S145+U145</f>
        <v>0</v>
      </c>
    </row>
    <row r="146" spans="1:23" ht="20.399999999999999" customHeight="1">
      <c r="A146" s="277"/>
      <c r="B146" s="278"/>
      <c r="C146" s="279"/>
      <c r="D146" s="98"/>
      <c r="E146" s="378">
        <f>E145+F145</f>
        <v>26.472711250000003</v>
      </c>
      <c r="F146" s="379"/>
      <c r="G146" s="378">
        <f>G145+H145</f>
        <v>25.167707916666668</v>
      </c>
      <c r="H146" s="379"/>
      <c r="I146" s="202"/>
      <c r="J146" s="202"/>
      <c r="K146" s="257"/>
      <c r="L146" s="308"/>
      <c r="M146" s="308"/>
      <c r="N146" s="335"/>
      <c r="P146" s="397"/>
      <c r="Q146" s="403"/>
      <c r="R146" s="403"/>
      <c r="S146" s="404"/>
      <c r="T146" s="404"/>
      <c r="U146" s="403"/>
      <c r="V146" s="403"/>
    </row>
    <row r="147" spans="1:23" ht="20.399999999999999" customHeight="1">
      <c r="A147" s="219" t="s">
        <v>70</v>
      </c>
      <c r="B147" s="220"/>
      <c r="C147" s="221"/>
      <c r="D147" s="160" t="s">
        <v>28</v>
      </c>
      <c r="E147" s="192" t="s">
        <v>24</v>
      </c>
      <c r="F147" s="193"/>
      <c r="G147" s="192" t="s">
        <v>25</v>
      </c>
      <c r="H147" s="193"/>
      <c r="I147" s="387" t="s">
        <v>26</v>
      </c>
      <c r="J147" s="164">
        <v>500</v>
      </c>
      <c r="K147" s="164">
        <v>0.5</v>
      </c>
      <c r="L147" s="308"/>
      <c r="M147" s="308"/>
      <c r="N147" s="335"/>
      <c r="O147" s="398"/>
    </row>
    <row r="148" spans="1:23" ht="20.399999999999999" customHeight="1">
      <c r="A148" s="192" t="s">
        <v>68</v>
      </c>
      <c r="B148" s="258"/>
      <c r="C148" s="193"/>
      <c r="D148" s="37"/>
      <c r="E148" s="197">
        <f>E146*4.1</f>
        <v>108.538116125</v>
      </c>
      <c r="F148" s="198"/>
      <c r="G148" s="197">
        <f>G146*9</f>
        <v>226.50937125000002</v>
      </c>
      <c r="H148" s="198"/>
      <c r="I148" s="66">
        <f>I145*4.1</f>
        <v>298.53036850000001</v>
      </c>
      <c r="J148" s="230"/>
      <c r="K148" s="230"/>
      <c r="L148" s="308"/>
      <c r="M148" s="308"/>
      <c r="N148" s="335"/>
      <c r="O148" s="398"/>
      <c r="P148" s="402"/>
      <c r="Q148" s="371"/>
      <c r="R148" s="371"/>
      <c r="S148" s="371"/>
    </row>
    <row r="149" spans="1:23" ht="20.399999999999999" customHeight="1">
      <c r="A149" s="233" t="s">
        <v>77</v>
      </c>
      <c r="B149" s="234"/>
      <c r="C149" s="192" t="s">
        <v>52</v>
      </c>
      <c r="D149" s="193"/>
      <c r="E149" s="237">
        <f>E148*100/D145</f>
        <v>17.129550563822971</v>
      </c>
      <c r="F149" s="238"/>
      <c r="G149" s="237">
        <f>G148*100/D145</f>
        <v>35.747844780520637</v>
      </c>
      <c r="H149" s="238"/>
      <c r="I149" s="88">
        <f>I148*100/D145</f>
        <v>47.11424174866066</v>
      </c>
      <c r="J149" s="231"/>
      <c r="K149" s="231"/>
      <c r="L149" s="308"/>
      <c r="M149" s="308"/>
      <c r="N149" s="335"/>
      <c r="O149" s="398"/>
      <c r="P149" s="109"/>
      <c r="Q149" s="109"/>
      <c r="R149" s="109"/>
      <c r="S149" s="109"/>
    </row>
    <row r="150" spans="1:23" ht="20.399999999999999" customHeight="1">
      <c r="A150" s="235"/>
      <c r="B150" s="236"/>
      <c r="C150" s="192" t="s">
        <v>69</v>
      </c>
      <c r="D150" s="193"/>
      <c r="E150" s="192" t="s">
        <v>72</v>
      </c>
      <c r="F150" s="193"/>
      <c r="G150" s="192" t="s">
        <v>75</v>
      </c>
      <c r="H150" s="193"/>
      <c r="I150" s="160" t="s">
        <v>76</v>
      </c>
      <c r="J150" s="232"/>
      <c r="K150" s="232"/>
      <c r="L150" s="255"/>
      <c r="M150" s="255"/>
      <c r="N150" s="336"/>
      <c r="O150" s="398"/>
      <c r="P150" s="399"/>
    </row>
    <row r="151" spans="1:23" ht="20.399999999999999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73"/>
      <c r="M151" s="73"/>
      <c r="N151" s="74"/>
      <c r="O151" s="398"/>
    </row>
    <row r="152" spans="1:23" ht="21" customHeight="1">
      <c r="A152" s="240" t="s">
        <v>95</v>
      </c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398"/>
    </row>
    <row r="153" spans="1:23" ht="21" customHeight="1">
      <c r="A153" s="90" t="s">
        <v>96</v>
      </c>
      <c r="B153" s="241" t="s">
        <v>97</v>
      </c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398"/>
    </row>
    <row r="154" spans="1:23" ht="21" customHeight="1">
      <c r="A154" s="91"/>
      <c r="B154" s="211" t="s">
        <v>177</v>
      </c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398"/>
    </row>
    <row r="155" spans="1:23" ht="21" customHeight="1">
      <c r="A155" s="91"/>
      <c r="B155" s="211" t="s">
        <v>178</v>
      </c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398"/>
    </row>
    <row r="156" spans="1:23" ht="21" customHeight="1">
      <c r="A156" s="91"/>
      <c r="B156" s="211" t="s">
        <v>179</v>
      </c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398"/>
    </row>
    <row r="157" spans="1:23" ht="21" customHeight="1">
      <c r="A157" s="69"/>
      <c r="B157" s="212" t="s">
        <v>98</v>
      </c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398"/>
    </row>
    <row r="158" spans="1:23" ht="21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73"/>
      <c r="M158" s="73"/>
      <c r="N158" s="74"/>
      <c r="O158" s="398"/>
    </row>
    <row r="159" spans="1:23" ht="21" customHeight="1">
      <c r="A159" s="210" t="s">
        <v>55</v>
      </c>
      <c r="B159" s="210"/>
      <c r="C159" s="210"/>
      <c r="D159" s="210"/>
      <c r="E159" s="381"/>
      <c r="F159" s="381"/>
      <c r="G159" s="381"/>
      <c r="H159" s="381"/>
      <c r="I159" s="381"/>
      <c r="J159" s="382" t="s">
        <v>32</v>
      </c>
      <c r="K159" s="382"/>
      <c r="L159" s="382"/>
      <c r="M159" s="382"/>
      <c r="N159" s="382"/>
      <c r="O159" s="398"/>
    </row>
    <row r="160" spans="1:23" ht="21" customHeight="1">
      <c r="A160" s="161"/>
      <c r="B160" s="161"/>
      <c r="C160" s="161"/>
      <c r="D160" s="381"/>
      <c r="E160" s="381"/>
      <c r="F160" s="381"/>
      <c r="G160" s="381"/>
      <c r="H160" s="383"/>
      <c r="I160" s="383"/>
      <c r="J160" s="383"/>
      <c r="K160" s="383"/>
      <c r="L160" s="383"/>
      <c r="M160" s="383"/>
      <c r="N160" s="383"/>
      <c r="O160" s="398"/>
    </row>
    <row r="161" spans="1:15" ht="21" customHeight="1">
      <c r="A161" s="161"/>
      <c r="B161" s="161"/>
      <c r="C161" s="161"/>
      <c r="D161" s="381"/>
      <c r="E161" s="381"/>
      <c r="F161" s="381"/>
      <c r="G161" s="381"/>
      <c r="H161" s="383"/>
      <c r="I161" s="383"/>
      <c r="J161" s="383"/>
      <c r="K161" s="383"/>
      <c r="L161" s="383"/>
      <c r="M161" s="383"/>
      <c r="N161" s="383"/>
      <c r="O161" s="398"/>
    </row>
    <row r="162" spans="1:15" ht="21" customHeight="1">
      <c r="A162" s="161"/>
      <c r="B162" s="161"/>
      <c r="C162" s="161"/>
      <c r="D162" s="381"/>
      <c r="E162" s="381"/>
      <c r="F162" s="381"/>
      <c r="G162" s="381"/>
      <c r="H162" s="383"/>
      <c r="I162" s="383"/>
      <c r="J162" s="384" t="s">
        <v>105</v>
      </c>
      <c r="K162" s="384"/>
      <c r="L162" s="384"/>
      <c r="M162" s="384"/>
      <c r="N162" s="384"/>
      <c r="O162" s="398"/>
    </row>
    <row r="163" spans="1:15" ht="21" customHeight="1">
      <c r="A163" s="194" t="s">
        <v>80</v>
      </c>
      <c r="B163" s="194"/>
      <c r="C163" s="194"/>
      <c r="D163" s="194"/>
      <c r="E163" s="381"/>
      <c r="F163" s="381"/>
      <c r="G163" s="381"/>
      <c r="H163" s="383"/>
      <c r="I163" s="383"/>
      <c r="J163" s="384"/>
      <c r="K163" s="384"/>
      <c r="L163" s="384"/>
      <c r="M163" s="384"/>
      <c r="N163" s="384"/>
      <c r="O163" s="398"/>
    </row>
    <row r="164" spans="1:15" ht="20.399999999999999" customHeight="1">
      <c r="J164" s="383"/>
      <c r="K164" s="383"/>
      <c r="L164" s="383"/>
      <c r="M164" s="383"/>
      <c r="N164" s="383"/>
    </row>
    <row r="165" spans="1:15" ht="20.399999999999999" customHeight="1">
      <c r="J165" s="384" t="s">
        <v>108</v>
      </c>
      <c r="K165" s="384"/>
      <c r="L165" s="384"/>
      <c r="M165" s="384"/>
      <c r="N165" s="384"/>
    </row>
  </sheetData>
  <mergeCells count="207"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6"/>
  <sheetViews>
    <sheetView topLeftCell="A67" workbookViewId="0">
      <selection activeCell="C9" sqref="C9:C12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7.88671875" style="1" customWidth="1"/>
    <col min="13" max="13" width="5.33203125" style="1" customWidth="1"/>
    <col min="14" max="14" width="7.44140625" style="1" customWidth="1"/>
    <col min="15" max="15" width="11.88671875" style="119" customWidth="1"/>
    <col min="16" max="16" width="9.109375" style="119"/>
    <col min="17" max="22" width="7.88671875" style="1" customWidth="1"/>
    <col min="23" max="16384" width="9.109375" style="1"/>
  </cols>
  <sheetData>
    <row r="1" spans="1:20" ht="21.6" customHeight="1">
      <c r="A1" s="11" t="s">
        <v>54</v>
      </c>
      <c r="B1" s="8"/>
      <c r="C1" s="8"/>
      <c r="D1" s="8"/>
      <c r="E1" s="8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116"/>
      <c r="P1" s="116"/>
      <c r="T1" s="2"/>
    </row>
    <row r="2" spans="1:20" ht="21.6" customHeight="1">
      <c r="A2" s="8" t="s">
        <v>180</v>
      </c>
      <c r="B2" s="8"/>
      <c r="C2" s="8"/>
      <c r="D2" s="8"/>
      <c r="E2" s="8"/>
      <c r="F2" s="165"/>
      <c r="G2" s="165"/>
      <c r="H2" s="165"/>
      <c r="I2" s="165"/>
      <c r="J2" s="165"/>
      <c r="K2" s="165"/>
      <c r="L2" s="165"/>
      <c r="M2" s="165"/>
      <c r="N2" s="165"/>
      <c r="O2" s="116"/>
      <c r="P2" s="116"/>
      <c r="T2" s="2"/>
    </row>
    <row r="3" spans="1:20" s="2" customFormat="1" ht="21.6" customHeight="1">
      <c r="A3" s="170" t="s">
        <v>84</v>
      </c>
      <c r="B3" s="170"/>
      <c r="C3" s="170"/>
      <c r="D3" s="170"/>
      <c r="E3" s="170" t="s">
        <v>85</v>
      </c>
      <c r="F3" s="170"/>
      <c r="G3" s="170"/>
      <c r="H3" s="170"/>
      <c r="I3" s="170"/>
      <c r="J3" s="170"/>
      <c r="K3" s="170"/>
      <c r="L3" s="170"/>
      <c r="M3" s="170"/>
      <c r="N3" s="170"/>
      <c r="O3" s="117"/>
      <c r="P3" s="113"/>
    </row>
    <row r="4" spans="1:20" s="2" customFormat="1" ht="21.6" customHeight="1">
      <c r="A4" s="242" t="s">
        <v>79</v>
      </c>
      <c r="B4" s="242"/>
      <c r="C4" s="242"/>
      <c r="D4" s="242"/>
      <c r="E4" s="243" t="s">
        <v>120</v>
      </c>
      <c r="F4" s="243"/>
      <c r="G4" s="243"/>
      <c r="H4" s="243"/>
      <c r="I4" s="243"/>
      <c r="J4" s="262" t="s">
        <v>151</v>
      </c>
      <c r="K4" s="263"/>
      <c r="L4" s="263"/>
      <c r="M4" s="263"/>
      <c r="N4" s="264"/>
      <c r="O4" s="117"/>
      <c r="P4" s="113"/>
    </row>
    <row r="5" spans="1:20" s="2" customFormat="1" ht="21.6" customHeight="1">
      <c r="A5" s="316" t="s">
        <v>152</v>
      </c>
      <c r="B5" s="317"/>
      <c r="C5" s="317"/>
      <c r="D5" s="318"/>
      <c r="E5" s="243"/>
      <c r="F5" s="243"/>
      <c r="G5" s="243"/>
      <c r="H5" s="243"/>
      <c r="I5" s="243"/>
      <c r="J5" s="265"/>
      <c r="K5" s="266"/>
      <c r="L5" s="266"/>
      <c r="M5" s="266"/>
      <c r="N5" s="267"/>
      <c r="O5" s="117"/>
      <c r="P5" s="113"/>
    </row>
    <row r="6" spans="1:20" s="2" customFormat="1" ht="21.6" customHeight="1">
      <c r="A6" s="195" t="s">
        <v>153</v>
      </c>
      <c r="B6" s="195"/>
      <c r="C6" s="195"/>
      <c r="D6" s="195"/>
      <c r="E6" s="243"/>
      <c r="F6" s="243"/>
      <c r="G6" s="243"/>
      <c r="H6" s="243"/>
      <c r="I6" s="243"/>
      <c r="J6" s="265"/>
      <c r="K6" s="266"/>
      <c r="L6" s="266"/>
      <c r="M6" s="266"/>
      <c r="N6" s="267"/>
      <c r="O6" s="117"/>
      <c r="P6" s="113"/>
    </row>
    <row r="7" spans="1:20" s="2" customFormat="1" ht="21.6" customHeight="1">
      <c r="A7" s="364" t="s">
        <v>154</v>
      </c>
      <c r="B7" s="364"/>
      <c r="C7" s="364"/>
      <c r="D7" s="364"/>
      <c r="E7" s="243"/>
      <c r="F7" s="243"/>
      <c r="G7" s="243"/>
      <c r="H7" s="243"/>
      <c r="I7" s="243"/>
      <c r="J7" s="268"/>
      <c r="K7" s="269"/>
      <c r="L7" s="269"/>
      <c r="M7" s="269"/>
      <c r="N7" s="270"/>
      <c r="O7" s="117"/>
      <c r="P7" s="113"/>
    </row>
    <row r="8" spans="1:20" s="2" customFormat="1" ht="21.6" customHeight="1">
      <c r="A8" s="207" t="s">
        <v>103</v>
      </c>
      <c r="B8" s="208"/>
      <c r="C8" s="209"/>
      <c r="D8" s="99">
        <v>93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117"/>
      <c r="P8" s="113"/>
    </row>
    <row r="9" spans="1:20" ht="21.6" customHeight="1">
      <c r="A9" s="171" t="s">
        <v>0</v>
      </c>
      <c r="B9" s="174" t="s">
        <v>19</v>
      </c>
      <c r="C9" s="289" t="s">
        <v>8</v>
      </c>
      <c r="D9" s="177" t="s">
        <v>9</v>
      </c>
      <c r="E9" s="182" t="s">
        <v>11</v>
      </c>
      <c r="F9" s="183"/>
      <c r="G9" s="182" t="s">
        <v>13</v>
      </c>
      <c r="H9" s="183"/>
      <c r="I9" s="186" t="s">
        <v>16</v>
      </c>
      <c r="J9" s="186" t="s">
        <v>39</v>
      </c>
      <c r="K9" s="186" t="s">
        <v>40</v>
      </c>
      <c r="L9" s="186" t="s">
        <v>17</v>
      </c>
      <c r="M9" s="186" t="s">
        <v>50</v>
      </c>
      <c r="N9" s="171" t="s">
        <v>18</v>
      </c>
      <c r="O9" s="118"/>
    </row>
    <row r="10" spans="1:20" ht="21.6" customHeight="1">
      <c r="A10" s="172"/>
      <c r="B10" s="175"/>
      <c r="C10" s="290"/>
      <c r="D10" s="178"/>
      <c r="E10" s="184"/>
      <c r="F10" s="185"/>
      <c r="G10" s="184"/>
      <c r="H10" s="185"/>
      <c r="I10" s="187"/>
      <c r="J10" s="187"/>
      <c r="K10" s="187"/>
      <c r="L10" s="187"/>
      <c r="M10" s="187"/>
      <c r="N10" s="172"/>
      <c r="O10" s="120"/>
    </row>
    <row r="11" spans="1:20" ht="21.6" customHeight="1">
      <c r="A11" s="172"/>
      <c r="B11" s="175"/>
      <c r="C11" s="290"/>
      <c r="D11" s="178"/>
      <c r="E11" s="186" t="s">
        <v>10</v>
      </c>
      <c r="F11" s="186" t="s">
        <v>12</v>
      </c>
      <c r="G11" s="186" t="s">
        <v>14</v>
      </c>
      <c r="H11" s="186" t="s">
        <v>15</v>
      </c>
      <c r="I11" s="187"/>
      <c r="J11" s="187"/>
      <c r="K11" s="187"/>
      <c r="L11" s="187"/>
      <c r="M11" s="187"/>
      <c r="N11" s="172"/>
      <c r="O11" s="120"/>
    </row>
    <row r="12" spans="1:20" ht="21.6" customHeight="1">
      <c r="A12" s="173"/>
      <c r="B12" s="176"/>
      <c r="C12" s="291"/>
      <c r="D12" s="179"/>
      <c r="E12" s="188"/>
      <c r="F12" s="188"/>
      <c r="G12" s="188"/>
      <c r="H12" s="188"/>
      <c r="I12" s="188"/>
      <c r="J12" s="188"/>
      <c r="K12" s="188"/>
      <c r="L12" s="188"/>
      <c r="M12" s="188"/>
      <c r="N12" s="173"/>
      <c r="O12" s="120"/>
    </row>
    <row r="13" spans="1:20" ht="19.8" customHeight="1">
      <c r="A13" s="249" t="s">
        <v>33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1"/>
      <c r="O13" s="120"/>
    </row>
    <row r="14" spans="1:20" s="2" customFormat="1" ht="19.8" customHeight="1">
      <c r="A14" s="9">
        <v>1</v>
      </c>
      <c r="B14" s="10" t="s">
        <v>2</v>
      </c>
      <c r="C14" s="18">
        <f>L14/100*100</f>
        <v>120</v>
      </c>
      <c r="D14" s="19">
        <f>C14/100*60</f>
        <v>72</v>
      </c>
      <c r="E14" s="20">
        <f>C14/100*15</f>
        <v>18</v>
      </c>
      <c r="F14" s="20"/>
      <c r="G14" s="20"/>
      <c r="H14" s="20"/>
      <c r="I14" s="20"/>
      <c r="J14" s="22">
        <f>C14/100*387</f>
        <v>464.4</v>
      </c>
      <c r="K14" s="22">
        <f>C14/100*0.09</f>
        <v>0.108</v>
      </c>
      <c r="L14" s="105">
        <v>120</v>
      </c>
      <c r="M14" s="56">
        <v>20</v>
      </c>
      <c r="N14" s="23">
        <f>L14*M14</f>
        <v>2400</v>
      </c>
      <c r="O14" s="122"/>
      <c r="P14" s="113"/>
    </row>
    <row r="15" spans="1:20" s="2" customFormat="1" ht="19.8" customHeight="1">
      <c r="A15" s="9">
        <v>2</v>
      </c>
      <c r="B15" s="115" t="s">
        <v>115</v>
      </c>
      <c r="C15" s="18">
        <f>L15/100*100</f>
        <v>280</v>
      </c>
      <c r="D15" s="19">
        <f>C15/100*899</f>
        <v>2517.1999999999998</v>
      </c>
      <c r="E15" s="20"/>
      <c r="F15" s="20"/>
      <c r="G15" s="92">
        <f>C15/100*100</f>
        <v>280</v>
      </c>
      <c r="H15" s="20"/>
      <c r="I15" s="20"/>
      <c r="J15" s="22"/>
      <c r="K15" s="22"/>
      <c r="L15" s="105">
        <v>280</v>
      </c>
      <c r="M15" s="56">
        <v>68</v>
      </c>
      <c r="N15" s="23">
        <f t="shared" ref="N15:N23" si="0">L15*M15</f>
        <v>19040</v>
      </c>
      <c r="O15" s="122"/>
      <c r="P15" s="113"/>
    </row>
    <row r="16" spans="1:20" s="2" customFormat="1" ht="19.8" customHeight="1">
      <c r="A16" s="9">
        <v>3</v>
      </c>
      <c r="B16" s="5" t="s">
        <v>1</v>
      </c>
      <c r="C16" s="18">
        <f>L16/100*100</f>
        <v>8835</v>
      </c>
      <c r="D16" s="93">
        <f>C16/100*330.1</f>
        <v>29164.334999999999</v>
      </c>
      <c r="E16" s="20"/>
      <c r="F16" s="92">
        <f>C16/100*7.9</f>
        <v>697.96500000000003</v>
      </c>
      <c r="G16" s="20"/>
      <c r="H16" s="20">
        <f>C16/100*1</f>
        <v>88.35</v>
      </c>
      <c r="I16" s="92">
        <f>C16/100*70.1</f>
        <v>6193.3349999999991</v>
      </c>
      <c r="J16" s="62">
        <f>C16/100*30</f>
        <v>2650.5</v>
      </c>
      <c r="K16" s="22">
        <f>C16/100*0.1</f>
        <v>8.8349999999999991</v>
      </c>
      <c r="L16" s="105">
        <v>8835</v>
      </c>
      <c r="M16" s="56">
        <v>18</v>
      </c>
      <c r="N16" s="23">
        <f t="shared" si="0"/>
        <v>159030</v>
      </c>
      <c r="O16" s="122"/>
      <c r="P16" s="113"/>
    </row>
    <row r="17" spans="1:20" s="2" customFormat="1" ht="19.8" customHeight="1">
      <c r="A17" s="9">
        <v>4</v>
      </c>
      <c r="B17" s="5" t="s">
        <v>61</v>
      </c>
      <c r="C17" s="18">
        <f>L17/100*48</f>
        <v>2092.8000000000002</v>
      </c>
      <c r="D17" s="19">
        <f>C17/100*199</f>
        <v>4164.6720000000005</v>
      </c>
      <c r="E17" s="92">
        <f>C17/100*20.3</f>
        <v>424.83840000000004</v>
      </c>
      <c r="F17" s="92"/>
      <c r="G17" s="92">
        <f>C17/100*13.1</f>
        <v>274.15679999999998</v>
      </c>
      <c r="H17" s="20"/>
      <c r="I17" s="20"/>
      <c r="J17" s="22">
        <f>C17/100*12</f>
        <v>251.13600000000002</v>
      </c>
      <c r="K17" s="22">
        <f>C17/100*0.15</f>
        <v>3.1392000000000002</v>
      </c>
      <c r="L17" s="105">
        <v>4360</v>
      </c>
      <c r="M17" s="21">
        <v>84</v>
      </c>
      <c r="N17" s="23">
        <f t="shared" si="0"/>
        <v>366240</v>
      </c>
      <c r="O17" s="122"/>
      <c r="P17" s="113"/>
      <c r="Q17" s="3"/>
      <c r="R17" s="3"/>
      <c r="S17" s="4"/>
    </row>
    <row r="18" spans="1:20" s="2" customFormat="1" ht="19.8" customHeight="1">
      <c r="A18" s="9">
        <v>5</v>
      </c>
      <c r="B18" s="10" t="s">
        <v>63</v>
      </c>
      <c r="C18" s="18">
        <f>L18/100*98</f>
        <v>911.40000000000009</v>
      </c>
      <c r="D18" s="19">
        <f>C18/100*139</f>
        <v>1266.846</v>
      </c>
      <c r="E18" s="92">
        <f>C18/100*19</f>
        <v>173.16600000000003</v>
      </c>
      <c r="F18" s="20"/>
      <c r="G18" s="20">
        <f>C18/100*7</f>
        <v>63.798000000000002</v>
      </c>
      <c r="H18" s="20"/>
      <c r="I18" s="20"/>
      <c r="J18" s="20">
        <f>C18/100*7</f>
        <v>63.798000000000002</v>
      </c>
      <c r="K18" s="20">
        <f>C18/100*0.9</f>
        <v>8.2026000000000003</v>
      </c>
      <c r="L18" s="105">
        <v>930</v>
      </c>
      <c r="M18" s="56">
        <v>137</v>
      </c>
      <c r="N18" s="23">
        <f t="shared" si="0"/>
        <v>127410</v>
      </c>
      <c r="O18" s="122"/>
      <c r="P18" s="113"/>
    </row>
    <row r="19" spans="1:20" s="2" customFormat="1" ht="19.8" customHeight="1">
      <c r="A19" s="9">
        <v>6</v>
      </c>
      <c r="B19" s="60" t="s">
        <v>155</v>
      </c>
      <c r="C19" s="18">
        <f>L19/100*89</f>
        <v>1904.6</v>
      </c>
      <c r="D19" s="19">
        <f>C19/100*154</f>
        <v>2933.0839999999998</v>
      </c>
      <c r="E19" s="92">
        <f>C19/100*13.1</f>
        <v>249.50259999999997</v>
      </c>
      <c r="F19" s="20"/>
      <c r="G19" s="92">
        <f>C19/100*11.1</f>
        <v>211.41059999999999</v>
      </c>
      <c r="H19" s="20"/>
      <c r="I19" s="20">
        <f>C19/100*0.4</f>
        <v>7.6184000000000003</v>
      </c>
      <c r="J19" s="62">
        <f>C19/100*64</f>
        <v>1218.944</v>
      </c>
      <c r="K19" s="22">
        <f>C19/100*0.13</f>
        <v>2.4759799999999998</v>
      </c>
      <c r="L19" s="21">
        <v>2140</v>
      </c>
      <c r="M19" s="39">
        <v>82</v>
      </c>
      <c r="N19" s="151">
        <f t="shared" si="0"/>
        <v>175480</v>
      </c>
      <c r="O19" s="122"/>
      <c r="P19" s="113"/>
    </row>
    <row r="20" spans="1:20" s="2" customFormat="1" ht="19.8" customHeight="1">
      <c r="A20" s="9">
        <v>7</v>
      </c>
      <c r="B20" s="5" t="s">
        <v>112</v>
      </c>
      <c r="C20" s="18">
        <f>L20/100*100</f>
        <v>100</v>
      </c>
      <c r="D20" s="19">
        <f>C20/100*247</f>
        <v>247</v>
      </c>
      <c r="E20" s="24"/>
      <c r="F20" s="24">
        <f>C20/100*17.5</f>
        <v>17.5</v>
      </c>
      <c r="G20" s="24"/>
      <c r="H20" s="24">
        <f>C20/100*1.6</f>
        <v>1.6</v>
      </c>
      <c r="I20" s="24">
        <f>C20/100*39.2</f>
        <v>39.200000000000003</v>
      </c>
      <c r="J20" s="52"/>
      <c r="K20" s="52"/>
      <c r="L20" s="374">
        <v>100</v>
      </c>
      <c r="M20" s="56">
        <v>50</v>
      </c>
      <c r="N20" s="23">
        <f t="shared" si="0"/>
        <v>5000</v>
      </c>
      <c r="O20" s="122"/>
      <c r="P20" s="113"/>
      <c r="Q20" s="3"/>
      <c r="R20" s="3"/>
      <c r="S20" s="4"/>
      <c r="T20" s="3"/>
    </row>
    <row r="21" spans="1:20" s="2" customFormat="1" ht="19.8" customHeight="1">
      <c r="A21" s="9">
        <v>8</v>
      </c>
      <c r="B21" s="5" t="s">
        <v>20</v>
      </c>
      <c r="C21" s="18">
        <f>L21/100*95</f>
        <v>883.50000000000011</v>
      </c>
      <c r="D21" s="19">
        <f>C21/100*20</f>
        <v>176.70000000000002</v>
      </c>
      <c r="E21" s="20"/>
      <c r="F21" s="20">
        <f>C21/100*0.6</f>
        <v>5.3010000000000002</v>
      </c>
      <c r="G21" s="20"/>
      <c r="H21" s="20">
        <f>C21/100*0.2</f>
        <v>1.7670000000000003</v>
      </c>
      <c r="I21" s="20">
        <f>C21/100*4</f>
        <v>35.340000000000003</v>
      </c>
      <c r="J21" s="22">
        <f>C21/100*12</f>
        <v>106.02000000000001</v>
      </c>
      <c r="K21" s="19">
        <f>C21/100*0.04</f>
        <v>0.35340000000000005</v>
      </c>
      <c r="L21" s="105">
        <v>930</v>
      </c>
      <c r="M21" s="58">
        <v>30</v>
      </c>
      <c r="N21" s="23">
        <f t="shared" si="0"/>
        <v>27900</v>
      </c>
      <c r="O21" s="124"/>
      <c r="P21" s="113"/>
      <c r="Q21" s="3"/>
      <c r="R21" s="3"/>
      <c r="S21" s="4"/>
    </row>
    <row r="22" spans="1:20" s="2" customFormat="1" ht="19.8" customHeight="1">
      <c r="A22" s="9">
        <v>9</v>
      </c>
      <c r="B22" s="132" t="s">
        <v>156</v>
      </c>
      <c r="C22" s="18">
        <f>L22/100*90</f>
        <v>1260</v>
      </c>
      <c r="D22" s="19">
        <f>C22/100*29</f>
        <v>365.4</v>
      </c>
      <c r="E22" s="20"/>
      <c r="F22" s="20">
        <f>C22/100*1.8</f>
        <v>22.68</v>
      </c>
      <c r="G22" s="20"/>
      <c r="H22" s="20">
        <f>C22/100*0.1</f>
        <v>1.26</v>
      </c>
      <c r="I22" s="20">
        <f>C22/100*5.3</f>
        <v>66.78</v>
      </c>
      <c r="J22" s="92">
        <f>C22/100*48</f>
        <v>604.79999999999995</v>
      </c>
      <c r="K22" s="20">
        <f>C22/100*0.05</f>
        <v>0.63</v>
      </c>
      <c r="L22" s="105">
        <v>1400</v>
      </c>
      <c r="M22" s="56">
        <v>13</v>
      </c>
      <c r="N22" s="23">
        <f t="shared" si="0"/>
        <v>18200</v>
      </c>
      <c r="O22" s="122"/>
      <c r="P22" s="113"/>
    </row>
    <row r="23" spans="1:20" s="2" customFormat="1" ht="19.8" customHeight="1">
      <c r="A23" s="9">
        <v>10</v>
      </c>
      <c r="B23" s="5" t="s">
        <v>157</v>
      </c>
      <c r="C23" s="18">
        <f>L23/100*75</f>
        <v>2445</v>
      </c>
      <c r="D23" s="19">
        <f>C23/100*17</f>
        <v>415.65</v>
      </c>
      <c r="E23" s="20"/>
      <c r="F23" s="20">
        <f>C23/100*1.4</f>
        <v>34.229999999999997</v>
      </c>
      <c r="G23" s="20"/>
      <c r="H23" s="20">
        <f>C23/100*0.2</f>
        <v>4.8900000000000006</v>
      </c>
      <c r="I23" s="20">
        <f>C23/100*2.4</f>
        <v>58.679999999999993</v>
      </c>
      <c r="J23" s="20">
        <f>C23/100*50</f>
        <v>1222.5</v>
      </c>
      <c r="K23" s="20">
        <f>C23/100*0.09</f>
        <v>2.2004999999999999</v>
      </c>
      <c r="L23" s="105">
        <v>3260</v>
      </c>
      <c r="M23" s="56">
        <v>18</v>
      </c>
      <c r="N23" s="23">
        <f t="shared" si="0"/>
        <v>58680</v>
      </c>
      <c r="O23" s="122"/>
      <c r="P23" s="113"/>
    </row>
    <row r="24" spans="1:20" s="2" customFormat="1" ht="19.8" customHeight="1">
      <c r="A24" s="9">
        <v>11</v>
      </c>
      <c r="B24" s="6" t="s">
        <v>104</v>
      </c>
      <c r="C24" s="18"/>
      <c r="D24" s="19"/>
      <c r="E24" s="20"/>
      <c r="F24" s="20"/>
      <c r="G24" s="20"/>
      <c r="H24" s="20"/>
      <c r="I24" s="20"/>
      <c r="J24" s="22"/>
      <c r="K24" s="22"/>
      <c r="L24" s="21"/>
      <c r="M24" s="21"/>
      <c r="N24" s="23">
        <v>7500</v>
      </c>
      <c r="O24" s="122"/>
      <c r="P24" s="113"/>
    </row>
    <row r="25" spans="1:20" s="2" customFormat="1" ht="19.8" customHeight="1">
      <c r="A25" s="16" t="s">
        <v>90</v>
      </c>
      <c r="B25" s="17"/>
      <c r="C25" s="26"/>
      <c r="D25" s="94">
        <f>SUM(D14:D24)</f>
        <v>41322.887000000002</v>
      </c>
      <c r="E25" s="28"/>
      <c r="F25" s="28"/>
      <c r="G25" s="28"/>
      <c r="H25" s="28"/>
      <c r="I25" s="28"/>
      <c r="J25" s="28"/>
      <c r="K25" s="28"/>
      <c r="L25" s="29"/>
      <c r="M25" s="252"/>
      <c r="N25" s="272">
        <f>SUM(N14:N24)</f>
        <v>966880</v>
      </c>
      <c r="O25" s="122"/>
      <c r="P25" s="113"/>
    </row>
    <row r="26" spans="1:20" s="2" customFormat="1" ht="19.8" customHeight="1">
      <c r="A26" s="16" t="s">
        <v>6</v>
      </c>
      <c r="B26" s="17"/>
      <c r="C26" s="26"/>
      <c r="D26" s="27">
        <f>D25/D8</f>
        <v>444.3321182795699</v>
      </c>
      <c r="E26" s="28"/>
      <c r="F26" s="28"/>
      <c r="G26" s="28"/>
      <c r="H26" s="28"/>
      <c r="I26" s="28"/>
      <c r="J26" s="28"/>
      <c r="K26" s="28"/>
      <c r="L26" s="29"/>
      <c r="M26" s="253"/>
      <c r="N26" s="273"/>
      <c r="O26" s="122"/>
      <c r="P26" s="113"/>
    </row>
    <row r="27" spans="1:20" s="2" customFormat="1" ht="19.8" customHeight="1">
      <c r="A27" s="222" t="s">
        <v>44</v>
      </c>
      <c r="B27" s="313"/>
      <c r="C27" s="375" t="s">
        <v>122</v>
      </c>
      <c r="D27" s="15" t="s">
        <v>41</v>
      </c>
      <c r="E27" s="28"/>
      <c r="F27" s="28"/>
      <c r="G27" s="28"/>
      <c r="H27" s="28"/>
      <c r="I27" s="28"/>
      <c r="J27" s="28"/>
      <c r="K27" s="28"/>
      <c r="L27" s="29"/>
      <c r="M27" s="29"/>
      <c r="N27" s="30"/>
      <c r="O27" s="122"/>
      <c r="P27" s="113"/>
    </row>
    <row r="28" spans="1:20" s="2" customFormat="1" ht="19.8" customHeight="1">
      <c r="A28" s="314"/>
      <c r="B28" s="315"/>
      <c r="C28" s="57" t="s">
        <v>53</v>
      </c>
      <c r="D28" s="15">
        <f>D26*100/1320</f>
        <v>33.661524112088628</v>
      </c>
      <c r="E28" s="28"/>
      <c r="F28" s="28"/>
      <c r="G28" s="28"/>
      <c r="H28" s="28"/>
      <c r="I28" s="28"/>
      <c r="J28" s="28"/>
      <c r="K28" s="28"/>
      <c r="L28" s="29"/>
      <c r="M28" s="29"/>
      <c r="N28" s="30"/>
      <c r="O28" s="122"/>
      <c r="P28" s="113"/>
    </row>
    <row r="29" spans="1:20" s="2" customFormat="1" ht="19.8" customHeight="1">
      <c r="A29" s="259" t="s">
        <v>34</v>
      </c>
      <c r="B29" s="259"/>
      <c r="C29" s="40"/>
      <c r="D29" s="41"/>
      <c r="E29" s="42"/>
      <c r="F29" s="42"/>
      <c r="G29" s="42"/>
      <c r="H29" s="42"/>
      <c r="I29" s="42"/>
      <c r="J29" s="42"/>
      <c r="K29" s="42"/>
      <c r="L29" s="43"/>
      <c r="M29" s="43"/>
      <c r="N29" s="51"/>
      <c r="O29" s="122"/>
      <c r="P29" s="113"/>
    </row>
    <row r="30" spans="1:20" s="2" customFormat="1" ht="19.8" customHeight="1">
      <c r="A30" s="9">
        <v>1</v>
      </c>
      <c r="B30" s="10" t="s">
        <v>2</v>
      </c>
      <c r="C30" s="18">
        <f t="shared" ref="C30:C36" si="1">L30/100*100</f>
        <v>110.00000000000001</v>
      </c>
      <c r="D30" s="19">
        <f>C30/100*60</f>
        <v>66</v>
      </c>
      <c r="E30" s="20">
        <f>C30/100*15</f>
        <v>16.5</v>
      </c>
      <c r="F30" s="20"/>
      <c r="G30" s="20"/>
      <c r="H30" s="20"/>
      <c r="I30" s="20"/>
      <c r="J30" s="22">
        <f>C30/100*387</f>
        <v>425.70000000000005</v>
      </c>
      <c r="K30" s="22">
        <f>C30/100*0.09</f>
        <v>9.9000000000000005E-2</v>
      </c>
      <c r="L30" s="105">
        <v>110</v>
      </c>
      <c r="M30" s="56">
        <v>20</v>
      </c>
      <c r="N30" s="23">
        <f>L30*M30</f>
        <v>2200</v>
      </c>
      <c r="O30" s="122"/>
      <c r="P30" s="113"/>
    </row>
    <row r="31" spans="1:20" s="2" customFormat="1" ht="19.8" customHeight="1">
      <c r="A31" s="9">
        <v>2</v>
      </c>
      <c r="B31" s="115" t="s">
        <v>115</v>
      </c>
      <c r="C31" s="18">
        <f t="shared" si="1"/>
        <v>470</v>
      </c>
      <c r="D31" s="19">
        <f>C31/100*899</f>
        <v>4225.3</v>
      </c>
      <c r="E31" s="20"/>
      <c r="F31" s="20"/>
      <c r="G31" s="92">
        <f>C31/100*100</f>
        <v>470</v>
      </c>
      <c r="H31" s="20"/>
      <c r="I31" s="20"/>
      <c r="J31" s="20"/>
      <c r="K31" s="20"/>
      <c r="L31" s="105">
        <v>470</v>
      </c>
      <c r="M31" s="112">
        <v>68</v>
      </c>
      <c r="N31" s="23">
        <f t="shared" ref="N31:N40" si="2">L31*M31</f>
        <v>31960</v>
      </c>
      <c r="O31" s="121"/>
      <c r="P31" s="113"/>
    </row>
    <row r="32" spans="1:20" s="2" customFormat="1" ht="19.8" customHeight="1">
      <c r="A32" s="9">
        <v>3</v>
      </c>
      <c r="B32" s="131" t="s">
        <v>119</v>
      </c>
      <c r="C32" s="18">
        <f>L32/100*100</f>
        <v>140</v>
      </c>
      <c r="D32" s="93">
        <f>C32/100*900</f>
        <v>1260</v>
      </c>
      <c r="E32" s="20"/>
      <c r="F32" s="20"/>
      <c r="G32" s="92"/>
      <c r="H32" s="92">
        <f>C32/100*100</f>
        <v>140</v>
      </c>
      <c r="I32" s="20"/>
      <c r="J32" s="20"/>
      <c r="K32" s="20"/>
      <c r="L32" s="105">
        <v>140</v>
      </c>
      <c r="M32" s="56">
        <v>63.5</v>
      </c>
      <c r="N32" s="23">
        <f t="shared" si="2"/>
        <v>8890</v>
      </c>
      <c r="O32" s="121"/>
      <c r="P32" s="113"/>
    </row>
    <row r="33" spans="1:23" s="2" customFormat="1" ht="19.8" customHeight="1">
      <c r="A33" s="9">
        <v>4</v>
      </c>
      <c r="B33" s="5" t="s">
        <v>1</v>
      </c>
      <c r="C33" s="18">
        <f t="shared" si="1"/>
        <v>1395</v>
      </c>
      <c r="D33" s="19">
        <f>C33/100*330.1</f>
        <v>4604.8950000000004</v>
      </c>
      <c r="E33" s="20"/>
      <c r="F33" s="92">
        <f>C33/100*7.9</f>
        <v>110.205</v>
      </c>
      <c r="G33" s="20"/>
      <c r="H33" s="20">
        <f>C33/100*1</f>
        <v>13.95</v>
      </c>
      <c r="I33" s="20">
        <f>C33/100*70.1</f>
        <v>977.89499999999987</v>
      </c>
      <c r="J33" s="22">
        <f>C33/100*30</f>
        <v>418.5</v>
      </c>
      <c r="K33" s="22">
        <f>C33/100*0.1</f>
        <v>1.395</v>
      </c>
      <c r="L33" s="105">
        <v>1395</v>
      </c>
      <c r="M33" s="56">
        <v>18</v>
      </c>
      <c r="N33" s="23">
        <f t="shared" si="2"/>
        <v>25110</v>
      </c>
      <c r="O33" s="122"/>
      <c r="P33" s="113"/>
    </row>
    <row r="34" spans="1:23" s="2" customFormat="1" ht="19.8" customHeight="1">
      <c r="A34" s="9">
        <v>5</v>
      </c>
      <c r="B34" s="5" t="s">
        <v>64</v>
      </c>
      <c r="C34" s="18">
        <f t="shared" si="1"/>
        <v>930.00000000000011</v>
      </c>
      <c r="D34" s="19">
        <f>C34/100*344</f>
        <v>3199.2000000000003</v>
      </c>
      <c r="E34" s="20"/>
      <c r="F34" s="20">
        <f>C34/100*8.6</f>
        <v>79.98</v>
      </c>
      <c r="G34" s="20"/>
      <c r="H34" s="20">
        <f>C34/100*1.5</f>
        <v>13.950000000000001</v>
      </c>
      <c r="I34" s="20">
        <f>C34/100*74.5</f>
        <v>692.85</v>
      </c>
      <c r="J34" s="20">
        <f>C34/100*32</f>
        <v>297.60000000000002</v>
      </c>
      <c r="K34" s="20">
        <f>C34/100*0.14</f>
        <v>1.3020000000000003</v>
      </c>
      <c r="L34" s="105">
        <v>930</v>
      </c>
      <c r="M34" s="56">
        <v>30</v>
      </c>
      <c r="N34" s="23">
        <f t="shared" si="2"/>
        <v>27900</v>
      </c>
      <c r="O34" s="122"/>
      <c r="P34" s="123"/>
    </row>
    <row r="35" spans="1:23" s="2" customFormat="1" ht="19.8" customHeight="1">
      <c r="A35" s="9">
        <v>6</v>
      </c>
      <c r="B35" s="5" t="s">
        <v>158</v>
      </c>
      <c r="C35" s="18">
        <f t="shared" si="1"/>
        <v>180</v>
      </c>
      <c r="D35" s="19">
        <f>C35/100*334</f>
        <v>601.20000000000005</v>
      </c>
      <c r="E35" s="20"/>
      <c r="F35" s="20">
        <f>C35/100*20</f>
        <v>36</v>
      </c>
      <c r="G35" s="20"/>
      <c r="H35" s="20">
        <f>C35/100*2.4</f>
        <v>4.32</v>
      </c>
      <c r="I35" s="20">
        <f>C35/100*58</f>
        <v>104.4</v>
      </c>
      <c r="J35" s="22">
        <f>C35/100*89</f>
        <v>160.20000000000002</v>
      </c>
      <c r="K35" s="22">
        <f>C35/100*0.64</f>
        <v>1.1520000000000001</v>
      </c>
      <c r="L35" s="105">
        <v>180</v>
      </c>
      <c r="M35" s="56">
        <v>190</v>
      </c>
      <c r="N35" s="23">
        <f>L35*M35</f>
        <v>34200</v>
      </c>
      <c r="O35" s="122"/>
      <c r="P35" s="113"/>
    </row>
    <row r="36" spans="1:23" s="2" customFormat="1" ht="19.8" customHeight="1">
      <c r="A36" s="9">
        <v>7</v>
      </c>
      <c r="B36" s="5" t="s">
        <v>112</v>
      </c>
      <c r="C36" s="18">
        <f t="shared" si="1"/>
        <v>50</v>
      </c>
      <c r="D36" s="19">
        <f>C36/100*247</f>
        <v>123.5</v>
      </c>
      <c r="E36" s="24"/>
      <c r="F36" s="24">
        <f>C36/100*17.5</f>
        <v>8.75</v>
      </c>
      <c r="G36" s="24"/>
      <c r="H36" s="24">
        <f>C36/100*1.6</f>
        <v>0.8</v>
      </c>
      <c r="I36" s="24">
        <f>C36/100*39.2</f>
        <v>19.600000000000001</v>
      </c>
      <c r="J36" s="52"/>
      <c r="K36" s="52"/>
      <c r="L36" s="374">
        <v>50</v>
      </c>
      <c r="M36" s="56">
        <v>50</v>
      </c>
      <c r="N36" s="23">
        <f t="shared" ref="N36:N39" si="3">L36*M36</f>
        <v>2500</v>
      </c>
      <c r="O36" s="122"/>
      <c r="P36" s="113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18">
        <f>L37/100*98.5</f>
        <v>1369.15</v>
      </c>
      <c r="D37" s="19">
        <f>C37/100*39</f>
        <v>533.96850000000006</v>
      </c>
      <c r="E37" s="24"/>
      <c r="F37" s="24">
        <f>C37/100*1.5</f>
        <v>20.53725</v>
      </c>
      <c r="G37" s="24"/>
      <c r="H37" s="24">
        <f>C37/100*0.2</f>
        <v>2.7383000000000006</v>
      </c>
      <c r="I37" s="24">
        <f>C37/100*7.8</f>
        <v>106.7937</v>
      </c>
      <c r="J37" s="24">
        <f>C37/100*43</f>
        <v>588.73450000000003</v>
      </c>
      <c r="K37" s="24">
        <f>C37/100*0.06</f>
        <v>0.82149000000000005</v>
      </c>
      <c r="L37" s="374">
        <v>1390</v>
      </c>
      <c r="M37" s="21">
        <v>17</v>
      </c>
      <c r="N37" s="103">
        <f t="shared" si="3"/>
        <v>23630</v>
      </c>
      <c r="O37" s="122"/>
      <c r="P37" s="113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18">
        <f>L38/100*98</f>
        <v>1089.6620000000003</v>
      </c>
      <c r="D38" s="19">
        <f>C38/100*118</f>
        <v>1285.8011600000002</v>
      </c>
      <c r="E38" s="92">
        <f>C38/100*21</f>
        <v>228.82902000000004</v>
      </c>
      <c r="F38" s="20"/>
      <c r="G38" s="20">
        <f>C38/100*3.8</f>
        <v>41.407156000000008</v>
      </c>
      <c r="H38" s="20"/>
      <c r="I38" s="20"/>
      <c r="J38" s="20">
        <f>C38/100*12</f>
        <v>130.75944000000004</v>
      </c>
      <c r="K38" s="20">
        <f>C38/100*0.1</f>
        <v>1.0896620000000004</v>
      </c>
      <c r="L38" s="149">
        <v>1111.9000000000001</v>
      </c>
      <c r="M38" s="111">
        <v>250</v>
      </c>
      <c r="N38" s="103">
        <f t="shared" si="3"/>
        <v>277975</v>
      </c>
      <c r="O38" s="122"/>
      <c r="P38" s="113"/>
    </row>
    <row r="39" spans="1:23" s="2" customFormat="1" ht="19.8" customHeight="1">
      <c r="A39" s="9">
        <v>9</v>
      </c>
      <c r="B39" s="5" t="s">
        <v>61</v>
      </c>
      <c r="C39" s="18">
        <f>L39/100*48</f>
        <v>1300.8000000000002</v>
      </c>
      <c r="D39" s="19">
        <f>C39/100*199</f>
        <v>2588.5920000000006</v>
      </c>
      <c r="E39" s="92">
        <f>C39/100*20.3</f>
        <v>264.06240000000008</v>
      </c>
      <c r="F39" s="92"/>
      <c r="G39" s="92">
        <f>C39/100*13.1</f>
        <v>170.40480000000002</v>
      </c>
      <c r="H39" s="92"/>
      <c r="I39" s="20"/>
      <c r="J39" s="22">
        <f>C39/100*12</f>
        <v>156.09600000000003</v>
      </c>
      <c r="K39" s="22">
        <f>C39/100*0.15</f>
        <v>1.9512000000000003</v>
      </c>
      <c r="L39" s="105">
        <v>2710</v>
      </c>
      <c r="M39" s="105">
        <v>84</v>
      </c>
      <c r="N39" s="23">
        <f t="shared" si="3"/>
        <v>227640</v>
      </c>
      <c r="O39" s="122"/>
      <c r="P39" s="113"/>
      <c r="Q39" s="3"/>
      <c r="R39" s="3"/>
      <c r="S39" s="4"/>
    </row>
    <row r="40" spans="1:23" s="2" customFormat="1" ht="19.8" customHeight="1">
      <c r="A40" s="9">
        <v>10</v>
      </c>
      <c r="B40" s="134" t="s">
        <v>121</v>
      </c>
      <c r="C40" s="18">
        <f>L40/100*100</f>
        <v>1580</v>
      </c>
      <c r="D40" s="19">
        <f>C40/100*487</f>
        <v>7694.6</v>
      </c>
      <c r="E40" s="24"/>
      <c r="F40" s="166">
        <f>C40/100*19.5</f>
        <v>308.10000000000002</v>
      </c>
      <c r="G40" s="166"/>
      <c r="H40" s="166">
        <f>C40/100*23.2</f>
        <v>366.56</v>
      </c>
      <c r="I40" s="24">
        <f>C40/100*46</f>
        <v>726.80000000000007</v>
      </c>
      <c r="J40" s="92">
        <f>C40/100*680</f>
        <v>10744</v>
      </c>
      <c r="K40" s="20">
        <f>C40/100*0.55</f>
        <v>8.6900000000000013</v>
      </c>
      <c r="L40" s="25">
        <v>1580</v>
      </c>
      <c r="M40" s="111">
        <v>260</v>
      </c>
      <c r="N40" s="23">
        <f t="shared" si="2"/>
        <v>410800</v>
      </c>
      <c r="O40" s="122"/>
      <c r="P40" s="125"/>
    </row>
    <row r="41" spans="1:23" s="2" customFormat="1" ht="19.8" customHeight="1">
      <c r="A41" s="76">
        <v>11</v>
      </c>
      <c r="B41" s="85" t="s">
        <v>104</v>
      </c>
      <c r="C41" s="77"/>
      <c r="D41" s="78"/>
      <c r="E41" s="79"/>
      <c r="F41" s="79"/>
      <c r="G41" s="79"/>
      <c r="H41" s="79"/>
      <c r="I41" s="79"/>
      <c r="J41" s="87"/>
      <c r="K41" s="87"/>
      <c r="L41" s="80"/>
      <c r="M41" s="80"/>
      <c r="N41" s="81">
        <v>6400</v>
      </c>
      <c r="O41" s="122"/>
      <c r="P41" s="122"/>
    </row>
    <row r="42" spans="1:23" ht="21" customHeight="1">
      <c r="A42" s="171" t="s">
        <v>0</v>
      </c>
      <c r="B42" s="174" t="s">
        <v>19</v>
      </c>
      <c r="C42" s="289" t="s">
        <v>8</v>
      </c>
      <c r="D42" s="177" t="s">
        <v>9</v>
      </c>
      <c r="E42" s="182" t="s">
        <v>11</v>
      </c>
      <c r="F42" s="183"/>
      <c r="G42" s="182" t="s">
        <v>13</v>
      </c>
      <c r="H42" s="183"/>
      <c r="I42" s="186" t="s">
        <v>16</v>
      </c>
      <c r="J42" s="186" t="s">
        <v>39</v>
      </c>
      <c r="K42" s="186" t="s">
        <v>40</v>
      </c>
      <c r="L42" s="186" t="s">
        <v>17</v>
      </c>
      <c r="M42" s="186" t="s">
        <v>50</v>
      </c>
      <c r="N42" s="171" t="s">
        <v>18</v>
      </c>
      <c r="O42" s="118"/>
    </row>
    <row r="43" spans="1:23" ht="21" customHeight="1">
      <c r="A43" s="172"/>
      <c r="B43" s="175"/>
      <c r="C43" s="290"/>
      <c r="D43" s="178"/>
      <c r="E43" s="184"/>
      <c r="F43" s="185"/>
      <c r="G43" s="184"/>
      <c r="H43" s="185"/>
      <c r="I43" s="187"/>
      <c r="J43" s="187"/>
      <c r="K43" s="187"/>
      <c r="L43" s="187"/>
      <c r="M43" s="187"/>
      <c r="N43" s="172"/>
      <c r="O43" s="120"/>
    </row>
    <row r="44" spans="1:23" ht="21" customHeight="1">
      <c r="A44" s="172"/>
      <c r="B44" s="175"/>
      <c r="C44" s="290"/>
      <c r="D44" s="178"/>
      <c r="E44" s="186" t="s">
        <v>10</v>
      </c>
      <c r="F44" s="186" t="s">
        <v>12</v>
      </c>
      <c r="G44" s="186" t="s">
        <v>14</v>
      </c>
      <c r="H44" s="186" t="s">
        <v>15</v>
      </c>
      <c r="I44" s="187"/>
      <c r="J44" s="187"/>
      <c r="K44" s="187"/>
      <c r="L44" s="187"/>
      <c r="M44" s="187"/>
      <c r="N44" s="172"/>
      <c r="O44" s="120"/>
    </row>
    <row r="45" spans="1:23" ht="21" customHeight="1">
      <c r="A45" s="173"/>
      <c r="B45" s="176"/>
      <c r="C45" s="291"/>
      <c r="D45" s="179"/>
      <c r="E45" s="188"/>
      <c r="F45" s="188"/>
      <c r="G45" s="188"/>
      <c r="H45" s="188"/>
      <c r="I45" s="188"/>
      <c r="J45" s="188"/>
      <c r="K45" s="188"/>
      <c r="L45" s="188"/>
      <c r="M45" s="188"/>
      <c r="N45" s="173"/>
      <c r="O45" s="120"/>
    </row>
    <row r="46" spans="1:23" s="2" customFormat="1" ht="21" customHeight="1">
      <c r="A46" s="16" t="s">
        <v>91</v>
      </c>
      <c r="B46" s="17"/>
      <c r="C46" s="26"/>
      <c r="D46" s="94">
        <f>SUM(D30:D41)</f>
        <v>26183.056660000002</v>
      </c>
      <c r="E46" s="31"/>
      <c r="F46" s="31"/>
      <c r="G46" s="31"/>
      <c r="H46" s="31"/>
      <c r="I46" s="31"/>
      <c r="J46" s="31"/>
      <c r="K46" s="31"/>
      <c r="L46" s="32"/>
      <c r="M46" s="247"/>
      <c r="N46" s="180">
        <f>SUM(N30:N41)</f>
        <v>1079205</v>
      </c>
      <c r="O46" s="122"/>
      <c r="P46" s="113"/>
    </row>
    <row r="47" spans="1:23" ht="21" customHeight="1">
      <c r="A47" s="16" t="s">
        <v>7</v>
      </c>
      <c r="B47" s="17"/>
      <c r="C47" s="33"/>
      <c r="D47" s="34">
        <f>D46/D8</f>
        <v>281.53824365591402</v>
      </c>
      <c r="E47" s="34"/>
      <c r="F47" s="34"/>
      <c r="G47" s="34"/>
      <c r="H47" s="34"/>
      <c r="I47" s="34"/>
      <c r="J47" s="34"/>
      <c r="K47" s="34"/>
      <c r="L47" s="35"/>
      <c r="M47" s="248"/>
      <c r="N47" s="181"/>
      <c r="O47" s="126"/>
      <c r="P47" s="113"/>
      <c r="Q47" s="2"/>
      <c r="R47" s="2"/>
      <c r="S47" s="2"/>
      <c r="T47" s="2"/>
      <c r="U47" s="2"/>
      <c r="V47" s="2"/>
    </row>
    <row r="48" spans="1:23" ht="21" customHeight="1">
      <c r="A48" s="222" t="s">
        <v>45</v>
      </c>
      <c r="B48" s="223"/>
      <c r="C48" s="375" t="s">
        <v>122</v>
      </c>
      <c r="D48" s="15" t="s">
        <v>51</v>
      </c>
      <c r="E48" s="34"/>
      <c r="F48" s="34"/>
      <c r="G48" s="34"/>
      <c r="H48" s="34"/>
      <c r="I48" s="34"/>
      <c r="J48" s="36"/>
      <c r="K48" s="36"/>
      <c r="L48" s="35"/>
      <c r="M48" s="35"/>
      <c r="N48" s="162"/>
      <c r="O48" s="126"/>
      <c r="P48" s="113"/>
      <c r="Q48" s="2"/>
      <c r="R48" s="2"/>
      <c r="S48" s="2"/>
      <c r="T48" s="2"/>
      <c r="U48" s="2"/>
      <c r="V48" s="2"/>
      <c r="W48" s="2"/>
    </row>
    <row r="49" spans="1:23" ht="21" customHeight="1">
      <c r="A49" s="224"/>
      <c r="B49" s="225"/>
      <c r="C49" s="57" t="s">
        <v>53</v>
      </c>
      <c r="D49" s="15">
        <f>D47*100/1320</f>
        <v>21.328654822417729</v>
      </c>
      <c r="E49" s="34"/>
      <c r="F49" s="34"/>
      <c r="G49" s="34"/>
      <c r="H49" s="34"/>
      <c r="I49" s="34"/>
      <c r="J49" s="36"/>
      <c r="K49" s="36"/>
      <c r="L49" s="35"/>
      <c r="M49" s="35"/>
      <c r="N49" s="162"/>
      <c r="O49" s="126"/>
      <c r="P49" s="113"/>
      <c r="Q49" s="2"/>
      <c r="R49" s="2"/>
      <c r="S49" s="2"/>
      <c r="T49" s="2"/>
      <c r="U49" s="2"/>
      <c r="V49" s="2"/>
      <c r="W49" s="2"/>
    </row>
    <row r="50" spans="1:23" ht="21" customHeight="1">
      <c r="A50" s="203" t="s">
        <v>92</v>
      </c>
      <c r="B50" s="204"/>
      <c r="C50" s="226"/>
      <c r="D50" s="280">
        <f>D25+D46</f>
        <v>67505.943660000004</v>
      </c>
      <c r="E50" s="96">
        <f>SUM(E14:E41)</f>
        <v>1374.8984200000002</v>
      </c>
      <c r="F50" s="96">
        <f t="shared" ref="F50:H50" si="4">SUM(F14:F41)</f>
        <v>1341.2482500000001</v>
      </c>
      <c r="G50" s="96">
        <f t="shared" si="4"/>
        <v>1511.1773559999999</v>
      </c>
      <c r="H50" s="38">
        <f t="shared" si="4"/>
        <v>640.18529999999998</v>
      </c>
      <c r="I50" s="245">
        <f>SUM(I14:I41)</f>
        <v>9029.2920999999988</v>
      </c>
      <c r="J50" s="245">
        <f>SUM(J14:J41)</f>
        <v>19503.68794</v>
      </c>
      <c r="K50" s="254">
        <f>SUM(K14:K41)</f>
        <v>42.445031999999998</v>
      </c>
      <c r="L50" s="239"/>
      <c r="M50" s="239"/>
      <c r="N50" s="271">
        <f>N25+N46</f>
        <v>2046085</v>
      </c>
      <c r="U50" s="12"/>
      <c r="V50" s="12"/>
    </row>
    <row r="51" spans="1:23" ht="21" customHeight="1">
      <c r="A51" s="205"/>
      <c r="B51" s="206"/>
      <c r="C51" s="227"/>
      <c r="D51" s="281"/>
      <c r="E51" s="284">
        <f>E50+F50</f>
        <v>2716.1466700000001</v>
      </c>
      <c r="F51" s="285"/>
      <c r="G51" s="199">
        <f>G50+H50</f>
        <v>2151.3626559999998</v>
      </c>
      <c r="H51" s="200"/>
      <c r="I51" s="246"/>
      <c r="J51" s="246"/>
      <c r="K51" s="255"/>
      <c r="L51" s="239"/>
      <c r="M51" s="239"/>
      <c r="N51" s="271"/>
      <c r="U51" s="12"/>
      <c r="V51" s="12"/>
    </row>
    <row r="52" spans="1:23" ht="21" customHeight="1">
      <c r="A52" s="213" t="s">
        <v>67</v>
      </c>
      <c r="B52" s="214"/>
      <c r="C52" s="215"/>
      <c r="D52" s="106">
        <f>D50/D8</f>
        <v>725.87036193548397</v>
      </c>
      <c r="E52" s="376">
        <f>E50/D8</f>
        <v>14.783853978494626</v>
      </c>
      <c r="F52" s="377">
        <f>F50/D8</f>
        <v>14.422024193548388</v>
      </c>
      <c r="G52" s="376">
        <f>G50/D8</f>
        <v>16.249218881720431</v>
      </c>
      <c r="H52" s="377">
        <f>H50/D8</f>
        <v>6.8837129032258062</v>
      </c>
      <c r="I52" s="201">
        <f>I50/D8</f>
        <v>97.089162365591378</v>
      </c>
      <c r="J52" s="201">
        <f>J50/D8</f>
        <v>209.71707462365592</v>
      </c>
      <c r="K52" s="256">
        <f>K50/D8</f>
        <v>0.45639819354838707</v>
      </c>
      <c r="L52" s="239"/>
      <c r="M52" s="239"/>
      <c r="N52" s="271"/>
      <c r="Q52" s="365"/>
      <c r="R52" s="365"/>
      <c r="S52" s="365"/>
      <c r="T52" s="365"/>
      <c r="U52" s="366"/>
      <c r="V52" s="366"/>
    </row>
    <row r="53" spans="1:23" ht="21" customHeight="1">
      <c r="A53" s="216"/>
      <c r="B53" s="217"/>
      <c r="C53" s="218"/>
      <c r="D53" s="98"/>
      <c r="E53" s="378">
        <f>E52+F52</f>
        <v>29.205878172043015</v>
      </c>
      <c r="F53" s="379"/>
      <c r="G53" s="378">
        <f>G52+H52</f>
        <v>23.132931784946237</v>
      </c>
      <c r="H53" s="379"/>
      <c r="I53" s="202"/>
      <c r="J53" s="202"/>
      <c r="K53" s="257"/>
      <c r="L53" s="239"/>
      <c r="M53" s="239"/>
      <c r="N53" s="271"/>
      <c r="P53" s="127"/>
      <c r="Q53" s="372"/>
      <c r="R53" s="372"/>
      <c r="S53" s="372"/>
      <c r="T53" s="372"/>
      <c r="U53" s="373"/>
      <c r="V53" s="373"/>
    </row>
    <row r="54" spans="1:23" ht="21" customHeight="1">
      <c r="A54" s="219" t="s">
        <v>70</v>
      </c>
      <c r="B54" s="220"/>
      <c r="C54" s="221"/>
      <c r="D54" s="160" t="s">
        <v>27</v>
      </c>
      <c r="E54" s="170" t="s">
        <v>21</v>
      </c>
      <c r="F54" s="170"/>
      <c r="G54" s="170" t="s">
        <v>22</v>
      </c>
      <c r="H54" s="170"/>
      <c r="I54" s="380" t="s">
        <v>23</v>
      </c>
      <c r="J54" s="380">
        <v>600</v>
      </c>
      <c r="K54" s="380">
        <v>0.7</v>
      </c>
      <c r="L54" s="239"/>
      <c r="M54" s="239"/>
      <c r="N54" s="271"/>
      <c r="O54" s="128"/>
    </row>
    <row r="55" spans="1:23" ht="21" customHeight="1">
      <c r="A55" s="192" t="s">
        <v>68</v>
      </c>
      <c r="B55" s="258"/>
      <c r="C55" s="193"/>
      <c r="D55" s="37"/>
      <c r="E55" s="197">
        <f>E53*4.1</f>
        <v>119.74410050537635</v>
      </c>
      <c r="F55" s="198"/>
      <c r="G55" s="197">
        <f>G53*9</f>
        <v>208.19638606451613</v>
      </c>
      <c r="H55" s="198"/>
      <c r="I55" s="95">
        <f>I52*4.1</f>
        <v>398.06556569892462</v>
      </c>
      <c r="J55" s="230"/>
      <c r="K55" s="230"/>
      <c r="L55" s="239"/>
      <c r="M55" s="239"/>
      <c r="N55" s="271"/>
      <c r="O55" s="128"/>
      <c r="P55" s="370"/>
      <c r="Q55" s="371"/>
      <c r="R55" s="371"/>
      <c r="S55" s="371"/>
    </row>
    <row r="56" spans="1:23" ht="21" customHeight="1">
      <c r="A56" s="233" t="s">
        <v>71</v>
      </c>
      <c r="B56" s="234"/>
      <c r="C56" s="192" t="s">
        <v>52</v>
      </c>
      <c r="D56" s="193"/>
      <c r="E56" s="237">
        <f>E55*100/D52</f>
        <v>16.496623472280483</v>
      </c>
      <c r="F56" s="238"/>
      <c r="G56" s="237">
        <f>G55*100/D52</f>
        <v>28.682309814851045</v>
      </c>
      <c r="H56" s="238"/>
      <c r="I56" s="88">
        <f>I55*100/D52</f>
        <v>54.839760179422377</v>
      </c>
      <c r="J56" s="231"/>
      <c r="K56" s="231"/>
      <c r="L56" s="239"/>
      <c r="M56" s="239"/>
      <c r="N56" s="271"/>
      <c r="O56" s="128"/>
      <c r="P56" s="140"/>
      <c r="Q56" s="109"/>
      <c r="R56" s="109"/>
      <c r="S56" s="109"/>
    </row>
    <row r="57" spans="1:23" ht="21" customHeight="1">
      <c r="A57" s="235"/>
      <c r="B57" s="236"/>
      <c r="C57" s="192" t="s">
        <v>69</v>
      </c>
      <c r="D57" s="193"/>
      <c r="E57" s="192" t="s">
        <v>72</v>
      </c>
      <c r="F57" s="193"/>
      <c r="G57" s="192" t="s">
        <v>73</v>
      </c>
      <c r="H57" s="193"/>
      <c r="I57" s="160" t="s">
        <v>74</v>
      </c>
      <c r="J57" s="232"/>
      <c r="K57" s="232"/>
      <c r="L57" s="239"/>
      <c r="M57" s="239"/>
      <c r="N57" s="271"/>
      <c r="O57" s="128"/>
      <c r="P57" s="129"/>
    </row>
    <row r="58" spans="1:23" ht="21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3"/>
      <c r="M58" s="73"/>
      <c r="N58" s="74"/>
      <c r="O58" s="128"/>
    </row>
    <row r="59" spans="1:23" ht="21" customHeight="1">
      <c r="A59" s="240" t="s">
        <v>95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128"/>
    </row>
    <row r="60" spans="1:23" ht="21" customHeight="1">
      <c r="A60" s="90" t="s">
        <v>96</v>
      </c>
      <c r="B60" s="241" t="s">
        <v>97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128"/>
    </row>
    <row r="61" spans="1:23" ht="21" customHeight="1">
      <c r="A61" s="91"/>
      <c r="B61" s="211" t="s">
        <v>181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128"/>
    </row>
    <row r="62" spans="1:23" ht="21" customHeight="1">
      <c r="A62" s="91"/>
      <c r="B62" s="211" t="s">
        <v>159</v>
      </c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128"/>
    </row>
    <row r="63" spans="1:23" ht="21" customHeight="1">
      <c r="A63" s="91"/>
      <c r="B63" s="211" t="s">
        <v>139</v>
      </c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28"/>
    </row>
    <row r="64" spans="1:23" ht="21" customHeight="1">
      <c r="A64" s="69"/>
      <c r="B64" s="212" t="s">
        <v>98</v>
      </c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128"/>
    </row>
    <row r="65" spans="1:15" ht="21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3"/>
      <c r="M65" s="73"/>
      <c r="N65" s="74"/>
      <c r="O65" s="128"/>
    </row>
    <row r="66" spans="1:15" ht="21" customHeight="1">
      <c r="A66" s="210" t="s">
        <v>55</v>
      </c>
      <c r="B66" s="210"/>
      <c r="C66" s="210"/>
      <c r="D66" s="210"/>
      <c r="E66" s="381"/>
      <c r="F66" s="381"/>
      <c r="G66" s="381"/>
      <c r="H66" s="381"/>
      <c r="I66" s="381"/>
      <c r="J66" s="382" t="s">
        <v>32</v>
      </c>
      <c r="K66" s="382"/>
      <c r="L66" s="382"/>
      <c r="M66" s="382"/>
      <c r="N66" s="382"/>
      <c r="O66" s="128"/>
    </row>
    <row r="67" spans="1:15" ht="21" customHeight="1">
      <c r="A67" s="161"/>
      <c r="B67" s="161"/>
      <c r="C67" s="161"/>
      <c r="D67" s="381"/>
      <c r="E67" s="381"/>
      <c r="F67" s="381"/>
      <c r="G67" s="381"/>
      <c r="H67" s="383"/>
      <c r="I67" s="383"/>
      <c r="J67" s="383"/>
      <c r="K67" s="383"/>
      <c r="L67" s="383"/>
      <c r="M67" s="383"/>
      <c r="N67" s="383"/>
      <c r="O67" s="128"/>
    </row>
    <row r="68" spans="1:15" ht="21" customHeight="1">
      <c r="A68" s="161"/>
      <c r="B68" s="161"/>
      <c r="C68" s="161"/>
      <c r="D68" s="381"/>
      <c r="E68" s="381"/>
      <c r="F68" s="381"/>
      <c r="G68" s="381"/>
      <c r="H68" s="383"/>
      <c r="I68" s="383"/>
      <c r="J68" s="383"/>
      <c r="K68" s="383"/>
      <c r="L68" s="383"/>
      <c r="M68" s="383"/>
      <c r="N68" s="383"/>
      <c r="O68" s="128"/>
    </row>
    <row r="69" spans="1:15" ht="21" customHeight="1">
      <c r="A69" s="161"/>
      <c r="B69" s="161"/>
      <c r="C69" s="161"/>
      <c r="D69" s="381"/>
      <c r="E69" s="381"/>
      <c r="F69" s="381"/>
      <c r="G69" s="381"/>
      <c r="H69" s="383"/>
      <c r="I69" s="383"/>
      <c r="J69" s="384" t="s">
        <v>105</v>
      </c>
      <c r="K69" s="384"/>
      <c r="L69" s="384"/>
      <c r="M69" s="384"/>
      <c r="N69" s="384"/>
      <c r="O69" s="128"/>
    </row>
    <row r="70" spans="1:15" ht="21" customHeight="1">
      <c r="A70" s="194" t="s">
        <v>80</v>
      </c>
      <c r="B70" s="194"/>
      <c r="C70" s="194"/>
      <c r="D70" s="194"/>
      <c r="E70" s="381"/>
      <c r="F70" s="381"/>
      <c r="G70" s="381"/>
      <c r="H70" s="383"/>
      <c r="I70" s="383"/>
      <c r="O70" s="128"/>
    </row>
    <row r="71" spans="1:15" ht="21" customHeight="1">
      <c r="A71" s="161"/>
      <c r="B71" s="161"/>
      <c r="C71" s="161"/>
      <c r="D71" s="381"/>
      <c r="E71" s="381"/>
      <c r="F71" s="381"/>
      <c r="G71" s="381"/>
      <c r="H71" s="383"/>
      <c r="I71" s="383"/>
      <c r="J71" s="383"/>
      <c r="K71" s="383"/>
      <c r="L71" s="383"/>
      <c r="M71" s="383"/>
      <c r="N71" s="383"/>
      <c r="O71" s="128"/>
    </row>
    <row r="72" spans="1:15" ht="21" customHeight="1">
      <c r="A72" s="161"/>
      <c r="B72" s="161"/>
      <c r="C72" s="161"/>
      <c r="D72" s="381"/>
      <c r="E72" s="381"/>
      <c r="F72" s="381"/>
      <c r="G72" s="381"/>
      <c r="H72" s="383"/>
      <c r="I72" s="383"/>
      <c r="J72" s="384" t="s">
        <v>108</v>
      </c>
      <c r="K72" s="384"/>
      <c r="L72" s="384"/>
      <c r="M72" s="384"/>
      <c r="N72" s="384"/>
      <c r="O72" s="128"/>
    </row>
    <row r="73" spans="1:15" ht="21" customHeight="1">
      <c r="A73" s="161"/>
      <c r="B73" s="161"/>
      <c r="C73" s="161"/>
      <c r="D73" s="381"/>
      <c r="E73" s="381"/>
      <c r="F73" s="381"/>
      <c r="G73" s="381"/>
      <c r="H73" s="383"/>
      <c r="I73" s="383"/>
      <c r="J73" s="383"/>
      <c r="K73" s="383"/>
      <c r="L73" s="383"/>
      <c r="M73" s="383"/>
      <c r="N73" s="383"/>
      <c r="O73" s="128"/>
    </row>
    <row r="74" spans="1:15" ht="21" customHeight="1">
      <c r="A74" s="161"/>
      <c r="B74" s="161"/>
      <c r="C74" s="161"/>
      <c r="D74" s="381"/>
      <c r="E74" s="381"/>
      <c r="F74" s="381"/>
      <c r="G74" s="381"/>
      <c r="H74" s="383"/>
      <c r="I74" s="383"/>
      <c r="J74" s="383"/>
      <c r="K74" s="383"/>
      <c r="L74" s="383"/>
      <c r="M74" s="383"/>
      <c r="N74" s="383"/>
      <c r="O74" s="128"/>
    </row>
    <row r="75" spans="1:15" ht="21" customHeight="1">
      <c r="A75" s="161"/>
      <c r="B75" s="161"/>
      <c r="C75" s="161"/>
      <c r="D75" s="381"/>
      <c r="E75" s="381"/>
      <c r="F75" s="381"/>
      <c r="G75" s="381"/>
      <c r="H75" s="383"/>
      <c r="I75" s="383"/>
      <c r="J75" s="383"/>
      <c r="K75" s="383"/>
      <c r="L75" s="383"/>
      <c r="M75" s="383"/>
      <c r="N75" s="383"/>
      <c r="O75" s="128"/>
    </row>
    <row r="76" spans="1:15" ht="21" customHeight="1">
      <c r="A76" s="161"/>
      <c r="B76" s="161"/>
      <c r="C76" s="161"/>
      <c r="D76" s="381"/>
      <c r="E76" s="381"/>
      <c r="F76" s="381"/>
      <c r="G76" s="381"/>
      <c r="H76" s="383"/>
      <c r="I76" s="383"/>
      <c r="J76" s="383"/>
      <c r="K76" s="383"/>
      <c r="L76" s="383"/>
      <c r="M76" s="383"/>
      <c r="N76" s="383"/>
      <c r="O76" s="128"/>
    </row>
    <row r="77" spans="1:15" ht="21" customHeight="1">
      <c r="A77" s="161"/>
      <c r="B77" s="161"/>
      <c r="C77" s="161"/>
      <c r="D77" s="381"/>
      <c r="E77" s="381"/>
      <c r="F77" s="381"/>
      <c r="G77" s="381"/>
      <c r="H77" s="383"/>
      <c r="I77" s="383"/>
      <c r="J77" s="383"/>
      <c r="K77" s="383"/>
      <c r="L77" s="383"/>
      <c r="M77" s="383"/>
      <c r="N77" s="383"/>
      <c r="O77" s="128"/>
    </row>
    <row r="78" spans="1:15" ht="21" customHeight="1">
      <c r="A78" s="161"/>
      <c r="B78" s="161"/>
      <c r="C78" s="161"/>
      <c r="D78" s="381"/>
      <c r="E78" s="381"/>
      <c r="F78" s="381"/>
      <c r="G78" s="381"/>
      <c r="H78" s="383"/>
      <c r="I78" s="383"/>
      <c r="J78" s="383"/>
      <c r="K78" s="383"/>
      <c r="L78" s="383"/>
      <c r="M78" s="383"/>
      <c r="N78" s="383"/>
      <c r="O78" s="128"/>
    </row>
    <row r="79" spans="1:15" ht="21" customHeight="1">
      <c r="A79" s="161"/>
      <c r="B79" s="161"/>
      <c r="C79" s="161"/>
      <c r="D79" s="381"/>
      <c r="E79" s="381"/>
      <c r="F79" s="381"/>
      <c r="G79" s="381"/>
      <c r="H79" s="383"/>
      <c r="I79" s="383"/>
      <c r="J79" s="383"/>
      <c r="K79" s="383"/>
      <c r="L79" s="383"/>
      <c r="M79" s="383"/>
      <c r="N79" s="383"/>
      <c r="O79" s="128"/>
    </row>
    <row r="80" spans="1:15" ht="21" customHeight="1">
      <c r="A80" s="161"/>
      <c r="B80" s="161"/>
      <c r="C80" s="161"/>
      <c r="D80" s="381"/>
      <c r="E80" s="381"/>
      <c r="F80" s="381"/>
      <c r="G80" s="381"/>
      <c r="H80" s="383"/>
      <c r="I80" s="383"/>
      <c r="J80" s="383"/>
      <c r="K80" s="383"/>
      <c r="L80" s="383"/>
      <c r="M80" s="383"/>
      <c r="N80" s="383"/>
      <c r="O80" s="128"/>
    </row>
    <row r="81" spans="1:20" ht="21" customHeight="1">
      <c r="A81" s="161"/>
      <c r="B81" s="161"/>
      <c r="C81" s="161"/>
      <c r="D81" s="381"/>
      <c r="E81" s="381"/>
      <c r="F81" s="381"/>
      <c r="G81" s="381"/>
      <c r="H81" s="383"/>
      <c r="I81" s="383"/>
      <c r="J81" s="383"/>
      <c r="K81" s="383"/>
      <c r="L81" s="383"/>
      <c r="M81" s="383"/>
      <c r="N81" s="383"/>
      <c r="O81" s="128"/>
    </row>
    <row r="82" spans="1:20" ht="19.8" customHeight="1">
      <c r="A82" s="11" t="s">
        <v>54</v>
      </c>
      <c r="B82" s="8"/>
      <c r="C82" s="8"/>
      <c r="D82" s="8"/>
      <c r="E82" s="8"/>
      <c r="F82" s="244" t="s">
        <v>31</v>
      </c>
      <c r="G82" s="244"/>
      <c r="H82" s="244"/>
      <c r="I82" s="244"/>
      <c r="J82" s="244"/>
      <c r="K82" s="244"/>
      <c r="L82" s="244"/>
      <c r="M82" s="244"/>
      <c r="N82" s="244"/>
      <c r="O82" s="116"/>
      <c r="P82" s="116"/>
      <c r="T82" s="2"/>
    </row>
    <row r="83" spans="1:20" ht="19.8" customHeight="1">
      <c r="A83" s="8" t="s">
        <v>180</v>
      </c>
      <c r="B83" s="8"/>
      <c r="C83" s="8"/>
      <c r="D83" s="8"/>
      <c r="E83" s="8"/>
      <c r="F83" s="165"/>
      <c r="G83" s="165"/>
      <c r="H83" s="165"/>
      <c r="I83" s="165"/>
      <c r="J83" s="165"/>
      <c r="K83" s="165"/>
      <c r="L83" s="165"/>
      <c r="M83" s="165"/>
      <c r="N83" s="165"/>
      <c r="O83" s="116"/>
      <c r="P83" s="116"/>
      <c r="T83" s="2"/>
    </row>
    <row r="84" spans="1:20" s="2" customFormat="1" ht="18" customHeight="1">
      <c r="A84" s="170" t="s">
        <v>84</v>
      </c>
      <c r="B84" s="170"/>
      <c r="C84" s="170"/>
      <c r="D84" s="170"/>
      <c r="E84" s="170" t="s">
        <v>78</v>
      </c>
      <c r="F84" s="170"/>
      <c r="G84" s="170"/>
      <c r="H84" s="170"/>
      <c r="I84" s="170"/>
      <c r="J84" s="170"/>
      <c r="K84" s="170"/>
      <c r="L84" s="170"/>
      <c r="M84" s="170"/>
      <c r="N84" s="170"/>
      <c r="O84" s="117"/>
      <c r="P84" s="113"/>
    </row>
    <row r="85" spans="1:20" s="2" customFormat="1" ht="18" customHeight="1">
      <c r="A85" s="170"/>
      <c r="B85" s="170"/>
      <c r="C85" s="170"/>
      <c r="D85" s="170"/>
      <c r="E85" s="170" t="s">
        <v>160</v>
      </c>
      <c r="F85" s="170"/>
      <c r="G85" s="170"/>
      <c r="H85" s="170"/>
      <c r="I85" s="170"/>
      <c r="J85" s="170" t="s">
        <v>87</v>
      </c>
      <c r="K85" s="170"/>
      <c r="L85" s="170"/>
      <c r="M85" s="170"/>
      <c r="N85" s="170"/>
      <c r="O85" s="117"/>
      <c r="P85" s="113"/>
    </row>
    <row r="86" spans="1:20" s="2" customFormat="1" ht="18" customHeight="1">
      <c r="A86" s="242" t="s">
        <v>79</v>
      </c>
      <c r="B86" s="242"/>
      <c r="C86" s="242"/>
      <c r="D86" s="242"/>
      <c r="E86" s="243" t="s">
        <v>120</v>
      </c>
      <c r="F86" s="243"/>
      <c r="G86" s="243"/>
      <c r="H86" s="243"/>
      <c r="I86" s="243"/>
      <c r="J86" s="262" t="s">
        <v>151</v>
      </c>
      <c r="K86" s="263"/>
      <c r="L86" s="263"/>
      <c r="M86" s="263"/>
      <c r="N86" s="264"/>
      <c r="O86" s="117"/>
      <c r="P86" s="113"/>
    </row>
    <row r="87" spans="1:20" s="2" customFormat="1" ht="18" customHeight="1">
      <c r="A87" s="316" t="s">
        <v>152</v>
      </c>
      <c r="B87" s="317"/>
      <c r="C87" s="317"/>
      <c r="D87" s="318"/>
      <c r="E87" s="243"/>
      <c r="F87" s="243"/>
      <c r="G87" s="243"/>
      <c r="H87" s="243"/>
      <c r="I87" s="243"/>
      <c r="J87" s="265"/>
      <c r="K87" s="266"/>
      <c r="L87" s="266"/>
      <c r="M87" s="266"/>
      <c r="N87" s="267"/>
      <c r="O87" s="117"/>
      <c r="P87" s="113"/>
    </row>
    <row r="88" spans="1:20" s="2" customFormat="1" ht="18" customHeight="1">
      <c r="A88" s="364" t="s">
        <v>154</v>
      </c>
      <c r="B88" s="364"/>
      <c r="C88" s="364"/>
      <c r="D88" s="364"/>
      <c r="E88" s="243"/>
      <c r="F88" s="243"/>
      <c r="G88" s="243"/>
      <c r="H88" s="243"/>
      <c r="I88" s="243"/>
      <c r="J88" s="268"/>
      <c r="K88" s="269"/>
      <c r="L88" s="269"/>
      <c r="M88" s="269"/>
      <c r="N88" s="270"/>
      <c r="O88" s="117"/>
      <c r="P88" s="113"/>
    </row>
    <row r="89" spans="1:20" ht="18" customHeight="1">
      <c r="A89" s="207" t="s">
        <v>103</v>
      </c>
      <c r="B89" s="208"/>
      <c r="C89" s="209"/>
      <c r="D89" s="99">
        <v>34</v>
      </c>
      <c r="E89" s="8"/>
      <c r="F89" s="165"/>
      <c r="G89" s="165"/>
      <c r="H89" s="165"/>
      <c r="I89" s="165"/>
      <c r="J89" s="165"/>
      <c r="K89" s="165"/>
      <c r="L89" s="165"/>
      <c r="M89" s="165"/>
      <c r="N89" s="165"/>
      <c r="O89" s="116"/>
      <c r="P89" s="116"/>
      <c r="T89" s="2"/>
    </row>
    <row r="90" spans="1:20" ht="19.8" customHeight="1">
      <c r="A90" s="171" t="s">
        <v>0</v>
      </c>
      <c r="B90" s="174" t="s">
        <v>19</v>
      </c>
      <c r="C90" s="357" t="s">
        <v>8</v>
      </c>
      <c r="D90" s="177" t="s">
        <v>9</v>
      </c>
      <c r="E90" s="360" t="s">
        <v>11</v>
      </c>
      <c r="F90" s="361"/>
      <c r="G90" s="360" t="s">
        <v>13</v>
      </c>
      <c r="H90" s="361"/>
      <c r="I90" s="186" t="s">
        <v>16</v>
      </c>
      <c r="J90" s="186" t="s">
        <v>39</v>
      </c>
      <c r="K90" s="186" t="s">
        <v>40</v>
      </c>
      <c r="L90" s="186" t="s">
        <v>17</v>
      </c>
      <c r="M90" s="186" t="s">
        <v>50</v>
      </c>
      <c r="N90" s="171" t="s">
        <v>18</v>
      </c>
      <c r="O90" s="118"/>
    </row>
    <row r="91" spans="1:20" ht="19.8" customHeight="1">
      <c r="A91" s="172"/>
      <c r="B91" s="175"/>
      <c r="C91" s="358"/>
      <c r="D91" s="178"/>
      <c r="E91" s="362"/>
      <c r="F91" s="363"/>
      <c r="G91" s="362"/>
      <c r="H91" s="363"/>
      <c r="I91" s="187"/>
      <c r="J91" s="187"/>
      <c r="K91" s="187"/>
      <c r="L91" s="187"/>
      <c r="M91" s="187"/>
      <c r="N91" s="172"/>
      <c r="O91" s="120"/>
    </row>
    <row r="92" spans="1:20" ht="19.8" customHeight="1">
      <c r="A92" s="172"/>
      <c r="B92" s="175"/>
      <c r="C92" s="358"/>
      <c r="D92" s="178"/>
      <c r="E92" s="186" t="s">
        <v>10</v>
      </c>
      <c r="F92" s="186" t="s">
        <v>12</v>
      </c>
      <c r="G92" s="186" t="s">
        <v>161</v>
      </c>
      <c r="H92" s="186" t="s">
        <v>15</v>
      </c>
      <c r="I92" s="187"/>
      <c r="J92" s="187"/>
      <c r="K92" s="187"/>
      <c r="L92" s="187"/>
      <c r="M92" s="187"/>
      <c r="N92" s="172"/>
      <c r="O92" s="120"/>
    </row>
    <row r="93" spans="1:20" ht="19.8" customHeight="1">
      <c r="A93" s="173"/>
      <c r="B93" s="176"/>
      <c r="C93" s="359"/>
      <c r="D93" s="179"/>
      <c r="E93" s="188"/>
      <c r="F93" s="188"/>
      <c r="G93" s="188"/>
      <c r="H93" s="188"/>
      <c r="I93" s="188"/>
      <c r="J93" s="188"/>
      <c r="K93" s="188"/>
      <c r="L93" s="188"/>
      <c r="M93" s="188"/>
      <c r="N93" s="173"/>
      <c r="O93" s="120"/>
    </row>
    <row r="94" spans="1:20" ht="19.8" customHeight="1">
      <c r="A94" s="249" t="s">
        <v>38</v>
      </c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1"/>
      <c r="O94" s="120"/>
    </row>
    <row r="95" spans="1:20" s="2" customFormat="1" ht="19.2" customHeight="1">
      <c r="A95" s="9">
        <v>1</v>
      </c>
      <c r="B95" s="10" t="s">
        <v>2</v>
      </c>
      <c r="C95" s="18">
        <f>L95/100*100</f>
        <v>40</v>
      </c>
      <c r="D95" s="19">
        <f>C95/100*60</f>
        <v>24</v>
      </c>
      <c r="E95" s="20">
        <f>C95/100*15</f>
        <v>6</v>
      </c>
      <c r="F95" s="20"/>
      <c r="G95" s="20"/>
      <c r="H95" s="20"/>
      <c r="I95" s="20"/>
      <c r="J95" s="22">
        <f>C95/100*387</f>
        <v>154.80000000000001</v>
      </c>
      <c r="K95" s="22">
        <f>C95/100*0.09</f>
        <v>3.5999999999999997E-2</v>
      </c>
      <c r="L95" s="105">
        <v>40</v>
      </c>
      <c r="M95" s="56">
        <v>20</v>
      </c>
      <c r="N95" s="23">
        <f>L95*M95</f>
        <v>800</v>
      </c>
      <c r="O95" s="122"/>
      <c r="P95" s="113"/>
    </row>
    <row r="96" spans="1:20" s="2" customFormat="1" ht="19.2" customHeight="1">
      <c r="A96" s="9">
        <v>2</v>
      </c>
      <c r="B96" s="115" t="s">
        <v>115</v>
      </c>
      <c r="C96" s="18">
        <f>L96/100*100</f>
        <v>180</v>
      </c>
      <c r="D96" s="19">
        <f>C96/100*899</f>
        <v>1618.2</v>
      </c>
      <c r="E96" s="20"/>
      <c r="F96" s="20"/>
      <c r="G96" s="93">
        <f>C96/100*100</f>
        <v>180</v>
      </c>
      <c r="H96" s="92"/>
      <c r="I96" s="20"/>
      <c r="J96" s="22"/>
      <c r="K96" s="22"/>
      <c r="L96" s="105">
        <v>180</v>
      </c>
      <c r="M96" s="56">
        <v>68</v>
      </c>
      <c r="N96" s="23">
        <f t="shared" ref="N96:N102" si="5">L96*M96</f>
        <v>12240</v>
      </c>
      <c r="O96" s="122"/>
      <c r="P96" s="113"/>
    </row>
    <row r="97" spans="1:23" s="2" customFormat="1" ht="19.2" customHeight="1">
      <c r="A97" s="9">
        <v>3</v>
      </c>
      <c r="B97" s="5" t="s">
        <v>1</v>
      </c>
      <c r="C97" s="18">
        <f>L97/100*100</f>
        <v>1462</v>
      </c>
      <c r="D97" s="19">
        <f>C97/100*344</f>
        <v>5029.28</v>
      </c>
      <c r="E97" s="20"/>
      <c r="F97" s="92">
        <f>C97/100*7.9</f>
        <v>115.498</v>
      </c>
      <c r="G97" s="20"/>
      <c r="H97" s="20">
        <f>C97/100*1</f>
        <v>14.62</v>
      </c>
      <c r="I97" s="92">
        <f>C97/100*75.9</f>
        <v>1109.6580000000001</v>
      </c>
      <c r="J97" s="22">
        <f>C97/100*30</f>
        <v>438.59999999999997</v>
      </c>
      <c r="K97" s="22">
        <f>C97/100*0.1</f>
        <v>1.462</v>
      </c>
      <c r="L97" s="105">
        <v>1462</v>
      </c>
      <c r="M97" s="56">
        <v>18</v>
      </c>
      <c r="N97" s="23">
        <f t="shared" si="5"/>
        <v>26316</v>
      </c>
      <c r="O97" s="122"/>
      <c r="P97" s="113"/>
    </row>
    <row r="98" spans="1:23" s="2" customFormat="1" ht="19.2" customHeight="1">
      <c r="A98" s="9">
        <v>4</v>
      </c>
      <c r="B98" s="5" t="s">
        <v>61</v>
      </c>
      <c r="C98" s="18">
        <f>L98/100*48</f>
        <v>652.79999999999995</v>
      </c>
      <c r="D98" s="19">
        <f>C98/100*199</f>
        <v>1299.0719999999999</v>
      </c>
      <c r="E98" s="92">
        <f>C98/100*20.3</f>
        <v>132.51839999999999</v>
      </c>
      <c r="F98" s="92"/>
      <c r="G98" s="92">
        <f>C98/100*13.1</f>
        <v>85.516799999999989</v>
      </c>
      <c r="H98" s="20"/>
      <c r="I98" s="20"/>
      <c r="J98" s="22">
        <f>C98/100*12</f>
        <v>78.335999999999999</v>
      </c>
      <c r="K98" s="22">
        <f>C98/100*0.15</f>
        <v>0.97919999999999985</v>
      </c>
      <c r="L98" s="105">
        <v>1360</v>
      </c>
      <c r="M98" s="21">
        <v>84</v>
      </c>
      <c r="N98" s="23">
        <f t="shared" si="5"/>
        <v>114240</v>
      </c>
      <c r="O98" s="122"/>
      <c r="P98" s="113"/>
      <c r="Q98" s="3"/>
      <c r="R98" s="3"/>
      <c r="S98" s="4"/>
    </row>
    <row r="99" spans="1:23" s="2" customFormat="1" ht="19.2" customHeight="1">
      <c r="A99" s="9">
        <v>5</v>
      </c>
      <c r="B99" s="60" t="s">
        <v>155</v>
      </c>
      <c r="C99" s="18">
        <f>L99/100*89</f>
        <v>1121.3999999999999</v>
      </c>
      <c r="D99" s="19">
        <f>C99/100*154</f>
        <v>1726.9559999999997</v>
      </c>
      <c r="E99" s="92">
        <f>C99/100*13.1</f>
        <v>146.90339999999998</v>
      </c>
      <c r="F99" s="20"/>
      <c r="G99" s="20">
        <f>C99/100*8.3</f>
        <v>93.0762</v>
      </c>
      <c r="H99" s="20"/>
      <c r="I99" s="20">
        <f>C99/100*0.4</f>
        <v>4.4855999999999998</v>
      </c>
      <c r="J99" s="62">
        <f>C99/100*64</f>
        <v>717.69599999999991</v>
      </c>
      <c r="K99" s="22">
        <f>C99/100*0.13</f>
        <v>1.4578199999999999</v>
      </c>
      <c r="L99" s="21">
        <v>1260</v>
      </c>
      <c r="M99" s="39">
        <v>82</v>
      </c>
      <c r="N99" s="151">
        <f t="shared" si="5"/>
        <v>103320</v>
      </c>
      <c r="O99" s="122"/>
      <c r="P99" s="113"/>
    </row>
    <row r="100" spans="1:23" s="2" customFormat="1" ht="19.2" customHeight="1">
      <c r="A100" s="9">
        <v>6</v>
      </c>
      <c r="B100" s="5" t="s">
        <v>112</v>
      </c>
      <c r="C100" s="18">
        <f>L100/100*100</f>
        <v>30</v>
      </c>
      <c r="D100" s="19">
        <f>C100/100*247</f>
        <v>74.099999999999994</v>
      </c>
      <c r="E100" s="24"/>
      <c r="F100" s="24">
        <f>C100/100*17.5</f>
        <v>5.25</v>
      </c>
      <c r="G100" s="24"/>
      <c r="H100" s="24">
        <f>C100/100*1.6</f>
        <v>0.48</v>
      </c>
      <c r="I100" s="24">
        <f>C100/100*39.2</f>
        <v>11.76</v>
      </c>
      <c r="J100" s="52"/>
      <c r="K100" s="52"/>
      <c r="L100" s="374">
        <v>30</v>
      </c>
      <c r="M100" s="56">
        <v>50</v>
      </c>
      <c r="N100" s="23">
        <f t="shared" si="5"/>
        <v>1500</v>
      </c>
      <c r="O100" s="122"/>
      <c r="P100" s="113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18">
        <f>L101/100*95</f>
        <v>323</v>
      </c>
      <c r="D101" s="19">
        <f>C101/100*20</f>
        <v>64.599999999999994</v>
      </c>
      <c r="E101" s="20"/>
      <c r="F101" s="20">
        <f>C101/100*0.6</f>
        <v>1.9379999999999999</v>
      </c>
      <c r="G101" s="20"/>
      <c r="H101" s="20">
        <f>C101/100*0.2</f>
        <v>0.64600000000000002</v>
      </c>
      <c r="I101" s="20">
        <f>C101/100*4</f>
        <v>12.92</v>
      </c>
      <c r="J101" s="22">
        <f>C101/100*12</f>
        <v>38.76</v>
      </c>
      <c r="K101" s="19">
        <f>C101/100*0.04</f>
        <v>0.12920000000000001</v>
      </c>
      <c r="L101" s="105">
        <v>340</v>
      </c>
      <c r="M101" s="58">
        <v>30</v>
      </c>
      <c r="N101" s="23">
        <f t="shared" si="5"/>
        <v>10200</v>
      </c>
      <c r="O101" s="124"/>
      <c r="P101" s="113"/>
      <c r="Q101" s="3"/>
      <c r="R101" s="3"/>
      <c r="S101" s="4"/>
    </row>
    <row r="102" spans="1:23" s="2" customFormat="1" ht="19.2" customHeight="1">
      <c r="A102" s="9">
        <v>8</v>
      </c>
      <c r="B102" s="5" t="s">
        <v>157</v>
      </c>
      <c r="C102" s="18">
        <f>L102/100*75</f>
        <v>712.5</v>
      </c>
      <c r="D102" s="19">
        <f>C102/100*17</f>
        <v>121.125</v>
      </c>
      <c r="E102" s="20"/>
      <c r="F102" s="20">
        <f>C102/100*1.4</f>
        <v>9.9749999999999996</v>
      </c>
      <c r="G102" s="20"/>
      <c r="H102" s="20">
        <f>C102/100*0.2</f>
        <v>1.425</v>
      </c>
      <c r="I102" s="20">
        <f>C102/100*2.4</f>
        <v>17.099999999999998</v>
      </c>
      <c r="J102" s="20">
        <f>C102/100*50</f>
        <v>356.25</v>
      </c>
      <c r="K102" s="20">
        <f>C102/100*0.09</f>
        <v>0.64124999999999999</v>
      </c>
      <c r="L102" s="105">
        <v>950</v>
      </c>
      <c r="M102" s="56">
        <v>18</v>
      </c>
      <c r="N102" s="23">
        <f t="shared" si="5"/>
        <v>17100</v>
      </c>
      <c r="O102" s="122"/>
      <c r="P102" s="113"/>
    </row>
    <row r="103" spans="1:23" s="2" customFormat="1" ht="19.2" customHeight="1">
      <c r="A103" s="9">
        <v>9</v>
      </c>
      <c r="B103" s="6" t="s">
        <v>104</v>
      </c>
      <c r="C103" s="18"/>
      <c r="D103" s="19"/>
      <c r="E103" s="20"/>
      <c r="F103" s="20"/>
      <c r="G103" s="20"/>
      <c r="H103" s="20"/>
      <c r="I103" s="20"/>
      <c r="J103" s="22"/>
      <c r="K103" s="22"/>
      <c r="L103" s="21"/>
      <c r="M103" s="21"/>
      <c r="N103" s="23">
        <v>2250</v>
      </c>
      <c r="O103" s="122"/>
      <c r="P103" s="113"/>
    </row>
    <row r="104" spans="1:23" s="2" customFormat="1" ht="19.2" customHeight="1">
      <c r="A104" s="16" t="s">
        <v>99</v>
      </c>
      <c r="B104" s="17"/>
      <c r="C104" s="26"/>
      <c r="D104" s="27">
        <f>SUM(D95:D103)</f>
        <v>9957.3330000000005</v>
      </c>
      <c r="E104" s="31"/>
      <c r="F104" s="31"/>
      <c r="G104" s="31"/>
      <c r="H104" s="31"/>
      <c r="I104" s="31"/>
      <c r="J104" s="31"/>
      <c r="K104" s="31"/>
      <c r="L104" s="32"/>
      <c r="M104" s="247"/>
      <c r="N104" s="272">
        <f>SUM(N95:N103)</f>
        <v>287966</v>
      </c>
      <c r="O104" s="122"/>
      <c r="P104" s="113"/>
    </row>
    <row r="105" spans="1:23" ht="19.2" customHeight="1">
      <c r="A105" s="16" t="s">
        <v>36</v>
      </c>
      <c r="B105" s="17"/>
      <c r="C105" s="33"/>
      <c r="D105" s="34">
        <f>D104/D89</f>
        <v>292.86273529411767</v>
      </c>
      <c r="E105" s="34"/>
      <c r="F105" s="34"/>
      <c r="G105" s="34"/>
      <c r="H105" s="34"/>
      <c r="I105" s="34"/>
      <c r="J105" s="34"/>
      <c r="K105" s="34"/>
      <c r="L105" s="35"/>
      <c r="M105" s="248"/>
      <c r="N105" s="273"/>
      <c r="O105" s="126"/>
      <c r="P105" s="113"/>
      <c r="Q105" s="2"/>
      <c r="R105" s="2"/>
      <c r="S105" s="2"/>
      <c r="T105" s="2"/>
      <c r="U105" s="2"/>
      <c r="V105" s="2"/>
    </row>
    <row r="106" spans="1:23" ht="19.2" customHeight="1">
      <c r="A106" s="222" t="s">
        <v>46</v>
      </c>
      <c r="B106" s="223"/>
      <c r="C106" s="375" t="s">
        <v>122</v>
      </c>
      <c r="D106" s="15" t="s">
        <v>41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62"/>
      <c r="O106" s="126"/>
      <c r="P106" s="113"/>
      <c r="Q106" s="2"/>
      <c r="R106" s="2"/>
      <c r="S106" s="2"/>
      <c r="T106" s="2"/>
      <c r="U106" s="2"/>
      <c r="V106" s="2"/>
      <c r="W106" s="2"/>
    </row>
    <row r="107" spans="1:23" ht="19.2" customHeight="1">
      <c r="A107" s="224"/>
      <c r="B107" s="225"/>
      <c r="C107" s="57" t="s">
        <v>53</v>
      </c>
      <c r="D107" s="15">
        <f>D105*100/930</f>
        <v>31.490616698292222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62"/>
      <c r="O107" s="126"/>
      <c r="P107" s="113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59" t="s">
        <v>37</v>
      </c>
      <c r="B108" s="259"/>
      <c r="C108" s="40"/>
      <c r="D108" s="41"/>
      <c r="E108" s="42"/>
      <c r="F108" s="42"/>
      <c r="G108" s="42"/>
      <c r="H108" s="42"/>
      <c r="I108" s="42"/>
      <c r="J108" s="42"/>
      <c r="K108" s="42"/>
      <c r="L108" s="43"/>
      <c r="M108" s="43"/>
      <c r="N108" s="44"/>
      <c r="O108" s="122"/>
      <c r="P108" s="113"/>
    </row>
    <row r="109" spans="1:23" s="2" customFormat="1" ht="19.2" customHeight="1">
      <c r="A109" s="9">
        <v>1</v>
      </c>
      <c r="B109" s="10" t="s">
        <v>2</v>
      </c>
      <c r="C109" s="18">
        <f t="shared" ref="C109:C114" si="6">L109/100*100</f>
        <v>40</v>
      </c>
      <c r="D109" s="19">
        <f>C109/100*60</f>
        <v>24</v>
      </c>
      <c r="E109" s="20">
        <f>C109/100*15</f>
        <v>6</v>
      </c>
      <c r="F109" s="20"/>
      <c r="G109" s="20"/>
      <c r="H109" s="20"/>
      <c r="I109" s="20"/>
      <c r="J109" s="22">
        <f>C109/100*387</f>
        <v>154.80000000000001</v>
      </c>
      <c r="K109" s="22">
        <f>C109/100*0.09</f>
        <v>3.5999999999999997E-2</v>
      </c>
      <c r="L109" s="105">
        <v>40</v>
      </c>
      <c r="M109" s="56">
        <v>20</v>
      </c>
      <c r="N109" s="23">
        <f>L109*M109</f>
        <v>800</v>
      </c>
      <c r="O109" s="122"/>
      <c r="P109" s="113"/>
    </row>
    <row r="110" spans="1:23" s="2" customFormat="1" ht="19.2" customHeight="1">
      <c r="A110" s="9">
        <v>2</v>
      </c>
      <c r="B110" s="115" t="s">
        <v>115</v>
      </c>
      <c r="C110" s="18">
        <f t="shared" si="6"/>
        <v>180</v>
      </c>
      <c r="D110" s="19">
        <f>C110/100*899</f>
        <v>1618.2</v>
      </c>
      <c r="E110" s="20"/>
      <c r="F110" s="20"/>
      <c r="G110" s="92">
        <f>C110/100*100</f>
        <v>180</v>
      </c>
      <c r="H110" s="20"/>
      <c r="I110" s="20"/>
      <c r="J110" s="20"/>
      <c r="K110" s="20"/>
      <c r="L110" s="105">
        <v>180</v>
      </c>
      <c r="M110" s="112">
        <v>68</v>
      </c>
      <c r="N110" s="23">
        <f t="shared" ref="N110:N113" si="7">L110*M110</f>
        <v>12240</v>
      </c>
      <c r="O110" s="121"/>
      <c r="P110" s="113"/>
    </row>
    <row r="111" spans="1:23" s="2" customFormat="1" ht="19.2" customHeight="1">
      <c r="A111" s="9">
        <v>3</v>
      </c>
      <c r="B111" s="131" t="s">
        <v>119</v>
      </c>
      <c r="C111" s="18">
        <f t="shared" si="6"/>
        <v>90</v>
      </c>
      <c r="D111" s="93">
        <f>C111/100*900</f>
        <v>810</v>
      </c>
      <c r="E111" s="20"/>
      <c r="F111" s="20"/>
      <c r="G111" s="92"/>
      <c r="H111" s="20">
        <f>C111/100*100</f>
        <v>90</v>
      </c>
      <c r="I111" s="20"/>
      <c r="J111" s="20"/>
      <c r="K111" s="20"/>
      <c r="L111" s="105">
        <v>90</v>
      </c>
      <c r="M111" s="56">
        <v>63.5</v>
      </c>
      <c r="N111" s="23">
        <f t="shared" si="7"/>
        <v>5715</v>
      </c>
      <c r="O111" s="121"/>
      <c r="P111" s="113"/>
    </row>
    <row r="112" spans="1:23" s="2" customFormat="1" ht="19.2" customHeight="1">
      <c r="A112" s="9">
        <v>4</v>
      </c>
      <c r="B112" s="5" t="s">
        <v>1</v>
      </c>
      <c r="C112" s="18">
        <f t="shared" si="6"/>
        <v>816</v>
      </c>
      <c r="D112" s="19">
        <f>C112/100*344</f>
        <v>2807.04</v>
      </c>
      <c r="E112" s="20"/>
      <c r="F112" s="20">
        <f>C112/100*7.9</f>
        <v>64.463999999999999</v>
      </c>
      <c r="G112" s="20"/>
      <c r="H112" s="20">
        <f>C112/100*1</f>
        <v>8.16</v>
      </c>
      <c r="I112" s="20">
        <f>C112/100*75.9</f>
        <v>619.34400000000005</v>
      </c>
      <c r="J112" s="22">
        <f>C112/100*30</f>
        <v>244.8</v>
      </c>
      <c r="K112" s="22">
        <f>C112/100*0.1</f>
        <v>0.81600000000000006</v>
      </c>
      <c r="L112" s="105">
        <v>816</v>
      </c>
      <c r="M112" s="56">
        <v>18</v>
      </c>
      <c r="N112" s="23">
        <f t="shared" si="7"/>
        <v>14688</v>
      </c>
      <c r="O112" s="122"/>
      <c r="P112" s="113"/>
    </row>
    <row r="113" spans="1:23" s="2" customFormat="1" ht="19.2" customHeight="1">
      <c r="A113" s="9">
        <v>5</v>
      </c>
      <c r="B113" s="5" t="s">
        <v>64</v>
      </c>
      <c r="C113" s="18">
        <f t="shared" si="6"/>
        <v>550</v>
      </c>
      <c r="D113" s="19">
        <f>C113/100*344</f>
        <v>1892</v>
      </c>
      <c r="E113" s="20"/>
      <c r="F113" s="20">
        <f>C113/100*8.6</f>
        <v>47.3</v>
      </c>
      <c r="G113" s="20"/>
      <c r="H113" s="20">
        <f>C113/100*1.5</f>
        <v>8.25</v>
      </c>
      <c r="I113" s="20">
        <f>C113/100*74.5</f>
        <v>409.75</v>
      </c>
      <c r="J113" s="20">
        <f>C113/100*32</f>
        <v>176</v>
      </c>
      <c r="K113" s="22">
        <f>C113/100*0.14</f>
        <v>0.77</v>
      </c>
      <c r="L113" s="105">
        <v>550</v>
      </c>
      <c r="M113" s="56">
        <v>30</v>
      </c>
      <c r="N113" s="23">
        <f t="shared" si="7"/>
        <v>16500</v>
      </c>
      <c r="O113" s="122"/>
      <c r="P113" s="123"/>
    </row>
    <row r="114" spans="1:23" s="2" customFormat="1" ht="19.2" customHeight="1">
      <c r="A114" s="9">
        <v>6</v>
      </c>
      <c r="B114" s="5" t="s">
        <v>158</v>
      </c>
      <c r="C114" s="18">
        <f t="shared" si="6"/>
        <v>70</v>
      </c>
      <c r="D114" s="19">
        <f>C114/100*334</f>
        <v>233.79999999999998</v>
      </c>
      <c r="E114" s="20"/>
      <c r="F114" s="20">
        <f>C114/100*20</f>
        <v>14</v>
      </c>
      <c r="G114" s="20"/>
      <c r="H114" s="20">
        <f>C114/100*2.4</f>
        <v>1.68</v>
      </c>
      <c r="I114" s="20">
        <f>C114/100*58</f>
        <v>40.599999999999994</v>
      </c>
      <c r="J114" s="22">
        <f>C114/100*89</f>
        <v>62.3</v>
      </c>
      <c r="K114" s="22">
        <f>C114/100*0.64</f>
        <v>0.44799999999999995</v>
      </c>
      <c r="L114" s="105">
        <v>70</v>
      </c>
      <c r="M114" s="56">
        <v>190</v>
      </c>
      <c r="N114" s="23">
        <f>L114*M114</f>
        <v>13300</v>
      </c>
      <c r="O114" s="122"/>
      <c r="P114" s="113"/>
    </row>
    <row r="115" spans="1:23" s="2" customFormat="1" ht="16.2" customHeight="1">
      <c r="A115" s="9">
        <v>7</v>
      </c>
      <c r="B115" s="5" t="s">
        <v>4</v>
      </c>
      <c r="C115" s="18">
        <f>L115/100*98.5</f>
        <v>512.20000000000005</v>
      </c>
      <c r="D115" s="19">
        <f>C115/100*39</f>
        <v>199.75800000000004</v>
      </c>
      <c r="E115" s="24"/>
      <c r="F115" s="24">
        <f>C115/100*1.5</f>
        <v>7.6830000000000016</v>
      </c>
      <c r="G115" s="24"/>
      <c r="H115" s="24">
        <f>C115/100*0.2</f>
        <v>1.0244000000000002</v>
      </c>
      <c r="I115" s="24">
        <f>C115/100*7.8</f>
        <v>39.951600000000006</v>
      </c>
      <c r="J115" s="24">
        <f>C115/100*43</f>
        <v>220.24600000000004</v>
      </c>
      <c r="K115" s="24">
        <f>C115/100*0.06</f>
        <v>0.30732000000000004</v>
      </c>
      <c r="L115" s="374">
        <v>520</v>
      </c>
      <c r="M115" s="21">
        <v>17</v>
      </c>
      <c r="N115" s="103">
        <f t="shared" ref="N115:N118" si="8">L115*M115</f>
        <v>8840</v>
      </c>
      <c r="O115" s="122"/>
      <c r="P115" s="113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18">
        <f>L116/100*98</f>
        <v>509.6</v>
      </c>
      <c r="D116" s="19">
        <f>C116/100*118</f>
        <v>601.32799999999997</v>
      </c>
      <c r="E116" s="92">
        <f>C116/100*21</f>
        <v>107.01600000000001</v>
      </c>
      <c r="F116" s="20"/>
      <c r="G116" s="20">
        <f>C116/100*3.8</f>
        <v>19.364799999999999</v>
      </c>
      <c r="H116" s="20"/>
      <c r="I116" s="20"/>
      <c r="J116" s="20">
        <f>C116/100*12</f>
        <v>61.152000000000001</v>
      </c>
      <c r="K116" s="20">
        <f>C116/100*0.1</f>
        <v>0.50960000000000005</v>
      </c>
      <c r="L116" s="105">
        <v>520</v>
      </c>
      <c r="M116" s="111">
        <v>250</v>
      </c>
      <c r="N116" s="103">
        <f t="shared" si="8"/>
        <v>130000</v>
      </c>
      <c r="O116" s="122"/>
      <c r="P116" s="113"/>
    </row>
    <row r="117" spans="1:23" s="2" customFormat="1" ht="18.600000000000001" customHeight="1">
      <c r="A117" s="9">
        <v>9</v>
      </c>
      <c r="B117" s="5" t="s">
        <v>61</v>
      </c>
      <c r="C117" s="18">
        <f>L117/100*48</f>
        <v>590.40000000000009</v>
      </c>
      <c r="D117" s="19">
        <f>C117/100*199</f>
        <v>1174.8960000000002</v>
      </c>
      <c r="E117" s="92">
        <f>C117/100*20.3</f>
        <v>119.85120000000002</v>
      </c>
      <c r="F117" s="20"/>
      <c r="G117" s="20">
        <f>C117/100*13.1</f>
        <v>77.342400000000012</v>
      </c>
      <c r="H117" s="20"/>
      <c r="I117" s="20"/>
      <c r="J117" s="22">
        <f>C117/100*12</f>
        <v>70.848000000000013</v>
      </c>
      <c r="K117" s="22">
        <f>C117/100*0.15</f>
        <v>0.88560000000000005</v>
      </c>
      <c r="L117" s="105">
        <v>1230</v>
      </c>
      <c r="M117" s="105">
        <v>84</v>
      </c>
      <c r="N117" s="23">
        <f t="shared" si="8"/>
        <v>103320</v>
      </c>
      <c r="O117" s="122"/>
      <c r="P117" s="113"/>
      <c r="Q117" s="3"/>
      <c r="R117" s="3"/>
      <c r="S117" s="4"/>
    </row>
    <row r="118" spans="1:23" s="2" customFormat="1" ht="19.2" customHeight="1">
      <c r="A118" s="9">
        <v>10</v>
      </c>
      <c r="B118" s="5" t="s">
        <v>112</v>
      </c>
      <c r="C118" s="18">
        <f>L118/100*100</f>
        <v>30</v>
      </c>
      <c r="D118" s="19">
        <f>C118/100*247</f>
        <v>74.099999999999994</v>
      </c>
      <c r="E118" s="24"/>
      <c r="F118" s="24">
        <f>C118/100*17.5</f>
        <v>5.25</v>
      </c>
      <c r="G118" s="24"/>
      <c r="H118" s="24">
        <f>C118/100*1.6</f>
        <v>0.48</v>
      </c>
      <c r="I118" s="24">
        <f>C118/100*39.2</f>
        <v>11.76</v>
      </c>
      <c r="J118" s="52"/>
      <c r="K118" s="52"/>
      <c r="L118" s="374">
        <v>30</v>
      </c>
      <c r="M118" s="56">
        <v>50</v>
      </c>
      <c r="N118" s="23">
        <f t="shared" si="8"/>
        <v>1500</v>
      </c>
      <c r="O118" s="122"/>
      <c r="P118" s="113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104</v>
      </c>
      <c r="C119" s="18"/>
      <c r="D119" s="19"/>
      <c r="E119" s="20"/>
      <c r="F119" s="20"/>
      <c r="G119" s="20"/>
      <c r="H119" s="20"/>
      <c r="I119" s="20"/>
      <c r="J119" s="22"/>
      <c r="K119" s="22"/>
      <c r="L119" s="21"/>
      <c r="M119" s="21"/>
      <c r="N119" s="23">
        <v>2250</v>
      </c>
      <c r="O119" s="122"/>
      <c r="P119" s="113"/>
      <c r="R119" s="150"/>
    </row>
    <row r="120" spans="1:23" s="2" customFormat="1" ht="19.2" customHeight="1">
      <c r="A120" s="16" t="s">
        <v>100</v>
      </c>
      <c r="B120" s="17"/>
      <c r="C120" s="26"/>
      <c r="D120" s="27">
        <f>SUM(D109:D119)</f>
        <v>9435.1220000000012</v>
      </c>
      <c r="E120" s="31"/>
      <c r="F120" s="31"/>
      <c r="G120" s="31"/>
      <c r="H120" s="31"/>
      <c r="I120" s="31"/>
      <c r="J120" s="31"/>
      <c r="K120" s="31"/>
      <c r="L120" s="32"/>
      <c r="M120" s="247"/>
      <c r="N120" s="272">
        <f>SUM(N109:N119)</f>
        <v>309153</v>
      </c>
      <c r="O120" s="122"/>
      <c r="P120" s="113"/>
    </row>
    <row r="121" spans="1:23" ht="19.2" customHeight="1">
      <c r="A121" s="16" t="s">
        <v>35</v>
      </c>
      <c r="B121" s="17"/>
      <c r="C121" s="45"/>
      <c r="D121" s="36">
        <f>D120/D89</f>
        <v>277.50358823529416</v>
      </c>
      <c r="E121" s="36"/>
      <c r="F121" s="36"/>
      <c r="G121" s="36"/>
      <c r="H121" s="36"/>
      <c r="I121" s="36"/>
      <c r="J121" s="36"/>
      <c r="K121" s="36"/>
      <c r="L121" s="46"/>
      <c r="M121" s="248"/>
      <c r="N121" s="283"/>
      <c r="O121" s="126"/>
      <c r="P121" s="113"/>
      <c r="Q121" s="2"/>
      <c r="R121" s="2"/>
      <c r="S121" s="150"/>
      <c r="T121" s="2"/>
      <c r="U121" s="2"/>
      <c r="V121" s="2"/>
    </row>
    <row r="122" spans="1:23" ht="19.2" customHeight="1">
      <c r="A122" s="222" t="s">
        <v>47</v>
      </c>
      <c r="B122" s="223"/>
      <c r="C122" s="375" t="s">
        <v>122</v>
      </c>
      <c r="D122" s="15" t="s">
        <v>42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62"/>
      <c r="O122" s="126"/>
      <c r="P122" s="113"/>
      <c r="Q122" s="2"/>
      <c r="R122" s="2"/>
      <c r="S122" s="2"/>
      <c r="T122" s="2"/>
      <c r="U122" s="2"/>
      <c r="V122" s="2"/>
      <c r="W122" s="2"/>
    </row>
    <row r="123" spans="1:23" ht="19.2" customHeight="1">
      <c r="A123" s="224"/>
      <c r="B123" s="225"/>
      <c r="C123" s="57" t="s">
        <v>53</v>
      </c>
      <c r="D123" s="15">
        <f>D121*100/930</f>
        <v>29.839095509171415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62"/>
      <c r="O123" s="126"/>
      <c r="P123" s="113"/>
      <c r="Q123" s="2"/>
      <c r="R123" s="2"/>
      <c r="S123" s="2"/>
      <c r="T123" s="2"/>
      <c r="U123" s="2"/>
      <c r="V123" s="2"/>
      <c r="W123" s="2"/>
    </row>
    <row r="124" spans="1:23" ht="19.2" customHeight="1">
      <c r="A124" s="259" t="s">
        <v>34</v>
      </c>
      <c r="B124" s="259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126"/>
      <c r="P124" s="113"/>
      <c r="Q124" s="2"/>
      <c r="R124" s="2"/>
      <c r="S124" s="2"/>
      <c r="T124" s="2"/>
      <c r="U124" s="2"/>
      <c r="V124" s="2"/>
    </row>
    <row r="125" spans="1:23" s="2" customFormat="1" ht="19.2" customHeight="1">
      <c r="A125" s="82">
        <v>1</v>
      </c>
      <c r="B125" s="136" t="s">
        <v>121</v>
      </c>
      <c r="C125" s="26">
        <f>L125/100*100</f>
        <v>580</v>
      </c>
      <c r="D125" s="83">
        <f>C125/100*487</f>
        <v>2824.6</v>
      </c>
      <c r="E125" s="28"/>
      <c r="F125" s="100">
        <f>C125/100*19.5</f>
        <v>113.1</v>
      </c>
      <c r="G125" s="100"/>
      <c r="H125" s="100">
        <f>C125/100*23.2</f>
        <v>134.56</v>
      </c>
      <c r="I125" s="28">
        <f>C125/100*46</f>
        <v>266.8</v>
      </c>
      <c r="J125" s="100">
        <f>C125/100*680</f>
        <v>3944</v>
      </c>
      <c r="K125" s="28">
        <f>C125/100*0.55</f>
        <v>3.19</v>
      </c>
      <c r="L125" s="29">
        <v>580</v>
      </c>
      <c r="M125" s="137">
        <v>260</v>
      </c>
      <c r="N125" s="84">
        <f t="shared" ref="N125" si="9">L125*M125</f>
        <v>150800</v>
      </c>
      <c r="O125" s="122"/>
      <c r="P125" s="125"/>
    </row>
    <row r="126" spans="1:23" ht="20.399999999999999" customHeight="1">
      <c r="A126" s="171" t="s">
        <v>0</v>
      </c>
      <c r="B126" s="174" t="s">
        <v>19</v>
      </c>
      <c r="C126" s="357" t="s">
        <v>8</v>
      </c>
      <c r="D126" s="177" t="s">
        <v>9</v>
      </c>
      <c r="E126" s="360" t="s">
        <v>11</v>
      </c>
      <c r="F126" s="361"/>
      <c r="G126" s="360" t="s">
        <v>13</v>
      </c>
      <c r="H126" s="361"/>
      <c r="I126" s="186" t="s">
        <v>16</v>
      </c>
      <c r="J126" s="186" t="s">
        <v>39</v>
      </c>
      <c r="K126" s="186" t="s">
        <v>40</v>
      </c>
      <c r="L126" s="186" t="s">
        <v>17</v>
      </c>
      <c r="M126" s="186" t="s">
        <v>50</v>
      </c>
      <c r="N126" s="171" t="s">
        <v>18</v>
      </c>
      <c r="O126" s="118"/>
    </row>
    <row r="127" spans="1:23" ht="20.399999999999999" customHeight="1">
      <c r="A127" s="172"/>
      <c r="B127" s="175"/>
      <c r="C127" s="358"/>
      <c r="D127" s="178"/>
      <c r="E127" s="362"/>
      <c r="F127" s="363"/>
      <c r="G127" s="362"/>
      <c r="H127" s="363"/>
      <c r="I127" s="187"/>
      <c r="J127" s="187"/>
      <c r="K127" s="187"/>
      <c r="L127" s="187"/>
      <c r="M127" s="187"/>
      <c r="N127" s="172"/>
      <c r="O127" s="120"/>
    </row>
    <row r="128" spans="1:23" ht="20.399999999999999" customHeight="1">
      <c r="A128" s="172"/>
      <c r="B128" s="175"/>
      <c r="C128" s="358"/>
      <c r="D128" s="178"/>
      <c r="E128" s="186" t="s">
        <v>10</v>
      </c>
      <c r="F128" s="186" t="s">
        <v>12</v>
      </c>
      <c r="G128" s="186" t="s">
        <v>161</v>
      </c>
      <c r="H128" s="186" t="s">
        <v>15</v>
      </c>
      <c r="I128" s="187"/>
      <c r="J128" s="187"/>
      <c r="K128" s="187"/>
      <c r="L128" s="187"/>
      <c r="M128" s="187"/>
      <c r="N128" s="172"/>
      <c r="O128" s="120"/>
    </row>
    <row r="129" spans="1:23" ht="20.399999999999999" customHeight="1">
      <c r="A129" s="173"/>
      <c r="B129" s="176"/>
      <c r="C129" s="359"/>
      <c r="D129" s="179"/>
      <c r="E129" s="188"/>
      <c r="F129" s="188"/>
      <c r="G129" s="188"/>
      <c r="H129" s="188"/>
      <c r="I129" s="188"/>
      <c r="J129" s="188"/>
      <c r="K129" s="188"/>
      <c r="L129" s="188"/>
      <c r="M129" s="188"/>
      <c r="N129" s="173"/>
      <c r="O129" s="120"/>
    </row>
    <row r="130" spans="1:23" s="2" customFormat="1" ht="21" customHeight="1">
      <c r="A130" s="16" t="s">
        <v>93</v>
      </c>
      <c r="B130" s="17"/>
      <c r="C130" s="26"/>
      <c r="D130" s="27">
        <f>SUM(D124:D125)</f>
        <v>2824.6</v>
      </c>
      <c r="E130" s="31"/>
      <c r="F130" s="31"/>
      <c r="G130" s="31"/>
      <c r="H130" s="31"/>
      <c r="I130" s="31"/>
      <c r="J130" s="63"/>
      <c r="K130" s="31"/>
      <c r="L130" s="32"/>
      <c r="M130" s="247"/>
      <c r="N130" s="272">
        <f>SUM(N124:N125)</f>
        <v>150800</v>
      </c>
      <c r="O130" s="122"/>
      <c r="P130" s="113"/>
    </row>
    <row r="131" spans="1:23" ht="21" customHeight="1">
      <c r="A131" s="16" t="s">
        <v>7</v>
      </c>
      <c r="B131" s="17"/>
      <c r="C131" s="33"/>
      <c r="D131" s="34">
        <f>D130/D89</f>
        <v>83.076470588235296</v>
      </c>
      <c r="E131" s="34"/>
      <c r="F131" s="34"/>
      <c r="G131" s="34"/>
      <c r="H131" s="34"/>
      <c r="I131" s="34"/>
      <c r="J131" s="64"/>
      <c r="K131" s="34"/>
      <c r="L131" s="35"/>
      <c r="M131" s="248"/>
      <c r="N131" s="273"/>
      <c r="O131" s="126"/>
      <c r="P131" s="113"/>
      <c r="Q131" s="2"/>
      <c r="R131" s="2"/>
      <c r="S131" s="2"/>
      <c r="T131" s="2"/>
      <c r="U131" s="2"/>
      <c r="V131" s="2"/>
    </row>
    <row r="132" spans="1:23" ht="21" customHeight="1">
      <c r="A132" s="222" t="s">
        <v>45</v>
      </c>
      <c r="B132" s="223"/>
      <c r="C132" s="375" t="s">
        <v>122</v>
      </c>
      <c r="D132" s="15" t="s">
        <v>43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62"/>
      <c r="O132" s="126"/>
      <c r="P132" s="113"/>
      <c r="Q132" s="2"/>
      <c r="R132" s="2"/>
      <c r="S132" s="2"/>
      <c r="T132" s="2"/>
      <c r="U132" s="2"/>
      <c r="V132" s="2"/>
      <c r="W132" s="2"/>
    </row>
    <row r="133" spans="1:23" ht="21" customHeight="1">
      <c r="A133" s="224"/>
      <c r="B133" s="225"/>
      <c r="C133" s="57" t="s">
        <v>53</v>
      </c>
      <c r="D133" s="15">
        <f>D131*100/930</f>
        <v>8.9329538266919677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62"/>
      <c r="O133" s="126"/>
      <c r="P133" s="113"/>
      <c r="Q133" s="2"/>
      <c r="R133" s="2"/>
      <c r="S133" s="2"/>
      <c r="T133" s="2"/>
      <c r="U133" s="2"/>
      <c r="V133" s="2"/>
      <c r="W133" s="2"/>
    </row>
    <row r="134" spans="1:23" ht="21" customHeight="1">
      <c r="A134" s="203" t="s">
        <v>92</v>
      </c>
      <c r="B134" s="204"/>
      <c r="C134" s="226"/>
      <c r="D134" s="280">
        <f>D104+D120+D130</f>
        <v>22217.055</v>
      </c>
      <c r="E134" s="38">
        <f t="shared" ref="E134:K134" si="10">SUM(E95:E125)</f>
        <v>518.28899999999999</v>
      </c>
      <c r="F134" s="38">
        <f t="shared" si="10"/>
        <v>384.45799999999997</v>
      </c>
      <c r="G134" s="38">
        <f t="shared" si="10"/>
        <v>635.3001999999999</v>
      </c>
      <c r="H134" s="38">
        <f t="shared" si="10"/>
        <v>261.3254</v>
      </c>
      <c r="I134" s="245">
        <f t="shared" si="10"/>
        <v>2544.1292000000003</v>
      </c>
      <c r="J134" s="254">
        <f t="shared" si="10"/>
        <v>6718.5879999999997</v>
      </c>
      <c r="K134" s="254">
        <f t="shared" si="10"/>
        <v>11.66799</v>
      </c>
      <c r="L134" s="152"/>
      <c r="M134" s="152"/>
      <c r="N134" s="355">
        <f>N104+N120+N130</f>
        <v>747919</v>
      </c>
      <c r="U134" s="12"/>
      <c r="V134" s="12"/>
    </row>
    <row r="135" spans="1:23" ht="21" customHeight="1">
      <c r="A135" s="205"/>
      <c r="B135" s="206"/>
      <c r="C135" s="227"/>
      <c r="D135" s="281"/>
      <c r="E135" s="284">
        <f>E134+F134</f>
        <v>902.74699999999996</v>
      </c>
      <c r="F135" s="285"/>
      <c r="G135" s="284">
        <f>G134+H134</f>
        <v>896.62559999999985</v>
      </c>
      <c r="H135" s="285"/>
      <c r="I135" s="246"/>
      <c r="J135" s="255"/>
      <c r="K135" s="255"/>
      <c r="L135" s="153"/>
      <c r="M135" s="153"/>
      <c r="N135" s="356"/>
      <c r="U135" s="12"/>
      <c r="V135" s="12"/>
    </row>
    <row r="136" spans="1:23" ht="21" customHeight="1">
      <c r="A136" s="274" t="s">
        <v>67</v>
      </c>
      <c r="B136" s="275"/>
      <c r="C136" s="276"/>
      <c r="D136" s="102">
        <f>D134/D89</f>
        <v>653.44279411764705</v>
      </c>
      <c r="E136" s="376">
        <f>E134/D89</f>
        <v>15.243794117647058</v>
      </c>
      <c r="F136" s="377">
        <f>F134/D89</f>
        <v>11.307588235294117</v>
      </c>
      <c r="G136" s="376">
        <f>G134/D89</f>
        <v>18.685299999999998</v>
      </c>
      <c r="H136" s="377">
        <f>H134/D89</f>
        <v>7.6860411764705887</v>
      </c>
      <c r="I136" s="201">
        <f>I134/D89</f>
        <v>74.827329411764708</v>
      </c>
      <c r="J136" s="309">
        <f>J134/D89</f>
        <v>197.60552941176471</v>
      </c>
      <c r="K136" s="309">
        <f>K134/D89</f>
        <v>0.34317617647058823</v>
      </c>
      <c r="L136" s="152"/>
      <c r="M136" s="152"/>
      <c r="N136" s="154"/>
      <c r="Q136" s="365"/>
      <c r="R136" s="365"/>
      <c r="S136" s="365"/>
      <c r="T136" s="365"/>
      <c r="U136" s="366"/>
      <c r="V136" s="366"/>
    </row>
    <row r="137" spans="1:23" ht="21" customHeight="1">
      <c r="A137" s="277"/>
      <c r="B137" s="278"/>
      <c r="C137" s="279"/>
      <c r="D137" s="98"/>
      <c r="E137" s="385">
        <f>E136+F136</f>
        <v>26.551382352941175</v>
      </c>
      <c r="F137" s="386"/>
      <c r="G137" s="385">
        <f>G136+H136</f>
        <v>26.371341176470587</v>
      </c>
      <c r="H137" s="386"/>
      <c r="I137" s="202"/>
      <c r="J137" s="309"/>
      <c r="K137" s="309"/>
      <c r="L137" s="155"/>
      <c r="M137" s="155"/>
      <c r="N137" s="156"/>
      <c r="P137" s="127"/>
      <c r="Q137" s="367"/>
      <c r="R137" s="367"/>
      <c r="S137" s="368"/>
      <c r="T137" s="368"/>
      <c r="U137" s="369"/>
      <c r="V137" s="369"/>
    </row>
    <row r="138" spans="1:23" ht="21" customHeight="1">
      <c r="A138" s="219" t="s">
        <v>70</v>
      </c>
      <c r="B138" s="220"/>
      <c r="C138" s="221"/>
      <c r="D138" s="160" t="s">
        <v>28</v>
      </c>
      <c r="E138" s="354" t="s">
        <v>24</v>
      </c>
      <c r="F138" s="354"/>
      <c r="G138" s="354" t="s">
        <v>25</v>
      </c>
      <c r="H138" s="354"/>
      <c r="I138" s="387" t="s">
        <v>26</v>
      </c>
      <c r="J138" s="164">
        <v>500</v>
      </c>
      <c r="K138" s="164">
        <v>0.5</v>
      </c>
      <c r="L138" s="155"/>
      <c r="M138" s="155"/>
      <c r="N138" s="156"/>
      <c r="O138" s="128"/>
    </row>
    <row r="139" spans="1:23" ht="21" customHeight="1">
      <c r="A139" s="192" t="s">
        <v>68</v>
      </c>
      <c r="B139" s="258"/>
      <c r="C139" s="193"/>
      <c r="D139" s="37"/>
      <c r="E139" s="197">
        <f>E137*4.1</f>
        <v>108.8606676470588</v>
      </c>
      <c r="F139" s="198"/>
      <c r="G139" s="197">
        <f>G137*9</f>
        <v>237.34207058823529</v>
      </c>
      <c r="H139" s="198"/>
      <c r="I139" s="66">
        <f>I136*4.1</f>
        <v>306.79205058823527</v>
      </c>
      <c r="J139" s="230"/>
      <c r="K139" s="230"/>
      <c r="L139" s="155"/>
      <c r="M139" s="155"/>
      <c r="N139" s="156"/>
      <c r="O139" s="128"/>
      <c r="P139" s="370"/>
      <c r="Q139" s="371"/>
      <c r="R139" s="371"/>
      <c r="S139" s="371"/>
    </row>
    <row r="140" spans="1:23" ht="21" customHeight="1">
      <c r="A140" s="233" t="s">
        <v>77</v>
      </c>
      <c r="B140" s="234"/>
      <c r="C140" s="192" t="s">
        <v>52</v>
      </c>
      <c r="D140" s="193"/>
      <c r="E140" s="237">
        <f>E139*100/D136</f>
        <v>16.659555913238723</v>
      </c>
      <c r="F140" s="238"/>
      <c r="G140" s="237">
        <f>G139*100/D136</f>
        <v>36.321782522481037</v>
      </c>
      <c r="H140" s="238"/>
      <c r="I140" s="88">
        <f>I139*100/D136</f>
        <v>46.950100812191351</v>
      </c>
      <c r="J140" s="231"/>
      <c r="K140" s="231"/>
      <c r="L140" s="155"/>
      <c r="M140" s="155"/>
      <c r="N140" s="156"/>
      <c r="O140" s="128"/>
      <c r="P140" s="140"/>
      <c r="Q140" s="109"/>
      <c r="R140" s="109"/>
      <c r="S140" s="109"/>
    </row>
    <row r="141" spans="1:23" ht="21" customHeight="1">
      <c r="A141" s="235"/>
      <c r="B141" s="236"/>
      <c r="C141" s="192" t="s">
        <v>69</v>
      </c>
      <c r="D141" s="193"/>
      <c r="E141" s="192" t="s">
        <v>72</v>
      </c>
      <c r="F141" s="193"/>
      <c r="G141" s="192" t="s">
        <v>75</v>
      </c>
      <c r="H141" s="193"/>
      <c r="I141" s="160" t="s">
        <v>76</v>
      </c>
      <c r="J141" s="232"/>
      <c r="K141" s="232"/>
      <c r="L141" s="153"/>
      <c r="M141" s="153"/>
      <c r="N141" s="157"/>
      <c r="O141" s="128"/>
      <c r="P141" s="129"/>
    </row>
    <row r="142" spans="1:23" ht="21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3"/>
      <c r="M142" s="73"/>
      <c r="N142" s="74"/>
      <c r="O142" s="128"/>
    </row>
    <row r="143" spans="1:23" ht="21" customHeight="1">
      <c r="A143" s="240" t="s">
        <v>95</v>
      </c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128"/>
    </row>
    <row r="144" spans="1:23" ht="21" customHeight="1">
      <c r="A144" s="90" t="s">
        <v>96</v>
      </c>
      <c r="B144" s="241" t="s">
        <v>97</v>
      </c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128"/>
    </row>
    <row r="145" spans="1:15" ht="21" customHeight="1">
      <c r="A145" s="91"/>
      <c r="B145" s="211" t="s">
        <v>182</v>
      </c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128"/>
    </row>
    <row r="146" spans="1:15" ht="21" customHeight="1">
      <c r="A146" s="91"/>
      <c r="B146" s="211" t="s">
        <v>183</v>
      </c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128"/>
    </row>
    <row r="147" spans="1:15" ht="21" customHeight="1">
      <c r="A147" s="91"/>
      <c r="B147" s="211" t="s">
        <v>162</v>
      </c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128"/>
    </row>
    <row r="148" spans="1:15" ht="21" customHeight="1">
      <c r="A148" s="69"/>
      <c r="B148" s="212" t="s">
        <v>163</v>
      </c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128"/>
    </row>
    <row r="149" spans="1:15" ht="21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73"/>
      <c r="M149" s="73"/>
      <c r="N149" s="74"/>
      <c r="O149" s="128"/>
    </row>
    <row r="150" spans="1:15" ht="21" customHeight="1">
      <c r="A150" s="210" t="s">
        <v>55</v>
      </c>
      <c r="B150" s="210"/>
      <c r="C150" s="210"/>
      <c r="D150" s="210"/>
      <c r="E150" s="381"/>
      <c r="F150" s="381"/>
      <c r="G150" s="381"/>
      <c r="H150" s="381"/>
      <c r="I150" s="381"/>
      <c r="J150" s="382" t="s">
        <v>32</v>
      </c>
      <c r="K150" s="382"/>
      <c r="L150" s="382"/>
      <c r="M150" s="382"/>
      <c r="N150" s="382"/>
      <c r="O150" s="128"/>
    </row>
    <row r="151" spans="1:15" ht="21" customHeight="1">
      <c r="A151" s="161"/>
      <c r="B151" s="161"/>
      <c r="C151" s="161"/>
      <c r="D151" s="381"/>
      <c r="E151" s="381"/>
      <c r="F151" s="381"/>
      <c r="G151" s="381"/>
      <c r="H151" s="383"/>
      <c r="I151" s="383"/>
      <c r="J151" s="383"/>
      <c r="K151" s="383"/>
      <c r="L151" s="383"/>
      <c r="M151" s="383"/>
      <c r="N151" s="383"/>
      <c r="O151" s="128"/>
    </row>
    <row r="152" spans="1:15" ht="21" customHeight="1">
      <c r="A152" s="161"/>
      <c r="B152" s="161"/>
      <c r="C152" s="161"/>
      <c r="D152" s="381"/>
      <c r="E152" s="381"/>
      <c r="F152" s="381"/>
      <c r="G152" s="381"/>
      <c r="H152" s="383"/>
      <c r="I152" s="383"/>
      <c r="J152" s="383"/>
      <c r="K152" s="383"/>
      <c r="L152" s="383"/>
      <c r="M152" s="383"/>
      <c r="N152" s="383"/>
      <c r="O152" s="128"/>
    </row>
    <row r="153" spans="1:15" ht="21" customHeight="1">
      <c r="A153" s="161"/>
      <c r="B153" s="161"/>
      <c r="C153" s="161"/>
      <c r="D153" s="381"/>
      <c r="E153" s="381"/>
      <c r="F153" s="381"/>
      <c r="G153" s="381"/>
      <c r="H153" s="383"/>
      <c r="I153" s="383"/>
      <c r="J153" s="384" t="s">
        <v>105</v>
      </c>
      <c r="K153" s="384"/>
      <c r="L153" s="384"/>
      <c r="M153" s="384"/>
      <c r="N153" s="384"/>
      <c r="O153" s="128"/>
    </row>
    <row r="154" spans="1:15" ht="21" customHeight="1">
      <c r="A154" s="194" t="s">
        <v>80</v>
      </c>
      <c r="B154" s="194"/>
      <c r="C154" s="194"/>
      <c r="D154" s="194"/>
      <c r="E154" s="381"/>
      <c r="F154" s="381"/>
      <c r="G154" s="381"/>
      <c r="H154" s="383"/>
      <c r="I154" s="383"/>
      <c r="O154" s="128"/>
    </row>
    <row r="156" spans="1:15" ht="21" customHeight="1">
      <c r="J156" s="384" t="s">
        <v>108</v>
      </c>
      <c r="K156" s="384"/>
      <c r="L156" s="384"/>
      <c r="M156" s="384"/>
      <c r="N156" s="384"/>
    </row>
  </sheetData>
  <mergeCells count="201">
    <mergeCell ref="M130:M131"/>
    <mergeCell ref="N130:N131"/>
    <mergeCell ref="A132:B133"/>
    <mergeCell ref="A134:B135"/>
    <mergeCell ref="A154:D154"/>
    <mergeCell ref="J156:N156"/>
    <mergeCell ref="A89:C89"/>
    <mergeCell ref="A90:A93"/>
    <mergeCell ref="B90:B93"/>
    <mergeCell ref="C90:C93"/>
    <mergeCell ref="D90:D93"/>
    <mergeCell ref="E90:F91"/>
    <mergeCell ref="G90:H91"/>
    <mergeCell ref="I90:I93"/>
    <mergeCell ref="J90:J93"/>
    <mergeCell ref="K90:K93"/>
    <mergeCell ref="L90:L93"/>
    <mergeCell ref="M90:M93"/>
    <mergeCell ref="N90:N93"/>
    <mergeCell ref="E92:E93"/>
    <mergeCell ref="F92:F93"/>
    <mergeCell ref="G92:G93"/>
    <mergeCell ref="H92:H93"/>
    <mergeCell ref="A94:N94"/>
    <mergeCell ref="J69:N69"/>
    <mergeCell ref="A59:N59"/>
    <mergeCell ref="B60:N60"/>
    <mergeCell ref="B61:N61"/>
    <mergeCell ref="B62:N62"/>
    <mergeCell ref="A66:D66"/>
    <mergeCell ref="J66:N66"/>
    <mergeCell ref="A5:D5"/>
    <mergeCell ref="J42:J45"/>
    <mergeCell ref="K42:K45"/>
    <mergeCell ref="L42:L45"/>
    <mergeCell ref="B63:N63"/>
    <mergeCell ref="B64:N64"/>
    <mergeCell ref="G54:H54"/>
    <mergeCell ref="E56:F56"/>
    <mergeCell ref="E54:F54"/>
    <mergeCell ref="G56:H56"/>
    <mergeCell ref="A6:D6"/>
    <mergeCell ref="A7:D7"/>
    <mergeCell ref="F11:F12"/>
    <mergeCell ref="G11:G12"/>
    <mergeCell ref="H11:H12"/>
    <mergeCell ref="A13:N13"/>
    <mergeCell ref="M25:M26"/>
    <mergeCell ref="M42:M45"/>
    <mergeCell ref="N42:N45"/>
    <mergeCell ref="E44:E45"/>
    <mergeCell ref="N25:N26"/>
    <mergeCell ref="A27:B28"/>
    <mergeCell ref="A29:B29"/>
    <mergeCell ref="A42:A45"/>
    <mergeCell ref="B42:B45"/>
    <mergeCell ref="C42:C45"/>
    <mergeCell ref="D42:D45"/>
    <mergeCell ref="E42:F43"/>
    <mergeCell ref="G42:H43"/>
    <mergeCell ref="I42:I45"/>
    <mergeCell ref="F44:F45"/>
    <mergeCell ref="G44:G45"/>
    <mergeCell ref="H44:H45"/>
    <mergeCell ref="F1:N1"/>
    <mergeCell ref="A3:D3"/>
    <mergeCell ref="E3:N3"/>
    <mergeCell ref="A4:D4"/>
    <mergeCell ref="E4:I7"/>
    <mergeCell ref="J4:N7"/>
    <mergeCell ref="A8:C8"/>
    <mergeCell ref="A9:A12"/>
    <mergeCell ref="B9:B12"/>
    <mergeCell ref="C9:C12"/>
    <mergeCell ref="D9:D12"/>
    <mergeCell ref="E9:F10"/>
    <mergeCell ref="G9:H10"/>
    <mergeCell ref="I9:I12"/>
    <mergeCell ref="J9:J12"/>
    <mergeCell ref="K9:K12"/>
    <mergeCell ref="L9:L12"/>
    <mergeCell ref="M9:M12"/>
    <mergeCell ref="N9:N12"/>
    <mergeCell ref="E11:E12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A55:C55"/>
    <mergeCell ref="E55:F55"/>
    <mergeCell ref="G55:H55"/>
    <mergeCell ref="J55:J57"/>
    <mergeCell ref="K55:K57"/>
    <mergeCell ref="A56:B57"/>
    <mergeCell ref="C56:D56"/>
    <mergeCell ref="C57:D57"/>
    <mergeCell ref="G57:H57"/>
    <mergeCell ref="Q52:R52"/>
    <mergeCell ref="S52:T52"/>
    <mergeCell ref="U52:V52"/>
    <mergeCell ref="E53:F53"/>
    <mergeCell ref="G53:H53"/>
    <mergeCell ref="Q53:R53"/>
    <mergeCell ref="S53:T53"/>
    <mergeCell ref="U53:V53"/>
    <mergeCell ref="A54:C54"/>
    <mergeCell ref="E57:F57"/>
    <mergeCell ref="A70:D70"/>
    <mergeCell ref="F82:N82"/>
    <mergeCell ref="A84:D85"/>
    <mergeCell ref="E84:N84"/>
    <mergeCell ref="E85:I85"/>
    <mergeCell ref="J85:N85"/>
    <mergeCell ref="A86:D86"/>
    <mergeCell ref="E86:I88"/>
    <mergeCell ref="J86:N88"/>
    <mergeCell ref="A87:D87"/>
    <mergeCell ref="A88:D88"/>
    <mergeCell ref="J72:N72"/>
    <mergeCell ref="M104:M105"/>
    <mergeCell ref="N104:N105"/>
    <mergeCell ref="A106:B107"/>
    <mergeCell ref="A108:B108"/>
    <mergeCell ref="M120:M121"/>
    <mergeCell ref="N120:N121"/>
    <mergeCell ref="A122:B123"/>
    <mergeCell ref="A124:B124"/>
    <mergeCell ref="A126:A129"/>
    <mergeCell ref="B126:B129"/>
    <mergeCell ref="C126:C129"/>
    <mergeCell ref="D126:D129"/>
    <mergeCell ref="E126:F127"/>
    <mergeCell ref="G126:H127"/>
    <mergeCell ref="I126:I129"/>
    <mergeCell ref="J126:J129"/>
    <mergeCell ref="K126:K129"/>
    <mergeCell ref="L126:L129"/>
    <mergeCell ref="M126:M129"/>
    <mergeCell ref="N126:N129"/>
    <mergeCell ref="E128:E129"/>
    <mergeCell ref="F128:F129"/>
    <mergeCell ref="G128:G129"/>
    <mergeCell ref="H128:H129"/>
    <mergeCell ref="C134:C135"/>
    <mergeCell ref="D134:D135"/>
    <mergeCell ref="I134:I135"/>
    <mergeCell ref="J134:J135"/>
    <mergeCell ref="K134:K135"/>
    <mergeCell ref="N134:N135"/>
    <mergeCell ref="E135:F135"/>
    <mergeCell ref="G135:H135"/>
    <mergeCell ref="A136:C137"/>
    <mergeCell ref="I136:I137"/>
    <mergeCell ref="J136:J137"/>
    <mergeCell ref="K136:K137"/>
    <mergeCell ref="Q136:R136"/>
    <mergeCell ref="S136:T136"/>
    <mergeCell ref="U136:V136"/>
    <mergeCell ref="E137:F137"/>
    <mergeCell ref="G137:H137"/>
    <mergeCell ref="Q137:R137"/>
    <mergeCell ref="S137:T137"/>
    <mergeCell ref="U137:V137"/>
    <mergeCell ref="A138:C138"/>
    <mergeCell ref="E138:F138"/>
    <mergeCell ref="G138:H138"/>
    <mergeCell ref="A139:C139"/>
    <mergeCell ref="E139:F139"/>
    <mergeCell ref="G139:H139"/>
    <mergeCell ref="J139:J141"/>
    <mergeCell ref="K139:K141"/>
    <mergeCell ref="A140:B141"/>
    <mergeCell ref="C140:D140"/>
    <mergeCell ref="E140:F140"/>
    <mergeCell ref="G140:H140"/>
    <mergeCell ref="C141:D141"/>
    <mergeCell ref="E141:F141"/>
    <mergeCell ref="G141:H141"/>
    <mergeCell ref="A143:N143"/>
    <mergeCell ref="B144:N144"/>
    <mergeCell ref="B145:N145"/>
    <mergeCell ref="B146:N146"/>
    <mergeCell ref="B147:N147"/>
    <mergeCell ref="B148:N148"/>
    <mergeCell ref="A150:D150"/>
    <mergeCell ref="J150:N150"/>
    <mergeCell ref="J153:N153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2026-02-28T06:49:27Z</cp:lastPrinted>
  <dcterms:created xsi:type="dcterms:W3CDTF">2015-10-28T22:11:29Z</dcterms:created>
  <dcterms:modified xsi:type="dcterms:W3CDTF">2026-02-28T06:56:22Z</dcterms:modified>
</cp:coreProperties>
</file>