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5192" windowHeight="8700"/>
  </bookViews>
  <sheets>
    <sheet name="T2-T2" sheetId="20" r:id="rId1"/>
    <sheet name="T3-T2" sheetId="15" r:id="rId2"/>
    <sheet name="T4-T2" sheetId="16" r:id="rId3"/>
    <sheet name="T5-T2" sheetId="17" r:id="rId4"/>
    <sheet name="T6-T2" sheetId="18" r:id="rId5"/>
    <sheet name="T7-T2" sheetId="19" r:id="rId6"/>
  </sheets>
  <calcPr calcId="124519"/>
</workbook>
</file>

<file path=xl/calcChain.xml><?xml version="1.0" encoding="utf-8"?>
<calcChain xmlns="http://schemas.openxmlformats.org/spreadsheetml/2006/main">
  <c r="I96" i="15"/>
  <c r="I112"/>
  <c r="N98" i="17"/>
  <c r="C98"/>
  <c r="J98" s="1"/>
  <c r="N18"/>
  <c r="J18"/>
  <c r="I18"/>
  <c r="C18"/>
  <c r="K18" s="1"/>
  <c r="N100" i="20"/>
  <c r="I100"/>
  <c r="C100"/>
  <c r="J100" s="1"/>
  <c r="N18"/>
  <c r="K18"/>
  <c r="J18"/>
  <c r="I18"/>
  <c r="D18"/>
  <c r="C18"/>
  <c r="C25"/>
  <c r="H25" s="1"/>
  <c r="N115" i="18"/>
  <c r="C115"/>
  <c r="F115" s="1"/>
  <c r="N99"/>
  <c r="C99"/>
  <c r="H99" s="1"/>
  <c r="N36"/>
  <c r="C36"/>
  <c r="F36" s="1"/>
  <c r="C23"/>
  <c r="H23" s="1"/>
  <c r="N104" i="17"/>
  <c r="C104"/>
  <c r="H104" s="1"/>
  <c r="N24"/>
  <c r="C24"/>
  <c r="H24" s="1"/>
  <c r="N102" i="15"/>
  <c r="C102"/>
  <c r="D102" s="1"/>
  <c r="C25"/>
  <c r="D25" s="1"/>
  <c r="N24" i="20"/>
  <c r="C24"/>
  <c r="D24" s="1"/>
  <c r="C105"/>
  <c r="K105" s="1"/>
  <c r="N39" i="16"/>
  <c r="C39"/>
  <c r="D39" s="1"/>
  <c r="N116" i="19"/>
  <c r="G116"/>
  <c r="C116"/>
  <c r="D116" s="1"/>
  <c r="N39"/>
  <c r="C39"/>
  <c r="E39" s="1"/>
  <c r="N102" i="20"/>
  <c r="C102"/>
  <c r="H102" s="1"/>
  <c r="N20"/>
  <c r="C20"/>
  <c r="H20" s="1"/>
  <c r="N115" i="19"/>
  <c r="C115"/>
  <c r="J115" s="1"/>
  <c r="N104"/>
  <c r="C104"/>
  <c r="F104" s="1"/>
  <c r="N103"/>
  <c r="C103"/>
  <c r="F103" s="1"/>
  <c r="N101"/>
  <c r="C101"/>
  <c r="H101" s="1"/>
  <c r="N38"/>
  <c r="C38"/>
  <c r="D38" s="1"/>
  <c r="N26"/>
  <c r="C26"/>
  <c r="D26" s="1"/>
  <c r="N25"/>
  <c r="C25"/>
  <c r="H25" s="1"/>
  <c r="N22"/>
  <c r="C22"/>
  <c r="D22" s="1"/>
  <c r="E116" l="1"/>
  <c r="K116"/>
  <c r="J116"/>
  <c r="J39"/>
  <c r="K39"/>
  <c r="K25"/>
  <c r="I25"/>
  <c r="D98" i="17"/>
  <c r="I98"/>
  <c r="D18"/>
  <c r="J104" i="19"/>
  <c r="D104"/>
  <c r="J101"/>
  <c r="I101"/>
  <c r="F101"/>
  <c r="K101"/>
  <c r="D101"/>
  <c r="J25"/>
  <c r="F25"/>
  <c r="J99" i="18"/>
  <c r="D23"/>
  <c r="K23"/>
  <c r="I23"/>
  <c r="F23"/>
  <c r="K104" i="17"/>
  <c r="J104"/>
  <c r="F104"/>
  <c r="D104"/>
  <c r="K98"/>
  <c r="H39" i="16"/>
  <c r="K39"/>
  <c r="J39"/>
  <c r="I39"/>
  <c r="K25" i="15"/>
  <c r="J25"/>
  <c r="I25"/>
  <c r="F25"/>
  <c r="J105" i="20"/>
  <c r="D100"/>
  <c r="K100"/>
  <c r="K25"/>
  <c r="J25"/>
  <c r="I25"/>
  <c r="F25"/>
  <c r="D25"/>
  <c r="I105"/>
  <c r="F105"/>
  <c r="D105"/>
  <c r="K24"/>
  <c r="J23" i="18"/>
  <c r="J115"/>
  <c r="D115"/>
  <c r="K115"/>
  <c r="I115"/>
  <c r="K99"/>
  <c r="I99"/>
  <c r="F99"/>
  <c r="D99"/>
  <c r="D36"/>
  <c r="K36"/>
  <c r="J36"/>
  <c r="I36"/>
  <c r="I104" i="17"/>
  <c r="J24"/>
  <c r="I24"/>
  <c r="F24"/>
  <c r="D24"/>
  <c r="K24"/>
  <c r="J102" i="15"/>
  <c r="K102"/>
  <c r="I102"/>
  <c r="H102"/>
  <c r="F102"/>
  <c r="J24" i="20"/>
  <c r="I24"/>
  <c r="F24"/>
  <c r="F39" i="16"/>
  <c r="D115" i="19"/>
  <c r="D39"/>
  <c r="G39"/>
  <c r="F102" i="20"/>
  <c r="D102"/>
  <c r="K102"/>
  <c r="I102"/>
  <c r="J102"/>
  <c r="K20"/>
  <c r="J20"/>
  <c r="I20"/>
  <c r="F20"/>
  <c r="D20"/>
  <c r="K115" i="19"/>
  <c r="E115"/>
  <c r="G115"/>
  <c r="K103"/>
  <c r="J103"/>
  <c r="D103"/>
  <c r="K104"/>
  <c r="I103"/>
  <c r="I104"/>
  <c r="H103"/>
  <c r="H104"/>
  <c r="G38"/>
  <c r="E38"/>
  <c r="K38"/>
  <c r="J38"/>
  <c r="K26"/>
  <c r="I26"/>
  <c r="J26"/>
  <c r="H26"/>
  <c r="F26"/>
  <c r="D25"/>
  <c r="K22"/>
  <c r="J22"/>
  <c r="I22"/>
  <c r="H22"/>
  <c r="F22"/>
  <c r="N113" i="18" l="1"/>
  <c r="C113"/>
  <c r="E113" s="1"/>
  <c r="I123"/>
  <c r="N123"/>
  <c r="N128" s="1"/>
  <c r="C123"/>
  <c r="N116"/>
  <c r="C116"/>
  <c r="H116" s="1"/>
  <c r="N114"/>
  <c r="C114"/>
  <c r="H114" s="1"/>
  <c r="N112"/>
  <c r="C112"/>
  <c r="G112" s="1"/>
  <c r="N111"/>
  <c r="C111"/>
  <c r="G111" s="1"/>
  <c r="N110"/>
  <c r="C110"/>
  <c r="H110" s="1"/>
  <c r="N109"/>
  <c r="C109"/>
  <c r="G109" s="1"/>
  <c r="N108"/>
  <c r="C108"/>
  <c r="K108" s="1"/>
  <c r="N101"/>
  <c r="C101"/>
  <c r="F101" s="1"/>
  <c r="N100"/>
  <c r="C100"/>
  <c r="F100" s="1"/>
  <c r="N98"/>
  <c r="C98"/>
  <c r="J98" s="1"/>
  <c r="N97"/>
  <c r="C97"/>
  <c r="J97" s="1"/>
  <c r="N96"/>
  <c r="C96"/>
  <c r="I96" s="1"/>
  <c r="N95"/>
  <c r="C95"/>
  <c r="F95" s="1"/>
  <c r="N94"/>
  <c r="C94"/>
  <c r="I94" s="1"/>
  <c r="N93"/>
  <c r="C93"/>
  <c r="H93" s="1"/>
  <c r="N92"/>
  <c r="C92"/>
  <c r="G92" s="1"/>
  <c r="N91"/>
  <c r="C91"/>
  <c r="E91" s="1"/>
  <c r="N127" i="17"/>
  <c r="C127"/>
  <c r="H127" s="1"/>
  <c r="N105"/>
  <c r="C105"/>
  <c r="D105" s="1"/>
  <c r="N103"/>
  <c r="C103"/>
  <c r="D103" s="1"/>
  <c r="N101"/>
  <c r="C101"/>
  <c r="J101" s="1"/>
  <c r="N100"/>
  <c r="C100"/>
  <c r="D100" s="1"/>
  <c r="N99"/>
  <c r="C99"/>
  <c r="K99" s="1"/>
  <c r="N39"/>
  <c r="C39"/>
  <c r="F39" s="1"/>
  <c r="N25"/>
  <c r="C25"/>
  <c r="F25" s="1"/>
  <c r="N23"/>
  <c r="C23"/>
  <c r="D23" s="1"/>
  <c r="C19"/>
  <c r="J19" s="1"/>
  <c r="N21"/>
  <c r="C21"/>
  <c r="D21" s="1"/>
  <c r="N105" i="16"/>
  <c r="C105"/>
  <c r="H105" s="1"/>
  <c r="N101"/>
  <c r="C101"/>
  <c r="G101" s="1"/>
  <c r="N103"/>
  <c r="C103"/>
  <c r="E103" s="1"/>
  <c r="N38"/>
  <c r="C38"/>
  <c r="H38" s="1"/>
  <c r="N37"/>
  <c r="C37"/>
  <c r="D37" s="1"/>
  <c r="N26"/>
  <c r="C26"/>
  <c r="I26" s="1"/>
  <c r="C24"/>
  <c r="D24" s="1"/>
  <c r="N22"/>
  <c r="C22"/>
  <c r="J22" s="1"/>
  <c r="C116" i="15"/>
  <c r="H116" s="1"/>
  <c r="N116"/>
  <c r="N115"/>
  <c r="C115"/>
  <c r="F115" s="1"/>
  <c r="N101"/>
  <c r="C101"/>
  <c r="F101" s="1"/>
  <c r="N23"/>
  <c r="C23"/>
  <c r="E23" s="1"/>
  <c r="N22"/>
  <c r="C22"/>
  <c r="F22" s="1"/>
  <c r="N21"/>
  <c r="C21"/>
  <c r="F21" s="1"/>
  <c r="N128" i="20"/>
  <c r="C128"/>
  <c r="F128" s="1"/>
  <c r="N106"/>
  <c r="C106"/>
  <c r="D106" s="1"/>
  <c r="N105"/>
  <c r="N41"/>
  <c r="C41"/>
  <c r="D41" s="1"/>
  <c r="K101" i="16" l="1"/>
  <c r="K24"/>
  <c r="I128" i="20"/>
  <c r="J113" i="18"/>
  <c r="D116"/>
  <c r="I110"/>
  <c r="F105" i="16"/>
  <c r="K103"/>
  <c r="I38"/>
  <c r="D26"/>
  <c r="K26"/>
  <c r="F26"/>
  <c r="I24"/>
  <c r="G24"/>
  <c r="E24"/>
  <c r="J116" i="15"/>
  <c r="I116"/>
  <c r="D116"/>
  <c r="D115"/>
  <c r="I41" i="20"/>
  <c r="E101" i="17"/>
  <c r="D101"/>
  <c r="G19"/>
  <c r="D113" i="18"/>
  <c r="K113"/>
  <c r="G113"/>
  <c r="J116"/>
  <c r="E98"/>
  <c r="D96"/>
  <c r="K116"/>
  <c r="F116"/>
  <c r="D93"/>
  <c r="K95"/>
  <c r="D95"/>
  <c r="I95" s="1"/>
  <c r="I100"/>
  <c r="D100"/>
  <c r="D94"/>
  <c r="K123"/>
  <c r="J91"/>
  <c r="F123"/>
  <c r="D123"/>
  <c r="D128" s="1"/>
  <c r="D129" s="1"/>
  <c r="D131" s="1"/>
  <c r="J108"/>
  <c r="E108"/>
  <c r="I116"/>
  <c r="D97"/>
  <c r="D108"/>
  <c r="H123"/>
  <c r="K98"/>
  <c r="J123"/>
  <c r="D101"/>
  <c r="D92"/>
  <c r="K94"/>
  <c r="K96"/>
  <c r="G98"/>
  <c r="H100"/>
  <c r="N118"/>
  <c r="N103"/>
  <c r="D98"/>
  <c r="I101"/>
  <c r="D109"/>
  <c r="K91"/>
  <c r="H101"/>
  <c r="J110"/>
  <c r="J111"/>
  <c r="J112"/>
  <c r="J94"/>
  <c r="K97"/>
  <c r="I114"/>
  <c r="D91"/>
  <c r="H94"/>
  <c r="H95"/>
  <c r="H96"/>
  <c r="G97"/>
  <c r="K100"/>
  <c r="F110"/>
  <c r="E111"/>
  <c r="E112"/>
  <c r="F114"/>
  <c r="J95"/>
  <c r="I112"/>
  <c r="F94"/>
  <c r="F96"/>
  <c r="E97"/>
  <c r="J100"/>
  <c r="D110"/>
  <c r="D111"/>
  <c r="D112"/>
  <c r="D114"/>
  <c r="K110"/>
  <c r="K111"/>
  <c r="K112"/>
  <c r="J96"/>
  <c r="I111"/>
  <c r="E19" i="17"/>
  <c r="E99"/>
  <c r="J99"/>
  <c r="J21"/>
  <c r="D99"/>
  <c r="K100"/>
  <c r="K127"/>
  <c r="J100"/>
  <c r="J127"/>
  <c r="G100"/>
  <c r="F127"/>
  <c r="E100"/>
  <c r="G101"/>
  <c r="D127"/>
  <c r="I127"/>
  <c r="K101"/>
  <c r="K103"/>
  <c r="K105"/>
  <c r="J105"/>
  <c r="I103"/>
  <c r="I105"/>
  <c r="H103"/>
  <c r="H105"/>
  <c r="J103"/>
  <c r="F103"/>
  <c r="F105"/>
  <c r="G99"/>
  <c r="D25"/>
  <c r="E21"/>
  <c r="F23"/>
  <c r="D39"/>
  <c r="I25"/>
  <c r="K23"/>
  <c r="J23"/>
  <c r="I23"/>
  <c r="K25"/>
  <c r="H23"/>
  <c r="J25"/>
  <c r="K39"/>
  <c r="I39"/>
  <c r="H39"/>
  <c r="J39"/>
  <c r="D19"/>
  <c r="G21"/>
  <c r="K19"/>
  <c r="H25"/>
  <c r="K21"/>
  <c r="D105" i="16"/>
  <c r="K105"/>
  <c r="J105"/>
  <c r="I105"/>
  <c r="E101"/>
  <c r="D101"/>
  <c r="J101"/>
  <c r="I101"/>
  <c r="D103"/>
  <c r="G103"/>
  <c r="J103"/>
  <c r="K22"/>
  <c r="H26"/>
  <c r="D22"/>
  <c r="G22"/>
  <c r="E22"/>
  <c r="J26"/>
  <c r="K37"/>
  <c r="J37"/>
  <c r="G37"/>
  <c r="E37"/>
  <c r="K38"/>
  <c r="J38"/>
  <c r="F38"/>
  <c r="D38"/>
  <c r="D101" i="15"/>
  <c r="K116"/>
  <c r="F116"/>
  <c r="K115"/>
  <c r="I115"/>
  <c r="H115"/>
  <c r="J115"/>
  <c r="K101"/>
  <c r="I101"/>
  <c r="H101"/>
  <c r="J101"/>
  <c r="D23"/>
  <c r="D22"/>
  <c r="K23"/>
  <c r="J23"/>
  <c r="I23"/>
  <c r="J22"/>
  <c r="I22"/>
  <c r="H22"/>
  <c r="K22"/>
  <c r="D21"/>
  <c r="K21"/>
  <c r="I21"/>
  <c r="H21"/>
  <c r="J21"/>
  <c r="D128" i="20"/>
  <c r="J128"/>
  <c r="H128"/>
  <c r="K128"/>
  <c r="K106"/>
  <c r="J106"/>
  <c r="I106"/>
  <c r="H106"/>
  <c r="F106"/>
  <c r="J41"/>
  <c r="K41"/>
  <c r="H41"/>
  <c r="F41"/>
  <c r="H132" i="18" l="1"/>
  <c r="H134" s="1"/>
  <c r="G132"/>
  <c r="N132"/>
  <c r="D103"/>
  <c r="D104" s="1"/>
  <c r="D106" s="1"/>
  <c r="I132"/>
  <c r="I134" s="1"/>
  <c r="E132"/>
  <c r="E134" s="1"/>
  <c r="D118"/>
  <c r="D119" s="1"/>
  <c r="D121" s="1"/>
  <c r="J132"/>
  <c r="J134" s="1"/>
  <c r="K132"/>
  <c r="K134" s="1"/>
  <c r="F132"/>
  <c r="F134" s="1"/>
  <c r="N21" i="20"/>
  <c r="C21"/>
  <c r="E21" s="1"/>
  <c r="G133" i="18" l="1"/>
  <c r="G134"/>
  <c r="G135" s="1"/>
  <c r="I137"/>
  <c r="D132"/>
  <c r="D134" s="1"/>
  <c r="E135"/>
  <c r="E133"/>
  <c r="K21" i="20"/>
  <c r="J21"/>
  <c r="D21"/>
  <c r="G21"/>
  <c r="I138" i="18" l="1"/>
  <c r="G137"/>
  <c r="G138" s="1"/>
  <c r="E137"/>
  <c r="N133" i="20"/>
  <c r="D133"/>
  <c r="D134" s="1"/>
  <c r="D136" s="1"/>
  <c r="N121"/>
  <c r="C121"/>
  <c r="J121" s="1"/>
  <c r="N120"/>
  <c r="C120"/>
  <c r="J120" s="1"/>
  <c r="N119"/>
  <c r="C119"/>
  <c r="J119" s="1"/>
  <c r="N118"/>
  <c r="C118"/>
  <c r="G118" s="1"/>
  <c r="N117"/>
  <c r="C117"/>
  <c r="H117" s="1"/>
  <c r="N116"/>
  <c r="C116"/>
  <c r="D116" s="1"/>
  <c r="N115"/>
  <c r="C115"/>
  <c r="I115" s="1"/>
  <c r="N114"/>
  <c r="C114"/>
  <c r="G114" s="1"/>
  <c r="N113"/>
  <c r="C113"/>
  <c r="J113" s="1"/>
  <c r="N104"/>
  <c r="C104"/>
  <c r="I104" s="1"/>
  <c r="N103"/>
  <c r="C103"/>
  <c r="E103" s="1"/>
  <c r="N101"/>
  <c r="C101"/>
  <c r="D101" s="1"/>
  <c r="N99"/>
  <c r="C99"/>
  <c r="I99" s="1"/>
  <c r="N98"/>
  <c r="C98"/>
  <c r="D98" s="1"/>
  <c r="N97"/>
  <c r="C97"/>
  <c r="D97" s="1"/>
  <c r="N96"/>
  <c r="C96"/>
  <c r="D96" s="1"/>
  <c r="N40"/>
  <c r="C40"/>
  <c r="D40" s="1"/>
  <c r="N39"/>
  <c r="C39"/>
  <c r="D39" s="1"/>
  <c r="N38"/>
  <c r="C38"/>
  <c r="E38" s="1"/>
  <c r="N37"/>
  <c r="C37"/>
  <c r="H37" s="1"/>
  <c r="N36"/>
  <c r="C36"/>
  <c r="I36" s="1"/>
  <c r="N35"/>
  <c r="C35"/>
  <c r="H35" s="1"/>
  <c r="N34"/>
  <c r="C34"/>
  <c r="D34" s="1"/>
  <c r="N33"/>
  <c r="C33"/>
  <c r="D33" s="1"/>
  <c r="N26"/>
  <c r="C26"/>
  <c r="F26" s="1"/>
  <c r="N25"/>
  <c r="N23"/>
  <c r="C23"/>
  <c r="D23" s="1"/>
  <c r="N22"/>
  <c r="C22"/>
  <c r="E22" s="1"/>
  <c r="N19"/>
  <c r="C19"/>
  <c r="E19" s="1"/>
  <c r="N17"/>
  <c r="C17"/>
  <c r="I17" s="1"/>
  <c r="N16"/>
  <c r="C16"/>
  <c r="D16" s="1"/>
  <c r="N15"/>
  <c r="C15"/>
  <c r="D15" s="1"/>
  <c r="N14"/>
  <c r="C14"/>
  <c r="J14" s="1"/>
  <c r="E113" l="1"/>
  <c r="D38"/>
  <c r="E138" i="18"/>
  <c r="D17" i="20"/>
  <c r="H99"/>
  <c r="J36"/>
  <c r="J35"/>
  <c r="I35"/>
  <c r="D14"/>
  <c r="H17"/>
  <c r="K38"/>
  <c r="H115"/>
  <c r="K19"/>
  <c r="G119"/>
  <c r="J38"/>
  <c r="I37"/>
  <c r="F37"/>
  <c r="E119"/>
  <c r="G22"/>
  <c r="D119"/>
  <c r="H121"/>
  <c r="D22"/>
  <c r="F121"/>
  <c r="I121"/>
  <c r="J17"/>
  <c r="D37"/>
  <c r="F117"/>
  <c r="K33"/>
  <c r="D103"/>
  <c r="D117"/>
  <c r="F35"/>
  <c r="K39"/>
  <c r="D113"/>
  <c r="J22"/>
  <c r="D35"/>
  <c r="H36"/>
  <c r="J39"/>
  <c r="K96"/>
  <c r="H104"/>
  <c r="J96"/>
  <c r="D99"/>
  <c r="D115"/>
  <c r="F36"/>
  <c r="I39"/>
  <c r="F104"/>
  <c r="F120"/>
  <c r="E14"/>
  <c r="F17"/>
  <c r="D36"/>
  <c r="H39"/>
  <c r="E96"/>
  <c r="D104"/>
  <c r="D120"/>
  <c r="D26"/>
  <c r="D118"/>
  <c r="E118"/>
  <c r="D114"/>
  <c r="H98"/>
  <c r="I120"/>
  <c r="H120"/>
  <c r="D121"/>
  <c r="N123"/>
  <c r="N108"/>
  <c r="G38"/>
  <c r="K40"/>
  <c r="J40"/>
  <c r="I40"/>
  <c r="H40"/>
  <c r="N28"/>
  <c r="G15"/>
  <c r="J19"/>
  <c r="G19"/>
  <c r="D19"/>
  <c r="N47"/>
  <c r="K99"/>
  <c r="K101"/>
  <c r="I23"/>
  <c r="G33"/>
  <c r="J101"/>
  <c r="I116"/>
  <c r="K117"/>
  <c r="K23"/>
  <c r="J23"/>
  <c r="H23"/>
  <c r="I26"/>
  <c r="E33"/>
  <c r="F39"/>
  <c r="F40"/>
  <c r="G101"/>
  <c r="J103"/>
  <c r="H116"/>
  <c r="J117"/>
  <c r="K118"/>
  <c r="K115"/>
  <c r="J99"/>
  <c r="J115"/>
  <c r="K14"/>
  <c r="H16"/>
  <c r="K17"/>
  <c r="F23"/>
  <c r="H26"/>
  <c r="G34"/>
  <c r="K35"/>
  <c r="K36"/>
  <c r="G97"/>
  <c r="F99"/>
  <c r="E101"/>
  <c r="G103"/>
  <c r="K113"/>
  <c r="F115"/>
  <c r="F116"/>
  <c r="I117"/>
  <c r="J118"/>
  <c r="K119"/>
  <c r="K120"/>
  <c r="K121"/>
  <c r="D47" l="1"/>
  <c r="D48" s="1"/>
  <c r="D50" s="1"/>
  <c r="E137"/>
  <c r="E139" s="1"/>
  <c r="D108"/>
  <c r="D109" s="1"/>
  <c r="D111" s="1"/>
  <c r="E51"/>
  <c r="E53" s="1"/>
  <c r="I137"/>
  <c r="I139" s="1"/>
  <c r="D28"/>
  <c r="D29" s="1"/>
  <c r="D31" s="1"/>
  <c r="H51"/>
  <c r="H53" s="1"/>
  <c r="N51"/>
  <c r="J137"/>
  <c r="J139" s="1"/>
  <c r="D123"/>
  <c r="D124" s="1"/>
  <c r="D126" s="1"/>
  <c r="N137"/>
  <c r="K137"/>
  <c r="K139" s="1"/>
  <c r="G137"/>
  <c r="G139" s="1"/>
  <c r="J51"/>
  <c r="J53" s="1"/>
  <c r="I51"/>
  <c r="I53" s="1"/>
  <c r="K51"/>
  <c r="K53" s="1"/>
  <c r="F51"/>
  <c r="F53" s="1"/>
  <c r="H137"/>
  <c r="H139" s="1"/>
  <c r="G51"/>
  <c r="F137"/>
  <c r="F139" s="1"/>
  <c r="I142" l="1"/>
  <c r="D51"/>
  <c r="D53" s="1"/>
  <c r="D137"/>
  <c r="D139" s="1"/>
  <c r="G138"/>
  <c r="I56"/>
  <c r="E52"/>
  <c r="E54"/>
  <c r="E140"/>
  <c r="G140"/>
  <c r="G52"/>
  <c r="G53"/>
  <c r="E138"/>
  <c r="I143" l="1"/>
  <c r="I57"/>
  <c r="E56"/>
  <c r="G54"/>
  <c r="E142"/>
  <c r="G142"/>
  <c r="G143" s="1"/>
  <c r="E57" l="1"/>
  <c r="G56"/>
  <c r="G57" s="1"/>
  <c r="E143"/>
  <c r="I125" i="19" l="1"/>
  <c r="N125"/>
  <c r="C125"/>
  <c r="D125" s="1"/>
  <c r="N41"/>
  <c r="C41"/>
  <c r="N37" i="18"/>
  <c r="C37"/>
  <c r="J37" s="1"/>
  <c r="N124" i="15"/>
  <c r="C124"/>
  <c r="K124" s="1"/>
  <c r="N39"/>
  <c r="C39"/>
  <c r="F125" i="19" l="1"/>
  <c r="D41"/>
  <c r="I41"/>
  <c r="D37" i="18"/>
  <c r="F37"/>
  <c r="I37"/>
  <c r="H37"/>
  <c r="K37"/>
  <c r="D124" i="15"/>
  <c r="I124"/>
  <c r="J124"/>
  <c r="D39"/>
  <c r="I39"/>
  <c r="K41" i="19"/>
  <c r="J41"/>
  <c r="K125"/>
  <c r="J125"/>
  <c r="H41"/>
  <c r="H125"/>
  <c r="F41"/>
  <c r="F39" i="15"/>
  <c r="H39"/>
  <c r="H124"/>
  <c r="J39"/>
  <c r="K39"/>
  <c r="F124"/>
  <c r="N18" i="18" l="1"/>
  <c r="C18"/>
  <c r="K18" s="1"/>
  <c r="J18" l="1"/>
  <c r="D18"/>
  <c r="I18" s="1"/>
  <c r="H18"/>
  <c r="F18"/>
  <c r="N100" i="16" l="1"/>
  <c r="C100"/>
  <c r="H100" s="1"/>
  <c r="N19"/>
  <c r="C19"/>
  <c r="H19" s="1"/>
  <c r="F100" l="1"/>
  <c r="D100"/>
  <c r="I100" s="1"/>
  <c r="K100"/>
  <c r="J100"/>
  <c r="F19"/>
  <c r="K19"/>
  <c r="D19"/>
  <c r="I19" s="1"/>
  <c r="J19"/>
  <c r="N17" i="18" l="1"/>
  <c r="C17"/>
  <c r="J17" s="1"/>
  <c r="I17" l="1"/>
  <c r="H17"/>
  <c r="F17"/>
  <c r="D17"/>
  <c r="K17"/>
  <c r="N100" i="19" l="1"/>
  <c r="C100"/>
  <c r="E100" s="1"/>
  <c r="N20"/>
  <c r="C20"/>
  <c r="G20" l="1"/>
  <c r="E20"/>
  <c r="D100"/>
  <c r="K100"/>
  <c r="J100"/>
  <c r="G100"/>
  <c r="D20"/>
  <c r="K20"/>
  <c r="J20"/>
  <c r="C120" i="17" l="1"/>
  <c r="N97" i="19"/>
  <c r="C97"/>
  <c r="H97" s="1"/>
  <c r="D97" l="1"/>
  <c r="N17" l="1"/>
  <c r="C17"/>
  <c r="D17" s="1"/>
  <c r="N15" i="18"/>
  <c r="C15"/>
  <c r="H15" s="1"/>
  <c r="N114" i="17"/>
  <c r="C114"/>
  <c r="H114" s="1"/>
  <c r="N16"/>
  <c r="C16"/>
  <c r="D16" s="1"/>
  <c r="H17" i="19" l="1"/>
  <c r="D15" i="18"/>
  <c r="D114" i="17"/>
  <c r="H16"/>
  <c r="N98" i="16" l="1"/>
  <c r="C98"/>
  <c r="D98" s="1"/>
  <c r="N128"/>
  <c r="C128"/>
  <c r="D128" s="1"/>
  <c r="N36"/>
  <c r="C36"/>
  <c r="D36" s="1"/>
  <c r="N41"/>
  <c r="C41"/>
  <c r="D41" s="1"/>
  <c r="K128" l="1"/>
  <c r="J128"/>
  <c r="I128"/>
  <c r="H128"/>
  <c r="H98"/>
  <c r="F128"/>
  <c r="H36"/>
  <c r="K41"/>
  <c r="I41"/>
  <c r="H41"/>
  <c r="F41"/>
  <c r="J41"/>
  <c r="N24" l="1"/>
  <c r="J24" l="1"/>
  <c r="N95" i="15" l="1"/>
  <c r="C95"/>
  <c r="D95" s="1"/>
  <c r="N16"/>
  <c r="C16"/>
  <c r="D16" s="1"/>
  <c r="N23" i="19"/>
  <c r="C23"/>
  <c r="D23" s="1"/>
  <c r="H95" i="15" l="1"/>
  <c r="H16"/>
  <c r="J23" i="19"/>
  <c r="K23"/>
  <c r="I23"/>
  <c r="H23"/>
  <c r="F23"/>
  <c r="N21" l="1"/>
  <c r="C21"/>
  <c r="D21" s="1"/>
  <c r="N114" i="16"/>
  <c r="C114"/>
  <c r="G114" s="1"/>
  <c r="N35"/>
  <c r="C35"/>
  <c r="G35" s="1"/>
  <c r="N18"/>
  <c r="C18"/>
  <c r="G18" s="1"/>
  <c r="N110" i="15"/>
  <c r="C110"/>
  <c r="G110" s="1"/>
  <c r="N94"/>
  <c r="C94"/>
  <c r="D94" s="1"/>
  <c r="N33"/>
  <c r="C33"/>
  <c r="D33" s="1"/>
  <c r="N118" i="19"/>
  <c r="C118"/>
  <c r="D118" s="1"/>
  <c r="N102"/>
  <c r="C102"/>
  <c r="D102" s="1"/>
  <c r="N112"/>
  <c r="C112"/>
  <c r="D112" s="1"/>
  <c r="N96"/>
  <c r="C96"/>
  <c r="G96" s="1"/>
  <c r="N40"/>
  <c r="C40"/>
  <c r="D40" s="1"/>
  <c r="N24"/>
  <c r="C24"/>
  <c r="D24" s="1"/>
  <c r="N36"/>
  <c r="C36"/>
  <c r="D36" s="1"/>
  <c r="N33" i="18"/>
  <c r="C33"/>
  <c r="D33" s="1"/>
  <c r="I118" i="19" l="1"/>
  <c r="G36"/>
  <c r="D96"/>
  <c r="D110" i="15"/>
  <c r="D35" i="16"/>
  <c r="D18"/>
  <c r="D114"/>
  <c r="K21" i="19"/>
  <c r="J21"/>
  <c r="G21"/>
  <c r="E21"/>
  <c r="G94" i="15"/>
  <c r="G33"/>
  <c r="G112" i="19"/>
  <c r="I102"/>
  <c r="H102"/>
  <c r="F102"/>
  <c r="F118"/>
  <c r="H118"/>
  <c r="I24"/>
  <c r="H24"/>
  <c r="F24"/>
  <c r="I40"/>
  <c r="H40"/>
  <c r="F40"/>
  <c r="I33" i="18"/>
  <c r="H33"/>
  <c r="F33"/>
  <c r="N35" l="1"/>
  <c r="C35"/>
  <c r="D35" s="1"/>
  <c r="N21"/>
  <c r="C21"/>
  <c r="D21" s="1"/>
  <c r="N32"/>
  <c r="C32"/>
  <c r="G32" s="1"/>
  <c r="H35" l="1"/>
  <c r="I35"/>
  <c r="F35"/>
  <c r="F21"/>
  <c r="I21"/>
  <c r="H21"/>
  <c r="D32"/>
  <c r="N118" i="17" l="1"/>
  <c r="C118"/>
  <c r="D118" s="1"/>
  <c r="N120"/>
  <c r="D120"/>
  <c r="N113"/>
  <c r="C113"/>
  <c r="D113" s="1"/>
  <c r="N102"/>
  <c r="C102"/>
  <c r="D102" s="1"/>
  <c r="N96"/>
  <c r="C96"/>
  <c r="D96" s="1"/>
  <c r="G113" l="1"/>
  <c r="K118"/>
  <c r="I118"/>
  <c r="J118"/>
  <c r="H118"/>
  <c r="F118"/>
  <c r="I120"/>
  <c r="H120"/>
  <c r="F120"/>
  <c r="I102"/>
  <c r="H102"/>
  <c r="F102"/>
  <c r="G96"/>
  <c r="N38" l="1"/>
  <c r="N37"/>
  <c r="C37"/>
  <c r="H37" s="1"/>
  <c r="N36"/>
  <c r="C36"/>
  <c r="D36" s="1"/>
  <c r="N33"/>
  <c r="C33"/>
  <c r="G33" s="1"/>
  <c r="N35"/>
  <c r="C35"/>
  <c r="I35" s="1"/>
  <c r="N34"/>
  <c r="C34"/>
  <c r="N19"/>
  <c r="N22"/>
  <c r="C22"/>
  <c r="D22" s="1"/>
  <c r="N118" i="16"/>
  <c r="C118"/>
  <c r="D118" s="1"/>
  <c r="N104"/>
  <c r="C104"/>
  <c r="D104" s="1"/>
  <c r="N40"/>
  <c r="C40"/>
  <c r="D40" s="1"/>
  <c r="N27"/>
  <c r="C27"/>
  <c r="F27" s="1"/>
  <c r="F35" i="17" l="1"/>
  <c r="J35"/>
  <c r="D35"/>
  <c r="H34"/>
  <c r="I34"/>
  <c r="H35"/>
  <c r="I104" i="16"/>
  <c r="I27"/>
  <c r="H104"/>
  <c r="F34" i="17"/>
  <c r="D34"/>
  <c r="H118" i="16"/>
  <c r="F104"/>
  <c r="J34" i="17"/>
  <c r="H27" i="16"/>
  <c r="I40"/>
  <c r="D33" i="17"/>
  <c r="K37"/>
  <c r="J37"/>
  <c r="F37"/>
  <c r="D37"/>
  <c r="I37"/>
  <c r="I36"/>
  <c r="H36"/>
  <c r="F36"/>
  <c r="K34"/>
  <c r="K35"/>
  <c r="I22"/>
  <c r="H22"/>
  <c r="F22"/>
  <c r="I118" i="16"/>
  <c r="F118"/>
  <c r="H40"/>
  <c r="F40"/>
  <c r="D27"/>
  <c r="N113" i="15" l="1"/>
  <c r="C113"/>
  <c r="D113" s="1"/>
  <c r="N99"/>
  <c r="C99"/>
  <c r="D99" s="1"/>
  <c r="N37"/>
  <c r="C37"/>
  <c r="E37" s="1"/>
  <c r="N36"/>
  <c r="C36"/>
  <c r="D36" s="1"/>
  <c r="N35"/>
  <c r="C35"/>
  <c r="I35" s="1"/>
  <c r="N34"/>
  <c r="C34"/>
  <c r="H34" s="1"/>
  <c r="N20"/>
  <c r="C20"/>
  <c r="D20" s="1"/>
  <c r="D34" l="1"/>
  <c r="J35"/>
  <c r="H35"/>
  <c r="D35"/>
  <c r="J34"/>
  <c r="I34"/>
  <c r="F34"/>
  <c r="F35"/>
  <c r="D37"/>
  <c r="I113"/>
  <c r="H113"/>
  <c r="F113"/>
  <c r="I99"/>
  <c r="H99"/>
  <c r="F99"/>
  <c r="K37"/>
  <c r="J37"/>
  <c r="I37"/>
  <c r="I36"/>
  <c r="H36"/>
  <c r="F36"/>
  <c r="K34"/>
  <c r="K35"/>
  <c r="I20"/>
  <c r="H20"/>
  <c r="F20"/>
  <c r="N133" i="16" l="1"/>
  <c r="N121"/>
  <c r="C121"/>
  <c r="D121" s="1"/>
  <c r="N120"/>
  <c r="C120"/>
  <c r="D120" s="1"/>
  <c r="N119"/>
  <c r="C119"/>
  <c r="D119" s="1"/>
  <c r="N117"/>
  <c r="C117"/>
  <c r="N116"/>
  <c r="C116"/>
  <c r="K116" s="1"/>
  <c r="N115"/>
  <c r="C115"/>
  <c r="I115" s="1"/>
  <c r="N113"/>
  <c r="C113"/>
  <c r="D113" s="1"/>
  <c r="N112"/>
  <c r="C112"/>
  <c r="D112" s="1"/>
  <c r="N102"/>
  <c r="C102"/>
  <c r="N99"/>
  <c r="C99"/>
  <c r="I99" s="1"/>
  <c r="N97"/>
  <c r="C97"/>
  <c r="D97" s="1"/>
  <c r="N96"/>
  <c r="C96"/>
  <c r="D96" s="1"/>
  <c r="N34"/>
  <c r="C34"/>
  <c r="D34" s="1"/>
  <c r="N25"/>
  <c r="C25"/>
  <c r="N23"/>
  <c r="C23"/>
  <c r="E23" s="1"/>
  <c r="N21"/>
  <c r="C21"/>
  <c r="D21" s="1"/>
  <c r="N20"/>
  <c r="C20"/>
  <c r="N17"/>
  <c r="C17"/>
  <c r="D17" s="1"/>
  <c r="N16"/>
  <c r="C16"/>
  <c r="K16" s="1"/>
  <c r="K115" l="1"/>
  <c r="F99"/>
  <c r="D20"/>
  <c r="I20"/>
  <c r="F25"/>
  <c r="J25"/>
  <c r="K25"/>
  <c r="E102"/>
  <c r="D117"/>
  <c r="J16"/>
  <c r="D16"/>
  <c r="E96"/>
  <c r="D47"/>
  <c r="D48" s="1"/>
  <c r="D50" s="1"/>
  <c r="D133"/>
  <c r="D134" s="1"/>
  <c r="D136" s="1"/>
  <c r="I17"/>
  <c r="K96"/>
  <c r="K113"/>
  <c r="D99"/>
  <c r="E16"/>
  <c r="J119"/>
  <c r="K119"/>
  <c r="J115"/>
  <c r="J112"/>
  <c r="G117"/>
  <c r="K112"/>
  <c r="H115"/>
  <c r="E112"/>
  <c r="F115"/>
  <c r="E117"/>
  <c r="J96"/>
  <c r="J116"/>
  <c r="D25"/>
  <c r="K34"/>
  <c r="I116"/>
  <c r="K17"/>
  <c r="G116"/>
  <c r="J17"/>
  <c r="E116"/>
  <c r="J117"/>
  <c r="N123"/>
  <c r="D102"/>
  <c r="N107"/>
  <c r="K117"/>
  <c r="N47"/>
  <c r="D23"/>
  <c r="N29"/>
  <c r="K97"/>
  <c r="K121"/>
  <c r="K21"/>
  <c r="J97"/>
  <c r="J120"/>
  <c r="J121"/>
  <c r="H17"/>
  <c r="J21"/>
  <c r="J23"/>
  <c r="J34"/>
  <c r="I97"/>
  <c r="J99"/>
  <c r="K102"/>
  <c r="J113"/>
  <c r="D115"/>
  <c r="D116"/>
  <c r="I119"/>
  <c r="I120"/>
  <c r="I121"/>
  <c r="K20"/>
  <c r="K99"/>
  <c r="F17"/>
  <c r="H20"/>
  <c r="G21"/>
  <c r="I23"/>
  <c r="E34"/>
  <c r="H97"/>
  <c r="J102"/>
  <c r="I113"/>
  <c r="E119"/>
  <c r="H120"/>
  <c r="H121"/>
  <c r="K120"/>
  <c r="J20"/>
  <c r="F20"/>
  <c r="E21"/>
  <c r="G23"/>
  <c r="I25"/>
  <c r="F97"/>
  <c r="H99"/>
  <c r="G102"/>
  <c r="F120"/>
  <c r="F121"/>
  <c r="K23"/>
  <c r="D123" l="1"/>
  <c r="D124" s="1"/>
  <c r="D126" s="1"/>
  <c r="G137"/>
  <c r="G139" s="1"/>
  <c r="D107"/>
  <c r="D108" s="1"/>
  <c r="D110" s="1"/>
  <c r="H51"/>
  <c r="H53" s="1"/>
  <c r="D29"/>
  <c r="D30" s="1"/>
  <c r="D32" s="1"/>
  <c r="H137"/>
  <c r="H139" s="1"/>
  <c r="E51"/>
  <c r="E53" s="1"/>
  <c r="N137"/>
  <c r="I51"/>
  <c r="I53" s="1"/>
  <c r="K51"/>
  <c r="K53" s="1"/>
  <c r="J137"/>
  <c r="J139" s="1"/>
  <c r="K137"/>
  <c r="K139" s="1"/>
  <c r="E137"/>
  <c r="E139" s="1"/>
  <c r="F137"/>
  <c r="F139" s="1"/>
  <c r="F51"/>
  <c r="F53" s="1"/>
  <c r="N51"/>
  <c r="J51"/>
  <c r="J53" s="1"/>
  <c r="G51"/>
  <c r="I137"/>
  <c r="I139" s="1"/>
  <c r="D137" l="1"/>
  <c r="D139" s="1"/>
  <c r="D51"/>
  <c r="D53" s="1"/>
  <c r="G138"/>
  <c r="I56"/>
  <c r="E138"/>
  <c r="E52"/>
  <c r="I142"/>
  <c r="E140"/>
  <c r="G53"/>
  <c r="G52"/>
  <c r="G140"/>
  <c r="E54"/>
  <c r="I143" l="1"/>
  <c r="I57"/>
  <c r="E56"/>
  <c r="E142"/>
  <c r="E143" s="1"/>
  <c r="G54"/>
  <c r="G142"/>
  <c r="G143" s="1"/>
  <c r="X140" l="1"/>
  <c r="E57"/>
  <c r="G56"/>
  <c r="G57" s="1"/>
  <c r="N129" i="15" l="1"/>
  <c r="N117"/>
  <c r="C117"/>
  <c r="D117" s="1"/>
  <c r="N114"/>
  <c r="C114"/>
  <c r="D114" s="1"/>
  <c r="N112"/>
  <c r="C112"/>
  <c r="D112" s="1"/>
  <c r="N111"/>
  <c r="C111"/>
  <c r="J111" s="1"/>
  <c r="N109"/>
  <c r="C109"/>
  <c r="J109" s="1"/>
  <c r="N100"/>
  <c r="C100"/>
  <c r="G100" s="1"/>
  <c r="N98"/>
  <c r="C98"/>
  <c r="D98" s="1"/>
  <c r="N97"/>
  <c r="C97"/>
  <c r="D97" s="1"/>
  <c r="N96"/>
  <c r="C96"/>
  <c r="N93"/>
  <c r="C93"/>
  <c r="J93" s="1"/>
  <c r="N38"/>
  <c r="C38"/>
  <c r="J38" s="1"/>
  <c r="N32"/>
  <c r="C32"/>
  <c r="J32" s="1"/>
  <c r="N25"/>
  <c r="N24"/>
  <c r="C24"/>
  <c r="E24" s="1"/>
  <c r="N19"/>
  <c r="C19"/>
  <c r="I19" s="1"/>
  <c r="N18"/>
  <c r="C18"/>
  <c r="K18" s="1"/>
  <c r="N17"/>
  <c r="C17"/>
  <c r="I17" s="1"/>
  <c r="N15"/>
  <c r="C15"/>
  <c r="N14"/>
  <c r="C14"/>
  <c r="K14" s="1"/>
  <c r="J112" l="1"/>
  <c r="D96"/>
  <c r="D93"/>
  <c r="J17"/>
  <c r="D17"/>
  <c r="D14"/>
  <c r="E14"/>
  <c r="D18"/>
  <c r="K109"/>
  <c r="K93"/>
  <c r="E93"/>
  <c r="E98"/>
  <c r="F17"/>
  <c r="E109"/>
  <c r="D109"/>
  <c r="F112"/>
  <c r="D24"/>
  <c r="J14"/>
  <c r="K17"/>
  <c r="I24"/>
  <c r="F96"/>
  <c r="K112"/>
  <c r="D129"/>
  <c r="D130" s="1"/>
  <c r="D132" s="1"/>
  <c r="D15"/>
  <c r="G15"/>
  <c r="J18"/>
  <c r="E18"/>
  <c r="K96"/>
  <c r="I114"/>
  <c r="J19"/>
  <c r="D19"/>
  <c r="N119"/>
  <c r="J117"/>
  <c r="N27"/>
  <c r="N104"/>
  <c r="K97"/>
  <c r="E97"/>
  <c r="N45"/>
  <c r="K38"/>
  <c r="G38"/>
  <c r="E38"/>
  <c r="D38"/>
  <c r="K19"/>
  <c r="G19"/>
  <c r="E19"/>
  <c r="K32"/>
  <c r="K24"/>
  <c r="E32"/>
  <c r="E100"/>
  <c r="I111"/>
  <c r="K114"/>
  <c r="H17"/>
  <c r="G18"/>
  <c r="J24"/>
  <c r="D32"/>
  <c r="D100"/>
  <c r="D111"/>
  <c r="H112"/>
  <c r="J114"/>
  <c r="K117"/>
  <c r="H25"/>
  <c r="I97"/>
  <c r="J98"/>
  <c r="K100"/>
  <c r="F114"/>
  <c r="E117"/>
  <c r="G24"/>
  <c r="J96"/>
  <c r="J97"/>
  <c r="K98"/>
  <c r="H114"/>
  <c r="G117"/>
  <c r="H96"/>
  <c r="G97"/>
  <c r="G98"/>
  <c r="J100"/>
  <c r="I100"/>
  <c r="K111"/>
  <c r="F49" l="1"/>
  <c r="F51" s="1"/>
  <c r="I49"/>
  <c r="I51" s="1"/>
  <c r="F133"/>
  <c r="F135" s="1"/>
  <c r="D27"/>
  <c r="D28" s="1"/>
  <c r="D30" s="1"/>
  <c r="D119"/>
  <c r="D120" s="1"/>
  <c r="D122" s="1"/>
  <c r="H49"/>
  <c r="H51" s="1"/>
  <c r="N133"/>
  <c r="D45"/>
  <c r="D46" s="1"/>
  <c r="D48" s="1"/>
  <c r="G49"/>
  <c r="G51" s="1"/>
  <c r="N49"/>
  <c r="D104"/>
  <c r="D105" s="1"/>
  <c r="D107" s="1"/>
  <c r="H133"/>
  <c r="H135" s="1"/>
  <c r="E133"/>
  <c r="G133"/>
  <c r="G135" s="1"/>
  <c r="K133"/>
  <c r="K135" s="1"/>
  <c r="J133"/>
  <c r="J135" s="1"/>
  <c r="K49"/>
  <c r="K51" s="1"/>
  <c r="J49"/>
  <c r="J51" s="1"/>
  <c r="E49"/>
  <c r="I133"/>
  <c r="I135" s="1"/>
  <c r="E50" l="1"/>
  <c r="I54"/>
  <c r="E134"/>
  <c r="G50"/>
  <c r="D49"/>
  <c r="D51" s="1"/>
  <c r="D133"/>
  <c r="D135" s="1"/>
  <c r="G134"/>
  <c r="E135"/>
  <c r="E136" s="1"/>
  <c r="E51"/>
  <c r="E52" s="1"/>
  <c r="I138"/>
  <c r="G52"/>
  <c r="G136"/>
  <c r="I55" l="1"/>
  <c r="I139"/>
  <c r="G54"/>
  <c r="G55" s="1"/>
  <c r="E54"/>
  <c r="E138"/>
  <c r="G138"/>
  <c r="G139" s="1"/>
  <c r="E55" l="1"/>
  <c r="E139"/>
  <c r="N132" i="17" l="1"/>
  <c r="N119"/>
  <c r="C119"/>
  <c r="E119" s="1"/>
  <c r="N117"/>
  <c r="C117"/>
  <c r="J117" s="1"/>
  <c r="N116"/>
  <c r="C116"/>
  <c r="D116" s="1"/>
  <c r="N115"/>
  <c r="C115"/>
  <c r="I115" s="1"/>
  <c r="N112"/>
  <c r="C112"/>
  <c r="E112" s="1"/>
  <c r="N97"/>
  <c r="C97"/>
  <c r="I97" s="1"/>
  <c r="N95"/>
  <c r="C95"/>
  <c r="E95" s="1"/>
  <c r="C38"/>
  <c r="G38" s="1"/>
  <c r="N32"/>
  <c r="C32"/>
  <c r="E32" s="1"/>
  <c r="N20"/>
  <c r="C20"/>
  <c r="N17"/>
  <c r="C17"/>
  <c r="N15"/>
  <c r="C15"/>
  <c r="N14"/>
  <c r="C14"/>
  <c r="K14" s="1"/>
  <c r="K97" l="1"/>
  <c r="D115"/>
  <c r="J17"/>
  <c r="I17"/>
  <c r="G20"/>
  <c r="E20"/>
  <c r="E117"/>
  <c r="D15"/>
  <c r="G15"/>
  <c r="D38"/>
  <c r="D117"/>
  <c r="I117"/>
  <c r="G117"/>
  <c r="D14"/>
  <c r="K115"/>
  <c r="J97"/>
  <c r="E38"/>
  <c r="N45"/>
  <c r="K117"/>
  <c r="N122"/>
  <c r="H97"/>
  <c r="N107"/>
  <c r="F97"/>
  <c r="N27"/>
  <c r="J14"/>
  <c r="K17"/>
  <c r="H17"/>
  <c r="F17"/>
  <c r="D17"/>
  <c r="E14"/>
  <c r="D20"/>
  <c r="D32"/>
  <c r="D95"/>
  <c r="D112"/>
  <c r="D119"/>
  <c r="D132"/>
  <c r="D133" s="1"/>
  <c r="D135" s="1"/>
  <c r="J115"/>
  <c r="K116"/>
  <c r="D97"/>
  <c r="J116"/>
  <c r="K20"/>
  <c r="H115"/>
  <c r="G116"/>
  <c r="J20"/>
  <c r="K32"/>
  <c r="K95"/>
  <c r="K112"/>
  <c r="F115"/>
  <c r="E116"/>
  <c r="J32"/>
  <c r="J95"/>
  <c r="J112"/>
  <c r="G119"/>
  <c r="G49" l="1"/>
  <c r="G51" s="1"/>
  <c r="N49"/>
  <c r="H49"/>
  <c r="H51" s="1"/>
  <c r="D107"/>
  <c r="D108" s="1"/>
  <c r="D110" s="1"/>
  <c r="G136"/>
  <c r="G138" s="1"/>
  <c r="D122"/>
  <c r="D123" s="1"/>
  <c r="D125" s="1"/>
  <c r="E136"/>
  <c r="E138" s="1"/>
  <c r="N136"/>
  <c r="H136"/>
  <c r="H138" s="1"/>
  <c r="F136"/>
  <c r="F138" s="1"/>
  <c r="D45"/>
  <c r="D46" s="1"/>
  <c r="D48" s="1"/>
  <c r="J49"/>
  <c r="J51" s="1"/>
  <c r="D27"/>
  <c r="F49"/>
  <c r="F51" s="1"/>
  <c r="I49"/>
  <c r="I51" s="1"/>
  <c r="I54" s="1"/>
  <c r="K49"/>
  <c r="K51" s="1"/>
  <c r="J136"/>
  <c r="J138" s="1"/>
  <c r="I136"/>
  <c r="I138" s="1"/>
  <c r="I141" s="1"/>
  <c r="E49"/>
  <c r="K136"/>
  <c r="K138" s="1"/>
  <c r="N34" i="18"/>
  <c r="C34"/>
  <c r="G34" s="1"/>
  <c r="E34" l="1"/>
  <c r="D34"/>
  <c r="J34"/>
  <c r="G50" i="17"/>
  <c r="D136"/>
  <c r="D138" s="1"/>
  <c r="G137"/>
  <c r="E137"/>
  <c r="D49"/>
  <c r="D51" s="1"/>
  <c r="I55" s="1"/>
  <c r="D28"/>
  <c r="D30" s="1"/>
  <c r="G139"/>
  <c r="E139"/>
  <c r="E141" s="1"/>
  <c r="E50"/>
  <c r="E51"/>
  <c r="G52"/>
  <c r="K34" i="18"/>
  <c r="I34"/>
  <c r="E142" i="17" l="1"/>
  <c r="I142"/>
  <c r="G141"/>
  <c r="G142" s="1"/>
  <c r="G54"/>
  <c r="G55" s="1"/>
  <c r="E52"/>
  <c r="E54" l="1"/>
  <c r="E55" s="1"/>
  <c r="N99" i="19" l="1"/>
  <c r="C99"/>
  <c r="E99" s="1"/>
  <c r="N114"/>
  <c r="C114"/>
  <c r="D114" s="1"/>
  <c r="N113"/>
  <c r="C113"/>
  <c r="D113" s="1"/>
  <c r="N19"/>
  <c r="C19"/>
  <c r="E19" l="1"/>
  <c r="D19"/>
  <c r="D99"/>
  <c r="K99"/>
  <c r="I99"/>
  <c r="J99"/>
  <c r="G99"/>
  <c r="K114"/>
  <c r="K113"/>
  <c r="J113"/>
  <c r="J114"/>
  <c r="I113"/>
  <c r="I114"/>
  <c r="H113"/>
  <c r="H114"/>
  <c r="F113"/>
  <c r="F114"/>
  <c r="K19"/>
  <c r="J19"/>
  <c r="I19"/>
  <c r="G19"/>
  <c r="N22" i="18" l="1"/>
  <c r="C22"/>
  <c r="D22" s="1"/>
  <c r="K22" l="1"/>
  <c r="J22"/>
  <c r="I22"/>
  <c r="H22"/>
  <c r="F22"/>
  <c r="N117" i="19" l="1"/>
  <c r="C117"/>
  <c r="F117" s="1"/>
  <c r="J117" l="1"/>
  <c r="D117"/>
  <c r="K117"/>
  <c r="H117"/>
  <c r="I117"/>
  <c r="N35" l="1"/>
  <c r="C35"/>
  <c r="F35" s="1"/>
  <c r="K35" l="1"/>
  <c r="J35"/>
  <c r="H35"/>
  <c r="D35"/>
  <c r="I35"/>
  <c r="C37" l="1"/>
  <c r="F37" s="1"/>
  <c r="K37" l="1"/>
  <c r="J37"/>
  <c r="I37"/>
  <c r="H37"/>
  <c r="D37"/>
  <c r="N19" i="18" l="1"/>
  <c r="C19"/>
  <c r="E19" s="1"/>
  <c r="D19" l="1"/>
  <c r="K19"/>
  <c r="G19"/>
  <c r="J19"/>
  <c r="N20" l="1"/>
  <c r="C20"/>
  <c r="E20" s="1"/>
  <c r="N24"/>
  <c r="C24"/>
  <c r="D24" s="1"/>
  <c r="N23"/>
  <c r="D20" l="1"/>
  <c r="I24"/>
  <c r="H24"/>
  <c r="J24"/>
  <c r="K24"/>
  <c r="K20"/>
  <c r="G20"/>
  <c r="J20"/>
  <c r="F24"/>
  <c r="N34" i="19" l="1"/>
  <c r="C34"/>
  <c r="N37"/>
  <c r="F34" l="1"/>
  <c r="D34"/>
  <c r="I34"/>
  <c r="K34"/>
  <c r="J34"/>
  <c r="H34"/>
  <c r="N33" l="1"/>
  <c r="N98"/>
  <c r="N95"/>
  <c r="N111"/>
  <c r="N18" l="1"/>
  <c r="N16"/>
  <c r="N31" i="18"/>
  <c r="N16"/>
  <c r="N14"/>
  <c r="N120" i="19" l="1"/>
  <c r="N106"/>
  <c r="N130"/>
  <c r="C111"/>
  <c r="K111" s="1"/>
  <c r="N47"/>
  <c r="N28"/>
  <c r="C33"/>
  <c r="K33" s="1"/>
  <c r="N43" i="18"/>
  <c r="N26"/>
  <c r="C31"/>
  <c r="K31" s="1"/>
  <c r="N134" i="19" l="1"/>
  <c r="D130"/>
  <c r="N51"/>
  <c r="D111"/>
  <c r="J111"/>
  <c r="E111"/>
  <c r="D33"/>
  <c r="J33"/>
  <c r="E33"/>
  <c r="N47" i="18"/>
  <c r="D31"/>
  <c r="J31"/>
  <c r="E31"/>
  <c r="D131" i="19" l="1"/>
  <c r="D133" s="1"/>
  <c r="C98" l="1"/>
  <c r="D98" s="1"/>
  <c r="C95"/>
  <c r="C18"/>
  <c r="C16"/>
  <c r="C16" i="18"/>
  <c r="C14"/>
  <c r="D18" i="19" l="1"/>
  <c r="I18"/>
  <c r="I16" i="18"/>
  <c r="D16"/>
  <c r="E95" i="19"/>
  <c r="K95"/>
  <c r="J95"/>
  <c r="I98"/>
  <c r="J98"/>
  <c r="K98"/>
  <c r="K18"/>
  <c r="J18"/>
  <c r="E16"/>
  <c r="K16"/>
  <c r="J16"/>
  <c r="H16" i="18"/>
  <c r="K16"/>
  <c r="J16"/>
  <c r="D14"/>
  <c r="J14"/>
  <c r="K14"/>
  <c r="D95" i="19"/>
  <c r="H98"/>
  <c r="F98"/>
  <c r="H18"/>
  <c r="D16"/>
  <c r="F18"/>
  <c r="E14" i="18"/>
  <c r="F16"/>
  <c r="J134" i="19" l="1"/>
  <c r="J136" s="1"/>
  <c r="J51"/>
  <c r="J53" s="1"/>
  <c r="K51"/>
  <c r="K53" s="1"/>
  <c r="K134"/>
  <c r="K136" s="1"/>
  <c r="D106"/>
  <c r="D120"/>
  <c r="D121" s="1"/>
  <c r="D28"/>
  <c r="D47"/>
  <c r="G134"/>
  <c r="G136" s="1"/>
  <c r="G47" i="18"/>
  <c r="G49" s="1"/>
  <c r="J47"/>
  <c r="J49" s="1"/>
  <c r="K47"/>
  <c r="K49" s="1"/>
  <c r="D26"/>
  <c r="D27" s="1"/>
  <c r="D43"/>
  <c r="G51" i="19"/>
  <c r="G53" s="1"/>
  <c r="F134"/>
  <c r="F136" s="1"/>
  <c r="E51"/>
  <c r="E53" s="1"/>
  <c r="H134"/>
  <c r="H136" s="1"/>
  <c r="H51"/>
  <c r="H53" s="1"/>
  <c r="I134"/>
  <c r="I51"/>
  <c r="I53" s="1"/>
  <c r="I56" s="1"/>
  <c r="F51"/>
  <c r="F53" s="1"/>
  <c r="E134"/>
  <c r="E136" s="1"/>
  <c r="H47" i="18"/>
  <c r="H49" s="1"/>
  <c r="I47"/>
  <c r="I49" s="1"/>
  <c r="I52" s="1"/>
  <c r="F47"/>
  <c r="F49" s="1"/>
  <c r="E47"/>
  <c r="E49" s="1"/>
  <c r="D107" i="19" l="1"/>
  <c r="D109" s="1"/>
  <c r="I136"/>
  <c r="D48"/>
  <c r="D50" s="1"/>
  <c r="D29"/>
  <c r="D31" s="1"/>
  <c r="D44" i="18"/>
  <c r="D46" s="1"/>
  <c r="G50"/>
  <c r="D134" i="19"/>
  <c r="D123"/>
  <c r="G137"/>
  <c r="D51"/>
  <c r="D53" s="1"/>
  <c r="I57" s="1"/>
  <c r="D29" i="18"/>
  <c r="D47"/>
  <c r="D49" s="1"/>
  <c r="I53" s="1"/>
  <c r="G54" i="19"/>
  <c r="G52"/>
  <c r="G135"/>
  <c r="E52"/>
  <c r="E135"/>
  <c r="E54"/>
  <c r="E56" s="1"/>
  <c r="G48" i="18"/>
  <c r="E48"/>
  <c r="E57" i="19" l="1"/>
  <c r="I139"/>
  <c r="D136"/>
  <c r="E137"/>
  <c r="E139" s="1"/>
  <c r="E50" i="18"/>
  <c r="E52" s="1"/>
  <c r="E53" s="1"/>
  <c r="G139" i="19"/>
  <c r="G56"/>
  <c r="G57" s="1"/>
  <c r="G52" i="18"/>
  <c r="G53" s="1"/>
  <c r="G140" i="19" l="1"/>
  <c r="I140"/>
  <c r="E140"/>
</calcChain>
</file>

<file path=xl/sharedStrings.xml><?xml version="1.0" encoding="utf-8"?>
<sst xmlns="http://schemas.openxmlformats.org/spreadsheetml/2006/main" count="1334" uniqueCount="206">
  <si>
    <t>Số
TT</t>
  </si>
  <si>
    <t>Gạo tẻ</t>
  </si>
  <si>
    <t>Mắm</t>
  </si>
  <si>
    <t>Thịt gà</t>
  </si>
  <si>
    <t>Thịt bò</t>
  </si>
  <si>
    <t>Cà rốt</t>
  </si>
  <si>
    <t>Năng lượng bữa chính/trẻ</t>
  </si>
  <si>
    <t>Năng lượng bữa phụ/trẻ</t>
  </si>
  <si>
    <t>Lượng 
TP 
sạch</t>
  </si>
  <si>
    <t>Năng 
lượng
(Kcal)</t>
  </si>
  <si>
    <r>
      <t>P</t>
    </r>
    <r>
      <rPr>
        <sz val="11"/>
        <rFont val="Times New Roman"/>
        <family val="1"/>
      </rPr>
      <t>(ĐV)</t>
    </r>
  </si>
  <si>
    <t>Protein (g)</t>
  </si>
  <si>
    <r>
      <t>P</t>
    </r>
    <r>
      <rPr>
        <sz val="11"/>
        <rFont val="Times New Roman"/>
        <family val="1"/>
      </rPr>
      <t>(TV)</t>
    </r>
  </si>
  <si>
    <t>Lipid (g)</t>
  </si>
  <si>
    <r>
      <t>L</t>
    </r>
    <r>
      <rPr>
        <sz val="11"/>
        <rFont val="Times New Roman"/>
        <family val="1"/>
      </rPr>
      <t>(ĐV)</t>
    </r>
  </si>
  <si>
    <r>
      <t>L</t>
    </r>
    <r>
      <rPr>
        <sz val="11"/>
        <rFont val="Times New Roman"/>
        <family val="1"/>
      </rPr>
      <t>(TV)</t>
    </r>
  </si>
  <si>
    <t>Glucid
(g)</t>
  </si>
  <si>
    <t>Thực phẩm cần mua (g)</t>
  </si>
  <si>
    <t>Số tiền (đ)</t>
  </si>
  <si>
    <t>Tên 
thực phẩm</t>
  </si>
  <si>
    <t>Cà chua</t>
  </si>
  <si>
    <t>19.5-35.4</t>
  </si>
  <si>
    <t>17-28.2</t>
  </si>
  <si>
    <t>78-106.2</t>
  </si>
  <si>
    <t>19-31.7</t>
  </si>
  <si>
    <t>20-28.9</t>
  </si>
  <si>
    <t>68.8-79.4</t>
  </si>
  <si>
    <t>615-726</t>
  </si>
  <si>
    <t>600-651</t>
  </si>
  <si>
    <t>Đường kính</t>
  </si>
  <si>
    <t>BẢNG TÍNH KHẨU PHẦN ĂN CỦA TRẺ MẪU GIÁO</t>
  </si>
  <si>
    <t>BẢNG TÍNH KHẨU PHẦN ĂN CỦA TRẺ NHÀ TRẺ</t>
  </si>
  <si>
    <t>Ca</t>
  </si>
  <si>
    <t>B1</t>
  </si>
  <si>
    <t>Đơn giá (đ)</t>
  </si>
  <si>
    <t>Bữa chính</t>
  </si>
  <si>
    <t>NGƯỜI THỰC HIỆN</t>
  </si>
  <si>
    <t>% năng lượng bữa chính</t>
  </si>
  <si>
    <t>30-35%</t>
  </si>
  <si>
    <t>Bữa phụ</t>
  </si>
  <si>
    <t>% năng lượng bữa phụ</t>
  </si>
  <si>
    <t>15-20%</t>
  </si>
  <si>
    <t>Bữa trưa</t>
  </si>
  <si>
    <t>Năng lượng bữa trưa/trẻ</t>
  </si>
  <si>
    <t>% năng lượng bữa trưa</t>
  </si>
  <si>
    <t>Bữa chiều</t>
  </si>
  <si>
    <t>Năng lượng bữa chiều/trẻ</t>
  </si>
  <si>
    <t>% năng lượng bữa chiều</t>
  </si>
  <si>
    <t>25-30%</t>
  </si>
  <si>
    <t>5-10%</t>
  </si>
  <si>
    <t>% năng lượng 
bữa chính</t>
  </si>
  <si>
    <t>% năng lượng 
bữa phụ</t>
  </si>
  <si>
    <t>% năng lượng 
bữa trưa</t>
  </si>
  <si>
    <t>% năng lượng 
bữa chiều</t>
  </si>
  <si>
    <t>Đơn giá 
(đ)</t>
  </si>
  <si>
    <t>Thực phẩm cần mua
 (g)</t>
  </si>
  <si>
    <t>Đơn giá
(đ)</t>
  </si>
  <si>
    <t>Dự kiến</t>
  </si>
  <si>
    <t>Thực đạt</t>
  </si>
  <si>
    <r>
      <t>TRƯỜ</t>
    </r>
    <r>
      <rPr>
        <b/>
        <u/>
        <sz val="11"/>
        <rFont val="Times New Roman"/>
        <family val="1"/>
      </rPr>
      <t>NG MÂM NON MỸ</t>
    </r>
    <r>
      <rPr>
        <b/>
        <sz val="11"/>
        <rFont val="Times New Roman"/>
        <family val="1"/>
      </rPr>
      <t xml:space="preserve"> TIẾN</t>
    </r>
  </si>
  <si>
    <t>PHÓ HIỆU TRƯỞNG</t>
  </si>
  <si>
    <t>Hạt sen</t>
  </si>
  <si>
    <t>Trứng chim cút</t>
  </si>
  <si>
    <t>Trứng gà</t>
  </si>
  <si>
    <t>Thịt vịt</t>
  </si>
  <si>
    <t>Gạo nếp</t>
  </si>
  <si>
    <t xml:space="preserve">Thịt lợn nạc </t>
  </si>
  <si>
    <t>Thịt lợn nạc</t>
  </si>
  <si>
    <t>Bí đao</t>
  </si>
  <si>
    <t>Kcal (P:L:G)</t>
  </si>
  <si>
    <t>Tỷ lệ các chất  (%)</t>
  </si>
  <si>
    <t>Khuyến nghị</t>
  </si>
  <si>
    <t>13-20</t>
  </si>
  <si>
    <t>25-35</t>
  </si>
  <si>
    <t>52-60</t>
  </si>
  <si>
    <t>Khẩu phần 
cả ngày của 1 trẻ đạt (g)</t>
  </si>
  <si>
    <t>Khẩu phần khuyến nghị (g)</t>
  </si>
  <si>
    <t>Tỷ lệ các chất (%)</t>
  </si>
  <si>
    <t>30-40</t>
  </si>
  <si>
    <t>47-50</t>
  </si>
  <si>
    <t>Bí đỏ</t>
  </si>
  <si>
    <t>BỮA TRƯA</t>
  </si>
  <si>
    <t>BỮA CHIỀU</t>
  </si>
  <si>
    <t>Cơm tẻ</t>
  </si>
  <si>
    <t>Đặng Thị Phượng</t>
  </si>
  <si>
    <t>Thịt lợn nạc sốt cà chua</t>
  </si>
  <si>
    <t>Canh cà rốt, hạt sen nấu thịt gà</t>
  </si>
  <si>
    <t>Bí đao xào trứng gà</t>
  </si>
  <si>
    <t>Trứng chim cút sốt chua ngọt</t>
  </si>
  <si>
    <t>Canh bí đao, cà rốt nấu thịt lợn nạc</t>
  </si>
  <si>
    <t>Thịt lợn nạc rim trứng gà</t>
  </si>
  <si>
    <t>Trứng vịt</t>
  </si>
  <si>
    <t>Sườn lợn</t>
  </si>
  <si>
    <t>BỮA PHỤ CHIỀU</t>
  </si>
  <si>
    <t xml:space="preserve">BỮA PHỤ </t>
  </si>
  <si>
    <t>BỮA CHÍNH TRƯA</t>
  </si>
  <si>
    <t>BỮA CHÍNH CHIỀU</t>
  </si>
  <si>
    <t xml:space="preserve">Cộng chung bữa chính </t>
  </si>
  <si>
    <t xml:space="preserve">Cộng chung bữa phụ </t>
  </si>
  <si>
    <t>Cộng chung 
xuất ăn</t>
  </si>
  <si>
    <t>Nhận xét: So với khẩu phần khuyến nghị</t>
  </si>
  <si>
    <t xml:space="preserve">                </t>
  </si>
  <si>
    <t>Số g các chất dinh dưỡng và tỷ lệ các chất dinh dưỡng (P:L:G) đạt trong khoảng quy định.</t>
  </si>
  <si>
    <t>Trần Thị Thu</t>
  </si>
  <si>
    <t xml:space="preserve">Cộng chung bữa trưa </t>
  </si>
  <si>
    <t xml:space="preserve">Cộng chung bữa chiều </t>
  </si>
  <si>
    <t>Cộng chung 
 xuất ăn</t>
  </si>
  <si>
    <r>
      <t xml:space="preserve">Cách khắc phục: </t>
    </r>
    <r>
      <rPr>
        <sz val="11"/>
        <rFont val="Times New Roman"/>
        <family val="1"/>
      </rPr>
      <t>Duy trì số g lương thực thực phẩm trong khẩu phần ăn của trẻ.</t>
    </r>
  </si>
  <si>
    <t xml:space="preserve">Cộng chung  bữa phụ </t>
  </si>
  <si>
    <r>
      <t>Cách khắc phục:</t>
    </r>
    <r>
      <rPr>
        <sz val="11"/>
        <rFont val="Times New Roman"/>
        <family val="1"/>
      </rPr>
      <t xml:space="preserve"> Duy trì số g lương thực thực phẩm trong khẩu phần ăn của trẻ.</t>
    </r>
  </si>
  <si>
    <t xml:space="preserve">Số xuất ăn: </t>
  </si>
  <si>
    <t>Bột canh, hạt nêm</t>
  </si>
  <si>
    <t>Số xuất ăn</t>
  </si>
  <si>
    <r>
      <t xml:space="preserve">Cách khắc phục: </t>
    </r>
    <r>
      <rPr>
        <sz val="11"/>
        <rFont val="Times New Roman"/>
        <family val="1"/>
      </rPr>
      <t>Duy trì số g lương thực thực phẩm trong khẩu phần ăn của trẻ</t>
    </r>
  </si>
  <si>
    <t>Trần Thị Minh Thu</t>
  </si>
  <si>
    <t>Thịt vịt sốt chua ngọt</t>
  </si>
  <si>
    <t>Số g các chất dinh dưỡng và tỷ lệ các chất dinh dưỡng (P:L:G) đạt trong khoảng khuyến nghị.</t>
  </si>
  <si>
    <t>Hành khô</t>
  </si>
  <si>
    <t>Cháo thịt vịt, bí đao</t>
  </si>
  <si>
    <t>Nước tương</t>
  </si>
  <si>
    <t>Cháo bí đỏ - sườn lợn</t>
  </si>
  <si>
    <t>Dầu cá Ranee</t>
  </si>
  <si>
    <t>Bánh đa</t>
  </si>
  <si>
    <t xml:space="preserve">Cua </t>
  </si>
  <si>
    <t>Canh bí đỏ nấu sườn lợn</t>
  </si>
  <si>
    <t>Cháo thịt gà cà rốt, hạt sen</t>
  </si>
  <si>
    <t>Dầu Simply</t>
  </si>
  <si>
    <t>Chuối tây</t>
  </si>
  <si>
    <t>Tép gạo</t>
  </si>
  <si>
    <t>Mộc nhĩ</t>
  </si>
  <si>
    <t>Thịt lơn nạc om mộc nhĩ, nước tương</t>
  </si>
  <si>
    <t>Sữa bột Nuvi Grow</t>
  </si>
  <si>
    <t>Uống sữa Nuvi Grow</t>
  </si>
  <si>
    <t>Khuyến
 nghị</t>
  </si>
  <si>
    <t>Tỷ lệ L động vật đạt 70.3%; so với khẩu phần khuyến nghị đảm bảo đạt</t>
  </si>
  <si>
    <t>Rau cải thìa</t>
  </si>
  <si>
    <t>Dứa</t>
  </si>
  <si>
    <t>Bí đao, cà rốt xào thịt lợn nạc</t>
  </si>
  <si>
    <t>Trứng chim cút, thịt lợn nạc sốt cà chua</t>
  </si>
  <si>
    <t>Canh củ cải, cà rốt nấu thịt vịt</t>
  </si>
  <si>
    <t>Củ cải</t>
  </si>
  <si>
    <t>Canh rau cải thìa nấu cua</t>
  </si>
  <si>
    <t>Thịt gà, thịt lợn om mộc nhĩ, nước tương</t>
  </si>
  <si>
    <t>Cua</t>
  </si>
  <si>
    <t>Ruốc cá quả</t>
  </si>
  <si>
    <t>Dứa xào thịt lợn</t>
  </si>
  <si>
    <t>Cá quả</t>
  </si>
  <si>
    <t>Tỷ lệ L động vật đạt 70%; so với khẩu phần khuyến nghị đảm bảo đạt</t>
  </si>
  <si>
    <t>Bí đỏ xào thịt gà</t>
  </si>
  <si>
    <t>Trứng gà, thịt lợn chiên sốt cà chua</t>
  </si>
  <si>
    <t>Canh củ cải, cà rốt nấu thịt lợn</t>
  </si>
  <si>
    <t>Trứng vịt, thịt lợn chiên sốt cà chua</t>
  </si>
  <si>
    <t>Thịt bò sốt dứa, cà chua</t>
  </si>
  <si>
    <t>Cháo thịt bò, thịt gà - bí đỏ</t>
  </si>
  <si>
    <t>Bí đỏ xào thịt bò</t>
  </si>
  <si>
    <t>Chuối tiêu</t>
  </si>
  <si>
    <t>Xôi hạt sen, ruốc thịt lợn</t>
  </si>
  <si>
    <t>Su hào xào thịt gà</t>
  </si>
  <si>
    <t>Canh rau cải cúc nấu tép</t>
  </si>
  <si>
    <t>Rau cải cúc</t>
  </si>
  <si>
    <t>Canh rau bắp cải nấu thịt bò</t>
  </si>
  <si>
    <t>Bắp cải</t>
  </si>
  <si>
    <t>Canh bắp cải nấu thịt bò</t>
  </si>
  <si>
    <t>Tỷ lệ L động vật đạt 70.2%; so với khẩu phần khuyến nghị đảm bảo đạt</t>
  </si>
  <si>
    <t>Canh củ cải, cà rốt nấu thịt gà</t>
  </si>
  <si>
    <t>Tỷ lệ P động vật đạt 52%; so với khẩu phần khuyến tương nghị đảm bảo đạt</t>
  </si>
  <si>
    <t>Canh su hào, cà rốt nấu thịt gà</t>
  </si>
  <si>
    <t>Bánh đa cua, rau cải cúc</t>
  </si>
  <si>
    <t>Su hào</t>
  </si>
  <si>
    <t>Tỷ lệ L động vật đạt 69.9%; so với khẩu phần khuyến nghị đảm bảo đạt</t>
  </si>
  <si>
    <t>Canh cua rau cải cúc</t>
  </si>
  <si>
    <t>Tỷ lệ L động vật đạt 69.7%; so với khẩu phần khuyến nghị đảm bảo đạt</t>
  </si>
  <si>
    <t>Tỷ lệ P động vật đạt 58%; so với khẩu phần khuyến nghị đảm bảo đạt</t>
  </si>
  <si>
    <t>Kcal đạt 703.9. So với khẩu phần khuyến nghị đảm bảo đạt</t>
  </si>
  <si>
    <t>Tỷ lệ L động vật đạt 69.8%; so với khẩu phần khuyến nghị đảm bảo đạt</t>
  </si>
  <si>
    <t>Thứ hai, ngày 23 tháng 3 năm 2026</t>
  </si>
  <si>
    <t>Tỷ lệ P động vật đạt 50.1%; so với khẩu phần khuyến nghị tương đối đạt</t>
  </si>
  <si>
    <t>Tỷ lệ L động vật đạt 69,9%; so với khẩu phần khuyến nghị đảm bảo đạt</t>
  </si>
  <si>
    <t>Kcal đạt 628.02 So với khẩu phần khuyến nghị đảm bảo đạt</t>
  </si>
  <si>
    <t>Tỷ lệ P động vật đạt 53.9%; so với khẩu phần khuyến nghị đảm bảo đạt</t>
  </si>
  <si>
    <t>Thứ ba, ngày 24 tháng 3 năm 2026</t>
  </si>
  <si>
    <t>Kcal đạt 717.26 So với khẩu phần khuyến nghị đảm bảo đạt</t>
  </si>
  <si>
    <t>Tỷ lệ P động vật đạt 53.5%; so với khẩu phần khuyến tương đối đạt</t>
  </si>
  <si>
    <t>Tỷ lệ L động vật đạt 70.1%; so với khẩu phần khuyến nghị đảm bảo đạt</t>
  </si>
  <si>
    <t>Kcal đạt 649.58 So với khẩu phần khuyến nghị đảm bảo đạt</t>
  </si>
  <si>
    <t>Tỷ lệ P động vật đạt 58.4%; so với khẩu phần khuyến nghị đảm bảo đạt</t>
  </si>
  <si>
    <t>Kcal đạt 714.01. So với khẩu phần khuyến nghị đảm bảo đạt trong khoảng nhu cầu khuyến nghị</t>
  </si>
  <si>
    <t>Tỷ lệ L động vật đạt 69.4.%; so với khẩu phần khuyến nghị đảm bảo đạt</t>
  </si>
  <si>
    <t>Thứ tư, ngày 25 tháng 3 năm 2026</t>
  </si>
  <si>
    <t>Kcal đạt 627.34 So với khẩu phần khuyến nghị đảm bảo đạt</t>
  </si>
  <si>
    <t>Tỷ lệ P động vật đạt 66.5%; So với khẩu phần khuyến nghị cao hơn 6.5%</t>
  </si>
  <si>
    <t>Thứ năm, ngày 26 tháng 3 năm 2026</t>
  </si>
  <si>
    <t>Kcal đạt 725.01 So với khẩu phần khuyến nghị đảm bảo đạt</t>
  </si>
  <si>
    <t>Kcal đạt 643.13. So với khẩu phần khuyến nghị đảm bảo đạt</t>
  </si>
  <si>
    <t>Tỷ lệ P động vật đạt 59.3%; so với khẩu phần khuyến nghị đảm bảo đạt</t>
  </si>
  <si>
    <t>Thứ sáu, ngày 27 tháng 3 năm 2026</t>
  </si>
  <si>
    <t>Kcal đạt 702.034. So với khẩu phần khuyến nghị đảm bảo đạt</t>
  </si>
  <si>
    <t>Tỷ lệ P động vật đạt 51.1%; so với khẩu phần khuyến nghị tương đối đạt</t>
  </si>
  <si>
    <t>Kcal đạt 644.64 So với khẩu phần khuyến nghị đảm bảo đạt</t>
  </si>
  <si>
    <t>Tỷ lệ P động vật đạt 58.8%; so với khẩu phần khuyến nghị đảm bảo đạt</t>
  </si>
  <si>
    <t>Thứ bẩy, ngày 28 tháng 3 năm 2026</t>
  </si>
  <si>
    <t>Kcal đạt 719.21 So với khẩu phần khuyến nghị đảm bảo đạt</t>
  </si>
  <si>
    <t>Tỷ lệ P động vật đạt 52.1%; so với khẩu phần khuyến nghị tương đối đạt</t>
  </si>
  <si>
    <t>Kcal đạt 640.7 So với khẩu phần khuyến nghị đảm bảo đạt</t>
  </si>
  <si>
    <t>Tỷ lệ P động vật đạt 61.1%; so với khẩu phần khuyến nghị cao hơn 1.1%</t>
  </si>
  <si>
    <t>Tỷ lệ L động vật đạt 70.5%; so với khẩu phần khuyến nghị đảm bảo đạt</t>
  </si>
</sst>
</file>

<file path=xl/styles.xml><?xml version="1.0" encoding="utf-8"?>
<styleSheet xmlns="http://schemas.openxmlformats.org/spreadsheetml/2006/main">
  <numFmts count="4">
    <numFmt numFmtId="164" formatCode="0.000"/>
    <numFmt numFmtId="165" formatCode="#.##0"/>
    <numFmt numFmtId="166" formatCode="#,##0.0"/>
    <numFmt numFmtId="167" formatCode="0.0"/>
  </numFmts>
  <fonts count="16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u/>
      <sz val="11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5" fillId="0" borderId="0"/>
  </cellStyleXfs>
  <cellXfs count="349">
    <xf numFmtId="0" fontId="0" fillId="0" borderId="0" xfId="0"/>
    <xf numFmtId="0" fontId="3" fillId="0" borderId="0" xfId="0" applyFont="1"/>
    <xf numFmtId="0" fontId="3" fillId="0" borderId="0" xfId="0" applyFont="1" applyFill="1"/>
    <xf numFmtId="2" fontId="3" fillId="0" borderId="0" xfId="0" applyNumberFormat="1" applyFont="1" applyFill="1"/>
    <xf numFmtId="4" fontId="3" fillId="0" borderId="0" xfId="0" applyNumberFormat="1" applyFont="1" applyFill="1"/>
    <xf numFmtId="0" fontId="8" fillId="0" borderId="4" xfId="0" applyFont="1" applyFill="1" applyBorder="1"/>
    <xf numFmtId="4" fontId="6" fillId="0" borderId="2" xfId="0" applyNumberFormat="1" applyFont="1" applyBorder="1"/>
    <xf numFmtId="0" fontId="5" fillId="0" borderId="0" xfId="0" applyFont="1" applyAlignment="1"/>
    <xf numFmtId="0" fontId="8" fillId="0" borderId="4" xfId="0" applyFont="1" applyFill="1" applyBorder="1" applyAlignment="1">
      <alignment horizontal="center"/>
    </xf>
    <xf numFmtId="3" fontId="8" fillId="0" borderId="4" xfId="1" applyNumberFormat="1" applyFont="1" applyFill="1" applyBorder="1" applyAlignment="1">
      <alignment horizontal="left"/>
    </xf>
    <xf numFmtId="0" fontId="2" fillId="0" borderId="0" xfId="0" applyFont="1" applyAlignment="1"/>
    <xf numFmtId="0" fontId="3" fillId="0" borderId="0" xfId="0" applyFont="1" applyBorder="1"/>
    <xf numFmtId="3" fontId="11" fillId="0" borderId="4" xfId="0" applyNumberFormat="1" applyFont="1" applyFill="1" applyBorder="1"/>
    <xf numFmtId="2" fontId="11" fillId="0" borderId="4" xfId="0" applyNumberFormat="1" applyFont="1" applyFill="1" applyBorder="1"/>
    <xf numFmtId="4" fontId="11" fillId="0" borderId="4" xfId="0" applyNumberFormat="1" applyFont="1" applyFill="1" applyBorder="1"/>
    <xf numFmtId="1" fontId="11" fillId="0" borderId="4" xfId="0" applyNumberFormat="1" applyFont="1" applyFill="1" applyBorder="1"/>
    <xf numFmtId="3" fontId="11" fillId="0" borderId="4" xfId="0" applyNumberFormat="1" applyFont="1" applyFill="1" applyBorder="1" applyAlignment="1"/>
    <xf numFmtId="4" fontId="11" fillId="0" borderId="5" xfId="0" applyNumberFormat="1" applyFont="1" applyFill="1" applyBorder="1"/>
    <xf numFmtId="1" fontId="6" fillId="0" borderId="3" xfId="0" applyNumberFormat="1" applyFont="1" applyBorder="1"/>
    <xf numFmtId="0" fontId="6" fillId="0" borderId="2" xfId="0" applyFont="1" applyBorder="1" applyAlignment="1">
      <alignment vertical="center"/>
    </xf>
    <xf numFmtId="167" fontId="11" fillId="0" borderId="4" xfId="0" applyNumberFormat="1" applyFont="1" applyFill="1" applyBorder="1"/>
    <xf numFmtId="164" fontId="11" fillId="0" borderId="5" xfId="0" applyNumberFormat="1" applyFont="1" applyFill="1" applyBorder="1"/>
    <xf numFmtId="164" fontId="11" fillId="0" borderId="4" xfId="0" applyNumberFormat="1" applyFont="1" applyFill="1" applyBorder="1"/>
    <xf numFmtId="0" fontId="13" fillId="0" borderId="15" xfId="0" applyFont="1" applyFill="1" applyBorder="1" applyAlignment="1"/>
    <xf numFmtId="0" fontId="13" fillId="0" borderId="6" xfId="0" applyFont="1" applyFill="1" applyBorder="1" applyAlignment="1"/>
    <xf numFmtId="3" fontId="11" fillId="0" borderId="2" xfId="0" applyNumberFormat="1" applyFont="1" applyFill="1" applyBorder="1"/>
    <xf numFmtId="2" fontId="6" fillId="0" borderId="2" xfId="0" applyNumberFormat="1" applyFont="1" applyFill="1" applyBorder="1"/>
    <xf numFmtId="4" fontId="11" fillId="0" borderId="2" xfId="0" applyNumberFormat="1" applyFont="1" applyFill="1" applyBorder="1"/>
    <xf numFmtId="1" fontId="11" fillId="0" borderId="2" xfId="0" applyNumberFormat="1" applyFont="1" applyFill="1" applyBorder="1"/>
    <xf numFmtId="2" fontId="6" fillId="0" borderId="2" xfId="0" applyNumberFormat="1" applyFont="1" applyFill="1" applyBorder="1" applyAlignment="1">
      <alignment horizontal="center"/>
    </xf>
    <xf numFmtId="3" fontId="6" fillId="0" borderId="2" xfId="0" applyNumberFormat="1" applyFont="1" applyFill="1" applyBorder="1" applyAlignment="1">
      <alignment horizontal="center" vertical="center"/>
    </xf>
    <xf numFmtId="4" fontId="6" fillId="0" borderId="2" xfId="0" applyNumberFormat="1" applyFont="1" applyFill="1" applyBorder="1"/>
    <xf numFmtId="1" fontId="6" fillId="0" borderId="2" xfId="0" applyNumberFormat="1" applyFont="1" applyFill="1" applyBorder="1"/>
    <xf numFmtId="0" fontId="11" fillId="0" borderId="2" xfId="0" applyFont="1" applyBorder="1"/>
    <xf numFmtId="0" fontId="6" fillId="0" borderId="2" xfId="0" applyFont="1" applyBorder="1"/>
    <xf numFmtId="1" fontId="6" fillId="0" borderId="2" xfId="0" applyNumberFormat="1" applyFont="1" applyBorder="1"/>
    <xf numFmtId="0" fontId="6" fillId="0" borderId="13" xfId="0" applyFont="1" applyBorder="1"/>
    <xf numFmtId="0" fontId="8" fillId="0" borderId="11" xfId="0" applyFont="1" applyFill="1" applyBorder="1" applyAlignment="1">
      <alignment horizontal="center"/>
    </xf>
    <xf numFmtId="3" fontId="8" fillId="0" borderId="11" xfId="1" applyNumberFormat="1" applyFont="1" applyFill="1" applyBorder="1" applyAlignment="1">
      <alignment horizontal="left"/>
    </xf>
    <xf numFmtId="3" fontId="11" fillId="0" borderId="11" xfId="0" applyNumberFormat="1" applyFont="1" applyFill="1" applyBorder="1"/>
    <xf numFmtId="2" fontId="11" fillId="0" borderId="11" xfId="0" applyNumberFormat="1" applyFont="1" applyFill="1" applyBorder="1"/>
    <xf numFmtId="4" fontId="11" fillId="0" borderId="11" xfId="0" applyNumberFormat="1" applyFont="1" applyFill="1" applyBorder="1"/>
    <xf numFmtId="1" fontId="11" fillId="0" borderId="11" xfId="0" applyNumberFormat="1" applyFont="1" applyFill="1" applyBorder="1"/>
    <xf numFmtId="167" fontId="11" fillId="0" borderId="11" xfId="0" applyNumberFormat="1" applyFont="1" applyFill="1" applyBorder="1"/>
    <xf numFmtId="3" fontId="11" fillId="0" borderId="11" xfId="0" applyNumberFormat="1" applyFont="1" applyFill="1" applyBorder="1" applyAlignment="1"/>
    <xf numFmtId="3" fontId="11" fillId="0" borderId="12" xfId="0" applyNumberFormat="1" applyFont="1" applyFill="1" applyBorder="1"/>
    <xf numFmtId="2" fontId="11" fillId="0" borderId="12" xfId="0" applyNumberFormat="1" applyFont="1" applyFill="1" applyBorder="1"/>
    <xf numFmtId="4" fontId="11" fillId="0" borderId="12" xfId="0" applyNumberFormat="1" applyFont="1" applyFill="1" applyBorder="1"/>
    <xf numFmtId="1" fontId="11" fillId="0" borderId="12" xfId="0" applyNumberFormat="1" applyFont="1" applyFill="1" applyBorder="1"/>
    <xf numFmtId="3" fontId="11" fillId="0" borderId="6" xfId="0" applyNumberFormat="1" applyFont="1" applyFill="1" applyBorder="1" applyAlignment="1"/>
    <xf numFmtId="1" fontId="6" fillId="0" borderId="2" xfId="0" applyNumberFormat="1" applyFont="1" applyFill="1" applyBorder="1" applyAlignment="1">
      <alignment horizontal="center"/>
    </xf>
    <xf numFmtId="3" fontId="11" fillId="0" borderId="12" xfId="0" applyNumberFormat="1" applyFont="1" applyFill="1" applyBorder="1" applyAlignment="1"/>
    <xf numFmtId="0" fontId="11" fillId="0" borderId="13" xfId="0" applyFont="1" applyBorder="1"/>
    <xf numFmtId="1" fontId="6" fillId="0" borderId="13" xfId="0" applyNumberFormat="1" applyFont="1" applyBorder="1"/>
    <xf numFmtId="0" fontId="11" fillId="0" borderId="12" xfId="0" applyFont="1" applyBorder="1"/>
    <xf numFmtId="0" fontId="6" fillId="0" borderId="12" xfId="0" applyFont="1" applyBorder="1"/>
    <xf numFmtId="1" fontId="6" fillId="0" borderId="12" xfId="0" applyNumberFormat="1" applyFont="1" applyBorder="1"/>
    <xf numFmtId="3" fontId="6" fillId="0" borderId="12" xfId="0" applyNumberFormat="1" applyFont="1" applyFill="1" applyBorder="1" applyAlignment="1">
      <alignment horizontal="center" vertical="center"/>
    </xf>
    <xf numFmtId="1" fontId="6" fillId="0" borderId="13" xfId="0" applyNumberFormat="1" applyFont="1" applyFill="1" applyBorder="1"/>
    <xf numFmtId="164" fontId="11" fillId="0" borderId="11" xfId="0" applyNumberFormat="1" applyFont="1" applyFill="1" applyBorder="1"/>
    <xf numFmtId="3" fontId="6" fillId="0" borderId="6" xfId="0" applyNumberFormat="1" applyFont="1" applyFill="1" applyBorder="1" applyAlignment="1">
      <alignment horizontal="center" vertical="center"/>
    </xf>
    <xf numFmtId="3" fontId="11" fillId="0" borderId="2" xfId="0" applyNumberFormat="1" applyFont="1" applyFill="1" applyBorder="1" applyAlignment="1">
      <alignment horizontal="center"/>
    </xf>
    <xf numFmtId="3" fontId="11" fillId="0" borderId="3" xfId="0" applyNumberFormat="1" applyFont="1" applyFill="1" applyBorder="1" applyAlignment="1">
      <alignment horizontal="center"/>
    </xf>
    <xf numFmtId="164" fontId="14" fillId="0" borderId="5" xfId="0" applyNumberFormat="1" applyFont="1" applyFill="1" applyBorder="1"/>
    <xf numFmtId="164" fontId="14" fillId="0" borderId="4" xfId="0" applyNumberFormat="1" applyFont="1" applyFill="1" applyBorder="1"/>
    <xf numFmtId="2" fontId="14" fillId="0" borderId="4" xfId="0" applyNumberFormat="1" applyFont="1" applyFill="1" applyBorder="1"/>
    <xf numFmtId="3" fontId="14" fillId="0" borderId="4" xfId="1" applyNumberFormat="1" applyFont="1" applyFill="1" applyBorder="1" applyAlignment="1">
      <alignment horizontal="left"/>
    </xf>
    <xf numFmtId="3" fontId="3" fillId="0" borderId="4" xfId="1" applyNumberFormat="1" applyFont="1" applyFill="1" applyBorder="1" applyAlignment="1">
      <alignment horizontal="left"/>
    </xf>
    <xf numFmtId="2" fontId="6" fillId="0" borderId="2" xfId="0" applyNumberFormat="1" applyFont="1" applyBorder="1" applyAlignment="1">
      <alignment vertical="center"/>
    </xf>
    <xf numFmtId="0" fontId="4" fillId="0" borderId="0" xfId="0" applyFont="1" applyFill="1" applyBorder="1" applyAlignment="1">
      <alignment horizontal="left"/>
    </xf>
    <xf numFmtId="0" fontId="6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4" fontId="12" fillId="0" borderId="0" xfId="0" applyNumberFormat="1" applyFont="1" applyBorder="1" applyAlignment="1">
      <alignment horizontal="center" vertical="center"/>
    </xf>
    <xf numFmtId="1" fontId="12" fillId="0" borderId="0" xfId="0" applyNumberFormat="1" applyFont="1" applyBorder="1" applyAlignment="1">
      <alignment horizontal="center" vertical="center"/>
    </xf>
    <xf numFmtId="0" fontId="8" fillId="0" borderId="12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8" fillId="0" borderId="20" xfId="0" applyFont="1" applyFill="1" applyBorder="1" applyAlignment="1">
      <alignment horizontal="center"/>
    </xf>
    <xf numFmtId="3" fontId="8" fillId="0" borderId="20" xfId="1" applyNumberFormat="1" applyFont="1" applyFill="1" applyBorder="1" applyAlignment="1">
      <alignment horizontal="left"/>
    </xf>
    <xf numFmtId="3" fontId="11" fillId="0" borderId="20" xfId="0" applyNumberFormat="1" applyFont="1" applyFill="1" applyBorder="1"/>
    <xf numFmtId="2" fontId="11" fillId="0" borderId="20" xfId="0" applyNumberFormat="1" applyFont="1" applyFill="1" applyBorder="1"/>
    <xf numFmtId="4" fontId="11" fillId="0" borderId="20" xfId="0" applyNumberFormat="1" applyFont="1" applyFill="1" applyBorder="1"/>
    <xf numFmtId="1" fontId="11" fillId="0" borderId="20" xfId="0" applyNumberFormat="1" applyFont="1" applyFill="1" applyBorder="1"/>
    <xf numFmtId="3" fontId="11" fillId="0" borderId="20" xfId="0" applyNumberFormat="1" applyFont="1" applyFill="1" applyBorder="1" applyAlignment="1"/>
    <xf numFmtId="2" fontId="3" fillId="0" borderId="0" xfId="0" applyNumberFormat="1" applyFont="1"/>
    <xf numFmtId="167" fontId="6" fillId="0" borderId="2" xfId="0" applyNumberFormat="1" applyFont="1" applyBorder="1" applyAlignment="1">
      <alignment vertical="center"/>
    </xf>
    <xf numFmtId="1" fontId="6" fillId="0" borderId="2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" fontId="6" fillId="0" borderId="0" xfId="0" applyNumberFormat="1" applyFont="1" applyBorder="1" applyAlignment="1">
      <alignment horizontal="center" vertical="center"/>
    </xf>
    <xf numFmtId="1" fontId="6" fillId="0" borderId="0" xfId="0" applyNumberFormat="1" applyFont="1" applyBorder="1" applyAlignment="1">
      <alignment horizontal="center" vertical="center"/>
    </xf>
    <xf numFmtId="4" fontId="14" fillId="0" borderId="4" xfId="0" applyNumberFormat="1" applyFont="1" applyFill="1" applyBorder="1"/>
    <xf numFmtId="3" fontId="14" fillId="0" borderId="11" xfId="0" applyNumberFormat="1" applyFont="1" applyFill="1" applyBorder="1" applyAlignment="1"/>
    <xf numFmtId="3" fontId="14" fillId="0" borderId="4" xfId="0" applyNumberFormat="1" applyFont="1" applyFill="1" applyBorder="1" applyAlignment="1"/>
    <xf numFmtId="2" fontId="12" fillId="0" borderId="2" xfId="0" applyNumberFormat="1" applyFont="1" applyFill="1" applyBorder="1"/>
    <xf numFmtId="4" fontId="12" fillId="0" borderId="2" xfId="0" applyNumberFormat="1" applyFont="1" applyBorder="1"/>
    <xf numFmtId="4" fontId="13" fillId="0" borderId="2" xfId="0" applyNumberFormat="1" applyFont="1" applyBorder="1"/>
    <xf numFmtId="2" fontId="6" fillId="2" borderId="3" xfId="0" applyNumberFormat="1" applyFont="1" applyFill="1" applyBorder="1" applyAlignment="1">
      <alignment vertical="center"/>
    </xf>
    <xf numFmtId="2" fontId="6" fillId="0" borderId="3" xfId="0" applyNumberFormat="1" applyFont="1" applyBorder="1" applyAlignment="1">
      <alignment vertical="center"/>
    </xf>
    <xf numFmtId="0" fontId="4" fillId="0" borderId="2" xfId="0" applyFont="1" applyFill="1" applyBorder="1" applyAlignment="1">
      <alignment horizontal="right"/>
    </xf>
    <xf numFmtId="2" fontId="6" fillId="0" borderId="3" xfId="0" applyNumberFormat="1" applyFont="1" applyFill="1" applyBorder="1" applyAlignment="1">
      <alignment vertical="center"/>
    </xf>
    <xf numFmtId="0" fontId="6" fillId="0" borderId="13" xfId="0" applyFont="1" applyBorder="1" applyAlignment="1">
      <alignment vertical="center"/>
    </xf>
    <xf numFmtId="167" fontId="14" fillId="0" borderId="4" xfId="0" applyNumberFormat="1" applyFont="1" applyFill="1" applyBorder="1"/>
    <xf numFmtId="0" fontId="6" fillId="0" borderId="13" xfId="0" applyFont="1" applyFill="1" applyBorder="1" applyAlignment="1">
      <alignment vertical="center"/>
    </xf>
    <xf numFmtId="4" fontId="11" fillId="2" borderId="4" xfId="0" applyNumberFormat="1" applyFont="1" applyFill="1" applyBorder="1"/>
    <xf numFmtId="4" fontId="11" fillId="2" borderId="20" xfId="0" applyNumberFormat="1" applyFont="1" applyFill="1" applyBorder="1"/>
    <xf numFmtId="164" fontId="12" fillId="2" borderId="6" xfId="0" applyNumberFormat="1" applyFont="1" applyFill="1" applyBorder="1" applyAlignment="1"/>
    <xf numFmtId="164" fontId="6" fillId="2" borderId="6" xfId="0" applyNumberFormat="1" applyFont="1" applyFill="1" applyBorder="1" applyAlignment="1"/>
    <xf numFmtId="164" fontId="6" fillId="2" borderId="2" xfId="0" applyNumberFormat="1" applyFont="1" applyFill="1" applyBorder="1" applyAlignment="1"/>
    <xf numFmtId="167" fontId="11" fillId="2" borderId="11" xfId="0" applyNumberFormat="1" applyFont="1" applyFill="1" applyBorder="1"/>
    <xf numFmtId="167" fontId="11" fillId="2" borderId="4" xfId="0" applyNumberFormat="1" applyFont="1" applyFill="1" applyBorder="1"/>
    <xf numFmtId="1" fontId="11" fillId="2" borderId="4" xfId="0" applyNumberFormat="1" applyFont="1" applyFill="1" applyBorder="1"/>
    <xf numFmtId="0" fontId="6" fillId="2" borderId="13" xfId="0" applyFont="1" applyFill="1" applyBorder="1" applyAlignment="1">
      <alignment vertical="center"/>
    </xf>
    <xf numFmtId="3" fontId="11" fillId="2" borderId="4" xfId="0" applyNumberFormat="1" applyFont="1" applyFill="1" applyBorder="1" applyAlignment="1"/>
    <xf numFmtId="3" fontId="11" fillId="2" borderId="11" xfId="0" applyNumberFormat="1" applyFont="1" applyFill="1" applyBorder="1" applyAlignment="1"/>
    <xf numFmtId="3" fontId="11" fillId="0" borderId="4" xfId="1" applyNumberFormat="1" applyFont="1" applyFill="1" applyBorder="1" applyAlignment="1">
      <alignment horizontal="left"/>
    </xf>
    <xf numFmtId="0" fontId="2" fillId="2" borderId="0" xfId="0" applyFont="1" applyFill="1" applyAlignment="1"/>
    <xf numFmtId="0" fontId="5" fillId="2" borderId="0" xfId="0" applyFont="1" applyFill="1" applyAlignment="1"/>
    <xf numFmtId="0" fontId="3" fillId="2" borderId="0" xfId="0" applyFont="1" applyFill="1"/>
    <xf numFmtId="0" fontId="8" fillId="0" borderId="2" xfId="0" applyFont="1" applyFill="1" applyBorder="1" applyAlignment="1">
      <alignment horizontal="center"/>
    </xf>
    <xf numFmtId="2" fontId="11" fillId="0" borderId="2" xfId="0" applyNumberFormat="1" applyFont="1" applyFill="1" applyBorder="1"/>
    <xf numFmtId="4" fontId="14" fillId="0" borderId="2" xfId="0" applyNumberFormat="1" applyFont="1" applyFill="1" applyBorder="1"/>
    <xf numFmtId="3" fontId="11" fillId="0" borderId="2" xfId="0" applyNumberFormat="1" applyFont="1" applyFill="1" applyBorder="1" applyAlignment="1"/>
    <xf numFmtId="0" fontId="8" fillId="0" borderId="5" xfId="0" applyFont="1" applyFill="1" applyBorder="1"/>
    <xf numFmtId="4" fontId="14" fillId="0" borderId="5" xfId="0" applyNumberFormat="1" applyFont="1" applyFill="1" applyBorder="1"/>
    <xf numFmtId="0" fontId="8" fillId="0" borderId="2" xfId="0" applyFont="1" applyFill="1" applyBorder="1"/>
    <xf numFmtId="164" fontId="14" fillId="0" borderId="2" xfId="0" applyNumberFormat="1" applyFont="1" applyFill="1" applyBorder="1"/>
    <xf numFmtId="164" fontId="11" fillId="0" borderId="2" xfId="0" applyNumberFormat="1" applyFont="1" applyFill="1" applyBorder="1"/>
    <xf numFmtId="167" fontId="11" fillId="0" borderId="2" xfId="0" applyNumberFormat="1" applyFont="1" applyFill="1" applyBorder="1"/>
    <xf numFmtId="3" fontId="8" fillId="2" borderId="4" xfId="1" applyNumberFormat="1" applyFont="1" applyFill="1" applyBorder="1" applyAlignment="1">
      <alignment horizontal="left"/>
    </xf>
    <xf numFmtId="0" fontId="3" fillId="0" borderId="4" xfId="0" applyFont="1" applyFill="1" applyBorder="1"/>
    <xf numFmtId="3" fontId="3" fillId="2" borderId="4" xfId="1" applyNumberFormat="1" applyFont="1" applyFill="1" applyBorder="1" applyAlignment="1">
      <alignment horizontal="left"/>
    </xf>
    <xf numFmtId="2" fontId="6" fillId="0" borderId="13" xfId="0" applyNumberFormat="1" applyFont="1" applyBorder="1" applyAlignment="1">
      <alignment vertical="center"/>
    </xf>
    <xf numFmtId="2" fontId="6" fillId="0" borderId="13" xfId="0" applyNumberFormat="1" applyFont="1" applyFill="1" applyBorder="1" applyAlignment="1">
      <alignment vertical="center"/>
    </xf>
    <xf numFmtId="0" fontId="8" fillId="2" borderId="4" xfId="0" applyFont="1" applyFill="1" applyBorder="1" applyAlignment="1">
      <alignment horizontal="center"/>
    </xf>
    <xf numFmtId="3" fontId="11" fillId="2" borderId="4" xfId="0" applyNumberFormat="1" applyFont="1" applyFill="1" applyBorder="1"/>
    <xf numFmtId="2" fontId="11" fillId="2" borderId="4" xfId="0" applyNumberFormat="1" applyFont="1" applyFill="1" applyBorder="1"/>
    <xf numFmtId="164" fontId="11" fillId="2" borderId="4" xfId="0" applyNumberFormat="1" applyFont="1" applyFill="1" applyBorder="1"/>
    <xf numFmtId="1" fontId="11" fillId="2" borderId="11" xfId="0" applyNumberFormat="1" applyFont="1" applyFill="1" applyBorder="1"/>
    <xf numFmtId="2" fontId="6" fillId="2" borderId="13" xfId="0" applyNumberFormat="1" applyFont="1" applyFill="1" applyBorder="1" applyAlignment="1">
      <alignment vertical="center"/>
    </xf>
    <xf numFmtId="3" fontId="10" fillId="0" borderId="4" xfId="2" applyNumberFormat="1" applyFont="1" applyFill="1" applyBorder="1" applyAlignment="1">
      <alignment horizontal="left" vertical="center" wrapText="1"/>
    </xf>
    <xf numFmtId="3" fontId="10" fillId="0" borderId="2" xfId="2" applyNumberFormat="1" applyFont="1" applyFill="1" applyBorder="1" applyAlignment="1">
      <alignment horizontal="left" vertical="center" wrapText="1"/>
    </xf>
    <xf numFmtId="167" fontId="14" fillId="0" borderId="2" xfId="0" applyNumberFormat="1" applyFont="1" applyFill="1" applyBorder="1"/>
    <xf numFmtId="1" fontId="6" fillId="0" borderId="2" xfId="0" applyNumberFormat="1" applyFont="1" applyFill="1" applyBorder="1" applyAlignment="1">
      <alignment vertical="center"/>
    </xf>
    <xf numFmtId="4" fontId="14" fillId="0" borderId="11" xfId="0" applyNumberFormat="1" applyFont="1" applyFill="1" applyBorder="1"/>
    <xf numFmtId="3" fontId="14" fillId="0" borderId="2" xfId="0" applyNumberFormat="1" applyFont="1" applyFill="1" applyBorder="1" applyAlignment="1"/>
    <xf numFmtId="164" fontId="14" fillId="0" borderId="11" xfId="0" applyNumberFormat="1" applyFont="1" applyFill="1" applyBorder="1"/>
    <xf numFmtId="2" fontId="13" fillId="0" borderId="2" xfId="0" applyNumberFormat="1" applyFont="1" applyFill="1" applyBorder="1"/>
    <xf numFmtId="0" fontId="4" fillId="0" borderId="6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" fontId="6" fillId="0" borderId="15" xfId="0" applyNumberFormat="1" applyFont="1" applyBorder="1" applyAlignment="1">
      <alignment horizontal="center" vertical="center"/>
    </xf>
    <xf numFmtId="1" fontId="6" fillId="0" borderId="6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1" fontId="12" fillId="0" borderId="2" xfId="0" applyNumberFormat="1" applyFont="1" applyBorder="1" applyAlignment="1">
      <alignment horizontal="center" vertical="center"/>
    </xf>
    <xf numFmtId="2" fontId="6" fillId="0" borderId="15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 wrapText="1"/>
    </xf>
    <xf numFmtId="2" fontId="6" fillId="0" borderId="16" xfId="0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2" fontId="6" fillId="0" borderId="9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0" xfId="0" applyNumberFormat="1" applyFont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164" fontId="13" fillId="0" borderId="14" xfId="0" applyNumberFormat="1" applyFont="1" applyBorder="1" applyAlignment="1">
      <alignment horizontal="center" vertical="center"/>
    </xf>
    <xf numFmtId="164" fontId="13" fillId="0" borderId="3" xfId="0" applyNumberFormat="1" applyFont="1" applyBorder="1" applyAlignment="1">
      <alignment horizontal="center" vertical="center"/>
    </xf>
    <xf numFmtId="164" fontId="6" fillId="0" borderId="14" xfId="0" applyNumberFormat="1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/>
    </xf>
    <xf numFmtId="3" fontId="12" fillId="0" borderId="13" xfId="0" applyNumberFormat="1" applyFont="1" applyFill="1" applyBorder="1" applyAlignment="1">
      <alignment horizontal="center" vertical="center"/>
    </xf>
    <xf numFmtId="3" fontId="12" fillId="0" borderId="3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2" fontId="12" fillId="0" borderId="1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4" fontId="6" fillId="0" borderId="13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13" fillId="0" borderId="13" xfId="0" applyNumberFormat="1" applyFont="1" applyBorder="1" applyAlignment="1">
      <alignment horizontal="center" vertical="center"/>
    </xf>
    <xf numFmtId="4" fontId="13" fillId="0" borderId="3" xfId="0" applyNumberFormat="1" applyFont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2" fontId="2" fillId="0" borderId="13" xfId="0" applyNumberFormat="1" applyFont="1" applyFill="1" applyBorder="1" applyAlignment="1">
      <alignment horizontal="center" vertical="center" wrapText="1"/>
    </xf>
    <xf numFmtId="2" fontId="2" fillId="0" borderId="14" xfId="0" applyNumberFormat="1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/>
    </xf>
    <xf numFmtId="0" fontId="5" fillId="0" borderId="15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4" fillId="0" borderId="15" xfId="0" applyFont="1" applyFill="1" applyBorder="1" applyAlignment="1">
      <alignment horizontal="left"/>
    </xf>
    <xf numFmtId="0" fontId="4" fillId="0" borderId="12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left"/>
    </xf>
    <xf numFmtId="0" fontId="8" fillId="0" borderId="17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2" fontId="12" fillId="0" borderId="7" xfId="0" applyNumberFormat="1" applyFont="1" applyBorder="1" applyAlignment="1">
      <alignment horizontal="center" vertical="center" wrapText="1"/>
    </xf>
    <xf numFmtId="2" fontId="12" fillId="0" borderId="16" xfId="0" applyNumberFormat="1" applyFont="1" applyBorder="1" applyAlignment="1">
      <alignment horizontal="center" vertical="center" wrapText="1"/>
    </xf>
    <xf numFmtId="2" fontId="12" fillId="0" borderId="8" xfId="0" applyNumberFormat="1" applyFont="1" applyBorder="1" applyAlignment="1">
      <alignment horizontal="center" vertical="center" wrapText="1"/>
    </xf>
    <xf numFmtId="2" fontId="12" fillId="0" borderId="9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2" fontId="12" fillId="0" borderId="10" xfId="0" applyNumberFormat="1" applyFont="1" applyBorder="1" applyAlignment="1">
      <alignment horizontal="center" vertical="center" wrapText="1"/>
    </xf>
    <xf numFmtId="164" fontId="12" fillId="0" borderId="13" xfId="0" applyNumberFormat="1" applyFont="1" applyBorder="1" applyAlignment="1">
      <alignment horizontal="center" vertical="center"/>
    </xf>
    <xf numFmtId="164" fontId="12" fillId="0" borderId="3" xfId="0" applyNumberFormat="1" applyFont="1" applyBorder="1" applyAlignment="1">
      <alignment horizontal="center" vertical="center"/>
    </xf>
    <xf numFmtId="2" fontId="13" fillId="0" borderId="13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4" fontId="12" fillId="0" borderId="13" xfId="0" applyNumberFormat="1" applyFont="1" applyBorder="1" applyAlignment="1">
      <alignment horizontal="center" vertical="center"/>
    </xf>
    <xf numFmtId="4" fontId="12" fillId="0" borderId="3" xfId="0" applyNumberFormat="1" applyFont="1" applyBorder="1" applyAlignment="1">
      <alignment horizontal="center" vertical="center"/>
    </xf>
    <xf numFmtId="3" fontId="13" fillId="0" borderId="13" xfId="0" applyNumberFormat="1" applyFont="1" applyFill="1" applyBorder="1" applyAlignment="1">
      <alignment horizontal="center" vertical="center"/>
    </xf>
    <xf numFmtId="3" fontId="13" fillId="0" borderId="3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 wrapText="1"/>
    </xf>
    <xf numFmtId="0" fontId="2" fillId="0" borderId="10" xfId="0" applyFont="1" applyFill="1" applyBorder="1" applyAlignment="1">
      <alignment horizontal="center" wrapText="1"/>
    </xf>
    <xf numFmtId="164" fontId="13" fillId="0" borderId="13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167" fontId="6" fillId="0" borderId="15" xfId="0" applyNumberFormat="1" applyFont="1" applyBorder="1" applyAlignment="1">
      <alignment horizontal="center" vertical="center"/>
    </xf>
    <xf numFmtId="167" fontId="6" fillId="0" borderId="6" xfId="0" applyNumberFormat="1" applyFont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3" fillId="0" borderId="7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1" fontId="6" fillId="0" borderId="15" xfId="0" applyNumberFormat="1" applyFont="1" applyFill="1" applyBorder="1" applyAlignment="1">
      <alignment horizontal="center" vertical="center"/>
    </xf>
    <xf numFmtId="1" fontId="6" fillId="0" borderId="6" xfId="0" applyNumberFormat="1" applyFont="1" applyFill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0" fontId="5" fillId="0" borderId="15" xfId="0" applyFont="1" applyFill="1" applyBorder="1" applyAlignment="1">
      <alignment horizontal="left"/>
    </xf>
    <xf numFmtId="3" fontId="6" fillId="0" borderId="13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/>
    </xf>
    <xf numFmtId="165" fontId="6" fillId="2" borderId="12" xfId="0" applyNumberFormat="1" applyFont="1" applyFill="1" applyBorder="1" applyAlignment="1">
      <alignment horizontal="center"/>
    </xf>
    <xf numFmtId="165" fontId="6" fillId="2" borderId="6" xfId="0" applyNumberFormat="1" applyFont="1" applyFill="1" applyBorder="1" applyAlignment="1">
      <alignment horizontal="center"/>
    </xf>
    <xf numFmtId="165" fontId="6" fillId="2" borderId="15" xfId="0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center" vertical="center"/>
    </xf>
    <xf numFmtId="2" fontId="2" fillId="0" borderId="7" xfId="0" applyNumberFormat="1" applyFont="1" applyFill="1" applyBorder="1" applyAlignment="1">
      <alignment horizontal="center" vertical="center" wrapText="1"/>
    </xf>
    <xf numFmtId="2" fontId="2" fillId="0" borderId="8" xfId="0" applyNumberFormat="1" applyFont="1" applyFill="1" applyBorder="1" applyAlignment="1">
      <alignment horizontal="center" vertical="center" wrapText="1"/>
    </xf>
    <xf numFmtId="2" fontId="2" fillId="0" borderId="9" xfId="0" applyNumberFormat="1" applyFont="1" applyFill="1" applyBorder="1" applyAlignment="1">
      <alignment horizontal="center" vertical="center" wrapText="1"/>
    </xf>
    <xf numFmtId="2" fontId="2" fillId="0" borderId="10" xfId="0" applyNumberFormat="1" applyFont="1" applyFill="1" applyBorder="1" applyAlignment="1">
      <alignment horizontal="center" vertical="center" wrapText="1"/>
    </xf>
    <xf numFmtId="2" fontId="6" fillId="0" borderId="15" xfId="0" applyNumberFormat="1" applyFont="1" applyFill="1" applyBorder="1" applyAlignment="1">
      <alignment horizontal="center"/>
    </xf>
    <xf numFmtId="2" fontId="6" fillId="0" borderId="6" xfId="0" applyNumberFormat="1" applyFont="1" applyFill="1" applyBorder="1" applyAlignment="1">
      <alignment horizontal="center"/>
    </xf>
    <xf numFmtId="2" fontId="12" fillId="0" borderId="1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/>
    <xf numFmtId="164" fontId="3" fillId="2" borderId="0" xfId="0" applyNumberFormat="1" applyFont="1" applyFill="1" applyBorder="1"/>
    <xf numFmtId="0" fontId="3" fillId="2" borderId="0" xfId="0" applyFont="1" applyFill="1" applyBorder="1" applyAlignment="1">
      <alignment horizont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4" fontId="3" fillId="0" borderId="0" xfId="0" applyNumberFormat="1" applyFont="1" applyFill="1" applyBorder="1"/>
    <xf numFmtId="1" fontId="3" fillId="0" borderId="0" xfId="0" applyNumberFormat="1" applyFont="1" applyFill="1" applyBorder="1"/>
    <xf numFmtId="4" fontId="3" fillId="2" borderId="0" xfId="0" applyNumberFormat="1" applyFont="1" applyFill="1" applyBorder="1"/>
    <xf numFmtId="1" fontId="11" fillId="0" borderId="5" xfId="0" applyNumberFormat="1" applyFont="1" applyFill="1" applyBorder="1"/>
    <xf numFmtId="1" fontId="11" fillId="2" borderId="5" xfId="0" applyNumberFormat="1" applyFont="1" applyFill="1" applyBorder="1"/>
    <xf numFmtId="3" fontId="10" fillId="0" borderId="2" xfId="0" applyNumberFormat="1" applyFont="1" applyFill="1" applyBorder="1" applyAlignment="1">
      <alignment horizontal="center" wrapText="1"/>
    </xf>
    <xf numFmtId="167" fontId="3" fillId="0" borderId="0" xfId="0" applyNumberFormat="1" applyFont="1" applyFill="1"/>
    <xf numFmtId="0" fontId="11" fillId="2" borderId="0" xfId="0" applyFont="1" applyFill="1" applyBorder="1" applyAlignment="1">
      <alignment horizontal="center"/>
    </xf>
    <xf numFmtId="0" fontId="12" fillId="0" borderId="15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top"/>
    </xf>
    <xf numFmtId="0" fontId="10" fillId="2" borderId="0" xfId="0" applyFont="1" applyFill="1" applyBorder="1"/>
    <xf numFmtId="2" fontId="3" fillId="2" borderId="0" xfId="0" applyNumberFormat="1" applyFont="1" applyFill="1" applyBorder="1"/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center"/>
    </xf>
    <xf numFmtId="166" fontId="3" fillId="2" borderId="0" xfId="0" applyNumberFormat="1" applyFont="1" applyFill="1" applyBorder="1" applyAlignment="1">
      <alignment horizontal="center"/>
    </xf>
    <xf numFmtId="1" fontId="14" fillId="0" borderId="4" xfId="0" applyNumberFormat="1" applyFont="1" applyFill="1" applyBorder="1"/>
    <xf numFmtId="167" fontId="3" fillId="0" borderId="0" xfId="0" applyNumberFormat="1" applyFont="1" applyFill="1" applyBorder="1"/>
    <xf numFmtId="164" fontId="12" fillId="0" borderId="2" xfId="0" applyNumberFormat="1" applyFont="1" applyFill="1" applyBorder="1" applyAlignment="1"/>
    <xf numFmtId="164" fontId="12" fillId="0" borderId="6" xfId="0" applyNumberFormat="1" applyFont="1" applyFill="1" applyBorder="1" applyAlignment="1"/>
    <xf numFmtId="164" fontId="6" fillId="0" borderId="6" xfId="0" applyNumberFormat="1" applyFont="1" applyFill="1" applyBorder="1" applyAlignment="1"/>
    <xf numFmtId="165" fontId="6" fillId="0" borderId="15" xfId="0" applyNumberFormat="1" applyFont="1" applyFill="1" applyBorder="1" applyAlignment="1">
      <alignment horizontal="center"/>
    </xf>
    <xf numFmtId="165" fontId="6" fillId="0" borderId="6" xfId="0" applyNumberFormat="1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 vertical="center"/>
    </xf>
    <xf numFmtId="2" fontId="3" fillId="0" borderId="0" xfId="0" applyNumberFormat="1" applyFont="1" applyBorder="1" applyAlignment="1">
      <alignment horizontal="left" vertical="top"/>
    </xf>
    <xf numFmtId="4" fontId="3" fillId="2" borderId="0" xfId="0" applyNumberFormat="1" applyFont="1" applyFill="1"/>
    <xf numFmtId="2" fontId="11" fillId="2" borderId="20" xfId="0" applyNumberFormat="1" applyFont="1" applyFill="1" applyBorder="1"/>
    <xf numFmtId="164" fontId="12" fillId="2" borderId="2" xfId="0" applyNumberFormat="1" applyFont="1" applyFill="1" applyBorder="1" applyAlignment="1"/>
    <xf numFmtId="0" fontId="5" fillId="2" borderId="0" xfId="0" applyFont="1" applyFill="1" applyAlignment="1">
      <alignment vertical="center"/>
    </xf>
  </cellXfs>
  <cellStyles count="3">
    <cellStyle name="Normal" xfId="0" builtinId="0"/>
    <cellStyle name="Normal_Sheet1" xfId="1"/>
    <cellStyle name="Normal_Sheet1_tinh an thang 7_tinh an thang 5 nam 2018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59"/>
  <sheetViews>
    <sheetView tabSelected="1" workbookViewId="0">
      <selection activeCell="C9" sqref="C9:C12"/>
    </sheetView>
  </sheetViews>
  <sheetFormatPr defaultColWidth="9.109375" defaultRowHeight="20.399999999999999" customHeight="1"/>
  <cols>
    <col min="1" max="1" width="4" style="1" customWidth="1"/>
    <col min="2" max="2" width="12.6640625" style="1" customWidth="1"/>
    <col min="3" max="3" width="7" style="1" customWidth="1"/>
    <col min="4" max="4" width="7.44140625" style="1" customWidth="1"/>
    <col min="5" max="8" width="7.33203125" style="1" customWidth="1"/>
    <col min="9" max="9" width="7.6640625" style="1" customWidth="1"/>
    <col min="10" max="11" width="7.33203125" style="1" customWidth="1"/>
    <col min="12" max="12" width="6.44140625" style="1" customWidth="1"/>
    <col min="13" max="13" width="4.88671875" style="1" customWidth="1"/>
    <col min="14" max="14" width="7" style="1" customWidth="1"/>
    <col min="15" max="15" width="11.88671875" style="1" customWidth="1"/>
    <col min="16" max="16" width="9.109375" style="1"/>
    <col min="17" max="22" width="7" style="1" customWidth="1"/>
    <col min="23" max="16384" width="9.109375" style="1"/>
  </cols>
  <sheetData>
    <row r="1" spans="1:20" ht="20.399999999999999" customHeight="1">
      <c r="A1" s="10" t="s">
        <v>59</v>
      </c>
      <c r="B1" s="7"/>
      <c r="C1" s="7"/>
      <c r="D1" s="7"/>
      <c r="E1" s="7"/>
      <c r="F1" s="244" t="s">
        <v>30</v>
      </c>
      <c r="G1" s="244"/>
      <c r="H1" s="244"/>
      <c r="I1" s="244"/>
      <c r="J1" s="244"/>
      <c r="K1" s="244"/>
      <c r="L1" s="244"/>
      <c r="M1" s="244"/>
      <c r="N1" s="244"/>
      <c r="O1" s="311"/>
      <c r="P1" s="311"/>
      <c r="T1" s="2"/>
    </row>
    <row r="2" spans="1:20" ht="20.399999999999999" customHeight="1">
      <c r="A2" s="7" t="s">
        <v>175</v>
      </c>
      <c r="B2" s="7"/>
      <c r="C2" s="7"/>
      <c r="D2" s="7"/>
      <c r="E2" s="7"/>
      <c r="F2" s="149"/>
      <c r="G2" s="149"/>
      <c r="H2" s="149"/>
      <c r="I2" s="149"/>
      <c r="J2" s="149"/>
      <c r="K2" s="149"/>
      <c r="L2" s="149"/>
      <c r="M2" s="149"/>
      <c r="N2" s="149"/>
      <c r="O2" s="311"/>
      <c r="P2" s="311"/>
      <c r="T2" s="2"/>
    </row>
    <row r="3" spans="1:20" s="2" customFormat="1" ht="19.8" customHeight="1">
      <c r="A3" s="245" t="s">
        <v>95</v>
      </c>
      <c r="B3" s="245"/>
      <c r="C3" s="245"/>
      <c r="D3" s="245"/>
      <c r="E3" s="245" t="s">
        <v>93</v>
      </c>
      <c r="F3" s="245"/>
      <c r="G3" s="245"/>
      <c r="H3" s="245"/>
      <c r="I3" s="245"/>
      <c r="J3" s="245"/>
      <c r="K3" s="245"/>
      <c r="L3" s="245"/>
      <c r="M3" s="245"/>
      <c r="N3" s="245"/>
      <c r="O3" s="312"/>
    </row>
    <row r="4" spans="1:20" s="2" customFormat="1" ht="19.8" customHeight="1">
      <c r="A4" s="231" t="s">
        <v>83</v>
      </c>
      <c r="B4" s="231"/>
      <c r="C4" s="231"/>
      <c r="D4" s="231"/>
      <c r="E4" s="232" t="s">
        <v>132</v>
      </c>
      <c r="F4" s="232"/>
      <c r="G4" s="232"/>
      <c r="H4" s="232"/>
      <c r="I4" s="232"/>
      <c r="J4" s="260" t="s">
        <v>125</v>
      </c>
      <c r="K4" s="261"/>
      <c r="L4" s="261"/>
      <c r="M4" s="261"/>
      <c r="N4" s="262"/>
      <c r="O4" s="312"/>
    </row>
    <row r="5" spans="1:20" s="2" customFormat="1" ht="19.8" customHeight="1">
      <c r="A5" s="236" t="s">
        <v>152</v>
      </c>
      <c r="B5" s="236"/>
      <c r="C5" s="236"/>
      <c r="D5" s="236"/>
      <c r="E5" s="232"/>
      <c r="F5" s="232"/>
      <c r="G5" s="232"/>
      <c r="H5" s="232"/>
      <c r="I5" s="232"/>
      <c r="J5" s="263"/>
      <c r="K5" s="264"/>
      <c r="L5" s="264"/>
      <c r="M5" s="264"/>
      <c r="N5" s="265"/>
      <c r="O5" s="312"/>
    </row>
    <row r="6" spans="1:20" s="2" customFormat="1" ht="19.8" customHeight="1">
      <c r="A6" s="237" t="s">
        <v>157</v>
      </c>
      <c r="B6" s="238"/>
      <c r="C6" s="238"/>
      <c r="D6" s="239"/>
      <c r="E6" s="232"/>
      <c r="F6" s="232"/>
      <c r="G6" s="232"/>
      <c r="H6" s="232"/>
      <c r="I6" s="232"/>
      <c r="J6" s="263"/>
      <c r="K6" s="264"/>
      <c r="L6" s="264"/>
      <c r="M6" s="264"/>
      <c r="N6" s="265"/>
      <c r="O6" s="312"/>
    </row>
    <row r="7" spans="1:20" s="2" customFormat="1" ht="19.8" customHeight="1">
      <c r="A7" s="240" t="s">
        <v>158</v>
      </c>
      <c r="B7" s="240"/>
      <c r="C7" s="240"/>
      <c r="D7" s="240"/>
      <c r="E7" s="232"/>
      <c r="F7" s="232"/>
      <c r="G7" s="232"/>
      <c r="H7" s="232"/>
      <c r="I7" s="232"/>
      <c r="J7" s="266"/>
      <c r="K7" s="267"/>
      <c r="L7" s="267"/>
      <c r="M7" s="267"/>
      <c r="N7" s="268"/>
      <c r="O7" s="312"/>
    </row>
    <row r="8" spans="1:20" s="2" customFormat="1" ht="19.8" customHeight="1">
      <c r="A8" s="228" t="s">
        <v>112</v>
      </c>
      <c r="B8" s="229"/>
      <c r="C8" s="230"/>
      <c r="D8" s="99">
        <v>213</v>
      </c>
      <c r="E8" s="69"/>
      <c r="F8" s="69"/>
      <c r="G8" s="69"/>
      <c r="H8" s="69"/>
      <c r="I8" s="69"/>
      <c r="J8" s="69"/>
      <c r="K8" s="69"/>
      <c r="L8" s="69"/>
      <c r="M8" s="69"/>
      <c r="N8" s="69"/>
      <c r="O8" s="312"/>
    </row>
    <row r="9" spans="1:20" ht="19.8" customHeight="1">
      <c r="A9" s="211" t="s">
        <v>0</v>
      </c>
      <c r="B9" s="214" t="s">
        <v>19</v>
      </c>
      <c r="C9" s="217" t="s">
        <v>8</v>
      </c>
      <c r="D9" s="217" t="s">
        <v>9</v>
      </c>
      <c r="E9" s="220" t="s">
        <v>11</v>
      </c>
      <c r="F9" s="221"/>
      <c r="G9" s="220" t="s">
        <v>13</v>
      </c>
      <c r="H9" s="221"/>
      <c r="I9" s="208" t="s">
        <v>16</v>
      </c>
      <c r="J9" s="208" t="s">
        <v>32</v>
      </c>
      <c r="K9" s="208" t="s">
        <v>33</v>
      </c>
      <c r="L9" s="208" t="s">
        <v>17</v>
      </c>
      <c r="M9" s="208" t="s">
        <v>34</v>
      </c>
      <c r="N9" s="211" t="s">
        <v>18</v>
      </c>
      <c r="O9" s="313"/>
    </row>
    <row r="10" spans="1:20" ht="19.8" customHeight="1">
      <c r="A10" s="212"/>
      <c r="B10" s="215"/>
      <c r="C10" s="218"/>
      <c r="D10" s="218"/>
      <c r="E10" s="222"/>
      <c r="F10" s="223"/>
      <c r="G10" s="222"/>
      <c r="H10" s="223"/>
      <c r="I10" s="209"/>
      <c r="J10" s="209"/>
      <c r="K10" s="209"/>
      <c r="L10" s="209"/>
      <c r="M10" s="209"/>
      <c r="N10" s="212"/>
      <c r="O10" s="152"/>
    </row>
    <row r="11" spans="1:20" ht="19.8" customHeight="1">
      <c r="A11" s="212"/>
      <c r="B11" s="215"/>
      <c r="C11" s="218"/>
      <c r="D11" s="218"/>
      <c r="E11" s="208" t="s">
        <v>10</v>
      </c>
      <c r="F11" s="208" t="s">
        <v>12</v>
      </c>
      <c r="G11" s="208" t="s">
        <v>14</v>
      </c>
      <c r="H11" s="208" t="s">
        <v>15</v>
      </c>
      <c r="I11" s="209"/>
      <c r="J11" s="209"/>
      <c r="K11" s="209"/>
      <c r="L11" s="209"/>
      <c r="M11" s="209"/>
      <c r="N11" s="212"/>
      <c r="O11" s="152"/>
    </row>
    <row r="12" spans="1:20" ht="19.8" customHeight="1">
      <c r="A12" s="213"/>
      <c r="B12" s="216"/>
      <c r="C12" s="219"/>
      <c r="D12" s="219"/>
      <c r="E12" s="210"/>
      <c r="F12" s="210"/>
      <c r="G12" s="210"/>
      <c r="H12" s="210"/>
      <c r="I12" s="210"/>
      <c r="J12" s="210"/>
      <c r="K12" s="210"/>
      <c r="L12" s="210"/>
      <c r="M12" s="210"/>
      <c r="N12" s="213"/>
      <c r="O12" s="152"/>
    </row>
    <row r="13" spans="1:20" ht="19.2" customHeight="1">
      <c r="A13" s="225" t="s">
        <v>35</v>
      </c>
      <c r="B13" s="226"/>
      <c r="C13" s="226"/>
      <c r="D13" s="226"/>
      <c r="E13" s="226"/>
      <c r="F13" s="226"/>
      <c r="G13" s="226"/>
      <c r="H13" s="226"/>
      <c r="I13" s="226"/>
      <c r="J13" s="226"/>
      <c r="K13" s="226"/>
      <c r="L13" s="226"/>
      <c r="M13" s="226"/>
      <c r="N13" s="227"/>
      <c r="O13" s="152"/>
    </row>
    <row r="14" spans="1:20" s="2" customFormat="1" ht="19.2" customHeight="1">
      <c r="A14" s="37">
        <v>1</v>
      </c>
      <c r="B14" s="38" t="s">
        <v>2</v>
      </c>
      <c r="C14" s="39">
        <f>L14/100*100</f>
        <v>280</v>
      </c>
      <c r="D14" s="40">
        <f>C14/100*60</f>
        <v>168</v>
      </c>
      <c r="E14" s="41">
        <f>C14/100*15</f>
        <v>42</v>
      </c>
      <c r="F14" s="41"/>
      <c r="G14" s="41"/>
      <c r="H14" s="41"/>
      <c r="I14" s="41"/>
      <c r="J14" s="144">
        <f>C14/100*387</f>
        <v>1083.5999999999999</v>
      </c>
      <c r="K14" s="41">
        <f>C14/100*0.09</f>
        <v>0.252</v>
      </c>
      <c r="L14" s="138">
        <v>280</v>
      </c>
      <c r="M14" s="43">
        <v>20</v>
      </c>
      <c r="N14" s="44">
        <f>L14*M14</f>
        <v>5600</v>
      </c>
      <c r="O14" s="314"/>
    </row>
    <row r="15" spans="1:20" s="2" customFormat="1" ht="19.2" customHeight="1">
      <c r="A15" s="8">
        <v>2</v>
      </c>
      <c r="B15" s="9" t="s">
        <v>121</v>
      </c>
      <c r="C15" s="12">
        <f>L15/100*100</f>
        <v>1130</v>
      </c>
      <c r="D15" s="65">
        <f>C15/100*899</f>
        <v>10158.700000000001</v>
      </c>
      <c r="E15" s="14"/>
      <c r="F15" s="14"/>
      <c r="G15" s="91">
        <f>C15/100*99.6</f>
        <v>1125.48</v>
      </c>
      <c r="H15" s="14"/>
      <c r="I15" s="14"/>
      <c r="J15" s="14"/>
      <c r="K15" s="14"/>
      <c r="L15" s="111">
        <v>1130</v>
      </c>
      <c r="M15" s="65">
        <v>68</v>
      </c>
      <c r="N15" s="93">
        <f t="shared" ref="N15:N26" si="0">L15*M15</f>
        <v>76840</v>
      </c>
      <c r="O15" s="315"/>
    </row>
    <row r="16" spans="1:20" s="2" customFormat="1" ht="19.2" customHeight="1">
      <c r="A16" s="8">
        <v>3</v>
      </c>
      <c r="B16" s="9" t="s">
        <v>126</v>
      </c>
      <c r="C16" s="12">
        <f>L16/100*100</f>
        <v>260</v>
      </c>
      <c r="D16" s="65">
        <f>C16/100*900</f>
        <v>2340</v>
      </c>
      <c r="E16" s="14"/>
      <c r="F16" s="14"/>
      <c r="G16" s="91"/>
      <c r="H16" s="14">
        <f>C16/100*100</f>
        <v>260</v>
      </c>
      <c r="I16" s="14"/>
      <c r="J16" s="14"/>
      <c r="K16" s="14"/>
      <c r="L16" s="111">
        <v>260</v>
      </c>
      <c r="M16" s="65">
        <v>63.5</v>
      </c>
      <c r="N16" s="93">
        <f t="shared" si="0"/>
        <v>16510</v>
      </c>
      <c r="O16" s="315"/>
    </row>
    <row r="17" spans="1:20" s="2" customFormat="1" ht="19.2" customHeight="1">
      <c r="A17" s="8">
        <v>4</v>
      </c>
      <c r="B17" s="5" t="s">
        <v>1</v>
      </c>
      <c r="C17" s="12">
        <f>L17/100*100</f>
        <v>20235</v>
      </c>
      <c r="D17" s="65">
        <f>C17/100*344</f>
        <v>69608.399999999994</v>
      </c>
      <c r="E17" s="14"/>
      <c r="F17" s="91">
        <f>C17/100*7.9</f>
        <v>1598.5650000000001</v>
      </c>
      <c r="G17" s="14"/>
      <c r="H17" s="14">
        <f>C17/100*1</f>
        <v>202.35</v>
      </c>
      <c r="I17" s="91">
        <f>C17/100*67.8</f>
        <v>13719.33</v>
      </c>
      <c r="J17" s="91">
        <f>C17/100*30</f>
        <v>6070.5</v>
      </c>
      <c r="K17" s="14">
        <f>C17/100*0.1</f>
        <v>20.234999999999999</v>
      </c>
      <c r="L17" s="111">
        <v>20235</v>
      </c>
      <c r="M17" s="20">
        <v>18</v>
      </c>
      <c r="N17" s="92">
        <f t="shared" si="0"/>
        <v>364230</v>
      </c>
      <c r="O17" s="314"/>
    </row>
    <row r="18" spans="1:20" s="2" customFormat="1" ht="19.2" customHeight="1">
      <c r="A18" s="8">
        <v>5</v>
      </c>
      <c r="B18" s="9" t="s">
        <v>29</v>
      </c>
      <c r="C18" s="12">
        <f>L18/100*100</f>
        <v>170</v>
      </c>
      <c r="D18" s="13">
        <f>C18/100*390</f>
        <v>663</v>
      </c>
      <c r="E18" s="14"/>
      <c r="F18" s="14"/>
      <c r="G18" s="14"/>
      <c r="H18" s="14"/>
      <c r="I18" s="14">
        <f>C18/100*97.4</f>
        <v>165.58</v>
      </c>
      <c r="J18" s="22">
        <f>C18/100*178</f>
        <v>302.59999999999997</v>
      </c>
      <c r="K18" s="22">
        <f>C18/100*0.05</f>
        <v>8.5000000000000006E-2</v>
      </c>
      <c r="L18" s="111">
        <v>170</v>
      </c>
      <c r="M18" s="20">
        <v>25</v>
      </c>
      <c r="N18" s="16">
        <f t="shared" si="0"/>
        <v>4250</v>
      </c>
      <c r="O18" s="337"/>
    </row>
    <row r="19" spans="1:20" s="2" customFormat="1" ht="19.2" customHeight="1">
      <c r="A19" s="8">
        <v>6</v>
      </c>
      <c r="B19" s="5" t="s">
        <v>4</v>
      </c>
      <c r="C19" s="12">
        <f>L19/100*98</f>
        <v>6223</v>
      </c>
      <c r="D19" s="13">
        <f>C19/100*118</f>
        <v>7343.1399999999994</v>
      </c>
      <c r="E19" s="91">
        <f>C19/100*28</f>
        <v>1742.4399999999998</v>
      </c>
      <c r="F19" s="14"/>
      <c r="G19" s="14">
        <f>C19/100*3.8</f>
        <v>236.47399999999999</v>
      </c>
      <c r="H19" s="14"/>
      <c r="I19" s="14"/>
      <c r="J19" s="22">
        <f>C19/100*12</f>
        <v>746.76</v>
      </c>
      <c r="K19" s="22">
        <f>C19/100*0.1</f>
        <v>6.2229999999999999</v>
      </c>
      <c r="L19" s="111">
        <v>6350</v>
      </c>
      <c r="M19" s="15">
        <v>260</v>
      </c>
      <c r="N19" s="93">
        <f t="shared" si="0"/>
        <v>1651000</v>
      </c>
      <c r="O19" s="314"/>
      <c r="Q19" s="3"/>
      <c r="R19" s="3"/>
      <c r="S19" s="4"/>
    </row>
    <row r="20" spans="1:20" s="2" customFormat="1" ht="19.2" customHeight="1">
      <c r="A20" s="8">
        <v>7</v>
      </c>
      <c r="B20" s="5" t="s">
        <v>20</v>
      </c>
      <c r="C20" s="12">
        <f>L20/100*95</f>
        <v>1016.4999999999999</v>
      </c>
      <c r="D20" s="13">
        <f>C20/100*20</f>
        <v>203.29999999999998</v>
      </c>
      <c r="E20" s="14"/>
      <c r="F20" s="14">
        <f>C20/100*0.6</f>
        <v>6.0989999999999993</v>
      </c>
      <c r="G20" s="14"/>
      <c r="H20" s="14">
        <f>C20/100*0.2</f>
        <v>2.0329999999999999</v>
      </c>
      <c r="I20" s="14">
        <f>C20/100*4</f>
        <v>40.659999999999997</v>
      </c>
      <c r="J20" s="21">
        <f>C20/100*12</f>
        <v>121.97999999999999</v>
      </c>
      <c r="K20" s="21">
        <f>C20/100*0.04</f>
        <v>0.40659999999999996</v>
      </c>
      <c r="L20" s="318">
        <v>1070</v>
      </c>
      <c r="M20" s="20">
        <v>22</v>
      </c>
      <c r="N20" s="16">
        <f t="shared" si="0"/>
        <v>23540</v>
      </c>
      <c r="O20" s="314"/>
      <c r="Q20" s="3"/>
      <c r="R20" s="3"/>
    </row>
    <row r="21" spans="1:20" s="2" customFormat="1" ht="19.2" customHeight="1">
      <c r="A21" s="8">
        <v>8</v>
      </c>
      <c r="B21" s="5" t="s">
        <v>3</v>
      </c>
      <c r="C21" s="12">
        <f>L21/100*48</f>
        <v>1228.8000000000002</v>
      </c>
      <c r="D21" s="13">
        <f>C21/100*199</f>
        <v>2445.3120000000004</v>
      </c>
      <c r="E21" s="14">
        <f>C21/100*28</f>
        <v>344.06400000000008</v>
      </c>
      <c r="F21" s="14"/>
      <c r="G21" s="14">
        <f>C21/100*13.1</f>
        <v>160.97280000000003</v>
      </c>
      <c r="H21" s="14"/>
      <c r="I21" s="14"/>
      <c r="J21" s="22">
        <f>C21/100*12</f>
        <v>147.45600000000002</v>
      </c>
      <c r="K21" s="22">
        <f>C21/100*0.15</f>
        <v>1.8432000000000002</v>
      </c>
      <c r="L21" s="111">
        <v>2560</v>
      </c>
      <c r="M21" s="15">
        <v>84</v>
      </c>
      <c r="N21" s="93">
        <f t="shared" si="0"/>
        <v>215040</v>
      </c>
      <c r="O21" s="314"/>
      <c r="Q21" s="3"/>
      <c r="R21" s="3"/>
      <c r="S21" s="4"/>
    </row>
    <row r="22" spans="1:20" s="2" customFormat="1" ht="19.2" customHeight="1">
      <c r="A22" s="8">
        <v>9</v>
      </c>
      <c r="B22" s="9" t="s">
        <v>128</v>
      </c>
      <c r="C22" s="12">
        <f>L22/100*92</f>
        <v>1573.2</v>
      </c>
      <c r="D22" s="13">
        <f>C22/100*58</f>
        <v>912.45600000000002</v>
      </c>
      <c r="E22" s="14">
        <f>C22/100*11.7</f>
        <v>184.06440000000001</v>
      </c>
      <c r="F22" s="14"/>
      <c r="G22" s="14">
        <f>C22/100*1.2</f>
        <v>18.878399999999999</v>
      </c>
      <c r="H22" s="14"/>
      <c r="I22" s="14"/>
      <c r="J22" s="64">
        <f>C22/100*910</f>
        <v>14316.12</v>
      </c>
      <c r="K22" s="22"/>
      <c r="L22" s="111">
        <v>1710</v>
      </c>
      <c r="M22" s="102">
        <v>155</v>
      </c>
      <c r="N22" s="93">
        <f t="shared" si="0"/>
        <v>265050</v>
      </c>
      <c r="O22" s="314"/>
    </row>
    <row r="23" spans="1:20" s="2" customFormat="1" ht="19.2" customHeight="1">
      <c r="A23" s="8">
        <v>10</v>
      </c>
      <c r="B23" s="5" t="s">
        <v>136</v>
      </c>
      <c r="C23" s="12">
        <f>L23/100*81</f>
        <v>2592</v>
      </c>
      <c r="D23" s="13">
        <f>C23/100*17</f>
        <v>440.64000000000004</v>
      </c>
      <c r="E23" s="17"/>
      <c r="F23" s="17">
        <f>C23/100*0.9</f>
        <v>23.328000000000003</v>
      </c>
      <c r="G23" s="17"/>
      <c r="H23" s="17">
        <f>C23/100*0.2</f>
        <v>5.1840000000000011</v>
      </c>
      <c r="I23" s="17">
        <f>C23/100*2.8</f>
        <v>72.575999999999993</v>
      </c>
      <c r="J23" s="14">
        <f>C23/100*28</f>
        <v>725.76</v>
      </c>
      <c r="K23" s="22">
        <f>C23/100*0.04</f>
        <v>1.0368000000000002</v>
      </c>
      <c r="L23" s="318">
        <v>3200</v>
      </c>
      <c r="M23" s="20">
        <v>20</v>
      </c>
      <c r="N23" s="16">
        <f t="shared" si="0"/>
        <v>64000</v>
      </c>
      <c r="O23" s="314"/>
      <c r="P23" s="3"/>
    </row>
    <row r="24" spans="1:20" s="2" customFormat="1" ht="19.2" customHeight="1">
      <c r="A24" s="8">
        <v>11</v>
      </c>
      <c r="B24" s="5" t="s">
        <v>159</v>
      </c>
      <c r="C24" s="12">
        <f>L24/100*65</f>
        <v>4439.5</v>
      </c>
      <c r="D24" s="13">
        <f>C24/100*14</f>
        <v>621.53000000000009</v>
      </c>
      <c r="E24" s="14"/>
      <c r="F24" s="14">
        <f>C24/100*1.6</f>
        <v>71.032000000000011</v>
      </c>
      <c r="G24" s="14"/>
      <c r="H24" s="14"/>
      <c r="I24" s="14">
        <f>C24/100*1.9</f>
        <v>84.350499999999997</v>
      </c>
      <c r="J24" s="91">
        <f>C24/100*63</f>
        <v>2796.8850000000002</v>
      </c>
      <c r="K24" s="14">
        <f>C24/100*0.01</f>
        <v>0.44395000000000007</v>
      </c>
      <c r="L24" s="111">
        <v>6830</v>
      </c>
      <c r="M24" s="20">
        <v>24</v>
      </c>
      <c r="N24" s="93">
        <f t="shared" si="0"/>
        <v>163920</v>
      </c>
      <c r="O24" s="314"/>
    </row>
    <row r="25" spans="1:20" s="2" customFormat="1" ht="19.2" customHeight="1">
      <c r="A25" s="8">
        <v>12</v>
      </c>
      <c r="B25" s="5" t="s">
        <v>168</v>
      </c>
      <c r="C25" s="12">
        <f>L25/100*78</f>
        <v>2496</v>
      </c>
      <c r="D25" s="13">
        <f>C25/100*37</f>
        <v>923.52</v>
      </c>
      <c r="E25" s="14"/>
      <c r="F25" s="14">
        <f>C25/100*2.8</f>
        <v>69.887999999999991</v>
      </c>
      <c r="G25" s="14"/>
      <c r="H25" s="14">
        <f>C25/100*0.1</f>
        <v>2.4960000000000004</v>
      </c>
      <c r="I25" s="14">
        <f>C25/100*6.2</f>
        <v>154.75200000000001</v>
      </c>
      <c r="J25" s="64">
        <f>C25/100*46</f>
        <v>1148.1600000000001</v>
      </c>
      <c r="K25" s="22">
        <f>C25/100*0.06</f>
        <v>1.4976</v>
      </c>
      <c r="L25" s="111">
        <v>3200</v>
      </c>
      <c r="M25" s="15">
        <v>20</v>
      </c>
      <c r="N25" s="16">
        <f t="shared" si="0"/>
        <v>64000</v>
      </c>
      <c r="O25" s="314"/>
    </row>
    <row r="26" spans="1:20" s="2" customFormat="1" ht="19.2" customHeight="1">
      <c r="A26" s="8">
        <v>13</v>
      </c>
      <c r="B26" s="5" t="s">
        <v>117</v>
      </c>
      <c r="C26" s="12">
        <f>L26/100*100</f>
        <v>210</v>
      </c>
      <c r="D26" s="13">
        <f>C26/100*247</f>
        <v>518.70000000000005</v>
      </c>
      <c r="E26" s="17"/>
      <c r="F26" s="17">
        <f>C26/100*17.5</f>
        <v>36.75</v>
      </c>
      <c r="G26" s="17"/>
      <c r="H26" s="17">
        <f>C26/100*1.6</f>
        <v>3.3600000000000003</v>
      </c>
      <c r="I26" s="17">
        <f>C26/100*39.2</f>
        <v>82.320000000000007</v>
      </c>
      <c r="J26" s="21"/>
      <c r="K26" s="21"/>
      <c r="L26" s="318">
        <v>210</v>
      </c>
      <c r="M26" s="20">
        <v>50</v>
      </c>
      <c r="N26" s="16">
        <f t="shared" si="0"/>
        <v>10500</v>
      </c>
      <c r="O26" s="314"/>
      <c r="Q26" s="3"/>
      <c r="R26" s="3"/>
      <c r="S26" s="4"/>
      <c r="T26" s="3"/>
    </row>
    <row r="27" spans="1:20" s="2" customFormat="1" ht="19.2" customHeight="1">
      <c r="A27" s="8">
        <v>14</v>
      </c>
      <c r="B27" s="9" t="s">
        <v>111</v>
      </c>
      <c r="C27" s="12"/>
      <c r="D27" s="13"/>
      <c r="E27" s="14"/>
      <c r="F27" s="14"/>
      <c r="G27" s="14"/>
      <c r="H27" s="14"/>
      <c r="I27" s="14"/>
      <c r="J27" s="14"/>
      <c r="K27" s="14"/>
      <c r="L27" s="15"/>
      <c r="M27" s="15"/>
      <c r="N27" s="16">
        <v>15750</v>
      </c>
      <c r="O27" s="314"/>
    </row>
    <row r="28" spans="1:20" s="2" customFormat="1" ht="19.2" customHeight="1">
      <c r="A28" s="23" t="s">
        <v>97</v>
      </c>
      <c r="B28" s="24"/>
      <c r="C28" s="25"/>
      <c r="D28" s="94">
        <f>SUM(D14:D27)</f>
        <v>96346.698000000004</v>
      </c>
      <c r="E28" s="27"/>
      <c r="F28" s="27"/>
      <c r="G28" s="27"/>
      <c r="H28" s="27"/>
      <c r="I28" s="27"/>
      <c r="J28" s="27"/>
      <c r="K28" s="27"/>
      <c r="L28" s="28"/>
      <c r="M28" s="28"/>
      <c r="N28" s="258">
        <f>SUM(N14:N27)</f>
        <v>2940230</v>
      </c>
      <c r="O28" s="314"/>
    </row>
    <row r="29" spans="1:20" s="2" customFormat="1" ht="19.2" customHeight="1">
      <c r="A29" s="23" t="s">
        <v>6</v>
      </c>
      <c r="B29" s="24"/>
      <c r="C29" s="25"/>
      <c r="D29" s="26">
        <f>D28/D8</f>
        <v>452.33191549295776</v>
      </c>
      <c r="E29" s="27"/>
      <c r="F29" s="27"/>
      <c r="G29" s="27"/>
      <c r="H29" s="27"/>
      <c r="I29" s="27"/>
      <c r="J29" s="27"/>
      <c r="K29" s="27"/>
      <c r="L29" s="28"/>
      <c r="M29" s="28"/>
      <c r="N29" s="259"/>
      <c r="O29" s="314"/>
    </row>
    <row r="30" spans="1:20" s="2" customFormat="1" ht="19.2" customHeight="1">
      <c r="A30" s="192" t="s">
        <v>37</v>
      </c>
      <c r="B30" s="193"/>
      <c r="C30" s="319" t="s">
        <v>133</v>
      </c>
      <c r="D30" s="29" t="s">
        <v>38</v>
      </c>
      <c r="E30" s="27"/>
      <c r="F30" s="27"/>
      <c r="G30" s="27"/>
      <c r="H30" s="27"/>
      <c r="I30" s="27"/>
      <c r="J30" s="27"/>
      <c r="K30" s="27"/>
      <c r="L30" s="28"/>
      <c r="M30" s="28"/>
      <c r="N30" s="30"/>
      <c r="O30" s="314"/>
    </row>
    <row r="31" spans="1:20" s="2" customFormat="1" ht="19.2" customHeight="1">
      <c r="A31" s="194"/>
      <c r="B31" s="195"/>
      <c r="C31" s="62" t="s">
        <v>58</v>
      </c>
      <c r="D31" s="29">
        <f>D29*100/1320</f>
        <v>34.267569355527101</v>
      </c>
      <c r="E31" s="27"/>
      <c r="F31" s="27"/>
      <c r="G31" s="27"/>
      <c r="H31" s="27"/>
      <c r="I31" s="27"/>
      <c r="J31" s="27"/>
      <c r="K31" s="27"/>
      <c r="L31" s="28"/>
      <c r="M31" s="28"/>
      <c r="N31" s="30"/>
      <c r="O31" s="314"/>
    </row>
    <row r="32" spans="1:20" s="2" customFormat="1" ht="19.2" customHeight="1">
      <c r="A32" s="224" t="s">
        <v>39</v>
      </c>
      <c r="B32" s="224"/>
      <c r="C32" s="45"/>
      <c r="D32" s="46"/>
      <c r="E32" s="47"/>
      <c r="F32" s="47"/>
      <c r="G32" s="47"/>
      <c r="H32" s="47"/>
      <c r="I32" s="47"/>
      <c r="J32" s="47"/>
      <c r="K32" s="47"/>
      <c r="L32" s="48"/>
      <c r="M32" s="48"/>
      <c r="N32" s="49"/>
      <c r="O32" s="314"/>
    </row>
    <row r="33" spans="1:23" s="2" customFormat="1" ht="19.2" customHeight="1">
      <c r="A33" s="37">
        <v>1</v>
      </c>
      <c r="B33" s="38" t="s">
        <v>2</v>
      </c>
      <c r="C33" s="39">
        <f>L33/100*100</f>
        <v>270</v>
      </c>
      <c r="D33" s="40">
        <f>C33/100*60</f>
        <v>162</v>
      </c>
      <c r="E33" s="41">
        <f>C33/100*15</f>
        <v>40.5</v>
      </c>
      <c r="F33" s="41"/>
      <c r="G33" s="41">
        <f>C34/100*6.5</f>
        <v>82.55</v>
      </c>
      <c r="H33" s="41"/>
      <c r="I33" s="41"/>
      <c r="J33" s="41"/>
      <c r="K33" s="41">
        <f>C33/100*0.09</f>
        <v>0.24299999999999999</v>
      </c>
      <c r="L33" s="138">
        <v>270</v>
      </c>
      <c r="M33" s="43">
        <v>20</v>
      </c>
      <c r="N33" s="44">
        <f>L33*M33</f>
        <v>5400</v>
      </c>
      <c r="O33" s="314"/>
    </row>
    <row r="34" spans="1:23" s="2" customFormat="1" ht="19.2" customHeight="1">
      <c r="A34" s="8">
        <v>2</v>
      </c>
      <c r="B34" s="9" t="s">
        <v>121</v>
      </c>
      <c r="C34" s="12">
        <f>L34/100*100</f>
        <v>1270</v>
      </c>
      <c r="D34" s="65">
        <f>C34/100*899</f>
        <v>11417.3</v>
      </c>
      <c r="E34" s="14"/>
      <c r="F34" s="14"/>
      <c r="G34" s="91">
        <f>C34/100*100</f>
        <v>1270</v>
      </c>
      <c r="H34" s="14"/>
      <c r="I34" s="14"/>
      <c r="J34" s="22"/>
      <c r="K34" s="22"/>
      <c r="L34" s="111">
        <v>1270</v>
      </c>
      <c r="M34" s="20">
        <v>68</v>
      </c>
      <c r="N34" s="16">
        <f t="shared" ref="N34:N39" si="1">L34*M34</f>
        <v>86360</v>
      </c>
      <c r="O34" s="314"/>
    </row>
    <row r="35" spans="1:23" s="2" customFormat="1" ht="19.2" customHeight="1">
      <c r="A35" s="8">
        <v>3</v>
      </c>
      <c r="B35" s="5" t="s">
        <v>65</v>
      </c>
      <c r="C35" s="12">
        <f>L35/100*100</f>
        <v>2130</v>
      </c>
      <c r="D35" s="13">
        <f>C35/100*344</f>
        <v>7327.2</v>
      </c>
      <c r="E35" s="14"/>
      <c r="F35" s="14">
        <f>C35/100*8.6</f>
        <v>183.18</v>
      </c>
      <c r="G35" s="14"/>
      <c r="H35" s="14">
        <f>C35/100*1.5</f>
        <v>31.950000000000003</v>
      </c>
      <c r="I35" s="14">
        <f>C35/100*74.5</f>
        <v>1586.8500000000001</v>
      </c>
      <c r="J35" s="14">
        <f>C35/100*32</f>
        <v>681.6</v>
      </c>
      <c r="K35" s="14">
        <f>C35/100*0.14</f>
        <v>2.9820000000000002</v>
      </c>
      <c r="L35" s="111">
        <v>2130</v>
      </c>
      <c r="M35" s="20">
        <v>30</v>
      </c>
      <c r="N35" s="16">
        <f t="shared" si="1"/>
        <v>63900</v>
      </c>
      <c r="O35" s="314"/>
      <c r="P35" s="320"/>
    </row>
    <row r="36" spans="1:23" s="2" customFormat="1" ht="19.2" customHeight="1">
      <c r="A36" s="8">
        <v>4</v>
      </c>
      <c r="B36" s="5" t="s">
        <v>1</v>
      </c>
      <c r="C36" s="12">
        <f>L36/100*100</f>
        <v>3195</v>
      </c>
      <c r="D36" s="65">
        <f>C36/100*344</f>
        <v>10990.8</v>
      </c>
      <c r="E36" s="14"/>
      <c r="F36" s="14">
        <f>C36/100*7.9</f>
        <v>252.405</v>
      </c>
      <c r="G36" s="14"/>
      <c r="H36" s="14">
        <f>C36/100*1</f>
        <v>31.95</v>
      </c>
      <c r="I36" s="91">
        <f>C36/100*67.8</f>
        <v>2166.21</v>
      </c>
      <c r="J36" s="22">
        <f>C36/100*30</f>
        <v>958.5</v>
      </c>
      <c r="K36" s="22">
        <f>C36/100*0.1</f>
        <v>3.1950000000000003</v>
      </c>
      <c r="L36" s="111">
        <v>3195</v>
      </c>
      <c r="M36" s="20">
        <v>18</v>
      </c>
      <c r="N36" s="16">
        <f t="shared" si="1"/>
        <v>57510</v>
      </c>
      <c r="O36" s="314"/>
    </row>
    <row r="37" spans="1:23" s="2" customFormat="1" ht="19.2" customHeight="1">
      <c r="A37" s="8">
        <v>5</v>
      </c>
      <c r="B37" s="5" t="s">
        <v>117</v>
      </c>
      <c r="C37" s="12">
        <f>L37/100*100</f>
        <v>130</v>
      </c>
      <c r="D37" s="13">
        <f>C37/100*247</f>
        <v>321.10000000000002</v>
      </c>
      <c r="E37" s="17"/>
      <c r="F37" s="17">
        <f>C37/100*17.5</f>
        <v>22.75</v>
      </c>
      <c r="G37" s="17"/>
      <c r="H37" s="17">
        <f>C37/100*1.6</f>
        <v>2.08</v>
      </c>
      <c r="I37" s="17">
        <f>C37/100*39.2</f>
        <v>50.960000000000008</v>
      </c>
      <c r="J37" s="21"/>
      <c r="K37" s="21"/>
      <c r="L37" s="318">
        <v>130</v>
      </c>
      <c r="M37" s="20">
        <v>50</v>
      </c>
      <c r="N37" s="16">
        <f t="shared" si="1"/>
        <v>6500</v>
      </c>
      <c r="O37" s="314"/>
      <c r="Q37" s="3"/>
      <c r="R37" s="3"/>
      <c r="S37" s="4"/>
      <c r="T37" s="3"/>
    </row>
    <row r="38" spans="1:23" s="2" customFormat="1" ht="19.2" customHeight="1">
      <c r="A38" s="8">
        <v>6</v>
      </c>
      <c r="B38" s="5" t="s">
        <v>3</v>
      </c>
      <c r="C38" s="12">
        <f>L38/100*48</f>
        <v>2620.8000000000002</v>
      </c>
      <c r="D38" s="13">
        <f>C38/100*199</f>
        <v>5215.3920000000007</v>
      </c>
      <c r="E38" s="14">
        <f>C38/100*28</f>
        <v>733.82400000000007</v>
      </c>
      <c r="F38" s="14"/>
      <c r="G38" s="14">
        <f>C38/100*13.1</f>
        <v>343.32480000000004</v>
      </c>
      <c r="H38" s="14"/>
      <c r="I38" s="14"/>
      <c r="J38" s="22">
        <f>C38/100*12</f>
        <v>314.49600000000004</v>
      </c>
      <c r="K38" s="22">
        <f>C38/100*0.15</f>
        <v>3.9312</v>
      </c>
      <c r="L38" s="111">
        <v>5460</v>
      </c>
      <c r="M38" s="15">
        <v>84</v>
      </c>
      <c r="N38" s="93">
        <f t="shared" si="1"/>
        <v>458640</v>
      </c>
      <c r="O38" s="314"/>
      <c r="Q38" s="3"/>
      <c r="R38" s="3"/>
      <c r="S38" s="4"/>
    </row>
    <row r="39" spans="1:23" s="2" customFormat="1" ht="19.2" customHeight="1">
      <c r="A39" s="8">
        <v>7</v>
      </c>
      <c r="B39" s="5" t="s">
        <v>5</v>
      </c>
      <c r="C39" s="12">
        <f>L39/100*98.5</f>
        <v>4205.9500000000007</v>
      </c>
      <c r="D39" s="13">
        <f>C39/100*39</f>
        <v>1640.3205000000003</v>
      </c>
      <c r="E39" s="17"/>
      <c r="F39" s="17">
        <f>C39/100*1.5</f>
        <v>63.089250000000007</v>
      </c>
      <c r="G39" s="17"/>
      <c r="H39" s="17">
        <f>C39/100*0.2</f>
        <v>8.411900000000001</v>
      </c>
      <c r="I39" s="17">
        <f>C39/100*7.8</f>
        <v>328.06410000000005</v>
      </c>
      <c r="J39" s="124">
        <f>C39/100*43</f>
        <v>1808.5585000000003</v>
      </c>
      <c r="K39" s="17">
        <f>C39/100*0.06</f>
        <v>2.5235700000000003</v>
      </c>
      <c r="L39" s="318">
        <v>4270</v>
      </c>
      <c r="M39" s="15">
        <v>17</v>
      </c>
      <c r="N39" s="16">
        <f t="shared" si="1"/>
        <v>72590</v>
      </c>
      <c r="O39" s="314"/>
      <c r="Q39" s="3"/>
      <c r="R39" s="3"/>
      <c r="S39" s="4"/>
    </row>
    <row r="40" spans="1:23" s="2" customFormat="1" ht="19.2" customHeight="1">
      <c r="A40" s="8">
        <v>8</v>
      </c>
      <c r="B40" s="5" t="s">
        <v>61</v>
      </c>
      <c r="C40" s="12">
        <f>L40/100*100</f>
        <v>210</v>
      </c>
      <c r="D40" s="13">
        <f>C40/100*334</f>
        <v>701.4</v>
      </c>
      <c r="E40" s="14"/>
      <c r="F40" s="14">
        <f>C40/100*20</f>
        <v>42</v>
      </c>
      <c r="G40" s="14"/>
      <c r="H40" s="14">
        <f>C40/100*2.4</f>
        <v>5.04</v>
      </c>
      <c r="I40" s="14">
        <f>C40/100*58</f>
        <v>121.80000000000001</v>
      </c>
      <c r="J40" s="22">
        <f>C40/100*89</f>
        <v>186.9</v>
      </c>
      <c r="K40" s="22">
        <f>C40/100*0.64</f>
        <v>1.3440000000000001</v>
      </c>
      <c r="L40" s="111">
        <v>210</v>
      </c>
      <c r="M40" s="102">
        <v>190</v>
      </c>
      <c r="N40" s="16">
        <f>L40*M40</f>
        <v>39900</v>
      </c>
      <c r="O40" s="314"/>
    </row>
    <row r="41" spans="1:23" s="2" customFormat="1" ht="19.2" customHeight="1">
      <c r="A41" s="8">
        <v>9</v>
      </c>
      <c r="B41" s="140" t="s">
        <v>131</v>
      </c>
      <c r="C41" s="12">
        <f>L41/100*100</f>
        <v>3620.0000000000005</v>
      </c>
      <c r="D41" s="65">
        <f>C41/100*437</f>
        <v>15819.400000000001</v>
      </c>
      <c r="E41" s="17"/>
      <c r="F41" s="17">
        <f>C41/100*19.5</f>
        <v>705.90000000000009</v>
      </c>
      <c r="G41" s="17"/>
      <c r="H41" s="17">
        <f>C41/100*23.2</f>
        <v>839.84</v>
      </c>
      <c r="I41" s="17">
        <f>C41/100*46</f>
        <v>1665.2</v>
      </c>
      <c r="J41" s="91">
        <f>C41/100*680</f>
        <v>24616.000000000004</v>
      </c>
      <c r="K41" s="14">
        <f>C41/100*0.55</f>
        <v>19.910000000000004</v>
      </c>
      <c r="L41" s="317">
        <v>3620</v>
      </c>
      <c r="M41" s="102">
        <v>260</v>
      </c>
      <c r="N41" s="93">
        <f t="shared" ref="N41" si="2">L41*M41</f>
        <v>941200</v>
      </c>
      <c r="O41" s="314"/>
      <c r="P41" s="3"/>
    </row>
    <row r="42" spans="1:23" s="2" customFormat="1" ht="19.2" customHeight="1">
      <c r="A42" s="77">
        <v>10</v>
      </c>
      <c r="B42" s="78" t="s">
        <v>111</v>
      </c>
      <c r="C42" s="79"/>
      <c r="D42" s="346"/>
      <c r="E42" s="105"/>
      <c r="F42" s="81"/>
      <c r="G42" s="81"/>
      <c r="H42" s="81"/>
      <c r="I42" s="81"/>
      <c r="J42" s="81"/>
      <c r="K42" s="81"/>
      <c r="L42" s="82"/>
      <c r="M42" s="82"/>
      <c r="N42" s="83">
        <v>13550</v>
      </c>
      <c r="O42" s="314"/>
    </row>
    <row r="43" spans="1:23" ht="20.399999999999999" customHeight="1">
      <c r="A43" s="211" t="s">
        <v>0</v>
      </c>
      <c r="B43" s="214" t="s">
        <v>19</v>
      </c>
      <c r="C43" s="217" t="s">
        <v>8</v>
      </c>
      <c r="D43" s="217" t="s">
        <v>9</v>
      </c>
      <c r="E43" s="220" t="s">
        <v>11</v>
      </c>
      <c r="F43" s="221"/>
      <c r="G43" s="220" t="s">
        <v>13</v>
      </c>
      <c r="H43" s="221"/>
      <c r="I43" s="208" t="s">
        <v>16</v>
      </c>
      <c r="J43" s="208" t="s">
        <v>32</v>
      </c>
      <c r="K43" s="208" t="s">
        <v>33</v>
      </c>
      <c r="L43" s="208" t="s">
        <v>17</v>
      </c>
      <c r="M43" s="208" t="s">
        <v>34</v>
      </c>
      <c r="N43" s="211" t="s">
        <v>18</v>
      </c>
      <c r="O43" s="313"/>
    </row>
    <row r="44" spans="1:23" ht="20.399999999999999" customHeight="1">
      <c r="A44" s="212"/>
      <c r="B44" s="215"/>
      <c r="C44" s="218"/>
      <c r="D44" s="218"/>
      <c r="E44" s="222"/>
      <c r="F44" s="223"/>
      <c r="G44" s="222"/>
      <c r="H44" s="223"/>
      <c r="I44" s="209"/>
      <c r="J44" s="209"/>
      <c r="K44" s="209"/>
      <c r="L44" s="209"/>
      <c r="M44" s="209"/>
      <c r="N44" s="212"/>
      <c r="O44" s="152"/>
    </row>
    <row r="45" spans="1:23" ht="20.399999999999999" customHeight="1">
      <c r="A45" s="212"/>
      <c r="B45" s="215"/>
      <c r="C45" s="218"/>
      <c r="D45" s="218"/>
      <c r="E45" s="208" t="s">
        <v>10</v>
      </c>
      <c r="F45" s="208" t="s">
        <v>12</v>
      </c>
      <c r="G45" s="208" t="s">
        <v>14</v>
      </c>
      <c r="H45" s="208" t="s">
        <v>15</v>
      </c>
      <c r="I45" s="209"/>
      <c r="J45" s="209"/>
      <c r="K45" s="209"/>
      <c r="L45" s="209"/>
      <c r="M45" s="209"/>
      <c r="N45" s="212"/>
      <c r="O45" s="152"/>
    </row>
    <row r="46" spans="1:23" ht="20.399999999999999" customHeight="1">
      <c r="A46" s="213"/>
      <c r="B46" s="216"/>
      <c r="C46" s="219"/>
      <c r="D46" s="219"/>
      <c r="E46" s="210"/>
      <c r="F46" s="210"/>
      <c r="G46" s="210"/>
      <c r="H46" s="210"/>
      <c r="I46" s="210"/>
      <c r="J46" s="210"/>
      <c r="K46" s="210"/>
      <c r="L46" s="210"/>
      <c r="M46" s="210"/>
      <c r="N46" s="213"/>
      <c r="O46" s="152"/>
    </row>
    <row r="47" spans="1:23" s="2" customFormat="1" ht="20.399999999999999" customHeight="1">
      <c r="A47" s="189" t="s">
        <v>98</v>
      </c>
      <c r="B47" s="189"/>
      <c r="C47" s="25"/>
      <c r="D47" s="94">
        <f>SUM(D33:D42)</f>
        <v>53594.912500000006</v>
      </c>
      <c r="E47" s="31"/>
      <c r="F47" s="31"/>
      <c r="G47" s="31"/>
      <c r="H47" s="31"/>
      <c r="I47" s="31"/>
      <c r="J47" s="31"/>
      <c r="K47" s="31"/>
      <c r="L47" s="32"/>
      <c r="M47" s="32"/>
      <c r="N47" s="258">
        <f>SUM(N33:N42)</f>
        <v>1745550</v>
      </c>
      <c r="O47" s="314"/>
    </row>
    <row r="48" spans="1:23" ht="20.399999999999999" customHeight="1">
      <c r="A48" s="189" t="s">
        <v>7</v>
      </c>
      <c r="B48" s="189"/>
      <c r="C48" s="33"/>
      <c r="D48" s="34">
        <f>D47/D8</f>
        <v>251.61930751173711</v>
      </c>
      <c r="E48" s="34"/>
      <c r="F48" s="34"/>
      <c r="G48" s="34"/>
      <c r="H48" s="34"/>
      <c r="I48" s="34"/>
      <c r="J48" s="34"/>
      <c r="K48" s="34"/>
      <c r="L48" s="35"/>
      <c r="M48" s="35"/>
      <c r="N48" s="259"/>
      <c r="O48" s="4"/>
      <c r="P48" s="2"/>
      <c r="Q48" s="2"/>
      <c r="R48" s="2"/>
      <c r="S48" s="2"/>
      <c r="T48" s="2"/>
      <c r="U48" s="2"/>
      <c r="V48" s="2"/>
      <c r="W48" s="2"/>
    </row>
    <row r="49" spans="1:23" ht="20.399999999999999" customHeight="1">
      <c r="A49" s="192" t="s">
        <v>40</v>
      </c>
      <c r="B49" s="193"/>
      <c r="C49" s="319" t="s">
        <v>133</v>
      </c>
      <c r="D49" s="29" t="s">
        <v>41</v>
      </c>
      <c r="E49" s="34"/>
      <c r="F49" s="34"/>
      <c r="G49" s="34"/>
      <c r="H49" s="34"/>
      <c r="I49" s="34"/>
      <c r="J49" s="36"/>
      <c r="K49" s="36"/>
      <c r="L49" s="35"/>
      <c r="M49" s="35"/>
      <c r="N49" s="153"/>
      <c r="O49" s="4"/>
      <c r="P49" s="2"/>
      <c r="Q49" s="2"/>
      <c r="R49" s="2"/>
      <c r="S49" s="2"/>
      <c r="T49" s="2"/>
      <c r="U49" s="2"/>
      <c r="V49" s="2"/>
      <c r="W49" s="2"/>
    </row>
    <row r="50" spans="1:23" ht="20.399999999999999" customHeight="1">
      <c r="A50" s="194"/>
      <c r="B50" s="195"/>
      <c r="C50" s="62" t="s">
        <v>58</v>
      </c>
      <c r="D50" s="29">
        <f>D48*100/1320</f>
        <v>19.062068750889175</v>
      </c>
      <c r="E50" s="34"/>
      <c r="F50" s="34"/>
      <c r="G50" s="34"/>
      <c r="H50" s="34"/>
      <c r="I50" s="34"/>
      <c r="J50" s="36"/>
      <c r="K50" s="36"/>
      <c r="L50" s="35"/>
      <c r="M50" s="35"/>
      <c r="N50" s="153"/>
      <c r="O50" s="4"/>
      <c r="P50" s="2"/>
      <c r="Q50" s="2"/>
      <c r="R50" s="2"/>
      <c r="S50" s="2"/>
      <c r="T50" s="2"/>
      <c r="U50" s="2"/>
      <c r="V50" s="2"/>
      <c r="W50" s="2"/>
    </row>
    <row r="51" spans="1:23" ht="20.399999999999999" customHeight="1">
      <c r="A51" s="196" t="s">
        <v>99</v>
      </c>
      <c r="B51" s="197"/>
      <c r="C51" s="200"/>
      <c r="D51" s="254">
        <f>D28+D47</f>
        <v>149941.61050000001</v>
      </c>
      <c r="E51" s="95">
        <f t="shared" ref="E51:K51" si="3">SUM(E14:E42)</f>
        <v>3086.8924000000002</v>
      </c>
      <c r="F51" s="95">
        <f t="shared" si="3"/>
        <v>3074.9862499999999</v>
      </c>
      <c r="G51" s="95">
        <f t="shared" si="3"/>
        <v>3237.68</v>
      </c>
      <c r="H51" s="95">
        <f t="shared" si="3"/>
        <v>1394.6949</v>
      </c>
      <c r="I51" s="256">
        <f t="shared" si="3"/>
        <v>20238.652599999998</v>
      </c>
      <c r="J51" s="206">
        <f t="shared" si="3"/>
        <v>56025.875500000002</v>
      </c>
      <c r="K51" s="204">
        <f t="shared" si="3"/>
        <v>66.151920000000004</v>
      </c>
      <c r="L51" s="171"/>
      <c r="M51" s="171"/>
      <c r="N51" s="172">
        <f>N28+N47</f>
        <v>4685780</v>
      </c>
      <c r="P51" s="2"/>
      <c r="Q51" s="2"/>
      <c r="R51" s="2"/>
      <c r="S51" s="2"/>
      <c r="T51" s="2"/>
      <c r="U51" s="2"/>
      <c r="V51" s="2"/>
    </row>
    <row r="52" spans="1:23" ht="20.399999999999999" customHeight="1">
      <c r="A52" s="198"/>
      <c r="B52" s="199"/>
      <c r="C52" s="201"/>
      <c r="D52" s="255"/>
      <c r="E52" s="173">
        <f>E51+F51</f>
        <v>6161.8786500000006</v>
      </c>
      <c r="F52" s="174"/>
      <c r="G52" s="173">
        <f>G51+H51</f>
        <v>4632.3748999999998</v>
      </c>
      <c r="H52" s="174"/>
      <c r="I52" s="257"/>
      <c r="J52" s="207"/>
      <c r="K52" s="205"/>
      <c r="L52" s="171"/>
      <c r="M52" s="171"/>
      <c r="N52" s="172"/>
      <c r="U52" s="11"/>
      <c r="V52" s="11"/>
    </row>
    <row r="53" spans="1:23" ht="20.399999999999999" customHeight="1">
      <c r="A53" s="246" t="s">
        <v>75</v>
      </c>
      <c r="B53" s="247"/>
      <c r="C53" s="248"/>
      <c r="D53" s="101">
        <f>D51/D8</f>
        <v>703.95122300469484</v>
      </c>
      <c r="E53" s="108">
        <f>E51/D8</f>
        <v>14.492452582159626</v>
      </c>
      <c r="F53" s="107">
        <f>F51/D8</f>
        <v>14.436555164319248</v>
      </c>
      <c r="G53" s="108">
        <f>G51/D8</f>
        <v>15.200375586854459</v>
      </c>
      <c r="H53" s="107">
        <f>H51/D8</f>
        <v>6.5478633802816901</v>
      </c>
      <c r="I53" s="252">
        <f>I51/D8</f>
        <v>95.017148356807496</v>
      </c>
      <c r="J53" s="252">
        <f>J51/D8</f>
        <v>263.03227934272303</v>
      </c>
      <c r="K53" s="184">
        <f>K51/D8</f>
        <v>0.31057239436619721</v>
      </c>
      <c r="L53" s="171"/>
      <c r="M53" s="171"/>
      <c r="N53" s="172"/>
      <c r="U53" s="11"/>
      <c r="V53" s="11"/>
    </row>
    <row r="54" spans="1:23" ht="20.399999999999999" customHeight="1">
      <c r="A54" s="249"/>
      <c r="B54" s="250"/>
      <c r="C54" s="251"/>
      <c r="D54" s="98"/>
      <c r="E54" s="296">
        <f>E53+F53</f>
        <v>28.929007746478874</v>
      </c>
      <c r="F54" s="295"/>
      <c r="G54" s="296">
        <f>G53+H53</f>
        <v>21.74823896713615</v>
      </c>
      <c r="H54" s="295"/>
      <c r="I54" s="253"/>
      <c r="J54" s="253"/>
      <c r="K54" s="185"/>
      <c r="L54" s="171"/>
      <c r="M54" s="171"/>
      <c r="N54" s="172"/>
      <c r="P54" s="308"/>
      <c r="Q54" s="310"/>
      <c r="R54" s="310"/>
      <c r="S54" s="310"/>
      <c r="T54" s="310"/>
      <c r="U54" s="321"/>
      <c r="V54" s="321"/>
    </row>
    <row r="55" spans="1:23" ht="20.399999999999999" customHeight="1">
      <c r="A55" s="322" t="s">
        <v>76</v>
      </c>
      <c r="B55" s="323"/>
      <c r="C55" s="324"/>
      <c r="D55" s="325" t="s">
        <v>27</v>
      </c>
      <c r="E55" s="245" t="s">
        <v>21</v>
      </c>
      <c r="F55" s="245"/>
      <c r="G55" s="245" t="s">
        <v>22</v>
      </c>
      <c r="H55" s="245"/>
      <c r="I55" s="150" t="s">
        <v>23</v>
      </c>
      <c r="J55" s="343">
        <v>600</v>
      </c>
      <c r="K55" s="343">
        <v>0.74</v>
      </c>
      <c r="L55" s="171"/>
      <c r="M55" s="171"/>
      <c r="N55" s="172"/>
      <c r="O55" s="327"/>
      <c r="P55" s="328"/>
      <c r="Q55" s="310"/>
      <c r="R55" s="310"/>
      <c r="S55" s="310"/>
      <c r="T55" s="310"/>
      <c r="U55" s="310"/>
      <c r="V55" s="310"/>
    </row>
    <row r="56" spans="1:23" ht="20.399999999999999" customHeight="1">
      <c r="A56" s="164" t="s">
        <v>69</v>
      </c>
      <c r="B56" s="168"/>
      <c r="C56" s="165"/>
      <c r="D56" s="19"/>
      <c r="E56" s="169">
        <f>E54*4.1</f>
        <v>118.60893176056337</v>
      </c>
      <c r="F56" s="170"/>
      <c r="G56" s="169">
        <f>G54*9</f>
        <v>195.73415070422536</v>
      </c>
      <c r="H56" s="170"/>
      <c r="I56" s="68">
        <f>I53*4.1</f>
        <v>389.57030826291071</v>
      </c>
      <c r="J56" s="175"/>
      <c r="K56" s="175"/>
      <c r="L56" s="171"/>
      <c r="M56" s="171"/>
      <c r="N56" s="172"/>
      <c r="O56" s="327"/>
      <c r="P56" s="329"/>
      <c r="Q56" s="307"/>
      <c r="R56" s="307"/>
      <c r="S56" s="307"/>
      <c r="T56" s="308"/>
      <c r="U56" s="308"/>
      <c r="V56" s="308"/>
    </row>
    <row r="57" spans="1:23" ht="20.399999999999999" customHeight="1">
      <c r="A57" s="160" t="s">
        <v>70</v>
      </c>
      <c r="B57" s="161"/>
      <c r="C57" s="164" t="s">
        <v>58</v>
      </c>
      <c r="D57" s="165"/>
      <c r="E57" s="166">
        <f>E56*100/D53</f>
        <v>16.849027018420614</v>
      </c>
      <c r="F57" s="167"/>
      <c r="G57" s="166">
        <f>G56*100/D53</f>
        <v>27.805072895358823</v>
      </c>
      <c r="H57" s="167"/>
      <c r="I57" s="86">
        <f>I56*100/D53</f>
        <v>55.34052581087888</v>
      </c>
      <c r="J57" s="176"/>
      <c r="K57" s="176"/>
      <c r="L57" s="171"/>
      <c r="M57" s="171"/>
      <c r="N57" s="172"/>
      <c r="O57" s="327"/>
      <c r="P57" s="308"/>
      <c r="Q57" s="309"/>
      <c r="R57" s="308"/>
      <c r="S57" s="308"/>
      <c r="T57" s="308"/>
      <c r="U57" s="308"/>
      <c r="V57" s="308"/>
    </row>
    <row r="58" spans="1:23" ht="20.399999999999999" customHeight="1">
      <c r="A58" s="162"/>
      <c r="B58" s="163"/>
      <c r="C58" s="164" t="s">
        <v>71</v>
      </c>
      <c r="D58" s="165"/>
      <c r="E58" s="164" t="s">
        <v>72</v>
      </c>
      <c r="F58" s="165"/>
      <c r="G58" s="164" t="s">
        <v>73</v>
      </c>
      <c r="H58" s="165"/>
      <c r="I58" s="325" t="s">
        <v>74</v>
      </c>
      <c r="J58" s="177"/>
      <c r="K58" s="177"/>
      <c r="L58" s="171"/>
      <c r="M58" s="171"/>
      <c r="N58" s="172"/>
      <c r="O58" s="327"/>
      <c r="P58" s="84"/>
    </row>
    <row r="59" spans="1:23" ht="20.399999999999999" customHeight="1">
      <c r="A59" s="70"/>
      <c r="B59" s="71"/>
      <c r="C59" s="70"/>
      <c r="D59" s="70"/>
      <c r="E59" s="70"/>
      <c r="F59" s="70"/>
      <c r="G59" s="70"/>
      <c r="H59" s="70"/>
      <c r="I59" s="70"/>
      <c r="J59" s="70"/>
      <c r="K59" s="70"/>
      <c r="L59" s="72"/>
      <c r="M59" s="72"/>
      <c r="N59" s="73"/>
      <c r="O59" s="327"/>
      <c r="Q59" s="84"/>
    </row>
    <row r="60" spans="1:23" ht="20.399999999999999" customHeight="1">
      <c r="A60" s="156" t="s">
        <v>100</v>
      </c>
      <c r="B60" s="156"/>
      <c r="C60" s="156"/>
      <c r="D60" s="156"/>
      <c r="E60" s="156"/>
      <c r="F60" s="156"/>
      <c r="G60" s="156"/>
      <c r="H60" s="156"/>
      <c r="I60" s="156"/>
      <c r="J60" s="156"/>
      <c r="K60" s="156"/>
      <c r="L60" s="156"/>
      <c r="M60" s="156"/>
      <c r="N60" s="156"/>
      <c r="O60" s="327"/>
    </row>
    <row r="61" spans="1:23" ht="20.399999999999999" customHeight="1">
      <c r="A61" s="87" t="s">
        <v>101</v>
      </c>
      <c r="B61" s="157" t="s">
        <v>102</v>
      </c>
      <c r="C61" s="157"/>
      <c r="D61" s="157"/>
      <c r="E61" s="157"/>
      <c r="F61" s="157"/>
      <c r="G61" s="157"/>
      <c r="H61" s="157"/>
      <c r="I61" s="157"/>
      <c r="J61" s="157"/>
      <c r="K61" s="157"/>
      <c r="L61" s="157"/>
      <c r="M61" s="157"/>
      <c r="N61" s="157"/>
      <c r="O61" s="327"/>
    </row>
    <row r="62" spans="1:23" ht="20.399999999999999" customHeight="1">
      <c r="A62" s="88"/>
      <c r="B62" s="158" t="s">
        <v>173</v>
      </c>
      <c r="C62" s="15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  <c r="O62" s="327"/>
    </row>
    <row r="63" spans="1:23" ht="20.399999999999999" customHeight="1">
      <c r="A63" s="88"/>
      <c r="B63" s="158" t="s">
        <v>176</v>
      </c>
      <c r="C63" s="15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  <c r="O63" s="327"/>
    </row>
    <row r="64" spans="1:23" ht="20.399999999999999" customHeight="1">
      <c r="A64" s="88"/>
      <c r="B64" s="158" t="s">
        <v>177</v>
      </c>
      <c r="C64" s="15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  <c r="O64" s="327"/>
    </row>
    <row r="65" spans="1:15" ht="20.399999999999999" customHeight="1">
      <c r="A65" s="70"/>
      <c r="B65" s="159" t="s">
        <v>109</v>
      </c>
      <c r="C65" s="159"/>
      <c r="D65" s="159"/>
      <c r="E65" s="159"/>
      <c r="F65" s="159"/>
      <c r="G65" s="159"/>
      <c r="H65" s="159"/>
      <c r="I65" s="159"/>
      <c r="J65" s="159"/>
      <c r="K65" s="159"/>
      <c r="L65" s="159"/>
      <c r="M65" s="159"/>
      <c r="N65" s="159"/>
      <c r="O65" s="327"/>
    </row>
    <row r="66" spans="1:15" ht="20.399999999999999" customHeight="1">
      <c r="A66" s="70"/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89"/>
      <c r="M66" s="89"/>
      <c r="N66" s="90"/>
      <c r="O66" s="327"/>
    </row>
    <row r="67" spans="1:15" ht="20.399999999999999" customHeight="1">
      <c r="A67" s="154" t="s">
        <v>60</v>
      </c>
      <c r="B67" s="154"/>
      <c r="C67" s="154"/>
      <c r="D67" s="154"/>
      <c r="E67" s="330"/>
      <c r="F67" s="330"/>
      <c r="G67" s="330"/>
      <c r="H67" s="330"/>
      <c r="I67" s="330"/>
      <c r="J67" s="331" t="s">
        <v>36</v>
      </c>
      <c r="K67" s="331"/>
      <c r="L67" s="331"/>
      <c r="M67" s="331"/>
      <c r="N67" s="331"/>
      <c r="O67" s="327"/>
    </row>
    <row r="68" spans="1:15" ht="20.399999999999999" customHeight="1">
      <c r="A68" s="152"/>
      <c r="B68" s="152"/>
      <c r="C68" s="152"/>
      <c r="D68" s="330"/>
      <c r="E68" s="330"/>
      <c r="F68" s="330"/>
      <c r="G68" s="330"/>
      <c r="H68" s="332"/>
      <c r="I68" s="332"/>
      <c r="J68" s="332"/>
      <c r="K68" s="332"/>
      <c r="L68" s="332"/>
      <c r="M68" s="332"/>
      <c r="N68" s="332"/>
      <c r="O68" s="327"/>
    </row>
    <row r="69" spans="1:15" ht="20.399999999999999" customHeight="1">
      <c r="A69" s="152"/>
      <c r="B69" s="152"/>
      <c r="C69" s="152"/>
      <c r="D69" s="330"/>
      <c r="E69" s="330"/>
      <c r="F69" s="330"/>
      <c r="G69" s="330"/>
      <c r="H69" s="332"/>
      <c r="I69" s="332"/>
      <c r="J69" s="332"/>
      <c r="K69" s="332"/>
      <c r="L69" s="332"/>
      <c r="M69" s="332"/>
      <c r="N69" s="332"/>
      <c r="O69" s="327"/>
    </row>
    <row r="70" spans="1:15" ht="20.399999999999999" customHeight="1">
      <c r="A70" s="152"/>
      <c r="B70" s="152"/>
      <c r="C70" s="152"/>
      <c r="D70" s="330"/>
      <c r="E70" s="330"/>
      <c r="F70" s="330"/>
      <c r="G70" s="330"/>
      <c r="H70" s="332"/>
      <c r="I70" s="332"/>
      <c r="J70" s="333" t="s">
        <v>103</v>
      </c>
      <c r="K70" s="333"/>
      <c r="L70" s="333"/>
      <c r="M70" s="333"/>
      <c r="N70" s="333"/>
      <c r="O70" s="327"/>
    </row>
    <row r="71" spans="1:15" ht="20.399999999999999" customHeight="1">
      <c r="A71" s="155" t="s">
        <v>84</v>
      </c>
      <c r="B71" s="155"/>
      <c r="C71" s="155"/>
      <c r="D71" s="155"/>
      <c r="E71" s="330"/>
      <c r="F71" s="330"/>
      <c r="G71" s="330"/>
      <c r="H71" s="332"/>
      <c r="I71" s="332"/>
      <c r="O71" s="327"/>
    </row>
    <row r="72" spans="1:15" ht="20.399999999999999" customHeight="1">
      <c r="A72" s="152"/>
      <c r="B72" s="152"/>
      <c r="C72" s="152"/>
      <c r="D72" s="330"/>
      <c r="E72" s="330"/>
      <c r="F72" s="330"/>
      <c r="G72" s="330"/>
      <c r="H72" s="332"/>
      <c r="I72" s="332"/>
      <c r="J72" s="332"/>
      <c r="K72" s="332"/>
      <c r="L72" s="332"/>
      <c r="M72" s="332"/>
      <c r="N72" s="332"/>
      <c r="O72" s="327"/>
    </row>
    <row r="73" spans="1:15" ht="20.399999999999999" customHeight="1">
      <c r="A73" s="152"/>
      <c r="B73" s="152"/>
      <c r="C73" s="152"/>
      <c r="D73" s="330"/>
      <c r="E73" s="330"/>
      <c r="F73" s="330"/>
      <c r="G73" s="330"/>
      <c r="H73" s="332"/>
      <c r="I73" s="332"/>
      <c r="J73" s="333" t="s">
        <v>114</v>
      </c>
      <c r="K73" s="333"/>
      <c r="L73" s="333"/>
      <c r="M73" s="333"/>
      <c r="N73" s="333"/>
      <c r="O73" s="327"/>
    </row>
    <row r="74" spans="1:15" ht="20.399999999999999" customHeight="1">
      <c r="A74" s="152"/>
      <c r="B74" s="152"/>
      <c r="C74" s="152"/>
      <c r="D74" s="330"/>
      <c r="E74" s="330"/>
      <c r="F74" s="330"/>
      <c r="G74" s="330"/>
      <c r="H74" s="332"/>
      <c r="I74" s="332"/>
      <c r="J74" s="332"/>
      <c r="K74" s="332"/>
      <c r="L74" s="332"/>
      <c r="M74" s="332"/>
      <c r="N74" s="332"/>
      <c r="O74" s="327"/>
    </row>
    <row r="75" spans="1:15" ht="20.399999999999999" customHeight="1">
      <c r="A75" s="152"/>
      <c r="B75" s="152"/>
      <c r="C75" s="152"/>
      <c r="D75" s="330"/>
      <c r="E75" s="330"/>
      <c r="F75" s="330"/>
      <c r="G75" s="330"/>
      <c r="H75" s="332"/>
      <c r="I75" s="332"/>
      <c r="J75" s="332"/>
      <c r="K75" s="332"/>
      <c r="L75" s="332"/>
      <c r="M75" s="332"/>
      <c r="N75" s="332"/>
      <c r="O75" s="327"/>
    </row>
    <row r="76" spans="1:15" ht="20.399999999999999" customHeight="1">
      <c r="A76" s="152"/>
      <c r="B76" s="152"/>
      <c r="C76" s="152"/>
      <c r="D76" s="330"/>
      <c r="E76" s="330"/>
      <c r="F76" s="330"/>
      <c r="G76" s="330"/>
      <c r="H76" s="332"/>
      <c r="I76" s="332"/>
      <c r="J76" s="332"/>
      <c r="K76" s="332"/>
      <c r="L76" s="332"/>
      <c r="M76" s="332"/>
      <c r="N76" s="332"/>
      <c r="O76" s="327"/>
    </row>
    <row r="77" spans="1:15" ht="20.399999999999999" customHeight="1">
      <c r="A77" s="152"/>
      <c r="B77" s="152"/>
      <c r="C77" s="152"/>
      <c r="D77" s="330"/>
      <c r="E77" s="330"/>
      <c r="F77" s="330"/>
      <c r="G77" s="330"/>
      <c r="H77" s="332"/>
      <c r="I77" s="332"/>
      <c r="J77" s="332"/>
      <c r="K77" s="332"/>
      <c r="L77" s="332"/>
      <c r="M77" s="332"/>
      <c r="N77" s="332"/>
      <c r="O77" s="327"/>
    </row>
    <row r="78" spans="1:15" ht="20.399999999999999" customHeight="1">
      <c r="A78" s="152"/>
      <c r="B78" s="152"/>
      <c r="C78" s="152"/>
      <c r="D78" s="330"/>
      <c r="E78" s="330"/>
      <c r="F78" s="330"/>
      <c r="G78" s="330"/>
      <c r="H78" s="332"/>
      <c r="I78" s="332"/>
      <c r="J78" s="332"/>
      <c r="K78" s="332"/>
      <c r="L78" s="332"/>
      <c r="M78" s="332"/>
      <c r="N78" s="332"/>
      <c r="O78" s="327"/>
    </row>
    <row r="79" spans="1:15" ht="20.399999999999999" customHeight="1">
      <c r="A79" s="152"/>
      <c r="B79" s="152"/>
      <c r="C79" s="152"/>
      <c r="D79" s="330"/>
      <c r="E79" s="330"/>
      <c r="F79" s="330"/>
      <c r="G79" s="330"/>
      <c r="H79" s="332"/>
      <c r="I79" s="332"/>
      <c r="J79" s="332"/>
      <c r="K79" s="332"/>
      <c r="L79" s="332"/>
      <c r="M79" s="332"/>
      <c r="N79" s="332"/>
      <c r="O79" s="327"/>
    </row>
    <row r="80" spans="1:15" ht="20.399999999999999" customHeight="1">
      <c r="A80" s="152"/>
      <c r="B80" s="152"/>
      <c r="C80" s="152"/>
      <c r="D80" s="330"/>
      <c r="E80" s="330"/>
      <c r="F80" s="330"/>
      <c r="G80" s="330"/>
      <c r="H80" s="332"/>
      <c r="I80" s="332"/>
      <c r="J80" s="332"/>
      <c r="K80" s="332"/>
      <c r="L80" s="332"/>
      <c r="M80" s="332"/>
      <c r="N80" s="332"/>
      <c r="O80" s="327"/>
    </row>
    <row r="81" spans="1:20" ht="20.399999999999999" customHeight="1">
      <c r="A81" s="152"/>
      <c r="B81" s="152"/>
      <c r="C81" s="152"/>
      <c r="D81" s="330"/>
      <c r="E81" s="330"/>
      <c r="F81" s="330"/>
      <c r="G81" s="330"/>
      <c r="H81" s="332"/>
      <c r="I81" s="332"/>
      <c r="J81" s="332"/>
      <c r="K81" s="332"/>
      <c r="L81" s="332"/>
      <c r="M81" s="332"/>
      <c r="N81" s="332"/>
      <c r="O81" s="327"/>
    </row>
    <row r="82" spans="1:20" ht="20.399999999999999" customHeight="1">
      <c r="A82" s="152"/>
      <c r="B82" s="152"/>
      <c r="C82" s="152"/>
      <c r="D82" s="330"/>
      <c r="E82" s="330"/>
      <c r="F82" s="330"/>
      <c r="G82" s="330"/>
      <c r="H82" s="332"/>
      <c r="I82" s="332"/>
      <c r="J82" s="332"/>
      <c r="K82" s="332"/>
      <c r="L82" s="332"/>
      <c r="M82" s="332"/>
      <c r="N82" s="332"/>
      <c r="O82" s="327"/>
    </row>
    <row r="83" spans="1:20" ht="20.399999999999999" customHeight="1">
      <c r="A83" s="10" t="s">
        <v>59</v>
      </c>
      <c r="B83" s="7"/>
      <c r="C83" s="7"/>
      <c r="D83" s="7"/>
      <c r="E83" s="7"/>
      <c r="F83" s="244" t="s">
        <v>31</v>
      </c>
      <c r="G83" s="244"/>
      <c r="H83" s="244"/>
      <c r="I83" s="244"/>
      <c r="J83" s="244"/>
      <c r="K83" s="244"/>
      <c r="L83" s="244"/>
      <c r="M83" s="244"/>
      <c r="N83" s="244"/>
      <c r="O83" s="311"/>
      <c r="P83" s="311"/>
      <c r="T83" s="2"/>
    </row>
    <row r="84" spans="1:20" ht="20.399999999999999" customHeight="1">
      <c r="A84" s="7" t="s">
        <v>175</v>
      </c>
      <c r="B84" s="7"/>
      <c r="C84" s="7"/>
      <c r="D84" s="7"/>
      <c r="E84" s="7"/>
      <c r="F84" s="149"/>
      <c r="G84" s="149"/>
      <c r="H84" s="149"/>
      <c r="I84" s="149"/>
      <c r="J84" s="149"/>
      <c r="K84" s="149"/>
      <c r="L84" s="149"/>
      <c r="M84" s="149"/>
      <c r="N84" s="149"/>
      <c r="O84" s="311"/>
      <c r="P84" s="311"/>
      <c r="T84" s="2"/>
    </row>
    <row r="85" spans="1:20" s="2" customFormat="1" ht="18" customHeight="1">
      <c r="A85" s="245" t="s">
        <v>95</v>
      </c>
      <c r="B85" s="245"/>
      <c r="C85" s="245"/>
      <c r="D85" s="245"/>
      <c r="E85" s="245" t="s">
        <v>82</v>
      </c>
      <c r="F85" s="245"/>
      <c r="G85" s="245"/>
      <c r="H85" s="245"/>
      <c r="I85" s="245"/>
      <c r="J85" s="245"/>
      <c r="K85" s="245"/>
      <c r="L85" s="245"/>
      <c r="M85" s="245"/>
      <c r="N85" s="245"/>
      <c r="O85" s="312"/>
    </row>
    <row r="86" spans="1:20" s="2" customFormat="1" ht="18" customHeight="1">
      <c r="A86" s="245"/>
      <c r="B86" s="245"/>
      <c r="C86" s="245"/>
      <c r="D86" s="245"/>
      <c r="E86" s="245" t="s">
        <v>94</v>
      </c>
      <c r="F86" s="245"/>
      <c r="G86" s="245"/>
      <c r="H86" s="245"/>
      <c r="I86" s="245"/>
      <c r="J86" s="245" t="s">
        <v>96</v>
      </c>
      <c r="K86" s="245"/>
      <c r="L86" s="245"/>
      <c r="M86" s="245"/>
      <c r="N86" s="245"/>
      <c r="O86" s="312"/>
    </row>
    <row r="87" spans="1:20" s="2" customFormat="1" ht="18" customHeight="1">
      <c r="A87" s="231" t="s">
        <v>83</v>
      </c>
      <c r="B87" s="231"/>
      <c r="C87" s="231"/>
      <c r="D87" s="231"/>
      <c r="E87" s="232" t="s">
        <v>132</v>
      </c>
      <c r="F87" s="232"/>
      <c r="G87" s="232"/>
      <c r="H87" s="232"/>
      <c r="I87" s="232"/>
      <c r="J87" s="233" t="s">
        <v>83</v>
      </c>
      <c r="K87" s="234"/>
      <c r="L87" s="234"/>
      <c r="M87" s="234"/>
      <c r="N87" s="235"/>
      <c r="O87" s="312"/>
    </row>
    <row r="88" spans="1:20" s="2" customFormat="1" ht="18" customHeight="1">
      <c r="A88" s="236" t="s">
        <v>152</v>
      </c>
      <c r="B88" s="236"/>
      <c r="C88" s="236"/>
      <c r="D88" s="236"/>
      <c r="E88" s="232"/>
      <c r="F88" s="232"/>
      <c r="G88" s="232"/>
      <c r="H88" s="232"/>
      <c r="I88" s="232"/>
      <c r="J88" s="237" t="s">
        <v>85</v>
      </c>
      <c r="K88" s="238"/>
      <c r="L88" s="238"/>
      <c r="M88" s="238"/>
      <c r="N88" s="239"/>
      <c r="O88" s="312"/>
    </row>
    <row r="89" spans="1:20" s="2" customFormat="1" ht="18" customHeight="1">
      <c r="A89" s="240" t="s">
        <v>158</v>
      </c>
      <c r="B89" s="240"/>
      <c r="C89" s="240"/>
      <c r="D89" s="240"/>
      <c r="E89" s="232"/>
      <c r="F89" s="232"/>
      <c r="G89" s="232"/>
      <c r="H89" s="232"/>
      <c r="I89" s="232"/>
      <c r="J89" s="241" t="s">
        <v>86</v>
      </c>
      <c r="K89" s="242"/>
      <c r="L89" s="242"/>
      <c r="M89" s="242"/>
      <c r="N89" s="243"/>
      <c r="O89" s="312"/>
    </row>
    <row r="90" spans="1:20" ht="18" customHeight="1">
      <c r="A90" s="228" t="s">
        <v>112</v>
      </c>
      <c r="B90" s="229"/>
      <c r="C90" s="230"/>
      <c r="D90" s="99">
        <v>62</v>
      </c>
      <c r="E90" s="7"/>
      <c r="F90" s="149"/>
      <c r="G90" s="149"/>
      <c r="H90" s="149"/>
      <c r="I90" s="149"/>
      <c r="J90" s="149"/>
      <c r="K90" s="149"/>
      <c r="L90" s="149"/>
      <c r="M90" s="149"/>
      <c r="N90" s="149"/>
      <c r="O90" s="311"/>
      <c r="P90" s="311"/>
      <c r="T90" s="2"/>
    </row>
    <row r="91" spans="1:20" ht="18" customHeight="1">
      <c r="A91" s="211" t="s">
        <v>0</v>
      </c>
      <c r="B91" s="214" t="s">
        <v>19</v>
      </c>
      <c r="C91" s="217" t="s">
        <v>8</v>
      </c>
      <c r="D91" s="217" t="s">
        <v>9</v>
      </c>
      <c r="E91" s="220" t="s">
        <v>11</v>
      </c>
      <c r="F91" s="221"/>
      <c r="G91" s="220" t="s">
        <v>13</v>
      </c>
      <c r="H91" s="221"/>
      <c r="I91" s="208" t="s">
        <v>16</v>
      </c>
      <c r="J91" s="208" t="s">
        <v>32</v>
      </c>
      <c r="K91" s="208" t="s">
        <v>33</v>
      </c>
      <c r="L91" s="208" t="s">
        <v>17</v>
      </c>
      <c r="M91" s="208" t="s">
        <v>34</v>
      </c>
      <c r="N91" s="211" t="s">
        <v>18</v>
      </c>
      <c r="O91" s="313"/>
    </row>
    <row r="92" spans="1:20" ht="18" customHeight="1">
      <c r="A92" s="212"/>
      <c r="B92" s="215"/>
      <c r="C92" s="218"/>
      <c r="D92" s="218"/>
      <c r="E92" s="222"/>
      <c r="F92" s="223"/>
      <c r="G92" s="222"/>
      <c r="H92" s="223"/>
      <c r="I92" s="209"/>
      <c r="J92" s="209"/>
      <c r="K92" s="209"/>
      <c r="L92" s="209"/>
      <c r="M92" s="209"/>
      <c r="N92" s="212"/>
      <c r="O92" s="152"/>
    </row>
    <row r="93" spans="1:20" ht="18" customHeight="1">
      <c r="A93" s="212"/>
      <c r="B93" s="215"/>
      <c r="C93" s="218"/>
      <c r="D93" s="218"/>
      <c r="E93" s="208" t="s">
        <v>10</v>
      </c>
      <c r="F93" s="208" t="s">
        <v>12</v>
      </c>
      <c r="G93" s="208" t="s">
        <v>14</v>
      </c>
      <c r="H93" s="208" t="s">
        <v>15</v>
      </c>
      <c r="I93" s="209"/>
      <c r="J93" s="209"/>
      <c r="K93" s="209"/>
      <c r="L93" s="209"/>
      <c r="M93" s="209"/>
      <c r="N93" s="212"/>
      <c r="O93" s="152"/>
    </row>
    <row r="94" spans="1:20" ht="18" customHeight="1">
      <c r="A94" s="213"/>
      <c r="B94" s="216"/>
      <c r="C94" s="219"/>
      <c r="D94" s="219"/>
      <c r="E94" s="210"/>
      <c r="F94" s="210"/>
      <c r="G94" s="210"/>
      <c r="H94" s="210"/>
      <c r="I94" s="210"/>
      <c r="J94" s="210"/>
      <c r="K94" s="210"/>
      <c r="L94" s="210"/>
      <c r="M94" s="210"/>
      <c r="N94" s="213"/>
      <c r="O94" s="152"/>
    </row>
    <row r="95" spans="1:20" ht="17.399999999999999" customHeight="1">
      <c r="A95" s="225" t="s">
        <v>42</v>
      </c>
      <c r="B95" s="226"/>
      <c r="C95" s="226"/>
      <c r="D95" s="226"/>
      <c r="E95" s="226"/>
      <c r="F95" s="226"/>
      <c r="G95" s="226"/>
      <c r="H95" s="226"/>
      <c r="I95" s="226"/>
      <c r="J95" s="226"/>
      <c r="K95" s="226"/>
      <c r="L95" s="226"/>
      <c r="M95" s="226"/>
      <c r="N95" s="227"/>
      <c r="O95" s="152"/>
    </row>
    <row r="96" spans="1:20" s="2" customFormat="1" ht="17.399999999999999" customHeight="1">
      <c r="A96" s="8">
        <v>1</v>
      </c>
      <c r="B96" s="9" t="s">
        <v>2</v>
      </c>
      <c r="C96" s="12">
        <f>L96/100*100</f>
        <v>80</v>
      </c>
      <c r="D96" s="13">
        <f>C96/100*60</f>
        <v>48</v>
      </c>
      <c r="E96" s="14">
        <f>C96/100*15</f>
        <v>12</v>
      </c>
      <c r="F96" s="14"/>
      <c r="G96" s="14"/>
      <c r="H96" s="14"/>
      <c r="I96" s="14"/>
      <c r="J96" s="14">
        <f>C96/100*387</f>
        <v>309.60000000000002</v>
      </c>
      <c r="K96" s="14">
        <f>C96/100*0.09</f>
        <v>7.1999999999999995E-2</v>
      </c>
      <c r="L96" s="111">
        <v>80</v>
      </c>
      <c r="M96" s="20">
        <v>20</v>
      </c>
      <c r="N96" s="16">
        <f>L96*M96</f>
        <v>1600</v>
      </c>
      <c r="O96" s="314"/>
    </row>
    <row r="97" spans="1:23" s="2" customFormat="1" ht="17.399999999999999" customHeight="1">
      <c r="A97" s="8">
        <v>2</v>
      </c>
      <c r="B97" s="9" t="s">
        <v>121</v>
      </c>
      <c r="C97" s="12">
        <f>L97/100*100</f>
        <v>490.00000000000006</v>
      </c>
      <c r="D97" s="65">
        <f>C97/100*899</f>
        <v>4405.1000000000004</v>
      </c>
      <c r="E97" s="14"/>
      <c r="F97" s="14"/>
      <c r="G97" s="91">
        <f>C97/100*99.6</f>
        <v>488.04</v>
      </c>
      <c r="H97" s="14"/>
      <c r="I97" s="14"/>
      <c r="J97" s="14"/>
      <c r="K97" s="14"/>
      <c r="L97" s="111">
        <v>490</v>
      </c>
      <c r="M97" s="65">
        <v>68</v>
      </c>
      <c r="N97" s="93">
        <f t="shared" ref="N97:N106" si="4">L97*M97</f>
        <v>33320</v>
      </c>
      <c r="O97" s="315"/>
    </row>
    <row r="98" spans="1:23" s="2" customFormat="1" ht="17.399999999999999" customHeight="1">
      <c r="A98" s="8">
        <v>3</v>
      </c>
      <c r="B98" s="9" t="s">
        <v>126</v>
      </c>
      <c r="C98" s="12">
        <f>L98/100*100</f>
        <v>140</v>
      </c>
      <c r="D98" s="65">
        <f>C98/100*900</f>
        <v>1260</v>
      </c>
      <c r="E98" s="14"/>
      <c r="F98" s="14"/>
      <c r="G98" s="91"/>
      <c r="H98" s="14">
        <f>C98/100*100</f>
        <v>140</v>
      </c>
      <c r="I98" s="14"/>
      <c r="J98" s="14"/>
      <c r="K98" s="14"/>
      <c r="L98" s="111">
        <v>140</v>
      </c>
      <c r="M98" s="65">
        <v>63.5</v>
      </c>
      <c r="N98" s="93">
        <f t="shared" si="4"/>
        <v>8890</v>
      </c>
      <c r="O98" s="315"/>
    </row>
    <row r="99" spans="1:23" s="2" customFormat="1" ht="17.399999999999999" customHeight="1">
      <c r="A99" s="8">
        <v>4</v>
      </c>
      <c r="B99" s="5" t="s">
        <v>1</v>
      </c>
      <c r="C99" s="12">
        <f>L99/100*100</f>
        <v>2666</v>
      </c>
      <c r="D99" s="13">
        <f>C99/100*344</f>
        <v>9171.0400000000009</v>
      </c>
      <c r="E99" s="14"/>
      <c r="F99" s="14">
        <f>C99/100*7.9</f>
        <v>210.614</v>
      </c>
      <c r="G99" s="14"/>
      <c r="H99" s="14">
        <f>C99/100*1</f>
        <v>26.66</v>
      </c>
      <c r="I99" s="14">
        <f>C99/100*73.75</f>
        <v>1966.175</v>
      </c>
      <c r="J99" s="14">
        <f>C99/100*30</f>
        <v>799.8</v>
      </c>
      <c r="K99" s="14">
        <f>C99/100*0.1</f>
        <v>2.6660000000000004</v>
      </c>
      <c r="L99" s="111">
        <v>2666</v>
      </c>
      <c r="M99" s="20">
        <v>18</v>
      </c>
      <c r="N99" s="16">
        <f t="shared" si="4"/>
        <v>47988</v>
      </c>
      <c r="O99" s="314"/>
    </row>
    <row r="100" spans="1:23" s="2" customFormat="1" ht="17.399999999999999" customHeight="1">
      <c r="A100" s="8">
        <v>5</v>
      </c>
      <c r="B100" s="9" t="s">
        <v>29</v>
      </c>
      <c r="C100" s="12">
        <f>L100/100*100</f>
        <v>50</v>
      </c>
      <c r="D100" s="13">
        <f>C100/100*390</f>
        <v>195</v>
      </c>
      <c r="E100" s="14"/>
      <c r="F100" s="14"/>
      <c r="G100" s="14"/>
      <c r="H100" s="14"/>
      <c r="I100" s="14">
        <f>C100/100*97.4</f>
        <v>48.7</v>
      </c>
      <c r="J100" s="22">
        <f>C100/100*178</f>
        <v>89</v>
      </c>
      <c r="K100" s="22">
        <f>C100/100*0.05</f>
        <v>2.5000000000000001E-2</v>
      </c>
      <c r="L100" s="111">
        <v>50</v>
      </c>
      <c r="M100" s="20">
        <v>25</v>
      </c>
      <c r="N100" s="16">
        <f t="shared" si="4"/>
        <v>1250</v>
      </c>
      <c r="O100" s="337"/>
    </row>
    <row r="101" spans="1:23" s="2" customFormat="1" ht="17.399999999999999" customHeight="1">
      <c r="A101" s="8">
        <v>6</v>
      </c>
      <c r="B101" s="5" t="s">
        <v>4</v>
      </c>
      <c r="C101" s="12">
        <f>L101/100*98</f>
        <v>1489.6</v>
      </c>
      <c r="D101" s="13">
        <f>C101/100*118</f>
        <v>1757.7279999999998</v>
      </c>
      <c r="E101" s="14">
        <f>C101/100*21</f>
        <v>312.81599999999997</v>
      </c>
      <c r="F101" s="14"/>
      <c r="G101" s="14">
        <f>C101/100*3.8</f>
        <v>56.60479999999999</v>
      </c>
      <c r="H101" s="14"/>
      <c r="I101" s="14"/>
      <c r="J101" s="22">
        <f>C101/100*12</f>
        <v>178.75199999999998</v>
      </c>
      <c r="K101" s="22">
        <f>C101/100*0.1</f>
        <v>1.4896</v>
      </c>
      <c r="L101" s="111">
        <v>1520</v>
      </c>
      <c r="M101" s="15">
        <v>260</v>
      </c>
      <c r="N101" s="93">
        <f t="shared" si="4"/>
        <v>395200</v>
      </c>
      <c r="O101" s="314"/>
      <c r="Q101" s="3"/>
      <c r="R101" s="3"/>
      <c r="S101" s="4"/>
    </row>
    <row r="102" spans="1:23" s="2" customFormat="1" ht="17.399999999999999" customHeight="1">
      <c r="A102" s="8">
        <v>7</v>
      </c>
      <c r="B102" s="5" t="s">
        <v>20</v>
      </c>
      <c r="C102" s="12">
        <f>L102/100*95</f>
        <v>313.5</v>
      </c>
      <c r="D102" s="13">
        <f>C102/100*20</f>
        <v>62.699999999999996</v>
      </c>
      <c r="E102" s="14"/>
      <c r="F102" s="14">
        <f>C102/100*0.6</f>
        <v>1.8809999999999998</v>
      </c>
      <c r="G102" s="14"/>
      <c r="H102" s="14">
        <f>C102/100*0.2</f>
        <v>0.627</v>
      </c>
      <c r="I102" s="14">
        <f>C102/100*4</f>
        <v>12.54</v>
      </c>
      <c r="J102" s="21">
        <f>C102/100*12</f>
        <v>37.619999999999997</v>
      </c>
      <c r="K102" s="21">
        <f>C102/100*0.04</f>
        <v>0.12539999999999998</v>
      </c>
      <c r="L102" s="318">
        <v>330</v>
      </c>
      <c r="M102" s="20">
        <v>22</v>
      </c>
      <c r="N102" s="16">
        <f t="shared" si="4"/>
        <v>7260</v>
      </c>
      <c r="O102" s="314"/>
      <c r="Q102" s="3"/>
      <c r="R102" s="3"/>
    </row>
    <row r="103" spans="1:23" s="2" customFormat="1" ht="17.399999999999999" customHeight="1">
      <c r="A103" s="8">
        <v>8</v>
      </c>
      <c r="B103" s="9" t="s">
        <v>128</v>
      </c>
      <c r="C103" s="12">
        <f>L103/100*92</f>
        <v>469.2</v>
      </c>
      <c r="D103" s="13">
        <f>C103/100*58</f>
        <v>272.13600000000002</v>
      </c>
      <c r="E103" s="14">
        <f>C103/100*11.7</f>
        <v>54.8964</v>
      </c>
      <c r="F103" s="14"/>
      <c r="G103" s="14">
        <f>C103/100*1.2</f>
        <v>5.6303999999999998</v>
      </c>
      <c r="H103" s="14"/>
      <c r="I103" s="14"/>
      <c r="J103" s="64">
        <f>C103/100*910</f>
        <v>4269.72</v>
      </c>
      <c r="K103" s="22"/>
      <c r="L103" s="111">
        <v>510</v>
      </c>
      <c r="M103" s="102">
        <v>155</v>
      </c>
      <c r="N103" s="16">
        <f t="shared" si="4"/>
        <v>79050</v>
      </c>
      <c r="O103" s="314"/>
    </row>
    <row r="104" spans="1:23" s="2" customFormat="1" ht="17.399999999999999" customHeight="1">
      <c r="A104" s="8">
        <v>9</v>
      </c>
      <c r="B104" s="5" t="s">
        <v>117</v>
      </c>
      <c r="C104" s="12">
        <f>L104/100*100</f>
        <v>50</v>
      </c>
      <c r="D104" s="13">
        <f>C104/100*247</f>
        <v>123.5</v>
      </c>
      <c r="E104" s="17"/>
      <c r="F104" s="17">
        <f>C104/100*17.5</f>
        <v>8.75</v>
      </c>
      <c r="G104" s="17"/>
      <c r="H104" s="17">
        <f>C104/100*1.6</f>
        <v>0.8</v>
      </c>
      <c r="I104" s="17">
        <f>C104/100*39.2</f>
        <v>19.600000000000001</v>
      </c>
      <c r="J104" s="21"/>
      <c r="K104" s="21"/>
      <c r="L104" s="318">
        <v>50</v>
      </c>
      <c r="M104" s="20">
        <v>50</v>
      </c>
      <c r="N104" s="16">
        <f t="shared" si="4"/>
        <v>2500</v>
      </c>
      <c r="O104" s="314"/>
      <c r="Q104" s="3"/>
      <c r="R104" s="3"/>
      <c r="S104" s="4"/>
      <c r="T104" s="3"/>
    </row>
    <row r="105" spans="1:23" s="2" customFormat="1" ht="17.399999999999999" customHeight="1">
      <c r="A105" s="8">
        <v>10</v>
      </c>
      <c r="B105" s="5" t="s">
        <v>159</v>
      </c>
      <c r="C105" s="12">
        <f>L105/100*65</f>
        <v>1007.5</v>
      </c>
      <c r="D105" s="13">
        <f>C105/100*14</f>
        <v>141.04999999999998</v>
      </c>
      <c r="E105" s="14"/>
      <c r="F105" s="14">
        <f>C105/100*1.6</f>
        <v>16.12</v>
      </c>
      <c r="G105" s="14"/>
      <c r="H105" s="14"/>
      <c r="I105" s="14">
        <f>C105/100*1.9</f>
        <v>19.142499999999998</v>
      </c>
      <c r="J105" s="14">
        <f>C105/100*63</f>
        <v>634.72499999999991</v>
      </c>
      <c r="K105" s="14">
        <f>C105/100*0.01</f>
        <v>0.10074999999999999</v>
      </c>
      <c r="L105" s="111">
        <v>1550</v>
      </c>
      <c r="M105" s="20">
        <v>24</v>
      </c>
      <c r="N105" s="16">
        <f t="shared" si="4"/>
        <v>37200</v>
      </c>
      <c r="O105" s="314"/>
    </row>
    <row r="106" spans="1:23" s="2" customFormat="1" ht="17.399999999999999" customHeight="1">
      <c r="A106" s="8">
        <v>11</v>
      </c>
      <c r="B106" s="5" t="s">
        <v>136</v>
      </c>
      <c r="C106" s="12">
        <f>L106/100*81</f>
        <v>502.2</v>
      </c>
      <c r="D106" s="13">
        <f>C106/100*17</f>
        <v>85.374000000000009</v>
      </c>
      <c r="E106" s="17"/>
      <c r="F106" s="17">
        <f>C106/100*0.9</f>
        <v>4.5198</v>
      </c>
      <c r="G106" s="17"/>
      <c r="H106" s="17">
        <f>C106/100*0.2</f>
        <v>1.0044000000000002</v>
      </c>
      <c r="I106" s="17">
        <f>C106/100*2.8</f>
        <v>14.0616</v>
      </c>
      <c r="J106" s="14">
        <f>C106/100*28</f>
        <v>140.61600000000001</v>
      </c>
      <c r="K106" s="22">
        <f>C106/100*0.04</f>
        <v>0.20088</v>
      </c>
      <c r="L106" s="318">
        <v>620</v>
      </c>
      <c r="M106" s="20">
        <v>20</v>
      </c>
      <c r="N106" s="16">
        <f t="shared" si="4"/>
        <v>12400</v>
      </c>
      <c r="O106" s="314"/>
      <c r="P106" s="3"/>
    </row>
    <row r="107" spans="1:23" s="2" customFormat="1" ht="17.399999999999999" customHeight="1">
      <c r="A107" s="8">
        <v>12</v>
      </c>
      <c r="B107" s="9" t="s">
        <v>111</v>
      </c>
      <c r="C107" s="12"/>
      <c r="D107" s="136"/>
      <c r="E107" s="14"/>
      <c r="F107" s="14"/>
      <c r="G107" s="14"/>
      <c r="H107" s="14"/>
      <c r="I107" s="14"/>
      <c r="J107" s="14"/>
      <c r="K107" s="14"/>
      <c r="L107" s="15"/>
      <c r="M107" s="15"/>
      <c r="N107" s="16">
        <v>4150</v>
      </c>
      <c r="O107" s="314"/>
    </row>
    <row r="108" spans="1:23" s="2" customFormat="1" ht="17.399999999999999" customHeight="1">
      <c r="A108" s="23" t="s">
        <v>104</v>
      </c>
      <c r="B108" s="24"/>
      <c r="C108" s="25"/>
      <c r="D108" s="94">
        <f>SUM(D96:D107)</f>
        <v>17521.628000000001</v>
      </c>
      <c r="E108" s="31"/>
      <c r="F108" s="31"/>
      <c r="G108" s="31"/>
      <c r="H108" s="31"/>
      <c r="I108" s="31"/>
      <c r="J108" s="31"/>
      <c r="K108" s="31"/>
      <c r="L108" s="32"/>
      <c r="M108" s="32"/>
      <c r="N108" s="190">
        <f>SUM(N96:N107)</f>
        <v>630808</v>
      </c>
      <c r="O108" s="314"/>
    </row>
    <row r="109" spans="1:23" ht="17.399999999999999" customHeight="1">
      <c r="A109" s="23" t="s">
        <v>43</v>
      </c>
      <c r="B109" s="24"/>
      <c r="C109" s="33"/>
      <c r="D109" s="34">
        <f>D108/D90</f>
        <v>282.60690322580643</v>
      </c>
      <c r="E109" s="34"/>
      <c r="F109" s="34"/>
      <c r="G109" s="34"/>
      <c r="H109" s="34"/>
      <c r="I109" s="34"/>
      <c r="J109" s="34"/>
      <c r="K109" s="34"/>
      <c r="L109" s="35"/>
      <c r="M109" s="35"/>
      <c r="N109" s="191"/>
      <c r="O109" s="345"/>
      <c r="P109" s="2"/>
      <c r="Q109" s="2"/>
      <c r="R109" s="2"/>
      <c r="S109" s="2"/>
      <c r="T109" s="2"/>
      <c r="U109" s="2"/>
      <c r="V109" s="2"/>
      <c r="W109" s="2"/>
    </row>
    <row r="110" spans="1:23" ht="17.399999999999999" customHeight="1">
      <c r="A110" s="192" t="s">
        <v>44</v>
      </c>
      <c r="B110" s="193"/>
      <c r="C110" s="319" t="s">
        <v>133</v>
      </c>
      <c r="D110" s="29" t="s">
        <v>38</v>
      </c>
      <c r="E110" s="34"/>
      <c r="F110" s="34"/>
      <c r="G110" s="34"/>
      <c r="H110" s="34"/>
      <c r="I110" s="34"/>
      <c r="J110" s="36"/>
      <c r="K110" s="36"/>
      <c r="L110" s="35"/>
      <c r="M110" s="35"/>
      <c r="N110" s="153"/>
      <c r="O110" s="4"/>
      <c r="P110" s="2"/>
      <c r="Q110" s="2"/>
      <c r="R110" s="2"/>
      <c r="S110" s="2"/>
      <c r="T110" s="2"/>
      <c r="U110" s="2"/>
      <c r="V110" s="2"/>
      <c r="W110" s="2"/>
    </row>
    <row r="111" spans="1:23" ht="17.399999999999999" customHeight="1">
      <c r="A111" s="194"/>
      <c r="B111" s="195"/>
      <c r="C111" s="62" t="s">
        <v>58</v>
      </c>
      <c r="D111" s="29">
        <f>D109*100/930</f>
        <v>30.387839056538326</v>
      </c>
      <c r="E111" s="34"/>
      <c r="F111" s="34"/>
      <c r="G111" s="34"/>
      <c r="H111" s="34"/>
      <c r="I111" s="34"/>
      <c r="J111" s="36"/>
      <c r="K111" s="36"/>
      <c r="L111" s="35"/>
      <c r="M111" s="35"/>
      <c r="N111" s="153"/>
      <c r="O111" s="4"/>
      <c r="P111" s="2"/>
      <c r="Q111" s="2"/>
      <c r="R111" s="2"/>
      <c r="S111" s="2"/>
      <c r="T111" s="2"/>
      <c r="U111" s="2"/>
      <c r="V111" s="2"/>
      <c r="W111" s="2"/>
    </row>
    <row r="112" spans="1:23" s="2" customFormat="1" ht="18" customHeight="1">
      <c r="A112" s="224" t="s">
        <v>45</v>
      </c>
      <c r="B112" s="224"/>
      <c r="C112" s="45"/>
      <c r="D112" s="46"/>
      <c r="E112" s="47"/>
      <c r="F112" s="47"/>
      <c r="G112" s="47"/>
      <c r="H112" s="47"/>
      <c r="I112" s="47"/>
      <c r="J112" s="47"/>
      <c r="K112" s="47"/>
      <c r="L112" s="48"/>
      <c r="M112" s="48"/>
      <c r="N112" s="51"/>
      <c r="O112" s="314"/>
    </row>
    <row r="113" spans="1:23" s="2" customFormat="1" ht="18" customHeight="1">
      <c r="A113" s="8">
        <v>1</v>
      </c>
      <c r="B113" s="9" t="s">
        <v>2</v>
      </c>
      <c r="C113" s="12">
        <f>L113/100*100</f>
        <v>80</v>
      </c>
      <c r="D113" s="13">
        <f>C113/100*60</f>
        <v>48</v>
      </c>
      <c r="E113" s="14">
        <f>C113/100*15</f>
        <v>12</v>
      </c>
      <c r="F113" s="14"/>
      <c r="G113" s="14"/>
      <c r="H113" s="14"/>
      <c r="I113" s="14"/>
      <c r="J113" s="14">
        <f>C113/100*387</f>
        <v>309.60000000000002</v>
      </c>
      <c r="K113" s="14">
        <f>C113/100*0.09</f>
        <v>7.1999999999999995E-2</v>
      </c>
      <c r="L113" s="111">
        <v>80</v>
      </c>
      <c r="M113" s="20">
        <v>20</v>
      </c>
      <c r="N113" s="16">
        <f>L113*M113</f>
        <v>1600</v>
      </c>
      <c r="O113" s="314"/>
    </row>
    <row r="114" spans="1:23" s="2" customFormat="1" ht="18" customHeight="1">
      <c r="A114" s="8">
        <v>2</v>
      </c>
      <c r="B114" s="9" t="s">
        <v>121</v>
      </c>
      <c r="C114" s="12">
        <f>L114/100*100</f>
        <v>320</v>
      </c>
      <c r="D114" s="65">
        <f>C114/100*899</f>
        <v>2876.8</v>
      </c>
      <c r="E114" s="14"/>
      <c r="F114" s="14"/>
      <c r="G114" s="91">
        <f>C114/100*99.6</f>
        <v>318.72000000000003</v>
      </c>
      <c r="H114" s="14"/>
      <c r="I114" s="14"/>
      <c r="J114" s="14"/>
      <c r="K114" s="14"/>
      <c r="L114" s="111">
        <v>320</v>
      </c>
      <c r="M114" s="65">
        <v>68</v>
      </c>
      <c r="N114" s="93">
        <f t="shared" ref="N114:N120" si="5">L114*M114</f>
        <v>21760</v>
      </c>
      <c r="O114" s="315"/>
    </row>
    <row r="115" spans="1:23" s="2" customFormat="1" ht="18" customHeight="1">
      <c r="A115" s="8">
        <v>3</v>
      </c>
      <c r="B115" s="5" t="s">
        <v>1</v>
      </c>
      <c r="C115" s="12">
        <f>L115/100*100</f>
        <v>2604</v>
      </c>
      <c r="D115" s="13">
        <f>C115/100*344</f>
        <v>8957.76</v>
      </c>
      <c r="E115" s="14"/>
      <c r="F115" s="14">
        <f>C115/100*7.9</f>
        <v>205.71600000000001</v>
      </c>
      <c r="G115" s="14"/>
      <c r="H115" s="14">
        <f>C115/100*1</f>
        <v>26.04</v>
      </c>
      <c r="I115" s="14">
        <f>C115/100*73.75</f>
        <v>1920.45</v>
      </c>
      <c r="J115" s="14">
        <f>C115/100*30</f>
        <v>781.19999999999993</v>
      </c>
      <c r="K115" s="14">
        <f>C115/100*0.1</f>
        <v>2.6040000000000001</v>
      </c>
      <c r="L115" s="111">
        <v>2604</v>
      </c>
      <c r="M115" s="20">
        <v>18</v>
      </c>
      <c r="N115" s="16">
        <f t="shared" si="5"/>
        <v>46872</v>
      </c>
      <c r="O115" s="314"/>
    </row>
    <row r="116" spans="1:23" s="2" customFormat="1" ht="18" customHeight="1">
      <c r="A116" s="8">
        <v>4</v>
      </c>
      <c r="B116" s="5" t="s">
        <v>117</v>
      </c>
      <c r="C116" s="12">
        <f>L116/100*100</f>
        <v>50</v>
      </c>
      <c r="D116" s="13">
        <f>C116/100*247</f>
        <v>123.5</v>
      </c>
      <c r="E116" s="17"/>
      <c r="F116" s="17">
        <f>C116/100*17.5</f>
        <v>8.75</v>
      </c>
      <c r="G116" s="17"/>
      <c r="H116" s="17">
        <f>C116/100*1.6</f>
        <v>0.8</v>
      </c>
      <c r="I116" s="17">
        <f>C116/100*39.2</f>
        <v>19.600000000000001</v>
      </c>
      <c r="J116" s="21"/>
      <c r="K116" s="21"/>
      <c r="L116" s="318">
        <v>50</v>
      </c>
      <c r="M116" s="20">
        <v>50</v>
      </c>
      <c r="N116" s="16">
        <f t="shared" si="5"/>
        <v>2500</v>
      </c>
      <c r="O116" s="314"/>
      <c r="Q116" s="3"/>
      <c r="R116" s="3"/>
      <c r="S116" s="4"/>
      <c r="T116" s="3"/>
    </row>
    <row r="117" spans="1:23" s="2" customFormat="1" ht="18" customHeight="1">
      <c r="A117" s="8">
        <v>5</v>
      </c>
      <c r="B117" s="5" t="s">
        <v>20</v>
      </c>
      <c r="C117" s="12">
        <f>L117/100*95</f>
        <v>883.50000000000011</v>
      </c>
      <c r="D117" s="13">
        <f>C117/100*20</f>
        <v>176.70000000000002</v>
      </c>
      <c r="E117" s="14"/>
      <c r="F117" s="14">
        <f>C117/100*0.6</f>
        <v>5.3010000000000002</v>
      </c>
      <c r="G117" s="14"/>
      <c r="H117" s="14">
        <f>C117/100*0.2</f>
        <v>1.7670000000000003</v>
      </c>
      <c r="I117" s="14">
        <f>C117/100*4</f>
        <v>35.340000000000003</v>
      </c>
      <c r="J117" s="21">
        <f>C117/100*12</f>
        <v>106.02000000000001</v>
      </c>
      <c r="K117" s="21">
        <f>C117/100*0.04</f>
        <v>0.35340000000000005</v>
      </c>
      <c r="L117" s="318">
        <v>930</v>
      </c>
      <c r="M117" s="20">
        <v>22</v>
      </c>
      <c r="N117" s="16">
        <f t="shared" si="5"/>
        <v>20460</v>
      </c>
      <c r="O117" s="314"/>
      <c r="Q117" s="3"/>
      <c r="R117" s="3"/>
    </row>
    <row r="118" spans="1:23" s="2" customFormat="1" ht="18" customHeight="1">
      <c r="A118" s="8">
        <v>6</v>
      </c>
      <c r="B118" s="9" t="s">
        <v>66</v>
      </c>
      <c r="C118" s="12">
        <f>L118/100*98</f>
        <v>1822.8000000000002</v>
      </c>
      <c r="D118" s="13">
        <f>C118/100*139</f>
        <v>2533.692</v>
      </c>
      <c r="E118" s="14">
        <f>C118/100*19</f>
        <v>346.33200000000005</v>
      </c>
      <c r="F118" s="14"/>
      <c r="G118" s="14">
        <f>C118/100*7</f>
        <v>127.596</v>
      </c>
      <c r="H118" s="14"/>
      <c r="I118" s="14"/>
      <c r="J118" s="22">
        <f>C118/100*7</f>
        <v>127.596</v>
      </c>
      <c r="K118" s="22">
        <f>C118/100*0.9</f>
        <v>16.405200000000001</v>
      </c>
      <c r="L118" s="111">
        <v>1860</v>
      </c>
      <c r="M118" s="15">
        <v>137</v>
      </c>
      <c r="N118" s="93">
        <f t="shared" si="5"/>
        <v>254820</v>
      </c>
      <c r="O118" s="314"/>
    </row>
    <row r="119" spans="1:23" s="2" customFormat="1" ht="18" customHeight="1">
      <c r="A119" s="8">
        <v>7</v>
      </c>
      <c r="B119" s="5" t="s">
        <v>3</v>
      </c>
      <c r="C119" s="12">
        <f>L119/100*48</f>
        <v>403.20000000000005</v>
      </c>
      <c r="D119" s="13">
        <f>C119/100*199</f>
        <v>802.36800000000005</v>
      </c>
      <c r="E119" s="14">
        <f>C119/100*20.3</f>
        <v>81.849600000000009</v>
      </c>
      <c r="F119" s="14"/>
      <c r="G119" s="14">
        <f>C119/100*13.1</f>
        <v>52.819200000000002</v>
      </c>
      <c r="H119" s="14"/>
      <c r="I119" s="14"/>
      <c r="J119" s="22">
        <f>C119/100*12</f>
        <v>48.384</v>
      </c>
      <c r="K119" s="22">
        <f>C119/100*0.15</f>
        <v>0.6048</v>
      </c>
      <c r="L119" s="111">
        <v>840</v>
      </c>
      <c r="M119" s="15">
        <v>84</v>
      </c>
      <c r="N119" s="16">
        <f t="shared" si="5"/>
        <v>70560</v>
      </c>
      <c r="O119" s="314"/>
      <c r="Q119" s="3"/>
      <c r="R119" s="3"/>
      <c r="S119" s="4"/>
    </row>
    <row r="120" spans="1:23" s="2" customFormat="1" ht="18" customHeight="1">
      <c r="A120" s="8">
        <v>8</v>
      </c>
      <c r="B120" s="5" t="s">
        <v>5</v>
      </c>
      <c r="C120" s="12">
        <f>L120/100*98.5</f>
        <v>1408.5500000000002</v>
      </c>
      <c r="D120" s="13">
        <f>C120/100*39</f>
        <v>549.33450000000005</v>
      </c>
      <c r="E120" s="17"/>
      <c r="F120" s="17">
        <f>C120/100*1.5</f>
        <v>21.128250000000001</v>
      </c>
      <c r="G120" s="17"/>
      <c r="H120" s="17">
        <f>C120/100*0.2</f>
        <v>2.8171000000000004</v>
      </c>
      <c r="I120" s="17">
        <f>C120/100*7.8</f>
        <v>109.86690000000002</v>
      </c>
      <c r="J120" s="17">
        <f>C120/100*43</f>
        <v>605.67650000000003</v>
      </c>
      <c r="K120" s="17">
        <f>C120/100*0.06</f>
        <v>0.84513000000000005</v>
      </c>
      <c r="L120" s="318">
        <v>1430</v>
      </c>
      <c r="M120" s="15">
        <v>17</v>
      </c>
      <c r="N120" s="16">
        <f t="shared" si="5"/>
        <v>24310</v>
      </c>
      <c r="O120" s="314"/>
      <c r="Q120" s="3"/>
      <c r="R120" s="3"/>
      <c r="S120" s="4"/>
    </row>
    <row r="121" spans="1:23" s="2" customFormat="1" ht="18" customHeight="1">
      <c r="A121" s="8">
        <v>9</v>
      </c>
      <c r="B121" s="5" t="s">
        <v>61</v>
      </c>
      <c r="C121" s="12">
        <f>L121/100*100</f>
        <v>70</v>
      </c>
      <c r="D121" s="13">
        <f>C121/100*334</f>
        <v>233.79999999999998</v>
      </c>
      <c r="E121" s="14"/>
      <c r="F121" s="14">
        <f>C121/100*20</f>
        <v>14</v>
      </c>
      <c r="G121" s="14"/>
      <c r="H121" s="14">
        <f>C121/100*2.4</f>
        <v>1.68</v>
      </c>
      <c r="I121" s="14">
        <f>C121/100*58</f>
        <v>40.599999999999994</v>
      </c>
      <c r="J121" s="22">
        <f>C121/100*89</f>
        <v>62.3</v>
      </c>
      <c r="K121" s="22">
        <f>C121/100*0.64</f>
        <v>0.44799999999999995</v>
      </c>
      <c r="L121" s="111">
        <v>70</v>
      </c>
      <c r="M121" s="102">
        <v>190</v>
      </c>
      <c r="N121" s="16">
        <f>L121*M121</f>
        <v>13300</v>
      </c>
      <c r="O121" s="314"/>
    </row>
    <row r="122" spans="1:23" s="2" customFormat="1" ht="18" customHeight="1">
      <c r="A122" s="8">
        <v>10</v>
      </c>
      <c r="B122" s="9" t="s">
        <v>111</v>
      </c>
      <c r="C122" s="12"/>
      <c r="D122" s="13"/>
      <c r="E122" s="104"/>
      <c r="F122" s="104"/>
      <c r="G122" s="104"/>
      <c r="H122" s="14"/>
      <c r="I122" s="14"/>
      <c r="J122" s="14"/>
      <c r="K122" s="14"/>
      <c r="L122" s="15"/>
      <c r="M122" s="15"/>
      <c r="N122" s="16">
        <v>4150</v>
      </c>
      <c r="O122" s="314"/>
    </row>
    <row r="123" spans="1:23" s="2" customFormat="1" ht="18" customHeight="1">
      <c r="A123" s="23" t="s">
        <v>105</v>
      </c>
      <c r="B123" s="24"/>
      <c r="C123" s="25"/>
      <c r="D123" s="94">
        <f>SUM(D113:D122)</f>
        <v>16301.954500000002</v>
      </c>
      <c r="E123" s="31"/>
      <c r="F123" s="31"/>
      <c r="G123" s="31"/>
      <c r="H123" s="31"/>
      <c r="I123" s="31"/>
      <c r="J123" s="31"/>
      <c r="K123" s="31"/>
      <c r="L123" s="32"/>
      <c r="M123" s="32"/>
      <c r="N123" s="190">
        <f>SUM(N113:N122)</f>
        <v>460332</v>
      </c>
      <c r="O123" s="314"/>
    </row>
    <row r="124" spans="1:23" ht="18" customHeight="1">
      <c r="A124" s="23" t="s">
        <v>46</v>
      </c>
      <c r="B124" s="24"/>
      <c r="C124" s="52"/>
      <c r="D124" s="36">
        <f>D123/D90</f>
        <v>262.93475000000001</v>
      </c>
      <c r="E124" s="36"/>
      <c r="F124" s="36"/>
      <c r="G124" s="36"/>
      <c r="H124" s="36"/>
      <c r="I124" s="36"/>
      <c r="J124" s="36"/>
      <c r="K124" s="36"/>
      <c r="L124" s="53"/>
      <c r="M124" s="35"/>
      <c r="N124" s="191"/>
      <c r="O124" s="4"/>
      <c r="P124" s="2"/>
      <c r="Q124" s="2"/>
      <c r="R124" s="2"/>
      <c r="S124" s="2"/>
      <c r="T124" s="2"/>
      <c r="U124" s="2"/>
      <c r="V124" s="2"/>
      <c r="W124" s="2"/>
    </row>
    <row r="125" spans="1:23" ht="18" customHeight="1">
      <c r="A125" s="192" t="s">
        <v>47</v>
      </c>
      <c r="B125" s="193"/>
      <c r="C125" s="319" t="s">
        <v>133</v>
      </c>
      <c r="D125" s="29" t="s">
        <v>48</v>
      </c>
      <c r="E125" s="34"/>
      <c r="F125" s="34"/>
      <c r="G125" s="34"/>
      <c r="H125" s="34"/>
      <c r="I125" s="34"/>
      <c r="J125" s="36"/>
      <c r="K125" s="36"/>
      <c r="L125" s="35"/>
      <c r="M125" s="35"/>
      <c r="N125" s="153"/>
      <c r="O125" s="4"/>
      <c r="P125" s="2"/>
      <c r="Q125" s="2"/>
      <c r="R125" s="2"/>
      <c r="S125" s="2"/>
      <c r="T125" s="2"/>
      <c r="U125" s="2"/>
      <c r="V125" s="2"/>
      <c r="W125" s="2"/>
    </row>
    <row r="126" spans="1:23" ht="18" customHeight="1">
      <c r="A126" s="194"/>
      <c r="B126" s="195"/>
      <c r="C126" s="62" t="s">
        <v>58</v>
      </c>
      <c r="D126" s="50">
        <f>D124*100/930</f>
        <v>28.272553763440861</v>
      </c>
      <c r="E126" s="34"/>
      <c r="F126" s="34"/>
      <c r="G126" s="34"/>
      <c r="H126" s="34"/>
      <c r="I126" s="34"/>
      <c r="J126" s="36"/>
      <c r="K126" s="36"/>
      <c r="L126" s="35"/>
      <c r="M126" s="35"/>
      <c r="N126" s="153"/>
      <c r="O126" s="4"/>
      <c r="P126" s="2"/>
      <c r="Q126" s="2"/>
      <c r="R126" s="2"/>
      <c r="S126" s="2"/>
      <c r="T126" s="2"/>
      <c r="U126" s="2"/>
      <c r="V126" s="2"/>
      <c r="W126" s="2"/>
    </row>
    <row r="127" spans="1:23" ht="18" customHeight="1">
      <c r="A127" s="224" t="s">
        <v>39</v>
      </c>
      <c r="B127" s="224"/>
      <c r="C127" s="54"/>
      <c r="D127" s="55"/>
      <c r="E127" s="55"/>
      <c r="F127" s="55"/>
      <c r="G127" s="55"/>
      <c r="H127" s="55"/>
      <c r="I127" s="55"/>
      <c r="J127" s="55"/>
      <c r="K127" s="55"/>
      <c r="L127" s="56"/>
      <c r="M127" s="56"/>
      <c r="N127" s="57"/>
      <c r="O127" s="4"/>
      <c r="P127" s="2"/>
      <c r="Q127" s="2"/>
      <c r="R127" s="2"/>
      <c r="S127" s="2"/>
      <c r="T127" s="2"/>
      <c r="U127" s="2"/>
      <c r="V127" s="2"/>
      <c r="W127" s="2"/>
    </row>
    <row r="128" spans="1:23" s="2" customFormat="1" ht="18" customHeight="1">
      <c r="A128" s="119">
        <v>1</v>
      </c>
      <c r="B128" s="141" t="s">
        <v>131</v>
      </c>
      <c r="C128" s="25">
        <f>L128/100*100</f>
        <v>1050</v>
      </c>
      <c r="D128" s="120">
        <f>C128/100*487</f>
        <v>5113.5</v>
      </c>
      <c r="E128" s="27"/>
      <c r="F128" s="27">
        <f>C128/100*19.5</f>
        <v>204.75</v>
      </c>
      <c r="G128" s="27"/>
      <c r="H128" s="27">
        <f>C128/100*23.2</f>
        <v>243.6</v>
      </c>
      <c r="I128" s="27">
        <f>C128/100*46</f>
        <v>483</v>
      </c>
      <c r="J128" s="121">
        <f>C128/100*680</f>
        <v>7140</v>
      </c>
      <c r="K128" s="27">
        <f>C128/100*0.55</f>
        <v>5.7750000000000004</v>
      </c>
      <c r="L128" s="28">
        <v>1050</v>
      </c>
      <c r="M128" s="142">
        <v>260</v>
      </c>
      <c r="N128" s="145">
        <f t="shared" ref="N128" si="6">L128*M128</f>
        <v>273000</v>
      </c>
      <c r="O128" s="314"/>
      <c r="P128" s="3"/>
    </row>
    <row r="129" spans="1:23" ht="20.399999999999999" customHeight="1">
      <c r="A129" s="211" t="s">
        <v>0</v>
      </c>
      <c r="B129" s="214" t="s">
        <v>19</v>
      </c>
      <c r="C129" s="217" t="s">
        <v>8</v>
      </c>
      <c r="D129" s="217" t="s">
        <v>9</v>
      </c>
      <c r="E129" s="220" t="s">
        <v>11</v>
      </c>
      <c r="F129" s="221"/>
      <c r="G129" s="220" t="s">
        <v>13</v>
      </c>
      <c r="H129" s="221"/>
      <c r="I129" s="208" t="s">
        <v>16</v>
      </c>
      <c r="J129" s="208" t="s">
        <v>32</v>
      </c>
      <c r="K129" s="208" t="s">
        <v>33</v>
      </c>
      <c r="L129" s="208" t="s">
        <v>17</v>
      </c>
      <c r="M129" s="208" t="s">
        <v>34</v>
      </c>
      <c r="N129" s="211" t="s">
        <v>18</v>
      </c>
      <c r="O129" s="313"/>
    </row>
    <row r="130" spans="1:23" ht="20.399999999999999" customHeight="1">
      <c r="A130" s="212"/>
      <c r="B130" s="215"/>
      <c r="C130" s="218"/>
      <c r="D130" s="218"/>
      <c r="E130" s="222"/>
      <c r="F130" s="223"/>
      <c r="G130" s="222"/>
      <c r="H130" s="223"/>
      <c r="I130" s="209"/>
      <c r="J130" s="209"/>
      <c r="K130" s="209"/>
      <c r="L130" s="209"/>
      <c r="M130" s="209"/>
      <c r="N130" s="212"/>
      <c r="O130" s="152"/>
    </row>
    <row r="131" spans="1:23" ht="20.399999999999999" customHeight="1">
      <c r="A131" s="212"/>
      <c r="B131" s="215"/>
      <c r="C131" s="218"/>
      <c r="D131" s="218"/>
      <c r="E131" s="208" t="s">
        <v>10</v>
      </c>
      <c r="F131" s="208" t="s">
        <v>12</v>
      </c>
      <c r="G131" s="208" t="s">
        <v>14</v>
      </c>
      <c r="H131" s="208" t="s">
        <v>15</v>
      </c>
      <c r="I131" s="209"/>
      <c r="J131" s="209"/>
      <c r="K131" s="209"/>
      <c r="L131" s="209"/>
      <c r="M131" s="209"/>
      <c r="N131" s="212"/>
      <c r="O131" s="152"/>
    </row>
    <row r="132" spans="1:23" ht="20.399999999999999" customHeight="1">
      <c r="A132" s="213"/>
      <c r="B132" s="216"/>
      <c r="C132" s="219"/>
      <c r="D132" s="219"/>
      <c r="E132" s="210"/>
      <c r="F132" s="210"/>
      <c r="G132" s="210"/>
      <c r="H132" s="210"/>
      <c r="I132" s="210"/>
      <c r="J132" s="210"/>
      <c r="K132" s="210"/>
      <c r="L132" s="210"/>
      <c r="M132" s="210"/>
      <c r="N132" s="213"/>
      <c r="O132" s="152"/>
    </row>
    <row r="133" spans="1:23" s="2" customFormat="1" ht="20.399999999999999" customHeight="1">
      <c r="A133" s="189" t="s">
        <v>98</v>
      </c>
      <c r="B133" s="189"/>
      <c r="C133" s="25"/>
      <c r="D133" s="26">
        <f>SUM(D127:D128)</f>
        <v>5113.5</v>
      </c>
      <c r="E133" s="31"/>
      <c r="F133" s="31"/>
      <c r="G133" s="31"/>
      <c r="H133" s="31"/>
      <c r="I133" s="31"/>
      <c r="J133" s="31"/>
      <c r="K133" s="31"/>
      <c r="L133" s="32"/>
      <c r="M133" s="58"/>
      <c r="N133" s="190">
        <f>SUM(N127:N128)</f>
        <v>273000</v>
      </c>
      <c r="O133" s="314"/>
    </row>
    <row r="134" spans="1:23" ht="20.399999999999999" customHeight="1">
      <c r="A134" s="189" t="s">
        <v>7</v>
      </c>
      <c r="B134" s="189"/>
      <c r="C134" s="33"/>
      <c r="D134" s="34">
        <f>D133/D90</f>
        <v>82.475806451612897</v>
      </c>
      <c r="E134" s="34"/>
      <c r="F134" s="34"/>
      <c r="G134" s="34"/>
      <c r="H134" s="34"/>
      <c r="I134" s="34"/>
      <c r="J134" s="34"/>
      <c r="K134" s="34"/>
      <c r="L134" s="35"/>
      <c r="M134" s="18"/>
      <c r="N134" s="191"/>
      <c r="O134" s="4"/>
      <c r="P134" s="2"/>
      <c r="Q134" s="2"/>
      <c r="R134" s="2"/>
      <c r="S134" s="2"/>
      <c r="T134" s="2"/>
      <c r="U134" s="2"/>
      <c r="V134" s="2"/>
      <c r="W134" s="2"/>
    </row>
    <row r="135" spans="1:23" ht="20.399999999999999" customHeight="1">
      <c r="A135" s="192" t="s">
        <v>40</v>
      </c>
      <c r="B135" s="193"/>
      <c r="C135" s="319" t="s">
        <v>133</v>
      </c>
      <c r="D135" s="29" t="s">
        <v>49</v>
      </c>
      <c r="E135" s="34"/>
      <c r="F135" s="34"/>
      <c r="G135" s="34"/>
      <c r="H135" s="34"/>
      <c r="I135" s="34"/>
      <c r="J135" s="36"/>
      <c r="K135" s="36"/>
      <c r="L135" s="35"/>
      <c r="M135" s="35"/>
      <c r="N135" s="153"/>
      <c r="O135" s="4"/>
      <c r="P135" s="2"/>
      <c r="Q135" s="2"/>
      <c r="R135" s="2"/>
      <c r="S135" s="2"/>
      <c r="T135" s="2"/>
      <c r="U135" s="2"/>
      <c r="V135" s="2"/>
      <c r="W135" s="2"/>
    </row>
    <row r="136" spans="1:23" ht="20.399999999999999" customHeight="1">
      <c r="A136" s="194"/>
      <c r="B136" s="195"/>
      <c r="C136" s="62" t="s">
        <v>58</v>
      </c>
      <c r="D136" s="29">
        <f>D134*100/930</f>
        <v>8.8683662851196665</v>
      </c>
      <c r="E136" s="34"/>
      <c r="F136" s="34"/>
      <c r="G136" s="34"/>
      <c r="H136" s="34"/>
      <c r="I136" s="34"/>
      <c r="J136" s="36"/>
      <c r="K136" s="36"/>
      <c r="L136" s="35"/>
      <c r="M136" s="35"/>
      <c r="N136" s="153"/>
      <c r="O136" s="4"/>
      <c r="P136" s="2"/>
      <c r="Q136" s="2"/>
      <c r="R136" s="2"/>
      <c r="S136" s="2"/>
      <c r="T136" s="2"/>
      <c r="U136" s="2"/>
      <c r="V136" s="2"/>
      <c r="W136" s="2"/>
    </row>
    <row r="137" spans="1:23" ht="20.399999999999999" customHeight="1">
      <c r="A137" s="196" t="s">
        <v>99</v>
      </c>
      <c r="B137" s="197"/>
      <c r="C137" s="200"/>
      <c r="D137" s="202">
        <f>D108+D123+D133</f>
        <v>38937.082500000004</v>
      </c>
      <c r="E137" s="6">
        <f>SUM(E96:E135)</f>
        <v>819.89400000000001</v>
      </c>
      <c r="F137" s="6">
        <f t="shared" ref="F137:H137" si="7">SUM(F96:F135)</f>
        <v>701.53005000000007</v>
      </c>
      <c r="G137" s="95">
        <f t="shared" si="7"/>
        <v>1049.4104</v>
      </c>
      <c r="H137" s="6">
        <f t="shared" si="7"/>
        <v>445.79550000000006</v>
      </c>
      <c r="I137" s="204">
        <f>SUM(I96:I135)</f>
        <v>4689.0760000000009</v>
      </c>
      <c r="J137" s="206">
        <f>SUM(J96:J128)</f>
        <v>15640.6095</v>
      </c>
      <c r="K137" s="204">
        <f>SUM(K96:K128)</f>
        <v>31.78716</v>
      </c>
      <c r="L137" s="171"/>
      <c r="M137" s="171"/>
      <c r="N137" s="172">
        <f>N108+N123+N133</f>
        <v>1364140</v>
      </c>
      <c r="U137" s="11"/>
      <c r="V137" s="11"/>
    </row>
    <row r="138" spans="1:23" ht="20.399999999999999" customHeight="1">
      <c r="A138" s="198"/>
      <c r="B138" s="199"/>
      <c r="C138" s="201"/>
      <c r="D138" s="203"/>
      <c r="E138" s="173">
        <f>E137+F137</f>
        <v>1521.4240500000001</v>
      </c>
      <c r="F138" s="174"/>
      <c r="G138" s="173">
        <f>G137+H137</f>
        <v>1495.2058999999999</v>
      </c>
      <c r="H138" s="174"/>
      <c r="I138" s="205"/>
      <c r="J138" s="207"/>
      <c r="K138" s="205"/>
      <c r="L138" s="171"/>
      <c r="M138" s="171"/>
      <c r="N138" s="172"/>
      <c r="U138" s="11"/>
      <c r="V138" s="11"/>
    </row>
    <row r="139" spans="1:23" ht="20.399999999999999" customHeight="1">
      <c r="A139" s="178" t="s">
        <v>75</v>
      </c>
      <c r="B139" s="179"/>
      <c r="C139" s="180"/>
      <c r="D139" s="101">
        <f>D137/D90</f>
        <v>628.01745967741942</v>
      </c>
      <c r="E139" s="108">
        <f>E137/D90</f>
        <v>13.224096774193548</v>
      </c>
      <c r="F139" s="107">
        <f>F137/D90</f>
        <v>11.315000806451614</v>
      </c>
      <c r="G139" s="108">
        <f>G137/D90</f>
        <v>16.925974193548388</v>
      </c>
      <c r="H139" s="107">
        <f>H137/D90</f>
        <v>7.1902500000000007</v>
      </c>
      <c r="I139" s="184">
        <f>I137/D90</f>
        <v>75.630258064516141</v>
      </c>
      <c r="J139" s="186">
        <f>J137/D90</f>
        <v>252.26789516129034</v>
      </c>
      <c r="K139" s="188">
        <f>K137/D90</f>
        <v>0.51269612903225803</v>
      </c>
      <c r="L139" s="171"/>
      <c r="M139" s="171"/>
      <c r="N139" s="172"/>
      <c r="P139" s="308"/>
      <c r="Q139" s="310"/>
      <c r="R139" s="310"/>
      <c r="S139" s="310"/>
      <c r="T139" s="310"/>
      <c r="U139" s="321"/>
      <c r="V139" s="321"/>
    </row>
    <row r="140" spans="1:23" ht="20.399999999999999" customHeight="1">
      <c r="A140" s="181"/>
      <c r="B140" s="182"/>
      <c r="C140" s="183"/>
      <c r="D140" s="98"/>
      <c r="E140" s="296">
        <f>E139+F139</f>
        <v>24.539097580645162</v>
      </c>
      <c r="F140" s="295"/>
      <c r="G140" s="296">
        <f>G139+H139</f>
        <v>24.116224193548391</v>
      </c>
      <c r="H140" s="295"/>
      <c r="I140" s="185"/>
      <c r="J140" s="187"/>
      <c r="K140" s="185"/>
      <c r="L140" s="171"/>
      <c r="M140" s="171"/>
      <c r="N140" s="172"/>
      <c r="P140" s="328"/>
      <c r="Q140" s="310"/>
      <c r="R140" s="310"/>
      <c r="S140" s="335"/>
      <c r="T140" s="335"/>
      <c r="U140" s="310"/>
      <c r="V140" s="310"/>
    </row>
    <row r="141" spans="1:23" ht="20.399999999999999" customHeight="1">
      <c r="A141" s="322" t="s">
        <v>76</v>
      </c>
      <c r="B141" s="323"/>
      <c r="C141" s="324"/>
      <c r="D141" s="325" t="s">
        <v>28</v>
      </c>
      <c r="E141" s="334" t="s">
        <v>24</v>
      </c>
      <c r="F141" s="334"/>
      <c r="G141" s="334" t="s">
        <v>25</v>
      </c>
      <c r="H141" s="334"/>
      <c r="I141" s="325" t="s">
        <v>26</v>
      </c>
      <c r="J141" s="151">
        <v>500</v>
      </c>
      <c r="K141" s="151">
        <v>0.59</v>
      </c>
      <c r="L141" s="171"/>
      <c r="M141" s="171"/>
      <c r="N141" s="172"/>
      <c r="O141" s="327"/>
      <c r="P141" s="308"/>
      <c r="Q141" s="308"/>
      <c r="R141" s="308"/>
      <c r="S141" s="308"/>
      <c r="T141" s="308"/>
      <c r="U141" s="308"/>
      <c r="V141" s="308"/>
    </row>
    <row r="142" spans="1:23" ht="20.399999999999999" customHeight="1">
      <c r="A142" s="164" t="s">
        <v>69</v>
      </c>
      <c r="B142" s="168"/>
      <c r="C142" s="165"/>
      <c r="D142" s="19"/>
      <c r="E142" s="169">
        <f>E140*4.1</f>
        <v>100.61030008064516</v>
      </c>
      <c r="F142" s="170"/>
      <c r="G142" s="169">
        <f>G140*9</f>
        <v>217.04601774193551</v>
      </c>
      <c r="H142" s="170"/>
      <c r="I142" s="68">
        <f>I139*4.1</f>
        <v>310.08405806451617</v>
      </c>
      <c r="J142" s="175"/>
      <c r="K142" s="175"/>
      <c r="L142" s="171"/>
      <c r="M142" s="171"/>
      <c r="N142" s="172"/>
      <c r="O142" s="327"/>
      <c r="P142" s="329"/>
      <c r="Q142" s="307"/>
      <c r="R142" s="307"/>
      <c r="S142" s="307"/>
      <c r="T142" s="308"/>
      <c r="U142" s="308"/>
      <c r="V142" s="308"/>
    </row>
    <row r="143" spans="1:23" ht="20.399999999999999" customHeight="1">
      <c r="A143" s="160" t="s">
        <v>77</v>
      </c>
      <c r="B143" s="161"/>
      <c r="C143" s="164" t="s">
        <v>58</v>
      </c>
      <c r="D143" s="165"/>
      <c r="E143" s="166">
        <f>E142*100/D139</f>
        <v>16.020303023473829</v>
      </c>
      <c r="F143" s="167"/>
      <c r="G143" s="166">
        <f>G142*100/D139</f>
        <v>34.560506940909093</v>
      </c>
      <c r="H143" s="167"/>
      <c r="I143" s="86">
        <f>I142*100/D139</f>
        <v>49.375069639591004</v>
      </c>
      <c r="J143" s="176"/>
      <c r="K143" s="176"/>
      <c r="L143" s="171"/>
      <c r="M143" s="171"/>
      <c r="N143" s="172"/>
      <c r="O143" s="327"/>
      <c r="P143" s="308"/>
      <c r="Q143" s="309"/>
      <c r="R143" s="308"/>
      <c r="S143" s="308"/>
      <c r="T143" s="308"/>
      <c r="U143" s="308"/>
      <c r="V143" s="308"/>
    </row>
    <row r="144" spans="1:23" ht="20.399999999999999" customHeight="1">
      <c r="A144" s="162"/>
      <c r="B144" s="163"/>
      <c r="C144" s="164" t="s">
        <v>71</v>
      </c>
      <c r="D144" s="165"/>
      <c r="E144" s="164" t="s">
        <v>72</v>
      </c>
      <c r="F144" s="165"/>
      <c r="G144" s="164" t="s">
        <v>78</v>
      </c>
      <c r="H144" s="165"/>
      <c r="I144" s="325" t="s">
        <v>79</v>
      </c>
      <c r="J144" s="177"/>
      <c r="K144" s="177"/>
      <c r="L144" s="171"/>
      <c r="M144" s="171"/>
      <c r="N144" s="172"/>
      <c r="O144" s="327"/>
      <c r="P144" s="84"/>
    </row>
    <row r="145" spans="1:16" ht="20.399999999999999" customHeight="1">
      <c r="A145" s="70"/>
      <c r="B145" s="71"/>
      <c r="C145" s="70"/>
      <c r="D145" s="70"/>
      <c r="E145" s="70"/>
      <c r="F145" s="70"/>
      <c r="G145" s="70"/>
      <c r="H145" s="70"/>
      <c r="I145" s="70"/>
      <c r="J145" s="70"/>
      <c r="K145" s="70"/>
      <c r="L145" s="72"/>
      <c r="M145" s="72"/>
      <c r="N145" s="73"/>
      <c r="O145" s="327"/>
      <c r="P145" s="84"/>
    </row>
    <row r="146" spans="1:16" ht="20.399999999999999" customHeight="1">
      <c r="A146" s="156" t="s">
        <v>100</v>
      </c>
      <c r="B146" s="156"/>
      <c r="C146" s="156"/>
      <c r="D146" s="156"/>
      <c r="E146" s="156"/>
      <c r="F146" s="156"/>
      <c r="G146" s="156"/>
      <c r="H146" s="156"/>
      <c r="I146" s="156"/>
      <c r="J146" s="156"/>
      <c r="K146" s="156"/>
      <c r="L146" s="156"/>
      <c r="M146" s="156"/>
      <c r="N146" s="156"/>
      <c r="O146" s="327"/>
    </row>
    <row r="147" spans="1:16" ht="20.399999999999999" customHeight="1">
      <c r="A147" s="87" t="s">
        <v>101</v>
      </c>
      <c r="B147" s="157" t="s">
        <v>102</v>
      </c>
      <c r="C147" s="157"/>
      <c r="D147" s="157"/>
      <c r="E147" s="157"/>
      <c r="F147" s="157"/>
      <c r="G147" s="157"/>
      <c r="H147" s="157"/>
      <c r="I147" s="157"/>
      <c r="J147" s="157"/>
      <c r="K147" s="157"/>
      <c r="L147" s="157"/>
      <c r="M147" s="157"/>
      <c r="N147" s="157"/>
      <c r="O147" s="327"/>
    </row>
    <row r="148" spans="1:16" ht="20.399999999999999" customHeight="1">
      <c r="A148" s="88"/>
      <c r="B148" s="158" t="s">
        <v>178</v>
      </c>
      <c r="C148" s="158"/>
      <c r="D148" s="158"/>
      <c r="E148" s="158"/>
      <c r="F148" s="158"/>
      <c r="G148" s="158"/>
      <c r="H148" s="158"/>
      <c r="I148" s="158"/>
      <c r="J148" s="158"/>
      <c r="K148" s="158"/>
      <c r="L148" s="158"/>
      <c r="M148" s="158"/>
      <c r="N148" s="158"/>
      <c r="O148" s="327"/>
    </row>
    <row r="149" spans="1:16" ht="20.399999999999999" customHeight="1">
      <c r="A149" s="88"/>
      <c r="B149" s="158" t="s">
        <v>179</v>
      </c>
      <c r="C149" s="158"/>
      <c r="D149" s="158"/>
      <c r="E149" s="158"/>
      <c r="F149" s="158"/>
      <c r="G149" s="158"/>
      <c r="H149" s="158"/>
      <c r="I149" s="158"/>
      <c r="J149" s="158"/>
      <c r="K149" s="158"/>
      <c r="L149" s="158"/>
      <c r="M149" s="158"/>
      <c r="N149" s="158"/>
      <c r="O149" s="327"/>
    </row>
    <row r="150" spans="1:16" ht="20.399999999999999" customHeight="1">
      <c r="A150" s="88"/>
      <c r="B150" s="158" t="s">
        <v>163</v>
      </c>
      <c r="C150" s="158"/>
      <c r="D150" s="158"/>
      <c r="E150" s="158"/>
      <c r="F150" s="158"/>
      <c r="G150" s="158"/>
      <c r="H150" s="158"/>
      <c r="I150" s="158"/>
      <c r="J150" s="158"/>
      <c r="K150" s="158"/>
      <c r="L150" s="158"/>
      <c r="M150" s="158"/>
      <c r="N150" s="158"/>
      <c r="O150" s="327"/>
    </row>
    <row r="151" spans="1:16" ht="20.399999999999999" customHeight="1">
      <c r="A151" s="70"/>
      <c r="B151" s="159" t="s">
        <v>107</v>
      </c>
      <c r="C151" s="159"/>
      <c r="D151" s="159"/>
      <c r="E151" s="159"/>
      <c r="F151" s="159"/>
      <c r="G151" s="159"/>
      <c r="H151" s="159"/>
      <c r="I151" s="159"/>
      <c r="J151" s="159"/>
      <c r="K151" s="159"/>
      <c r="L151" s="159"/>
      <c r="M151" s="159"/>
      <c r="N151" s="159"/>
      <c r="O151" s="327"/>
    </row>
    <row r="152" spans="1:16" ht="20.399999999999999" customHeight="1">
      <c r="A152" s="70"/>
      <c r="B152" s="70"/>
      <c r="C152" s="70"/>
      <c r="D152" s="70"/>
      <c r="E152" s="70"/>
      <c r="F152" s="70"/>
      <c r="G152" s="70"/>
      <c r="H152" s="70"/>
      <c r="I152" s="70"/>
      <c r="J152" s="70"/>
      <c r="K152" s="70"/>
      <c r="L152" s="89"/>
      <c r="M152" s="89"/>
      <c r="N152" s="90"/>
      <c r="O152" s="327"/>
    </row>
    <row r="153" spans="1:16" ht="20.399999999999999" customHeight="1">
      <c r="A153" s="154" t="s">
        <v>60</v>
      </c>
      <c r="B153" s="154"/>
      <c r="C153" s="154"/>
      <c r="D153" s="154"/>
      <c r="E153" s="330"/>
      <c r="F153" s="330"/>
      <c r="G153" s="330"/>
      <c r="H153" s="330"/>
      <c r="I153" s="330"/>
      <c r="J153" s="331" t="s">
        <v>36</v>
      </c>
      <c r="K153" s="331"/>
      <c r="L153" s="331"/>
      <c r="M153" s="331"/>
      <c r="N153" s="331"/>
      <c r="O153" s="327"/>
    </row>
    <row r="154" spans="1:16" ht="20.399999999999999" customHeight="1">
      <c r="A154" s="152"/>
      <c r="B154" s="152"/>
      <c r="C154" s="152"/>
      <c r="D154" s="330"/>
      <c r="E154" s="330"/>
      <c r="F154" s="330"/>
      <c r="G154" s="330"/>
      <c r="H154" s="332"/>
      <c r="I154" s="332"/>
      <c r="J154" s="332"/>
      <c r="K154" s="332"/>
      <c r="L154" s="332"/>
      <c r="M154" s="332"/>
      <c r="N154" s="332"/>
      <c r="O154" s="327"/>
    </row>
    <row r="155" spans="1:16" ht="20.399999999999999" customHeight="1">
      <c r="A155" s="152"/>
      <c r="B155" s="152"/>
      <c r="C155" s="152"/>
      <c r="D155" s="330"/>
      <c r="E155" s="330"/>
      <c r="F155" s="330"/>
      <c r="G155" s="330"/>
      <c r="H155" s="332"/>
      <c r="I155" s="332"/>
      <c r="J155" s="332"/>
      <c r="K155" s="332"/>
      <c r="L155" s="332"/>
      <c r="M155" s="332"/>
      <c r="N155" s="332"/>
      <c r="O155" s="327"/>
    </row>
    <row r="156" spans="1:16" ht="20.399999999999999" customHeight="1">
      <c r="A156" s="152"/>
      <c r="B156" s="152"/>
      <c r="C156" s="152"/>
      <c r="D156" s="330"/>
      <c r="E156" s="330"/>
      <c r="F156" s="330"/>
      <c r="G156" s="330"/>
      <c r="H156" s="332"/>
      <c r="I156" s="332"/>
      <c r="J156" s="333" t="s">
        <v>103</v>
      </c>
      <c r="K156" s="333"/>
      <c r="L156" s="333"/>
      <c r="M156" s="333"/>
      <c r="N156" s="333"/>
      <c r="O156" s="327"/>
    </row>
    <row r="157" spans="1:16" ht="20.399999999999999" customHeight="1">
      <c r="A157" s="155" t="s">
        <v>84</v>
      </c>
      <c r="B157" s="155"/>
      <c r="C157" s="155"/>
      <c r="D157" s="155"/>
      <c r="E157" s="330"/>
      <c r="F157" s="330"/>
      <c r="G157" s="330"/>
      <c r="H157" s="332"/>
      <c r="I157" s="332"/>
      <c r="O157" s="327"/>
    </row>
    <row r="158" spans="1:16" ht="20.399999999999999" customHeight="1">
      <c r="J158" s="332"/>
      <c r="K158" s="332"/>
      <c r="L158" s="332"/>
      <c r="M158" s="332"/>
      <c r="N158" s="332"/>
    </row>
    <row r="159" spans="1:16" ht="20.399999999999999" customHeight="1">
      <c r="J159" s="333" t="s">
        <v>114</v>
      </c>
      <c r="K159" s="333"/>
      <c r="L159" s="333"/>
      <c r="M159" s="333"/>
      <c r="N159" s="333"/>
    </row>
  </sheetData>
  <mergeCells count="204">
    <mergeCell ref="A8:C8"/>
    <mergeCell ref="A9:A12"/>
    <mergeCell ref="B9:B12"/>
    <mergeCell ref="C9:C12"/>
    <mergeCell ref="D9:D12"/>
    <mergeCell ref="E9:F10"/>
    <mergeCell ref="F1:N1"/>
    <mergeCell ref="A3:D3"/>
    <mergeCell ref="E3:N3"/>
    <mergeCell ref="A4:D4"/>
    <mergeCell ref="E4:I7"/>
    <mergeCell ref="J4:N7"/>
    <mergeCell ref="A5:D5"/>
    <mergeCell ref="A7:D7"/>
    <mergeCell ref="N9:N12"/>
    <mergeCell ref="E11:E12"/>
    <mergeCell ref="F11:F12"/>
    <mergeCell ref="G11:G12"/>
    <mergeCell ref="H11:H12"/>
    <mergeCell ref="A6:D6"/>
    <mergeCell ref="A13:N13"/>
    <mergeCell ref="G9:H10"/>
    <mergeCell ref="I9:I12"/>
    <mergeCell ref="J9:J12"/>
    <mergeCell ref="K9:K12"/>
    <mergeCell ref="L9:L12"/>
    <mergeCell ref="M9:M12"/>
    <mergeCell ref="N28:N29"/>
    <mergeCell ref="A30:B31"/>
    <mergeCell ref="A32:B32"/>
    <mergeCell ref="A43:A46"/>
    <mergeCell ref="B43:B46"/>
    <mergeCell ref="C43:C46"/>
    <mergeCell ref="D43:D46"/>
    <mergeCell ref="E43:F44"/>
    <mergeCell ref="G43:H44"/>
    <mergeCell ref="I43:I46"/>
    <mergeCell ref="J43:J46"/>
    <mergeCell ref="K43:K46"/>
    <mergeCell ref="L43:L46"/>
    <mergeCell ref="M43:M46"/>
    <mergeCell ref="N43:N46"/>
    <mergeCell ref="E45:E46"/>
    <mergeCell ref="F45:F46"/>
    <mergeCell ref="G45:G46"/>
    <mergeCell ref="H45:H46"/>
    <mergeCell ref="A47:B47"/>
    <mergeCell ref="N47:N48"/>
    <mergeCell ref="A48:B48"/>
    <mergeCell ref="A49:B50"/>
    <mergeCell ref="A51:B52"/>
    <mergeCell ref="C51:C52"/>
    <mergeCell ref="D51:D52"/>
    <mergeCell ref="I51:I52"/>
    <mergeCell ref="J51:J52"/>
    <mergeCell ref="K51:K52"/>
    <mergeCell ref="G54:H54"/>
    <mergeCell ref="Q54:R54"/>
    <mergeCell ref="S54:T54"/>
    <mergeCell ref="U54:V54"/>
    <mergeCell ref="A55:C55"/>
    <mergeCell ref="E55:F55"/>
    <mergeCell ref="G55:H55"/>
    <mergeCell ref="Q55:R55"/>
    <mergeCell ref="S55:T55"/>
    <mergeCell ref="U55:V55"/>
    <mergeCell ref="L51:L58"/>
    <mergeCell ref="M51:M58"/>
    <mergeCell ref="N51:N58"/>
    <mergeCell ref="E52:F52"/>
    <mergeCell ref="G52:H52"/>
    <mergeCell ref="A53:C54"/>
    <mergeCell ref="I53:I54"/>
    <mergeCell ref="J53:J54"/>
    <mergeCell ref="K53:K54"/>
    <mergeCell ref="E54:F54"/>
    <mergeCell ref="E58:F58"/>
    <mergeCell ref="G58:H58"/>
    <mergeCell ref="A60:N60"/>
    <mergeCell ref="B61:N61"/>
    <mergeCell ref="B62:N62"/>
    <mergeCell ref="B63:N63"/>
    <mergeCell ref="A56:C56"/>
    <mergeCell ref="E56:F56"/>
    <mergeCell ref="G56:H56"/>
    <mergeCell ref="J56:J58"/>
    <mergeCell ref="K56:K58"/>
    <mergeCell ref="A57:B58"/>
    <mergeCell ref="C57:D57"/>
    <mergeCell ref="E57:F57"/>
    <mergeCell ref="G57:H57"/>
    <mergeCell ref="C58:D58"/>
    <mergeCell ref="J73:N73"/>
    <mergeCell ref="F83:N83"/>
    <mergeCell ref="A85:D86"/>
    <mergeCell ref="E85:N85"/>
    <mergeCell ref="E86:I86"/>
    <mergeCell ref="J86:N86"/>
    <mergeCell ref="B64:N64"/>
    <mergeCell ref="B65:N65"/>
    <mergeCell ref="A67:D67"/>
    <mergeCell ref="J67:N67"/>
    <mergeCell ref="J70:N70"/>
    <mergeCell ref="A71:D71"/>
    <mergeCell ref="A90:C90"/>
    <mergeCell ref="A91:A94"/>
    <mergeCell ref="B91:B94"/>
    <mergeCell ref="C91:C94"/>
    <mergeCell ref="D91:D94"/>
    <mergeCell ref="E91:F92"/>
    <mergeCell ref="A87:D87"/>
    <mergeCell ref="E87:I89"/>
    <mergeCell ref="J87:N87"/>
    <mergeCell ref="A88:D88"/>
    <mergeCell ref="J88:N88"/>
    <mergeCell ref="A89:D89"/>
    <mergeCell ref="J89:N89"/>
    <mergeCell ref="N108:N109"/>
    <mergeCell ref="A110:B111"/>
    <mergeCell ref="A112:B112"/>
    <mergeCell ref="N123:N124"/>
    <mergeCell ref="A125:B126"/>
    <mergeCell ref="A127:B127"/>
    <mergeCell ref="N91:N94"/>
    <mergeCell ref="E93:E94"/>
    <mergeCell ref="F93:F94"/>
    <mergeCell ref="G93:G94"/>
    <mergeCell ref="H93:H94"/>
    <mergeCell ref="A95:N95"/>
    <mergeCell ref="G91:H92"/>
    <mergeCell ref="I91:I94"/>
    <mergeCell ref="J91:J94"/>
    <mergeCell ref="K91:K94"/>
    <mergeCell ref="L91:L94"/>
    <mergeCell ref="M91:M94"/>
    <mergeCell ref="I129:I132"/>
    <mergeCell ref="J129:J132"/>
    <mergeCell ref="K129:K132"/>
    <mergeCell ref="L129:L132"/>
    <mergeCell ref="M129:M132"/>
    <mergeCell ref="N129:N132"/>
    <mergeCell ref="A129:A132"/>
    <mergeCell ref="B129:B132"/>
    <mergeCell ref="C129:C132"/>
    <mergeCell ref="D129:D132"/>
    <mergeCell ref="E129:F130"/>
    <mergeCell ref="G129:H130"/>
    <mergeCell ref="E131:E132"/>
    <mergeCell ref="F131:F132"/>
    <mergeCell ref="G131:G132"/>
    <mergeCell ref="H131:H132"/>
    <mergeCell ref="A139:C140"/>
    <mergeCell ref="I139:I140"/>
    <mergeCell ref="J139:J140"/>
    <mergeCell ref="K139:K140"/>
    <mergeCell ref="A141:C141"/>
    <mergeCell ref="A133:B133"/>
    <mergeCell ref="N133:N134"/>
    <mergeCell ref="A134:B134"/>
    <mergeCell ref="A135:B136"/>
    <mergeCell ref="A137:B138"/>
    <mergeCell ref="C137:C138"/>
    <mergeCell ref="D137:D138"/>
    <mergeCell ref="I137:I138"/>
    <mergeCell ref="J137:J138"/>
    <mergeCell ref="K137:K138"/>
    <mergeCell ref="Q139:R139"/>
    <mergeCell ref="S139:T139"/>
    <mergeCell ref="U139:V139"/>
    <mergeCell ref="E140:F140"/>
    <mergeCell ref="G140:H140"/>
    <mergeCell ref="Q140:R140"/>
    <mergeCell ref="S140:T140"/>
    <mergeCell ref="U140:V140"/>
    <mergeCell ref="L137:L144"/>
    <mergeCell ref="M137:M144"/>
    <mergeCell ref="N137:N144"/>
    <mergeCell ref="E138:F138"/>
    <mergeCell ref="G138:H138"/>
    <mergeCell ref="K142:K144"/>
    <mergeCell ref="J142:J144"/>
    <mergeCell ref="A143:B144"/>
    <mergeCell ref="C143:D143"/>
    <mergeCell ref="E143:F143"/>
    <mergeCell ref="G143:H143"/>
    <mergeCell ref="C144:D144"/>
    <mergeCell ref="E144:F144"/>
    <mergeCell ref="G144:H144"/>
    <mergeCell ref="E141:F141"/>
    <mergeCell ref="G141:H141"/>
    <mergeCell ref="A142:C142"/>
    <mergeCell ref="E142:F142"/>
    <mergeCell ref="G142:H142"/>
    <mergeCell ref="A153:D153"/>
    <mergeCell ref="J153:N153"/>
    <mergeCell ref="J156:N156"/>
    <mergeCell ref="A157:D157"/>
    <mergeCell ref="J159:N159"/>
    <mergeCell ref="A146:N146"/>
    <mergeCell ref="B147:N147"/>
    <mergeCell ref="B148:N148"/>
    <mergeCell ref="B149:N149"/>
    <mergeCell ref="B150:N150"/>
    <mergeCell ref="B151:N151"/>
  </mergeCells>
  <pageMargins left="0.26666666666666666" right="0.22500000000000001" top="0.46666666666666667" bottom="0.42499999999999999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155"/>
  <sheetViews>
    <sheetView workbookViewId="0">
      <selection activeCell="R19" sqref="R19"/>
    </sheetView>
  </sheetViews>
  <sheetFormatPr defaultColWidth="9.109375" defaultRowHeight="21" customHeight="1"/>
  <cols>
    <col min="1" max="1" width="4" style="1" customWidth="1"/>
    <col min="2" max="2" width="13.109375" style="1" customWidth="1"/>
    <col min="3" max="3" width="7.5546875" style="1" customWidth="1"/>
    <col min="4" max="4" width="7.21875" style="1" customWidth="1"/>
    <col min="5" max="8" width="7" style="1" customWidth="1"/>
    <col min="9" max="9" width="7.88671875" style="1" customWidth="1"/>
    <col min="10" max="11" width="7.109375" style="1" customWidth="1"/>
    <col min="12" max="12" width="6.44140625" style="1" customWidth="1"/>
    <col min="13" max="13" width="5.88671875" style="1" customWidth="1"/>
    <col min="14" max="14" width="6.88671875" style="1" customWidth="1"/>
    <col min="15" max="15" width="11.88671875" style="1" customWidth="1"/>
    <col min="16" max="16" width="9.109375" style="1"/>
    <col min="17" max="22" width="8.33203125" style="1" customWidth="1"/>
    <col min="23" max="16384" width="9.109375" style="1"/>
  </cols>
  <sheetData>
    <row r="1" spans="1:20" ht="22.8" customHeight="1">
      <c r="A1" s="10" t="s">
        <v>59</v>
      </c>
      <c r="B1" s="7"/>
      <c r="C1" s="7"/>
      <c r="D1" s="7"/>
      <c r="E1" s="7"/>
      <c r="F1" s="244" t="s">
        <v>30</v>
      </c>
      <c r="G1" s="244"/>
      <c r="H1" s="244"/>
      <c r="I1" s="244"/>
      <c r="J1" s="244"/>
      <c r="K1" s="244"/>
      <c r="L1" s="244"/>
      <c r="M1" s="244"/>
      <c r="N1" s="244"/>
      <c r="O1" s="311"/>
      <c r="P1" s="311"/>
      <c r="T1" s="2"/>
    </row>
    <row r="2" spans="1:20" ht="22.8" customHeight="1">
      <c r="A2" s="7" t="s">
        <v>180</v>
      </c>
      <c r="B2" s="7"/>
      <c r="C2" s="7"/>
      <c r="D2" s="7"/>
      <c r="E2" s="7"/>
      <c r="F2" s="149"/>
      <c r="G2" s="149"/>
      <c r="H2" s="149"/>
      <c r="I2" s="149"/>
      <c r="J2" s="149"/>
      <c r="K2" s="149"/>
      <c r="L2" s="149"/>
      <c r="M2" s="149"/>
      <c r="N2" s="149"/>
      <c r="O2" s="311"/>
      <c r="P2" s="311"/>
      <c r="T2" s="2"/>
    </row>
    <row r="3" spans="1:20" s="2" customFormat="1" ht="21" customHeight="1">
      <c r="A3" s="245" t="s">
        <v>95</v>
      </c>
      <c r="B3" s="245"/>
      <c r="C3" s="245"/>
      <c r="D3" s="245"/>
      <c r="E3" s="245" t="s">
        <v>93</v>
      </c>
      <c r="F3" s="245"/>
      <c r="G3" s="245"/>
      <c r="H3" s="245"/>
      <c r="I3" s="245"/>
      <c r="J3" s="245"/>
      <c r="K3" s="245"/>
      <c r="L3" s="245"/>
      <c r="M3" s="245"/>
      <c r="N3" s="245"/>
      <c r="O3" s="312"/>
    </row>
    <row r="4" spans="1:20" s="2" customFormat="1" ht="21" customHeight="1">
      <c r="A4" s="231" t="s">
        <v>83</v>
      </c>
      <c r="B4" s="231"/>
      <c r="C4" s="231"/>
      <c r="D4" s="231"/>
      <c r="E4" s="232" t="s">
        <v>132</v>
      </c>
      <c r="F4" s="232"/>
      <c r="G4" s="232"/>
      <c r="H4" s="232"/>
      <c r="I4" s="232"/>
      <c r="J4" s="260" t="s">
        <v>118</v>
      </c>
      <c r="K4" s="261"/>
      <c r="L4" s="261"/>
      <c r="M4" s="261"/>
      <c r="N4" s="262"/>
      <c r="O4" s="312"/>
    </row>
    <row r="5" spans="1:20" s="2" customFormat="1" ht="21" customHeight="1">
      <c r="A5" s="278" t="s">
        <v>138</v>
      </c>
      <c r="B5" s="278"/>
      <c r="C5" s="278"/>
      <c r="D5" s="278"/>
      <c r="E5" s="232"/>
      <c r="F5" s="232"/>
      <c r="G5" s="232"/>
      <c r="H5" s="232"/>
      <c r="I5" s="232"/>
      <c r="J5" s="263"/>
      <c r="K5" s="264"/>
      <c r="L5" s="264"/>
      <c r="M5" s="264"/>
      <c r="N5" s="265"/>
      <c r="O5" s="312"/>
    </row>
    <row r="6" spans="1:20" s="2" customFormat="1" ht="21" customHeight="1">
      <c r="A6" s="269" t="s">
        <v>137</v>
      </c>
      <c r="B6" s="270"/>
      <c r="C6" s="270"/>
      <c r="D6" s="271"/>
      <c r="E6" s="232"/>
      <c r="F6" s="232"/>
      <c r="G6" s="232"/>
      <c r="H6" s="232"/>
      <c r="I6" s="232"/>
      <c r="J6" s="263"/>
      <c r="K6" s="264"/>
      <c r="L6" s="264"/>
      <c r="M6" s="264"/>
      <c r="N6" s="265"/>
      <c r="O6" s="312"/>
    </row>
    <row r="7" spans="1:20" s="2" customFormat="1" ht="21" customHeight="1">
      <c r="A7" s="240" t="s">
        <v>160</v>
      </c>
      <c r="B7" s="240"/>
      <c r="C7" s="240"/>
      <c r="D7" s="240"/>
      <c r="E7" s="232"/>
      <c r="F7" s="232"/>
      <c r="G7" s="232"/>
      <c r="H7" s="232"/>
      <c r="I7" s="232"/>
      <c r="J7" s="266"/>
      <c r="K7" s="267"/>
      <c r="L7" s="267"/>
      <c r="M7" s="267"/>
      <c r="N7" s="268"/>
      <c r="O7" s="312"/>
    </row>
    <row r="8" spans="1:20" s="2" customFormat="1" ht="21" customHeight="1">
      <c r="A8" s="277" t="s">
        <v>110</v>
      </c>
      <c r="B8" s="277"/>
      <c r="C8" s="279">
        <v>210</v>
      </c>
      <c r="D8" s="279"/>
      <c r="E8" s="69"/>
      <c r="F8" s="69"/>
      <c r="G8" s="69"/>
      <c r="H8" s="69"/>
      <c r="I8" s="69"/>
      <c r="J8" s="69"/>
      <c r="K8" s="69"/>
      <c r="L8" s="69"/>
      <c r="M8" s="69"/>
      <c r="N8" s="148"/>
      <c r="O8" s="312"/>
    </row>
    <row r="9" spans="1:20" ht="21" customHeight="1">
      <c r="A9" s="211" t="s">
        <v>0</v>
      </c>
      <c r="B9" s="214" t="s">
        <v>19</v>
      </c>
      <c r="C9" s="217" t="s">
        <v>8</v>
      </c>
      <c r="D9" s="217" t="s">
        <v>9</v>
      </c>
      <c r="E9" s="220" t="s">
        <v>11</v>
      </c>
      <c r="F9" s="221"/>
      <c r="G9" s="220" t="s">
        <v>13</v>
      </c>
      <c r="H9" s="221"/>
      <c r="I9" s="208" t="s">
        <v>16</v>
      </c>
      <c r="J9" s="208" t="s">
        <v>32</v>
      </c>
      <c r="K9" s="208" t="s">
        <v>33</v>
      </c>
      <c r="L9" s="208" t="s">
        <v>17</v>
      </c>
      <c r="M9" s="208" t="s">
        <v>34</v>
      </c>
      <c r="N9" s="211" t="s">
        <v>18</v>
      </c>
      <c r="O9" s="313"/>
    </row>
    <row r="10" spans="1:20" ht="21" customHeight="1">
      <c r="A10" s="212"/>
      <c r="B10" s="215"/>
      <c r="C10" s="218"/>
      <c r="D10" s="218"/>
      <c r="E10" s="222"/>
      <c r="F10" s="223"/>
      <c r="G10" s="222"/>
      <c r="H10" s="223"/>
      <c r="I10" s="209"/>
      <c r="J10" s="209"/>
      <c r="K10" s="209"/>
      <c r="L10" s="209"/>
      <c r="M10" s="209"/>
      <c r="N10" s="212"/>
      <c r="O10" s="152"/>
    </row>
    <row r="11" spans="1:20" ht="21" customHeight="1">
      <c r="A11" s="212"/>
      <c r="B11" s="215"/>
      <c r="C11" s="218"/>
      <c r="D11" s="218"/>
      <c r="E11" s="208" t="s">
        <v>10</v>
      </c>
      <c r="F11" s="208" t="s">
        <v>12</v>
      </c>
      <c r="G11" s="208" t="s">
        <v>14</v>
      </c>
      <c r="H11" s="208" t="s">
        <v>15</v>
      </c>
      <c r="I11" s="209"/>
      <c r="J11" s="209"/>
      <c r="K11" s="209"/>
      <c r="L11" s="209"/>
      <c r="M11" s="209"/>
      <c r="N11" s="212"/>
      <c r="O11" s="152"/>
    </row>
    <row r="12" spans="1:20" ht="21" customHeight="1">
      <c r="A12" s="213"/>
      <c r="B12" s="216"/>
      <c r="C12" s="219"/>
      <c r="D12" s="219"/>
      <c r="E12" s="210"/>
      <c r="F12" s="210"/>
      <c r="G12" s="210"/>
      <c r="H12" s="210"/>
      <c r="I12" s="210"/>
      <c r="J12" s="210"/>
      <c r="K12" s="210"/>
      <c r="L12" s="210"/>
      <c r="M12" s="210"/>
      <c r="N12" s="213"/>
      <c r="O12" s="152"/>
    </row>
    <row r="13" spans="1:20" ht="20.399999999999999" customHeight="1">
      <c r="A13" s="225" t="s">
        <v>35</v>
      </c>
      <c r="B13" s="226"/>
      <c r="C13" s="226"/>
      <c r="D13" s="226"/>
      <c r="E13" s="226"/>
      <c r="F13" s="226"/>
      <c r="G13" s="226"/>
      <c r="H13" s="226"/>
      <c r="I13" s="226"/>
      <c r="J13" s="226"/>
      <c r="K13" s="226"/>
      <c r="L13" s="226"/>
      <c r="M13" s="226"/>
      <c r="N13" s="227"/>
      <c r="O13" s="152"/>
    </row>
    <row r="14" spans="1:20" s="2" customFormat="1" ht="20.399999999999999" customHeight="1">
      <c r="A14" s="8">
        <v>1</v>
      </c>
      <c r="B14" s="9" t="s">
        <v>2</v>
      </c>
      <c r="C14" s="12">
        <f>L14/100*100</f>
        <v>280</v>
      </c>
      <c r="D14" s="13">
        <f>C14/100*60</f>
        <v>168</v>
      </c>
      <c r="E14" s="14">
        <f>C14/100*15</f>
        <v>42</v>
      </c>
      <c r="F14" s="14"/>
      <c r="G14" s="14"/>
      <c r="H14" s="14"/>
      <c r="I14" s="14"/>
      <c r="J14" s="64">
        <f>C14/100*387</f>
        <v>1083.5999999999999</v>
      </c>
      <c r="K14" s="22">
        <f>C14/100*0.09</f>
        <v>0.252</v>
      </c>
      <c r="L14" s="15">
        <v>280</v>
      </c>
      <c r="M14" s="20">
        <v>20</v>
      </c>
      <c r="N14" s="16">
        <f>L14*M14</f>
        <v>5600</v>
      </c>
      <c r="O14" s="314"/>
    </row>
    <row r="15" spans="1:20" s="2" customFormat="1" ht="20.399999999999999" customHeight="1">
      <c r="A15" s="8">
        <v>2</v>
      </c>
      <c r="B15" s="9" t="s">
        <v>121</v>
      </c>
      <c r="C15" s="12">
        <f>L15/100*100</f>
        <v>400</v>
      </c>
      <c r="D15" s="13">
        <f>C15/100*899</f>
        <v>3596</v>
      </c>
      <c r="E15" s="14"/>
      <c r="F15" s="14"/>
      <c r="G15" s="14">
        <f>C15/100*100</f>
        <v>400</v>
      </c>
      <c r="H15" s="14"/>
      <c r="I15" s="14"/>
      <c r="J15" s="14"/>
      <c r="K15" s="14"/>
      <c r="L15" s="15">
        <v>400</v>
      </c>
      <c r="M15" s="65">
        <v>68</v>
      </c>
      <c r="N15" s="16">
        <f t="shared" ref="N15:N25" si="0">L15*M15</f>
        <v>27200</v>
      </c>
      <c r="O15" s="315"/>
    </row>
    <row r="16" spans="1:20" s="2" customFormat="1" ht="20.399999999999999" customHeight="1">
      <c r="A16" s="8">
        <v>3</v>
      </c>
      <c r="B16" s="9" t="s">
        <v>126</v>
      </c>
      <c r="C16" s="12">
        <f>L16/100*100</f>
        <v>229.99999999999997</v>
      </c>
      <c r="D16" s="65">
        <f>C16/100*900</f>
        <v>2070</v>
      </c>
      <c r="E16" s="14"/>
      <c r="F16" s="14"/>
      <c r="G16" s="91"/>
      <c r="H16" s="14">
        <f>C16/100*100</f>
        <v>229.99999999999997</v>
      </c>
      <c r="I16" s="14"/>
      <c r="J16" s="14"/>
      <c r="K16" s="14"/>
      <c r="L16" s="111">
        <v>230</v>
      </c>
      <c r="M16" s="65">
        <v>63.5</v>
      </c>
      <c r="N16" s="93">
        <f t="shared" si="0"/>
        <v>14605</v>
      </c>
      <c r="O16" s="315"/>
    </row>
    <row r="17" spans="1:20" s="2" customFormat="1" ht="20.399999999999999" customHeight="1">
      <c r="A17" s="8">
        <v>4</v>
      </c>
      <c r="B17" s="5" t="s">
        <v>1</v>
      </c>
      <c r="C17" s="12">
        <f>L17/100*100</f>
        <v>19950</v>
      </c>
      <c r="D17" s="65">
        <f>C17/100*337</f>
        <v>67231.5</v>
      </c>
      <c r="E17" s="14"/>
      <c r="F17" s="91">
        <f>C17/100*7.9</f>
        <v>1576.0500000000002</v>
      </c>
      <c r="G17" s="14"/>
      <c r="H17" s="14">
        <f>C17/100*1</f>
        <v>199.5</v>
      </c>
      <c r="I17" s="91">
        <f>C17/100*71.9</f>
        <v>14344.050000000001</v>
      </c>
      <c r="J17" s="64">
        <f>C17/100*30</f>
        <v>5985</v>
      </c>
      <c r="K17" s="22">
        <f>C17/100*0.1</f>
        <v>19.950000000000003</v>
      </c>
      <c r="L17" s="15">
        <v>19950</v>
      </c>
      <c r="M17" s="20">
        <v>18</v>
      </c>
      <c r="N17" s="93">
        <f t="shared" si="0"/>
        <v>359100</v>
      </c>
      <c r="O17" s="314"/>
    </row>
    <row r="18" spans="1:20" s="2" customFormat="1" ht="20.399999999999999" customHeight="1">
      <c r="A18" s="8">
        <v>5</v>
      </c>
      <c r="B18" s="9" t="s">
        <v>66</v>
      </c>
      <c r="C18" s="12">
        <f>L18/100*98</f>
        <v>5350.8</v>
      </c>
      <c r="D18" s="13">
        <f>C18/100*139</f>
        <v>7437.6120000000001</v>
      </c>
      <c r="E18" s="91">
        <f>C18/100*19</f>
        <v>1016.652</v>
      </c>
      <c r="F18" s="14"/>
      <c r="G18" s="14">
        <f>C18/100*7</f>
        <v>374.55600000000004</v>
      </c>
      <c r="H18" s="14"/>
      <c r="I18" s="14"/>
      <c r="J18" s="64">
        <f>C18/100*7</f>
        <v>374.55600000000004</v>
      </c>
      <c r="K18" s="22">
        <f>C18/100*0.9</f>
        <v>48.157200000000003</v>
      </c>
      <c r="L18" s="15">
        <v>5460</v>
      </c>
      <c r="M18" s="15">
        <v>137</v>
      </c>
      <c r="N18" s="93">
        <f t="shared" si="0"/>
        <v>748020</v>
      </c>
      <c r="O18" s="314"/>
    </row>
    <row r="19" spans="1:20" s="2" customFormat="1" ht="20.399999999999999" customHeight="1">
      <c r="A19" s="8">
        <v>6</v>
      </c>
      <c r="B19" s="5" t="s">
        <v>4</v>
      </c>
      <c r="C19" s="12">
        <f>L19/100*98</f>
        <v>2577.4</v>
      </c>
      <c r="D19" s="13">
        <f>C19/100*118</f>
        <v>3041.3320000000003</v>
      </c>
      <c r="E19" s="14">
        <f>C19/100*21</f>
        <v>541.25400000000002</v>
      </c>
      <c r="F19" s="14"/>
      <c r="G19" s="14">
        <f>C19/100*3.8</f>
        <v>97.941199999999995</v>
      </c>
      <c r="H19" s="14"/>
      <c r="I19" s="14">
        <f>C19/100*2.5</f>
        <v>64.435000000000002</v>
      </c>
      <c r="J19" s="63">
        <f>C19/100*12</f>
        <v>309.28800000000001</v>
      </c>
      <c r="K19" s="21">
        <f>C19/100*0.1</f>
        <v>2.5774000000000004</v>
      </c>
      <c r="L19" s="317">
        <v>2630</v>
      </c>
      <c r="M19" s="43">
        <v>260</v>
      </c>
      <c r="N19" s="93">
        <f t="shared" si="0"/>
        <v>683800</v>
      </c>
      <c r="O19" s="337"/>
      <c r="Q19" s="3"/>
      <c r="R19" s="3"/>
    </row>
    <row r="20" spans="1:20" s="2" customFormat="1" ht="20.399999999999999" customHeight="1">
      <c r="A20" s="8">
        <v>7</v>
      </c>
      <c r="B20" s="5" t="s">
        <v>117</v>
      </c>
      <c r="C20" s="12">
        <f>L20/100*100</f>
        <v>210</v>
      </c>
      <c r="D20" s="13">
        <f>C20/100*247</f>
        <v>518.70000000000005</v>
      </c>
      <c r="E20" s="17"/>
      <c r="F20" s="17">
        <f>C20/100*17.5</f>
        <v>36.75</v>
      </c>
      <c r="G20" s="17"/>
      <c r="H20" s="17">
        <f>C20/100*1.6</f>
        <v>3.3600000000000003</v>
      </c>
      <c r="I20" s="17">
        <f>C20/100*39.2</f>
        <v>82.320000000000007</v>
      </c>
      <c r="J20" s="21"/>
      <c r="K20" s="21"/>
      <c r="L20" s="317">
        <v>210</v>
      </c>
      <c r="M20" s="20">
        <v>50</v>
      </c>
      <c r="N20" s="16">
        <f t="shared" si="0"/>
        <v>10500</v>
      </c>
      <c r="O20" s="314"/>
      <c r="Q20" s="3"/>
      <c r="R20" s="3"/>
      <c r="S20" s="4"/>
      <c r="T20" s="3"/>
    </row>
    <row r="21" spans="1:20" s="2" customFormat="1" ht="20.399999999999999" customHeight="1">
      <c r="A21" s="8">
        <v>8</v>
      </c>
      <c r="B21" s="5" t="s">
        <v>20</v>
      </c>
      <c r="C21" s="12">
        <f>L21/100*95</f>
        <v>1995</v>
      </c>
      <c r="D21" s="13">
        <f>C21/100*20</f>
        <v>399</v>
      </c>
      <c r="E21" s="14"/>
      <c r="F21" s="14">
        <f>C21/100*0.6</f>
        <v>11.969999999999999</v>
      </c>
      <c r="G21" s="14"/>
      <c r="H21" s="14">
        <f>C21/100*0.2</f>
        <v>3.99</v>
      </c>
      <c r="I21" s="14">
        <f>C21/100*4</f>
        <v>79.8</v>
      </c>
      <c r="J21" s="63">
        <f>C21/100*12</f>
        <v>239.39999999999998</v>
      </c>
      <c r="K21" s="21">
        <f>C21/100*0.04</f>
        <v>0.79800000000000004</v>
      </c>
      <c r="L21" s="318">
        <v>2100</v>
      </c>
      <c r="M21" s="15">
        <v>22</v>
      </c>
      <c r="N21" s="16">
        <f t="shared" si="0"/>
        <v>46200</v>
      </c>
      <c r="O21" s="314"/>
    </row>
    <row r="22" spans="1:20" s="2" customFormat="1" ht="20.399999999999999" customHeight="1">
      <c r="A22" s="8">
        <v>9</v>
      </c>
      <c r="B22" s="5" t="s">
        <v>5</v>
      </c>
      <c r="C22" s="12">
        <f>L22/100*98.5</f>
        <v>945.59999999999991</v>
      </c>
      <c r="D22" s="13">
        <f>C22/100*39</f>
        <v>368.78399999999999</v>
      </c>
      <c r="E22" s="17"/>
      <c r="F22" s="17">
        <f>C22/100*1.5</f>
        <v>14.183999999999999</v>
      </c>
      <c r="G22" s="17"/>
      <c r="H22" s="17">
        <f>C22/100*0.2</f>
        <v>1.8912</v>
      </c>
      <c r="I22" s="17">
        <f>C22/100*7.8</f>
        <v>73.756799999999998</v>
      </c>
      <c r="J22" s="17">
        <f>C22/100*43</f>
        <v>406.608</v>
      </c>
      <c r="K22" s="17">
        <f>C22/100*0.06</f>
        <v>0.56735999999999998</v>
      </c>
      <c r="L22" s="318">
        <v>960</v>
      </c>
      <c r="M22" s="15">
        <v>17</v>
      </c>
      <c r="N22" s="16">
        <f t="shared" si="0"/>
        <v>16320</v>
      </c>
      <c r="O22" s="314"/>
      <c r="Q22" s="3"/>
      <c r="R22" s="3"/>
      <c r="S22" s="4"/>
    </row>
    <row r="23" spans="1:20" s="2" customFormat="1" ht="20.399999999999999" customHeight="1">
      <c r="A23" s="8">
        <v>10</v>
      </c>
      <c r="B23" s="5" t="s">
        <v>68</v>
      </c>
      <c r="C23" s="12">
        <f>L23/100*75</f>
        <v>1575</v>
      </c>
      <c r="D23" s="13">
        <f>C23/100*12</f>
        <v>189</v>
      </c>
      <c r="E23" s="14">
        <f>C23/100*0.6</f>
        <v>9.4499999999999993</v>
      </c>
      <c r="F23" s="14"/>
      <c r="G23" s="14"/>
      <c r="H23" s="14"/>
      <c r="I23" s="14">
        <f>C23/100*2.4</f>
        <v>37.799999999999997</v>
      </c>
      <c r="J23" s="64">
        <f>C23/100*26</f>
        <v>409.5</v>
      </c>
      <c r="K23" s="22">
        <f>C23/100*0.02</f>
        <v>0.315</v>
      </c>
      <c r="L23" s="111">
        <v>2100</v>
      </c>
      <c r="M23" s="15">
        <v>25</v>
      </c>
      <c r="N23" s="16">
        <f t="shared" si="0"/>
        <v>52500</v>
      </c>
      <c r="O23" s="314"/>
    </row>
    <row r="24" spans="1:20" s="2" customFormat="1" ht="20.399999999999999" customHeight="1">
      <c r="A24" s="8">
        <v>11</v>
      </c>
      <c r="B24" s="67" t="s">
        <v>62</v>
      </c>
      <c r="C24" s="12">
        <f>L24/100*89</f>
        <v>6541.5</v>
      </c>
      <c r="D24" s="65">
        <f>C24/100*154</f>
        <v>10073.910000000002</v>
      </c>
      <c r="E24" s="14">
        <f>C24/100*13.1</f>
        <v>856.93650000000002</v>
      </c>
      <c r="F24" s="14"/>
      <c r="G24" s="14">
        <f>C24/100*11.1</f>
        <v>726.1065000000001</v>
      </c>
      <c r="H24" s="14"/>
      <c r="I24" s="14">
        <f>C24/100*0.4</f>
        <v>26.166000000000004</v>
      </c>
      <c r="J24" s="64">
        <f>C24/100*64</f>
        <v>4186.5600000000004</v>
      </c>
      <c r="K24" s="22">
        <f>C24/100*0.13</f>
        <v>8.5039500000000015</v>
      </c>
      <c r="L24" s="15">
        <v>7350</v>
      </c>
      <c r="M24" s="42">
        <v>82</v>
      </c>
      <c r="N24" s="92">
        <f t="shared" si="0"/>
        <v>602700</v>
      </c>
      <c r="O24" s="314"/>
    </row>
    <row r="25" spans="1:20" s="2" customFormat="1" ht="20.399999999999999" customHeight="1">
      <c r="A25" s="8">
        <v>12</v>
      </c>
      <c r="B25" s="5" t="s">
        <v>161</v>
      </c>
      <c r="C25" s="12">
        <f>L25/100*90</f>
        <v>6615</v>
      </c>
      <c r="D25" s="13">
        <f>C25/100*29</f>
        <v>1918.3500000000001</v>
      </c>
      <c r="E25" s="17"/>
      <c r="F25" s="17">
        <f>C25/100*1.8</f>
        <v>119.07000000000001</v>
      </c>
      <c r="G25" s="17"/>
      <c r="H25" s="17">
        <f>C25/100*0.1</f>
        <v>6.6150000000000011</v>
      </c>
      <c r="I25" s="17">
        <f>C25/100*5.3</f>
        <v>350.59500000000003</v>
      </c>
      <c r="J25" s="63">
        <f>C25/100*48</f>
        <v>3175.2000000000003</v>
      </c>
      <c r="K25" s="21">
        <f>C25/100*0.05</f>
        <v>3.3075000000000006</v>
      </c>
      <c r="L25" s="317">
        <v>7350</v>
      </c>
      <c r="M25" s="15">
        <v>13</v>
      </c>
      <c r="N25" s="16">
        <f t="shared" si="0"/>
        <v>95550</v>
      </c>
      <c r="O25" s="314"/>
      <c r="Q25" s="3"/>
      <c r="R25" s="3"/>
      <c r="S25" s="4"/>
    </row>
    <row r="26" spans="1:20" s="2" customFormat="1" ht="20.399999999999999" customHeight="1">
      <c r="A26" s="8">
        <v>13</v>
      </c>
      <c r="B26" s="9" t="s">
        <v>111</v>
      </c>
      <c r="C26" s="12"/>
      <c r="D26" s="136"/>
      <c r="E26" s="14"/>
      <c r="F26" s="14"/>
      <c r="G26" s="14"/>
      <c r="H26" s="14"/>
      <c r="I26" s="14"/>
      <c r="J26" s="22"/>
      <c r="K26" s="22"/>
      <c r="L26" s="15"/>
      <c r="M26" s="15"/>
      <c r="N26" s="16">
        <v>15750</v>
      </c>
      <c r="O26" s="314"/>
    </row>
    <row r="27" spans="1:20" s="2" customFormat="1" ht="20.399999999999999" customHeight="1">
      <c r="A27" s="23" t="s">
        <v>97</v>
      </c>
      <c r="B27" s="24"/>
      <c r="C27" s="25"/>
      <c r="D27" s="94">
        <f>SUM(D14:D26)</f>
        <v>97012.187999999995</v>
      </c>
      <c r="E27" s="27"/>
      <c r="F27" s="27"/>
      <c r="G27" s="27"/>
      <c r="H27" s="27"/>
      <c r="I27" s="27"/>
      <c r="J27" s="27"/>
      <c r="K27" s="27"/>
      <c r="L27" s="28"/>
      <c r="M27" s="28"/>
      <c r="N27" s="258">
        <f>SUM(N14:N26)</f>
        <v>2677845</v>
      </c>
      <c r="O27" s="314"/>
    </row>
    <row r="28" spans="1:20" s="2" customFormat="1" ht="20.399999999999999" customHeight="1">
      <c r="A28" s="23" t="s">
        <v>6</v>
      </c>
      <c r="B28" s="24"/>
      <c r="C28" s="25"/>
      <c r="D28" s="26">
        <f>D27/C8</f>
        <v>461.96279999999996</v>
      </c>
      <c r="E28" s="27"/>
      <c r="F28" s="27"/>
      <c r="G28" s="27"/>
      <c r="H28" s="27"/>
      <c r="I28" s="27"/>
      <c r="J28" s="27"/>
      <c r="K28" s="27"/>
      <c r="L28" s="28"/>
      <c r="M28" s="28"/>
      <c r="N28" s="259"/>
      <c r="O28" s="314"/>
    </row>
    <row r="29" spans="1:20" s="2" customFormat="1" ht="20.399999999999999" customHeight="1">
      <c r="A29" s="192" t="s">
        <v>37</v>
      </c>
      <c r="B29" s="193"/>
      <c r="C29" s="319" t="s">
        <v>133</v>
      </c>
      <c r="D29" s="29" t="s">
        <v>38</v>
      </c>
      <c r="E29" s="27"/>
      <c r="F29" s="27"/>
      <c r="G29" s="27"/>
      <c r="H29" s="27"/>
      <c r="I29" s="27"/>
      <c r="J29" s="27"/>
      <c r="K29" s="27"/>
      <c r="L29" s="28"/>
      <c r="M29" s="28"/>
      <c r="N29" s="30"/>
      <c r="O29" s="314"/>
    </row>
    <row r="30" spans="1:20" s="2" customFormat="1" ht="20.399999999999999" customHeight="1">
      <c r="A30" s="194"/>
      <c r="B30" s="195"/>
      <c r="C30" s="62" t="s">
        <v>58</v>
      </c>
      <c r="D30" s="29">
        <f>D28*100/1320</f>
        <v>34.997181818181815</v>
      </c>
      <c r="E30" s="27"/>
      <c r="F30" s="27"/>
      <c r="G30" s="27"/>
      <c r="H30" s="27"/>
      <c r="I30" s="27"/>
      <c r="J30" s="27"/>
      <c r="K30" s="27"/>
      <c r="L30" s="28"/>
      <c r="M30" s="28"/>
      <c r="N30" s="30"/>
      <c r="O30" s="314"/>
    </row>
    <row r="31" spans="1:20" s="2" customFormat="1" ht="20.399999999999999" customHeight="1">
      <c r="A31" s="224" t="s">
        <v>39</v>
      </c>
      <c r="B31" s="224"/>
      <c r="C31" s="45"/>
      <c r="D31" s="46"/>
      <c r="E31" s="47"/>
      <c r="F31" s="47"/>
      <c r="G31" s="47"/>
      <c r="H31" s="47"/>
      <c r="I31" s="47"/>
      <c r="J31" s="47"/>
      <c r="K31" s="47"/>
      <c r="L31" s="48"/>
      <c r="M31" s="48"/>
      <c r="N31" s="49"/>
      <c r="O31" s="314"/>
    </row>
    <row r="32" spans="1:20" s="2" customFormat="1" ht="20.399999999999999" customHeight="1">
      <c r="A32" s="8">
        <v>1</v>
      </c>
      <c r="B32" s="9" t="s">
        <v>2</v>
      </c>
      <c r="C32" s="12">
        <f>L32/100*100</f>
        <v>250</v>
      </c>
      <c r="D32" s="13">
        <f>C32/100*60</f>
        <v>150</v>
      </c>
      <c r="E32" s="14">
        <f>C32/100*15</f>
        <v>37.5</v>
      </c>
      <c r="F32" s="14"/>
      <c r="G32" s="14"/>
      <c r="H32" s="14"/>
      <c r="I32" s="14"/>
      <c r="J32" s="64">
        <f>C32/100*387</f>
        <v>967.5</v>
      </c>
      <c r="K32" s="22">
        <f>C32/100*0.09</f>
        <v>0.22499999999999998</v>
      </c>
      <c r="L32" s="111">
        <v>250</v>
      </c>
      <c r="M32" s="20">
        <v>20</v>
      </c>
      <c r="N32" s="16">
        <f>L32*M32</f>
        <v>5000</v>
      </c>
      <c r="O32" s="314"/>
    </row>
    <row r="33" spans="1:23" s="2" customFormat="1" ht="20.399999999999999" customHeight="1">
      <c r="A33" s="8">
        <v>2</v>
      </c>
      <c r="B33" s="9" t="s">
        <v>121</v>
      </c>
      <c r="C33" s="12">
        <f>L33/100*100</f>
        <v>530</v>
      </c>
      <c r="D33" s="13">
        <f>C33/100*899</f>
        <v>4764.7</v>
      </c>
      <c r="E33" s="14"/>
      <c r="F33" s="14"/>
      <c r="G33" s="14">
        <f>C33/100*100</f>
        <v>530</v>
      </c>
      <c r="H33" s="14"/>
      <c r="I33" s="14"/>
      <c r="J33" s="14"/>
      <c r="K33" s="14"/>
      <c r="L33" s="15">
        <v>530</v>
      </c>
      <c r="M33" s="65">
        <v>68</v>
      </c>
      <c r="N33" s="16">
        <f t="shared" ref="N33" si="1">L33*M33</f>
        <v>36040</v>
      </c>
      <c r="O33" s="315"/>
    </row>
    <row r="34" spans="1:23" s="2" customFormat="1" ht="20.399999999999999" customHeight="1">
      <c r="A34" s="8">
        <v>3</v>
      </c>
      <c r="B34" s="5" t="s">
        <v>65</v>
      </c>
      <c r="C34" s="12">
        <f>L34/100*100</f>
        <v>2100</v>
      </c>
      <c r="D34" s="13">
        <f>C34/100*344</f>
        <v>7224</v>
      </c>
      <c r="E34" s="14"/>
      <c r="F34" s="14">
        <f>C34/100*8.6</f>
        <v>180.6</v>
      </c>
      <c r="G34" s="14"/>
      <c r="H34" s="14">
        <f>C34/100*1.5</f>
        <v>31.5</v>
      </c>
      <c r="I34" s="14">
        <f>C34/100*74.5</f>
        <v>1564.5</v>
      </c>
      <c r="J34" s="14">
        <f>C34/100*32</f>
        <v>672</v>
      </c>
      <c r="K34" s="14">
        <f>C34/100*0.14</f>
        <v>2.9400000000000004</v>
      </c>
      <c r="L34" s="111">
        <v>2100</v>
      </c>
      <c r="M34" s="20">
        <v>30</v>
      </c>
      <c r="N34" s="16">
        <f t="shared" ref="N34:N39" si="2">L34*M34</f>
        <v>63000</v>
      </c>
      <c r="O34" s="314"/>
      <c r="P34" s="320"/>
    </row>
    <row r="35" spans="1:23" s="2" customFormat="1" ht="20.399999999999999" customHeight="1">
      <c r="A35" s="8">
        <v>4</v>
      </c>
      <c r="B35" s="5" t="s">
        <v>1</v>
      </c>
      <c r="C35" s="12">
        <f>L35/100*100</f>
        <v>3150</v>
      </c>
      <c r="D35" s="65">
        <f>C35/100*337</f>
        <v>10615.5</v>
      </c>
      <c r="E35" s="14"/>
      <c r="F35" s="14">
        <f>C35/100*7.9</f>
        <v>248.85000000000002</v>
      </c>
      <c r="G35" s="14"/>
      <c r="H35" s="14">
        <f>C35/100*1</f>
        <v>31.5</v>
      </c>
      <c r="I35" s="91">
        <f>C35/100*71.9</f>
        <v>2264.8500000000004</v>
      </c>
      <c r="J35" s="64">
        <f>C35/100*30</f>
        <v>945</v>
      </c>
      <c r="K35" s="22">
        <f>C35/100*0.1</f>
        <v>3.1500000000000004</v>
      </c>
      <c r="L35" s="111">
        <v>3150</v>
      </c>
      <c r="M35" s="20">
        <v>18</v>
      </c>
      <c r="N35" s="16">
        <f t="shared" si="2"/>
        <v>56700</v>
      </c>
      <c r="O35" s="314"/>
    </row>
    <row r="36" spans="1:23" s="2" customFormat="1" ht="20.399999999999999" customHeight="1">
      <c r="A36" s="8">
        <v>5</v>
      </c>
      <c r="B36" s="5" t="s">
        <v>117</v>
      </c>
      <c r="C36" s="12">
        <f>L36/100*100</f>
        <v>130</v>
      </c>
      <c r="D36" s="13">
        <f>C36/100*247</f>
        <v>321.10000000000002</v>
      </c>
      <c r="E36" s="17"/>
      <c r="F36" s="17">
        <f>C36/100*17.5</f>
        <v>22.75</v>
      </c>
      <c r="G36" s="17"/>
      <c r="H36" s="17">
        <f>C36/100*1.6</f>
        <v>2.08</v>
      </c>
      <c r="I36" s="17">
        <f>C36/100*39.2</f>
        <v>50.960000000000008</v>
      </c>
      <c r="J36" s="21"/>
      <c r="K36" s="21"/>
      <c r="L36" s="317">
        <v>130</v>
      </c>
      <c r="M36" s="20">
        <v>50</v>
      </c>
      <c r="N36" s="16">
        <f t="shared" si="2"/>
        <v>6500</v>
      </c>
      <c r="O36" s="314"/>
      <c r="Q36" s="3"/>
      <c r="R36" s="3"/>
      <c r="S36" s="4"/>
      <c r="T36" s="3"/>
    </row>
    <row r="37" spans="1:23" s="2" customFormat="1" ht="20.399999999999999" customHeight="1">
      <c r="A37" s="8">
        <v>6</v>
      </c>
      <c r="B37" s="5" t="s">
        <v>68</v>
      </c>
      <c r="C37" s="12">
        <f>L37/100*75</f>
        <v>3150</v>
      </c>
      <c r="D37" s="13">
        <f>C37/100*12</f>
        <v>378</v>
      </c>
      <c r="E37" s="14">
        <f>C37/100*0.6</f>
        <v>18.899999999999999</v>
      </c>
      <c r="F37" s="14"/>
      <c r="G37" s="14"/>
      <c r="H37" s="14"/>
      <c r="I37" s="14">
        <f>C37/100*2.4</f>
        <v>75.599999999999994</v>
      </c>
      <c r="J37" s="64">
        <f>C37/100*26</f>
        <v>819</v>
      </c>
      <c r="K37" s="22">
        <f>C37/100*0.02</f>
        <v>0.63</v>
      </c>
      <c r="L37" s="111">
        <v>4200</v>
      </c>
      <c r="M37" s="15">
        <v>25</v>
      </c>
      <c r="N37" s="93">
        <f t="shared" si="2"/>
        <v>105000</v>
      </c>
      <c r="O37" s="314"/>
    </row>
    <row r="38" spans="1:23" s="2" customFormat="1" ht="20.399999999999999" customHeight="1">
      <c r="A38" s="8">
        <v>7</v>
      </c>
      <c r="B38" s="9" t="s">
        <v>64</v>
      </c>
      <c r="C38" s="12">
        <f>L38/100*40</f>
        <v>4628</v>
      </c>
      <c r="D38" s="65">
        <f>C38/100*276</f>
        <v>12773.28</v>
      </c>
      <c r="E38" s="14">
        <f>C38/100*17.8</f>
        <v>823.78400000000011</v>
      </c>
      <c r="F38" s="14"/>
      <c r="G38" s="91">
        <f>C38/100*21.8</f>
        <v>1008.9040000000001</v>
      </c>
      <c r="H38" s="14"/>
      <c r="I38" s="14"/>
      <c r="J38" s="64">
        <f>C38/100*13</f>
        <v>601.64</v>
      </c>
      <c r="K38" s="22">
        <f>C38/100*0.07</f>
        <v>3.2396000000000003</v>
      </c>
      <c r="L38" s="111">
        <v>11570</v>
      </c>
      <c r="M38" s="20">
        <v>63</v>
      </c>
      <c r="N38" s="93">
        <f t="shared" si="2"/>
        <v>728910</v>
      </c>
      <c r="O38" s="314"/>
    </row>
    <row r="39" spans="1:23" s="2" customFormat="1" ht="20.399999999999999" customHeight="1">
      <c r="A39" s="8">
        <v>8</v>
      </c>
      <c r="B39" s="140" t="s">
        <v>131</v>
      </c>
      <c r="C39" s="12">
        <f>L39/100*100</f>
        <v>3570.0000000000005</v>
      </c>
      <c r="D39" s="65">
        <f>C39/100*487</f>
        <v>17385.900000000001</v>
      </c>
      <c r="E39" s="17"/>
      <c r="F39" s="17">
        <f>C39/100*19.5</f>
        <v>696.15000000000009</v>
      </c>
      <c r="G39" s="17"/>
      <c r="H39" s="17">
        <f>C39/100*23.2</f>
        <v>828.24</v>
      </c>
      <c r="I39" s="17">
        <f>C39/100*46</f>
        <v>1642.2</v>
      </c>
      <c r="J39" s="91">
        <f>C39/100*680</f>
        <v>24276.000000000004</v>
      </c>
      <c r="K39" s="14">
        <f>C39/100*0.55</f>
        <v>19.635000000000002</v>
      </c>
      <c r="L39" s="317">
        <v>3570</v>
      </c>
      <c r="M39" s="102">
        <v>260</v>
      </c>
      <c r="N39" s="93">
        <f t="shared" si="2"/>
        <v>928200</v>
      </c>
      <c r="O39" s="314"/>
      <c r="P39" s="3"/>
    </row>
    <row r="40" spans="1:23" s="2" customFormat="1" ht="20.399999999999999" customHeight="1">
      <c r="A40" s="77">
        <v>9</v>
      </c>
      <c r="B40" s="78" t="s">
        <v>111</v>
      </c>
      <c r="C40" s="79"/>
      <c r="D40" s="80"/>
      <c r="E40" s="81"/>
      <c r="F40" s="81"/>
      <c r="G40" s="105"/>
      <c r="H40" s="105"/>
      <c r="I40" s="81"/>
      <c r="J40" s="81"/>
      <c r="K40" s="81"/>
      <c r="L40" s="82"/>
      <c r="M40" s="82"/>
      <c r="N40" s="83">
        <v>13550</v>
      </c>
      <c r="O40" s="314"/>
    </row>
    <row r="41" spans="1:23" ht="22.2" customHeight="1">
      <c r="A41" s="211" t="s">
        <v>0</v>
      </c>
      <c r="B41" s="214" t="s">
        <v>19</v>
      </c>
      <c r="C41" s="217" t="s">
        <v>8</v>
      </c>
      <c r="D41" s="217" t="s">
        <v>9</v>
      </c>
      <c r="E41" s="220" t="s">
        <v>11</v>
      </c>
      <c r="F41" s="221"/>
      <c r="G41" s="220" t="s">
        <v>13</v>
      </c>
      <c r="H41" s="221"/>
      <c r="I41" s="208" t="s">
        <v>16</v>
      </c>
      <c r="J41" s="208" t="s">
        <v>32</v>
      </c>
      <c r="K41" s="208" t="s">
        <v>33</v>
      </c>
      <c r="L41" s="208" t="s">
        <v>17</v>
      </c>
      <c r="M41" s="208" t="s">
        <v>34</v>
      </c>
      <c r="N41" s="211" t="s">
        <v>18</v>
      </c>
      <c r="O41" s="313"/>
    </row>
    <row r="42" spans="1:23" ht="22.2" customHeight="1">
      <c r="A42" s="212"/>
      <c r="B42" s="215"/>
      <c r="C42" s="218"/>
      <c r="D42" s="218"/>
      <c r="E42" s="222"/>
      <c r="F42" s="223"/>
      <c r="G42" s="222"/>
      <c r="H42" s="223"/>
      <c r="I42" s="209"/>
      <c r="J42" s="209"/>
      <c r="K42" s="209"/>
      <c r="L42" s="209"/>
      <c r="M42" s="209"/>
      <c r="N42" s="212"/>
      <c r="O42" s="152"/>
    </row>
    <row r="43" spans="1:23" ht="22.2" customHeight="1">
      <c r="A43" s="212"/>
      <c r="B43" s="215"/>
      <c r="C43" s="218"/>
      <c r="D43" s="218"/>
      <c r="E43" s="208" t="s">
        <v>10</v>
      </c>
      <c r="F43" s="208" t="s">
        <v>12</v>
      </c>
      <c r="G43" s="208" t="s">
        <v>14</v>
      </c>
      <c r="H43" s="208" t="s">
        <v>15</v>
      </c>
      <c r="I43" s="209"/>
      <c r="J43" s="209"/>
      <c r="K43" s="209"/>
      <c r="L43" s="209"/>
      <c r="M43" s="209"/>
      <c r="N43" s="212"/>
      <c r="O43" s="152"/>
    </row>
    <row r="44" spans="1:23" ht="22.2" customHeight="1">
      <c r="A44" s="213"/>
      <c r="B44" s="216"/>
      <c r="C44" s="219"/>
      <c r="D44" s="219"/>
      <c r="E44" s="210"/>
      <c r="F44" s="210"/>
      <c r="G44" s="210"/>
      <c r="H44" s="210"/>
      <c r="I44" s="210"/>
      <c r="J44" s="210"/>
      <c r="K44" s="210"/>
      <c r="L44" s="210"/>
      <c r="M44" s="210"/>
      <c r="N44" s="213"/>
      <c r="O44" s="152"/>
    </row>
    <row r="45" spans="1:23" s="2" customFormat="1" ht="21" customHeight="1">
      <c r="A45" s="189" t="s">
        <v>98</v>
      </c>
      <c r="B45" s="189"/>
      <c r="C45" s="25"/>
      <c r="D45" s="94">
        <f>SUM(D32:D40)</f>
        <v>53612.480000000003</v>
      </c>
      <c r="E45" s="31"/>
      <c r="F45" s="31"/>
      <c r="G45" s="31"/>
      <c r="H45" s="31"/>
      <c r="I45" s="31"/>
      <c r="J45" s="31"/>
      <c r="K45" s="31"/>
      <c r="L45" s="32"/>
      <c r="M45" s="32"/>
      <c r="N45" s="258">
        <f>SUM(N32:N40)</f>
        <v>1942900</v>
      </c>
      <c r="O45" s="314"/>
    </row>
    <row r="46" spans="1:23" ht="21" customHeight="1">
      <c r="A46" s="189" t="s">
        <v>7</v>
      </c>
      <c r="B46" s="189"/>
      <c r="C46" s="33"/>
      <c r="D46" s="34">
        <f>D45/C8</f>
        <v>255.29752380952382</v>
      </c>
      <c r="E46" s="34"/>
      <c r="F46" s="34"/>
      <c r="G46" s="34"/>
      <c r="H46" s="34"/>
      <c r="I46" s="34"/>
      <c r="J46" s="34"/>
      <c r="K46" s="34"/>
      <c r="L46" s="35"/>
      <c r="M46" s="35"/>
      <c r="N46" s="259"/>
      <c r="O46" s="4"/>
      <c r="P46" s="2"/>
      <c r="Q46" s="2"/>
      <c r="R46" s="2"/>
      <c r="S46" s="2"/>
      <c r="T46" s="2"/>
      <c r="U46" s="2"/>
      <c r="V46" s="2"/>
      <c r="W46" s="2"/>
    </row>
    <row r="47" spans="1:23" ht="21" customHeight="1">
      <c r="A47" s="192" t="s">
        <v>40</v>
      </c>
      <c r="B47" s="193"/>
      <c r="C47" s="319" t="s">
        <v>133</v>
      </c>
      <c r="D47" s="29" t="s">
        <v>41</v>
      </c>
      <c r="E47" s="34"/>
      <c r="F47" s="34"/>
      <c r="G47" s="34"/>
      <c r="H47" s="34"/>
      <c r="I47" s="34"/>
      <c r="J47" s="36"/>
      <c r="K47" s="36"/>
      <c r="L47" s="35"/>
      <c r="M47" s="35"/>
      <c r="N47" s="153"/>
      <c r="O47" s="4"/>
      <c r="P47" s="2"/>
      <c r="Q47" s="2"/>
      <c r="R47" s="2"/>
      <c r="S47" s="2"/>
      <c r="T47" s="2"/>
      <c r="U47" s="2"/>
      <c r="V47" s="2"/>
      <c r="W47" s="2"/>
    </row>
    <row r="48" spans="1:23" ht="21" customHeight="1">
      <c r="A48" s="194"/>
      <c r="B48" s="195"/>
      <c r="C48" s="62" t="s">
        <v>58</v>
      </c>
      <c r="D48" s="29">
        <f>D46*100/1320</f>
        <v>19.3407215007215</v>
      </c>
      <c r="E48" s="34"/>
      <c r="F48" s="34"/>
      <c r="G48" s="34"/>
      <c r="H48" s="34"/>
      <c r="I48" s="34"/>
      <c r="J48" s="36"/>
      <c r="K48" s="36"/>
      <c r="L48" s="35"/>
      <c r="M48" s="35"/>
      <c r="N48" s="153"/>
      <c r="O48" s="4"/>
      <c r="P48" s="2"/>
      <c r="Q48" s="2"/>
      <c r="R48" s="2"/>
      <c r="S48" s="2"/>
      <c r="T48" s="2"/>
      <c r="U48" s="2"/>
      <c r="V48" s="2"/>
      <c r="W48" s="2"/>
    </row>
    <row r="49" spans="1:22" ht="21" customHeight="1">
      <c r="A49" s="196" t="s">
        <v>106</v>
      </c>
      <c r="B49" s="197"/>
      <c r="C49" s="200"/>
      <c r="D49" s="254">
        <f>D27+D45</f>
        <v>150624.66800000001</v>
      </c>
      <c r="E49" s="96">
        <f>SUM(E14:E40)</f>
        <v>3346.4765000000002</v>
      </c>
      <c r="F49" s="96">
        <f t="shared" ref="F49:H49" si="3">SUM(F14:F40)</f>
        <v>2906.3740000000003</v>
      </c>
      <c r="G49" s="96">
        <f t="shared" si="3"/>
        <v>3137.5077000000001</v>
      </c>
      <c r="H49" s="95">
        <f t="shared" si="3"/>
        <v>1338.6762000000001</v>
      </c>
      <c r="I49" s="256">
        <f>SUM(I14:I40)</f>
        <v>20657.032799999997</v>
      </c>
      <c r="J49" s="206">
        <f>SUM(J14:J40)</f>
        <v>44450.852000000006</v>
      </c>
      <c r="K49" s="204">
        <f>SUM(K14:K40)</f>
        <v>114.24800999999999</v>
      </c>
      <c r="L49" s="171"/>
      <c r="M49" s="171"/>
      <c r="N49" s="172">
        <f>N27+N45</f>
        <v>4620745</v>
      </c>
      <c r="P49" s="2"/>
      <c r="Q49" s="2"/>
      <c r="R49" s="2"/>
      <c r="S49" s="2"/>
      <c r="T49" s="2"/>
      <c r="U49" s="2"/>
      <c r="V49" s="2"/>
    </row>
    <row r="50" spans="1:22" ht="21" customHeight="1">
      <c r="A50" s="198"/>
      <c r="B50" s="199"/>
      <c r="C50" s="201"/>
      <c r="D50" s="255"/>
      <c r="E50" s="173">
        <f>E49+F49</f>
        <v>6252.8505000000005</v>
      </c>
      <c r="F50" s="174"/>
      <c r="G50" s="173">
        <f>G49+H49</f>
        <v>4476.1839</v>
      </c>
      <c r="H50" s="174"/>
      <c r="I50" s="257"/>
      <c r="J50" s="207"/>
      <c r="K50" s="205"/>
      <c r="L50" s="171"/>
      <c r="M50" s="171"/>
      <c r="N50" s="172"/>
      <c r="U50" s="11"/>
      <c r="V50" s="11"/>
    </row>
    <row r="51" spans="1:22" ht="21" customHeight="1">
      <c r="A51" s="246" t="s">
        <v>75</v>
      </c>
      <c r="B51" s="247"/>
      <c r="C51" s="248"/>
      <c r="D51" s="101">
        <f>D49/C8</f>
        <v>717.26032380952381</v>
      </c>
      <c r="E51" s="347">
        <f>E49/C8</f>
        <v>15.935602380952382</v>
      </c>
      <c r="F51" s="106">
        <f>F49/C8</f>
        <v>13.839876190476192</v>
      </c>
      <c r="G51" s="347">
        <f>G49/C8</f>
        <v>14.940512857142858</v>
      </c>
      <c r="H51" s="107">
        <f>H49/C8</f>
        <v>6.3746485714285717</v>
      </c>
      <c r="I51" s="252">
        <f>I49/C8</f>
        <v>98.36682285714285</v>
      </c>
      <c r="J51" s="276">
        <f>J49/C8</f>
        <v>211.67072380952385</v>
      </c>
      <c r="K51" s="184">
        <f>K49/C8</f>
        <v>0.5440381428571428</v>
      </c>
      <c r="L51" s="171"/>
      <c r="M51" s="171"/>
      <c r="N51" s="172"/>
      <c r="U51" s="11"/>
      <c r="V51" s="11"/>
    </row>
    <row r="52" spans="1:22" ht="21" customHeight="1">
      <c r="A52" s="249"/>
      <c r="B52" s="250"/>
      <c r="C52" s="251"/>
      <c r="D52" s="98"/>
      <c r="E52" s="296">
        <f>E51+F51</f>
        <v>29.775478571428572</v>
      </c>
      <c r="F52" s="295"/>
      <c r="G52" s="296">
        <f>G51+H51</f>
        <v>21.315161428571429</v>
      </c>
      <c r="H52" s="295"/>
      <c r="I52" s="253"/>
      <c r="J52" s="187"/>
      <c r="K52" s="185"/>
      <c r="L52" s="171"/>
      <c r="M52" s="171"/>
      <c r="N52" s="172"/>
      <c r="P52" s="308"/>
      <c r="Q52" s="310"/>
      <c r="R52" s="310"/>
      <c r="S52" s="310"/>
      <c r="T52" s="310"/>
      <c r="U52" s="321"/>
      <c r="V52" s="321"/>
    </row>
    <row r="53" spans="1:22" ht="21" customHeight="1">
      <c r="A53" s="322" t="s">
        <v>76</v>
      </c>
      <c r="B53" s="323"/>
      <c r="C53" s="324"/>
      <c r="D53" s="325" t="s">
        <v>27</v>
      </c>
      <c r="E53" s="245" t="s">
        <v>21</v>
      </c>
      <c r="F53" s="245"/>
      <c r="G53" s="245" t="s">
        <v>22</v>
      </c>
      <c r="H53" s="245"/>
      <c r="I53" s="150" t="s">
        <v>23</v>
      </c>
      <c r="J53" s="343">
        <v>600</v>
      </c>
      <c r="K53" s="343">
        <v>0.74</v>
      </c>
      <c r="L53" s="171"/>
      <c r="M53" s="171"/>
      <c r="N53" s="172"/>
      <c r="O53" s="327"/>
      <c r="P53" s="328"/>
      <c r="Q53" s="310"/>
      <c r="R53" s="310"/>
      <c r="S53" s="310"/>
      <c r="T53" s="310"/>
      <c r="U53" s="310"/>
      <c r="V53" s="310"/>
    </row>
    <row r="54" spans="1:22" ht="21" customHeight="1">
      <c r="A54" s="164" t="s">
        <v>69</v>
      </c>
      <c r="B54" s="168"/>
      <c r="C54" s="165"/>
      <c r="D54" s="19"/>
      <c r="E54" s="169">
        <f>E52*4.1</f>
        <v>122.07946214285714</v>
      </c>
      <c r="F54" s="170"/>
      <c r="G54" s="169">
        <f>G52*9</f>
        <v>191.83645285714286</v>
      </c>
      <c r="H54" s="170"/>
      <c r="I54" s="68">
        <f>I51*4.1</f>
        <v>403.30397371428563</v>
      </c>
      <c r="J54" s="175"/>
      <c r="K54" s="175"/>
      <c r="L54" s="171"/>
      <c r="M54" s="171"/>
      <c r="N54" s="172"/>
      <c r="O54" s="327"/>
      <c r="P54" s="329"/>
      <c r="Q54" s="307"/>
      <c r="R54" s="307"/>
      <c r="S54" s="307"/>
      <c r="T54" s="308"/>
      <c r="U54" s="308"/>
      <c r="V54" s="308"/>
    </row>
    <row r="55" spans="1:22" ht="21" customHeight="1">
      <c r="A55" s="160" t="s">
        <v>70</v>
      </c>
      <c r="B55" s="161"/>
      <c r="C55" s="164" t="s">
        <v>58</v>
      </c>
      <c r="D55" s="165"/>
      <c r="E55" s="166">
        <f>E54*100/D51</f>
        <v>17.020244685286212</v>
      </c>
      <c r="F55" s="167"/>
      <c r="G55" s="166">
        <f>G54*100/D51</f>
        <v>26.745722088496155</v>
      </c>
      <c r="H55" s="167"/>
      <c r="I55" s="86">
        <f>I54*100/D51</f>
        <v>56.228395789725475</v>
      </c>
      <c r="J55" s="176"/>
      <c r="K55" s="176"/>
      <c r="L55" s="171"/>
      <c r="M55" s="171"/>
      <c r="N55" s="172"/>
      <c r="O55" s="344"/>
      <c r="P55" s="308"/>
      <c r="Q55" s="309"/>
      <c r="R55" s="308"/>
      <c r="S55" s="308"/>
      <c r="T55" s="308"/>
      <c r="U55" s="308"/>
      <c r="V55" s="308"/>
    </row>
    <row r="56" spans="1:22" ht="21" customHeight="1">
      <c r="A56" s="162"/>
      <c r="B56" s="163"/>
      <c r="C56" s="164" t="s">
        <v>71</v>
      </c>
      <c r="D56" s="165"/>
      <c r="E56" s="164" t="s">
        <v>72</v>
      </c>
      <c r="F56" s="165"/>
      <c r="G56" s="164" t="s">
        <v>73</v>
      </c>
      <c r="H56" s="165"/>
      <c r="I56" s="325" t="s">
        <v>74</v>
      </c>
      <c r="J56" s="177"/>
      <c r="K56" s="177"/>
      <c r="L56" s="171"/>
      <c r="M56" s="171"/>
      <c r="N56" s="172"/>
      <c r="O56" s="327"/>
      <c r="P56" s="84"/>
    </row>
    <row r="57" spans="1:22" ht="21" customHeight="1">
      <c r="A57" s="70"/>
      <c r="B57" s="71"/>
      <c r="C57" s="70"/>
      <c r="D57" s="70"/>
      <c r="E57" s="70"/>
      <c r="F57" s="70"/>
      <c r="G57" s="70"/>
      <c r="H57" s="70"/>
      <c r="I57" s="70"/>
      <c r="J57" s="70"/>
      <c r="K57" s="70"/>
      <c r="L57" s="72"/>
      <c r="M57" s="72"/>
      <c r="N57" s="73"/>
      <c r="O57" s="327"/>
    </row>
    <row r="58" spans="1:22" ht="21" customHeight="1">
      <c r="A58" s="156" t="s">
        <v>100</v>
      </c>
      <c r="B58" s="156"/>
      <c r="C58" s="156"/>
      <c r="D58" s="156"/>
      <c r="E58" s="156"/>
      <c r="F58" s="156"/>
      <c r="G58" s="156"/>
      <c r="H58" s="156"/>
      <c r="I58" s="156"/>
      <c r="J58" s="156"/>
      <c r="K58" s="156"/>
      <c r="L58" s="156"/>
      <c r="M58" s="156"/>
      <c r="N58" s="156"/>
      <c r="O58" s="327"/>
    </row>
    <row r="59" spans="1:22" ht="21" customHeight="1">
      <c r="A59" s="87" t="s">
        <v>101</v>
      </c>
      <c r="B59" s="157" t="s">
        <v>102</v>
      </c>
      <c r="C59" s="157"/>
      <c r="D59" s="157"/>
      <c r="E59" s="157"/>
      <c r="F59" s="157"/>
      <c r="G59" s="157"/>
      <c r="H59" s="157"/>
      <c r="I59" s="157"/>
      <c r="J59" s="157"/>
      <c r="K59" s="157"/>
      <c r="L59" s="157"/>
      <c r="M59" s="157"/>
      <c r="N59" s="157"/>
      <c r="O59" s="327"/>
    </row>
    <row r="60" spans="1:22" ht="21" customHeight="1">
      <c r="A60" s="88"/>
      <c r="B60" s="158" t="s">
        <v>181</v>
      </c>
      <c r="C60" s="15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  <c r="O60" s="327"/>
    </row>
    <row r="61" spans="1:22" ht="21" customHeight="1">
      <c r="A61" s="88"/>
      <c r="B61" s="158" t="s">
        <v>182</v>
      </c>
      <c r="C61" s="15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  <c r="O61" s="327"/>
    </row>
    <row r="62" spans="1:22" ht="21" customHeight="1">
      <c r="A62" s="88"/>
      <c r="B62" s="158" t="s">
        <v>183</v>
      </c>
      <c r="C62" s="15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  <c r="O62" s="327"/>
    </row>
    <row r="63" spans="1:22" ht="21" customHeight="1">
      <c r="A63" s="70"/>
      <c r="B63" s="159" t="s">
        <v>107</v>
      </c>
      <c r="C63" s="159"/>
      <c r="D63" s="159"/>
      <c r="E63" s="159"/>
      <c r="F63" s="159"/>
      <c r="G63" s="159"/>
      <c r="H63" s="159"/>
      <c r="I63" s="159"/>
      <c r="J63" s="159"/>
      <c r="K63" s="159"/>
      <c r="L63" s="159"/>
      <c r="M63" s="159"/>
      <c r="N63" s="159"/>
      <c r="O63" s="327"/>
    </row>
    <row r="64" spans="1:22" ht="21" customHeight="1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89"/>
      <c r="M64" s="89"/>
      <c r="N64" s="90"/>
      <c r="O64" s="327"/>
    </row>
    <row r="65" spans="1:20" ht="21" customHeight="1">
      <c r="A65" s="154" t="s">
        <v>60</v>
      </c>
      <c r="B65" s="154"/>
      <c r="C65" s="154"/>
      <c r="D65" s="154"/>
      <c r="E65" s="330"/>
      <c r="F65" s="330"/>
      <c r="G65" s="330"/>
      <c r="H65" s="330"/>
      <c r="I65" s="330"/>
      <c r="J65" s="331" t="s">
        <v>36</v>
      </c>
      <c r="K65" s="331"/>
      <c r="L65" s="331"/>
      <c r="M65" s="331"/>
      <c r="N65" s="331"/>
      <c r="O65" s="327"/>
    </row>
    <row r="66" spans="1:20" ht="21" customHeight="1">
      <c r="A66" s="152"/>
      <c r="B66" s="152"/>
      <c r="C66" s="152"/>
      <c r="D66" s="330"/>
      <c r="E66" s="330"/>
      <c r="F66" s="330"/>
      <c r="G66" s="330"/>
      <c r="H66" s="332"/>
      <c r="I66" s="332"/>
      <c r="J66" s="332"/>
      <c r="K66" s="332"/>
      <c r="L66" s="332"/>
      <c r="M66" s="332"/>
      <c r="N66" s="332"/>
      <c r="O66" s="327"/>
    </row>
    <row r="67" spans="1:20" ht="21" customHeight="1">
      <c r="A67" s="152"/>
      <c r="B67" s="152"/>
      <c r="C67" s="152"/>
      <c r="D67" s="330"/>
      <c r="E67" s="330"/>
      <c r="F67" s="330"/>
      <c r="G67" s="330"/>
      <c r="H67" s="332"/>
      <c r="I67" s="332"/>
      <c r="J67" s="332"/>
      <c r="K67" s="332"/>
      <c r="L67" s="332"/>
      <c r="M67" s="332"/>
      <c r="N67" s="332"/>
      <c r="O67" s="327"/>
    </row>
    <row r="68" spans="1:20" ht="21" customHeight="1">
      <c r="A68" s="152"/>
      <c r="B68" s="152"/>
      <c r="C68" s="152"/>
      <c r="D68" s="330"/>
      <c r="E68" s="330"/>
      <c r="F68" s="330"/>
      <c r="G68" s="330"/>
      <c r="H68" s="332"/>
      <c r="I68" s="332"/>
      <c r="J68" s="333" t="s">
        <v>103</v>
      </c>
      <c r="K68" s="333"/>
      <c r="L68" s="333"/>
      <c r="M68" s="333"/>
      <c r="N68" s="333"/>
      <c r="O68" s="327"/>
    </row>
    <row r="69" spans="1:20" ht="21" customHeight="1">
      <c r="A69" s="155" t="s">
        <v>84</v>
      </c>
      <c r="B69" s="155"/>
      <c r="C69" s="155"/>
      <c r="D69" s="155"/>
      <c r="E69" s="330"/>
      <c r="F69" s="330"/>
      <c r="G69" s="330"/>
      <c r="H69" s="332"/>
      <c r="I69" s="332"/>
      <c r="O69" s="327"/>
    </row>
    <row r="70" spans="1:20" ht="21" customHeight="1">
      <c r="A70" s="152"/>
      <c r="B70" s="152"/>
      <c r="C70" s="152"/>
      <c r="D70" s="330"/>
      <c r="E70" s="330"/>
      <c r="F70" s="330"/>
      <c r="G70" s="330"/>
      <c r="H70" s="332"/>
      <c r="I70" s="332"/>
      <c r="J70" s="332"/>
      <c r="K70" s="332"/>
      <c r="L70" s="332"/>
      <c r="M70" s="332"/>
      <c r="N70" s="332"/>
      <c r="O70" s="327"/>
    </row>
    <row r="71" spans="1:20" ht="21" customHeight="1">
      <c r="A71" s="152"/>
      <c r="B71" s="152"/>
      <c r="C71" s="152"/>
      <c r="D71" s="330"/>
      <c r="E71" s="330"/>
      <c r="F71" s="330"/>
      <c r="G71" s="330"/>
      <c r="H71" s="332"/>
      <c r="I71" s="332"/>
      <c r="J71" s="333" t="s">
        <v>114</v>
      </c>
      <c r="K71" s="333"/>
      <c r="L71" s="333"/>
      <c r="M71" s="333"/>
      <c r="N71" s="333"/>
      <c r="O71" s="327"/>
    </row>
    <row r="72" spans="1:20" ht="21" customHeight="1">
      <c r="A72" s="152"/>
      <c r="B72" s="152"/>
      <c r="C72" s="152"/>
      <c r="D72" s="330"/>
      <c r="E72" s="330"/>
      <c r="F72" s="330"/>
      <c r="G72" s="330"/>
      <c r="H72" s="332"/>
      <c r="I72" s="332"/>
      <c r="J72" s="332"/>
      <c r="K72" s="332"/>
      <c r="L72" s="332"/>
      <c r="M72" s="332"/>
      <c r="N72" s="332"/>
      <c r="O72" s="327"/>
    </row>
    <row r="73" spans="1:20" ht="21" customHeight="1">
      <c r="A73" s="152"/>
      <c r="B73" s="152"/>
      <c r="C73" s="152"/>
      <c r="D73" s="330"/>
      <c r="E73" s="330"/>
      <c r="F73" s="330"/>
      <c r="G73" s="330"/>
      <c r="H73" s="332"/>
      <c r="I73" s="332"/>
      <c r="J73" s="332"/>
      <c r="K73" s="332"/>
      <c r="L73" s="332"/>
      <c r="M73" s="332"/>
      <c r="N73" s="332"/>
      <c r="O73" s="327"/>
    </row>
    <row r="74" spans="1:20" ht="21" customHeight="1">
      <c r="A74" s="152"/>
      <c r="B74" s="152"/>
      <c r="C74" s="152"/>
      <c r="D74" s="330"/>
      <c r="E74" s="330"/>
      <c r="F74" s="330"/>
      <c r="G74" s="330"/>
      <c r="H74" s="332"/>
      <c r="I74" s="332"/>
      <c r="J74" s="332"/>
      <c r="K74" s="332"/>
      <c r="L74" s="332"/>
      <c r="M74" s="332"/>
      <c r="N74" s="332"/>
      <c r="O74" s="327"/>
    </row>
    <row r="75" spans="1:20" ht="21" customHeight="1">
      <c r="A75" s="152"/>
      <c r="B75" s="152"/>
      <c r="C75" s="152"/>
      <c r="D75" s="330"/>
      <c r="E75" s="330"/>
      <c r="F75" s="330"/>
      <c r="G75" s="330"/>
      <c r="H75" s="332"/>
      <c r="I75" s="332"/>
      <c r="J75" s="332"/>
      <c r="K75" s="332"/>
      <c r="L75" s="332"/>
      <c r="M75" s="332"/>
      <c r="N75" s="332"/>
      <c r="O75" s="327"/>
    </row>
    <row r="76" spans="1:20" ht="21" customHeight="1">
      <c r="A76" s="152"/>
      <c r="B76" s="152"/>
      <c r="C76" s="152"/>
      <c r="D76" s="330"/>
      <c r="E76" s="330"/>
      <c r="F76" s="330"/>
      <c r="G76" s="330"/>
      <c r="H76" s="332"/>
      <c r="I76" s="332"/>
      <c r="J76" s="332"/>
      <c r="K76" s="332"/>
      <c r="L76" s="332"/>
      <c r="M76" s="332"/>
      <c r="N76" s="332"/>
      <c r="O76" s="327"/>
    </row>
    <row r="77" spans="1:20" ht="21" customHeight="1">
      <c r="A77" s="152"/>
      <c r="B77" s="152"/>
      <c r="C77" s="152"/>
      <c r="D77" s="330"/>
      <c r="E77" s="330"/>
      <c r="F77" s="330"/>
      <c r="G77" s="330"/>
      <c r="H77" s="332"/>
      <c r="I77" s="332"/>
      <c r="J77" s="332"/>
      <c r="K77" s="332"/>
      <c r="L77" s="332"/>
      <c r="M77" s="332"/>
      <c r="N77" s="332"/>
      <c r="O77" s="327"/>
    </row>
    <row r="78" spans="1:20" ht="21" customHeight="1">
      <c r="A78" s="152"/>
      <c r="B78" s="152"/>
      <c r="C78" s="152"/>
      <c r="D78" s="330"/>
      <c r="E78" s="330"/>
      <c r="F78" s="330"/>
      <c r="G78" s="330"/>
      <c r="H78" s="332"/>
      <c r="I78" s="332"/>
      <c r="J78" s="332"/>
      <c r="K78" s="332"/>
      <c r="L78" s="332"/>
      <c r="M78" s="332"/>
      <c r="N78" s="332"/>
      <c r="O78" s="327"/>
    </row>
    <row r="79" spans="1:20" ht="21" customHeight="1">
      <c r="A79" s="152"/>
      <c r="B79" s="152"/>
      <c r="C79" s="152"/>
      <c r="D79" s="330"/>
      <c r="E79" s="330"/>
      <c r="F79" s="330"/>
      <c r="G79" s="330"/>
      <c r="H79" s="332"/>
      <c r="I79" s="332"/>
      <c r="J79" s="332"/>
      <c r="K79" s="332"/>
      <c r="L79" s="332"/>
      <c r="M79" s="332"/>
      <c r="N79" s="332"/>
      <c r="O79" s="327"/>
    </row>
    <row r="80" spans="1:20" ht="19.2" customHeight="1">
      <c r="A80" s="10" t="s">
        <v>59</v>
      </c>
      <c r="B80" s="7"/>
      <c r="C80" s="7"/>
      <c r="D80" s="7"/>
      <c r="E80" s="7"/>
      <c r="F80" s="244" t="s">
        <v>31</v>
      </c>
      <c r="G80" s="244"/>
      <c r="H80" s="244"/>
      <c r="I80" s="244"/>
      <c r="J80" s="244"/>
      <c r="K80" s="244"/>
      <c r="L80" s="244"/>
      <c r="M80" s="244"/>
      <c r="N80" s="244"/>
      <c r="O80" s="311"/>
      <c r="P80" s="311"/>
      <c r="T80" s="2"/>
    </row>
    <row r="81" spans="1:20" ht="19.2" customHeight="1">
      <c r="A81" s="7" t="s">
        <v>180</v>
      </c>
      <c r="B81" s="7"/>
      <c r="C81" s="7"/>
      <c r="D81" s="7"/>
      <c r="E81" s="7"/>
      <c r="F81" s="149"/>
      <c r="G81" s="149"/>
      <c r="H81" s="149"/>
      <c r="I81" s="149"/>
      <c r="J81" s="149"/>
      <c r="K81" s="149"/>
      <c r="L81" s="149"/>
      <c r="M81" s="149"/>
      <c r="N81" s="149"/>
      <c r="O81" s="311"/>
      <c r="P81" s="311"/>
      <c r="T81" s="2"/>
    </row>
    <row r="82" spans="1:20" s="2" customFormat="1" ht="19.2" customHeight="1">
      <c r="A82" s="245" t="s">
        <v>95</v>
      </c>
      <c r="B82" s="245"/>
      <c r="C82" s="245"/>
      <c r="D82" s="245"/>
      <c r="E82" s="245" t="s">
        <v>82</v>
      </c>
      <c r="F82" s="245"/>
      <c r="G82" s="245"/>
      <c r="H82" s="245"/>
      <c r="I82" s="245"/>
      <c r="J82" s="245"/>
      <c r="K82" s="245"/>
      <c r="L82" s="245"/>
      <c r="M82" s="245"/>
      <c r="N82" s="245"/>
      <c r="O82" s="312"/>
    </row>
    <row r="83" spans="1:20" s="2" customFormat="1" ht="19.2" customHeight="1">
      <c r="A83" s="245"/>
      <c r="B83" s="245"/>
      <c r="C83" s="245"/>
      <c r="D83" s="245"/>
      <c r="E83" s="245" t="s">
        <v>94</v>
      </c>
      <c r="F83" s="245"/>
      <c r="G83" s="245"/>
      <c r="H83" s="245"/>
      <c r="I83" s="245"/>
      <c r="J83" s="245" t="s">
        <v>96</v>
      </c>
      <c r="K83" s="245"/>
      <c r="L83" s="245"/>
      <c r="M83" s="245"/>
      <c r="N83" s="245"/>
      <c r="O83" s="312"/>
    </row>
    <row r="84" spans="1:20" s="2" customFormat="1" ht="19.2" customHeight="1">
      <c r="A84" s="231" t="s">
        <v>83</v>
      </c>
      <c r="B84" s="231"/>
      <c r="C84" s="231"/>
      <c r="D84" s="231"/>
      <c r="E84" s="232" t="s">
        <v>132</v>
      </c>
      <c r="F84" s="232"/>
      <c r="G84" s="232"/>
      <c r="H84" s="232"/>
      <c r="I84" s="232"/>
      <c r="J84" s="233" t="s">
        <v>83</v>
      </c>
      <c r="K84" s="234"/>
      <c r="L84" s="234"/>
      <c r="M84" s="234"/>
      <c r="N84" s="235"/>
      <c r="O84" s="312"/>
    </row>
    <row r="85" spans="1:20" s="2" customFormat="1" ht="19.2" customHeight="1">
      <c r="A85" s="278" t="s">
        <v>138</v>
      </c>
      <c r="B85" s="278"/>
      <c r="C85" s="278"/>
      <c r="D85" s="278"/>
      <c r="E85" s="232"/>
      <c r="F85" s="232"/>
      <c r="G85" s="232"/>
      <c r="H85" s="232"/>
      <c r="I85" s="232"/>
      <c r="J85" s="237" t="s">
        <v>115</v>
      </c>
      <c r="K85" s="238"/>
      <c r="L85" s="238"/>
      <c r="M85" s="238"/>
      <c r="N85" s="239"/>
      <c r="O85" s="312"/>
    </row>
    <row r="86" spans="1:20" s="2" customFormat="1" ht="19.2" customHeight="1">
      <c r="A86" s="240" t="s">
        <v>162</v>
      </c>
      <c r="B86" s="240"/>
      <c r="C86" s="240"/>
      <c r="D86" s="240"/>
      <c r="E86" s="232"/>
      <c r="F86" s="232"/>
      <c r="G86" s="232"/>
      <c r="H86" s="232"/>
      <c r="I86" s="232"/>
      <c r="J86" s="241" t="s">
        <v>139</v>
      </c>
      <c r="K86" s="242"/>
      <c r="L86" s="242"/>
      <c r="M86" s="242"/>
      <c r="N86" s="243"/>
      <c r="O86" s="312"/>
    </row>
    <row r="87" spans="1:20" ht="19.2" customHeight="1">
      <c r="A87" s="277" t="s">
        <v>110</v>
      </c>
      <c r="B87" s="277"/>
      <c r="C87" s="279">
        <v>63</v>
      </c>
      <c r="D87" s="279"/>
      <c r="E87" s="7"/>
      <c r="F87" s="149"/>
      <c r="G87" s="149"/>
      <c r="H87" s="149"/>
      <c r="I87" s="149"/>
      <c r="J87" s="149"/>
      <c r="K87" s="149"/>
      <c r="L87" s="149"/>
      <c r="M87" s="149"/>
      <c r="N87" s="149"/>
      <c r="O87" s="311"/>
      <c r="P87" s="311"/>
      <c r="T87" s="2"/>
    </row>
    <row r="88" spans="1:20" ht="19.2" customHeight="1">
      <c r="A88" s="211" t="s">
        <v>0</v>
      </c>
      <c r="B88" s="214" t="s">
        <v>19</v>
      </c>
      <c r="C88" s="217" t="s">
        <v>8</v>
      </c>
      <c r="D88" s="217" t="s">
        <v>9</v>
      </c>
      <c r="E88" s="272" t="s">
        <v>11</v>
      </c>
      <c r="F88" s="273"/>
      <c r="G88" s="272" t="s">
        <v>13</v>
      </c>
      <c r="H88" s="273"/>
      <c r="I88" s="208" t="s">
        <v>16</v>
      </c>
      <c r="J88" s="208" t="s">
        <v>32</v>
      </c>
      <c r="K88" s="208" t="s">
        <v>33</v>
      </c>
      <c r="L88" s="208" t="s">
        <v>17</v>
      </c>
      <c r="M88" s="208" t="s">
        <v>34</v>
      </c>
      <c r="N88" s="211" t="s">
        <v>18</v>
      </c>
      <c r="O88" s="313"/>
    </row>
    <row r="89" spans="1:20" ht="19.2" customHeight="1">
      <c r="A89" s="212"/>
      <c r="B89" s="215"/>
      <c r="C89" s="218"/>
      <c r="D89" s="218"/>
      <c r="E89" s="274"/>
      <c r="F89" s="275"/>
      <c r="G89" s="274"/>
      <c r="H89" s="275"/>
      <c r="I89" s="209"/>
      <c r="J89" s="209"/>
      <c r="K89" s="209"/>
      <c r="L89" s="209"/>
      <c r="M89" s="209"/>
      <c r="N89" s="212"/>
      <c r="O89" s="152"/>
    </row>
    <row r="90" spans="1:20" ht="19.2" customHeight="1">
      <c r="A90" s="212"/>
      <c r="B90" s="215"/>
      <c r="C90" s="218"/>
      <c r="D90" s="218"/>
      <c r="E90" s="208" t="s">
        <v>10</v>
      </c>
      <c r="F90" s="208" t="s">
        <v>12</v>
      </c>
      <c r="G90" s="208" t="s">
        <v>14</v>
      </c>
      <c r="H90" s="208" t="s">
        <v>15</v>
      </c>
      <c r="I90" s="209"/>
      <c r="J90" s="209"/>
      <c r="K90" s="209"/>
      <c r="L90" s="209"/>
      <c r="M90" s="209"/>
      <c r="N90" s="212"/>
      <c r="O90" s="152"/>
    </row>
    <row r="91" spans="1:20" ht="19.2" customHeight="1">
      <c r="A91" s="213"/>
      <c r="B91" s="216"/>
      <c r="C91" s="219"/>
      <c r="D91" s="219"/>
      <c r="E91" s="210"/>
      <c r="F91" s="210"/>
      <c r="G91" s="210"/>
      <c r="H91" s="210"/>
      <c r="I91" s="210"/>
      <c r="J91" s="210"/>
      <c r="K91" s="210"/>
      <c r="L91" s="210"/>
      <c r="M91" s="210"/>
      <c r="N91" s="213"/>
      <c r="O91" s="152"/>
    </row>
    <row r="92" spans="1:20" ht="18" customHeight="1">
      <c r="A92" s="225" t="s">
        <v>42</v>
      </c>
      <c r="B92" s="226"/>
      <c r="C92" s="226"/>
      <c r="D92" s="226"/>
      <c r="E92" s="226"/>
      <c r="F92" s="226"/>
      <c r="G92" s="226"/>
      <c r="H92" s="226"/>
      <c r="I92" s="226"/>
      <c r="J92" s="226"/>
      <c r="K92" s="226"/>
      <c r="L92" s="226"/>
      <c r="M92" s="226"/>
      <c r="N92" s="227"/>
      <c r="O92" s="152"/>
    </row>
    <row r="93" spans="1:20" s="2" customFormat="1" ht="18" customHeight="1">
      <c r="A93" s="8">
        <v>1</v>
      </c>
      <c r="B93" s="9" t="s">
        <v>2</v>
      </c>
      <c r="C93" s="12">
        <f>L93/100*100</f>
        <v>80</v>
      </c>
      <c r="D93" s="13">
        <f>C93/100*60</f>
        <v>48</v>
      </c>
      <c r="E93" s="14">
        <f>C93/100*15</f>
        <v>12</v>
      </c>
      <c r="F93" s="14"/>
      <c r="G93" s="14"/>
      <c r="H93" s="14"/>
      <c r="I93" s="14"/>
      <c r="J93" s="64">
        <f>C93/100*387</f>
        <v>309.60000000000002</v>
      </c>
      <c r="K93" s="22">
        <f>C93/100*0.09</f>
        <v>7.1999999999999995E-2</v>
      </c>
      <c r="L93" s="111">
        <v>80</v>
      </c>
      <c r="M93" s="20">
        <v>20</v>
      </c>
      <c r="N93" s="16">
        <f>L93*M93</f>
        <v>1600</v>
      </c>
      <c r="O93" s="314"/>
    </row>
    <row r="94" spans="1:20" s="2" customFormat="1" ht="18" customHeight="1">
      <c r="A94" s="8">
        <v>2</v>
      </c>
      <c r="B94" s="9" t="s">
        <v>121</v>
      </c>
      <c r="C94" s="12">
        <f>L94/100*100</f>
        <v>160</v>
      </c>
      <c r="D94" s="13">
        <f>C94/100*899</f>
        <v>1438.4</v>
      </c>
      <c r="E94" s="14"/>
      <c r="F94" s="14"/>
      <c r="G94" s="14">
        <f>C94/100*100</f>
        <v>160</v>
      </c>
      <c r="H94" s="14"/>
      <c r="I94" s="14"/>
      <c r="J94" s="14"/>
      <c r="K94" s="14"/>
      <c r="L94" s="111">
        <v>160</v>
      </c>
      <c r="M94" s="65">
        <v>68</v>
      </c>
      <c r="N94" s="16">
        <f t="shared" ref="N94:N95" si="4">L94*M94</f>
        <v>10880</v>
      </c>
      <c r="O94" s="315"/>
    </row>
    <row r="95" spans="1:20" s="2" customFormat="1" ht="18" customHeight="1">
      <c r="A95" s="8">
        <v>3</v>
      </c>
      <c r="B95" s="9" t="s">
        <v>126</v>
      </c>
      <c r="C95" s="12">
        <f>L95/100*100</f>
        <v>160</v>
      </c>
      <c r="D95" s="65">
        <f>C95/100*900</f>
        <v>1440</v>
      </c>
      <c r="E95" s="14"/>
      <c r="F95" s="14"/>
      <c r="G95" s="91"/>
      <c r="H95" s="14">
        <f>C95/100*100</f>
        <v>160</v>
      </c>
      <c r="I95" s="14"/>
      <c r="J95" s="14"/>
      <c r="K95" s="14"/>
      <c r="L95" s="111">
        <v>160</v>
      </c>
      <c r="M95" s="65">
        <v>63.5</v>
      </c>
      <c r="N95" s="93">
        <f t="shared" si="4"/>
        <v>10160</v>
      </c>
      <c r="O95" s="315"/>
    </row>
    <row r="96" spans="1:20" s="2" customFormat="1" ht="18" customHeight="1">
      <c r="A96" s="8">
        <v>4</v>
      </c>
      <c r="B96" s="5" t="s">
        <v>1</v>
      </c>
      <c r="C96" s="12">
        <f>L96/100*100</f>
        <v>2709</v>
      </c>
      <c r="D96" s="13">
        <f>C96/100*344</f>
        <v>9318.9599999999991</v>
      </c>
      <c r="E96" s="14"/>
      <c r="F96" s="14">
        <f>C96/100*7.9</f>
        <v>214.011</v>
      </c>
      <c r="G96" s="14"/>
      <c r="H96" s="14">
        <f>C96/100*1</f>
        <v>27.09</v>
      </c>
      <c r="I96" s="14">
        <f>C96/100*74.2</f>
        <v>2010.078</v>
      </c>
      <c r="J96" s="64">
        <f>C96/100*30</f>
        <v>812.7</v>
      </c>
      <c r="K96" s="22">
        <f>C96/100*0.1</f>
        <v>2.7090000000000001</v>
      </c>
      <c r="L96" s="111">
        <v>2709</v>
      </c>
      <c r="M96" s="20">
        <v>18</v>
      </c>
      <c r="N96" s="16">
        <f t="shared" ref="N96:N102" si="5">L96*M96</f>
        <v>48762</v>
      </c>
      <c r="O96" s="314"/>
    </row>
    <row r="97" spans="1:23" s="2" customFormat="1" ht="18" customHeight="1">
      <c r="A97" s="8">
        <v>5</v>
      </c>
      <c r="B97" s="5" t="s">
        <v>4</v>
      </c>
      <c r="C97" s="12">
        <f>L97/100*98</f>
        <v>793.8</v>
      </c>
      <c r="D97" s="13">
        <f>C97/100*118</f>
        <v>936.68399999999997</v>
      </c>
      <c r="E97" s="14">
        <f>C97/100*21</f>
        <v>166.69800000000001</v>
      </c>
      <c r="F97" s="14"/>
      <c r="G97" s="14">
        <f>C97/100*3.8</f>
        <v>30.164399999999997</v>
      </c>
      <c r="H97" s="14"/>
      <c r="I97" s="14">
        <f>C97/100*2.5</f>
        <v>19.844999999999999</v>
      </c>
      <c r="J97" s="21">
        <f>C97/100*12</f>
        <v>95.256</v>
      </c>
      <c r="K97" s="21">
        <f>C97/100*0.1</f>
        <v>0.79380000000000006</v>
      </c>
      <c r="L97" s="318">
        <v>810</v>
      </c>
      <c r="M97" s="43">
        <v>260</v>
      </c>
      <c r="N97" s="93">
        <f t="shared" si="5"/>
        <v>210600</v>
      </c>
      <c r="O97" s="337"/>
      <c r="Q97" s="3"/>
      <c r="R97" s="3"/>
    </row>
    <row r="98" spans="1:23" s="2" customFormat="1" ht="18" customHeight="1">
      <c r="A98" s="8">
        <v>6</v>
      </c>
      <c r="B98" s="9" t="s">
        <v>66</v>
      </c>
      <c r="C98" s="12">
        <f>L98/100*98</f>
        <v>774.2</v>
      </c>
      <c r="D98" s="13">
        <f>C98/100*139</f>
        <v>1076.1380000000001</v>
      </c>
      <c r="E98" s="14">
        <f>C98/100*19</f>
        <v>147.09800000000001</v>
      </c>
      <c r="F98" s="14"/>
      <c r="G98" s="14">
        <f>C98/100*7</f>
        <v>54.194000000000003</v>
      </c>
      <c r="H98" s="14"/>
      <c r="I98" s="14"/>
      <c r="J98" s="22">
        <f>C98/100*7</f>
        <v>54.194000000000003</v>
      </c>
      <c r="K98" s="22">
        <f>C98/100*0.9</f>
        <v>6.9678000000000013</v>
      </c>
      <c r="L98" s="111">
        <v>790</v>
      </c>
      <c r="M98" s="15">
        <v>137</v>
      </c>
      <c r="N98" s="93">
        <f t="shared" si="5"/>
        <v>108230</v>
      </c>
      <c r="O98" s="314"/>
    </row>
    <row r="99" spans="1:23" s="2" customFormat="1" ht="18" customHeight="1">
      <c r="A99" s="8">
        <v>7</v>
      </c>
      <c r="B99" s="5" t="s">
        <v>117</v>
      </c>
      <c r="C99" s="12">
        <f>L99/100*100</f>
        <v>50</v>
      </c>
      <c r="D99" s="13">
        <f>C99/100*247</f>
        <v>123.5</v>
      </c>
      <c r="E99" s="17"/>
      <c r="F99" s="17">
        <f>C99/100*17.5</f>
        <v>8.75</v>
      </c>
      <c r="G99" s="17"/>
      <c r="H99" s="17">
        <f>C99/100*1.6</f>
        <v>0.8</v>
      </c>
      <c r="I99" s="17">
        <f>C99/100*39.2</f>
        <v>19.600000000000001</v>
      </c>
      <c r="J99" s="21"/>
      <c r="K99" s="21"/>
      <c r="L99" s="318">
        <v>50</v>
      </c>
      <c r="M99" s="20">
        <v>50</v>
      </c>
      <c r="N99" s="16">
        <f t="shared" si="5"/>
        <v>2500</v>
      </c>
      <c r="O99" s="314"/>
      <c r="Q99" s="3"/>
      <c r="R99" s="3"/>
      <c r="S99" s="4"/>
      <c r="T99" s="3"/>
    </row>
    <row r="100" spans="1:23" s="2" customFormat="1" ht="18" customHeight="1">
      <c r="A100" s="8">
        <v>8</v>
      </c>
      <c r="B100" s="67" t="s">
        <v>62</v>
      </c>
      <c r="C100" s="12">
        <f>L100/100*89</f>
        <v>1966.9</v>
      </c>
      <c r="D100" s="13">
        <f>C100/100*154</f>
        <v>3029.0260000000003</v>
      </c>
      <c r="E100" s="14">
        <f>C100/100*13.1</f>
        <v>257.66390000000001</v>
      </c>
      <c r="F100" s="14"/>
      <c r="G100" s="14">
        <f>C100/100*11.1</f>
        <v>218.32589999999999</v>
      </c>
      <c r="H100" s="14"/>
      <c r="I100" s="14">
        <f>C100/100*0.4</f>
        <v>7.8676000000000004</v>
      </c>
      <c r="J100" s="64">
        <f>C100/100*64</f>
        <v>1258.816</v>
      </c>
      <c r="K100" s="22">
        <f>C100/100*0.13</f>
        <v>2.5569700000000002</v>
      </c>
      <c r="L100" s="111">
        <v>2210</v>
      </c>
      <c r="M100" s="42">
        <v>82</v>
      </c>
      <c r="N100" s="92">
        <f t="shared" si="5"/>
        <v>181220</v>
      </c>
      <c r="O100" s="314"/>
    </row>
    <row r="101" spans="1:23" s="2" customFormat="1" ht="18" customHeight="1">
      <c r="A101" s="8">
        <v>9</v>
      </c>
      <c r="B101" s="5" t="s">
        <v>20</v>
      </c>
      <c r="C101" s="12">
        <f>L101/100*95</f>
        <v>902.5</v>
      </c>
      <c r="D101" s="13">
        <f>C101/100*20</f>
        <v>180.5</v>
      </c>
      <c r="E101" s="14"/>
      <c r="F101" s="14">
        <f>C101/100*0.6</f>
        <v>5.415</v>
      </c>
      <c r="G101" s="14"/>
      <c r="H101" s="14">
        <f>C101/100*0.2</f>
        <v>1.8050000000000002</v>
      </c>
      <c r="I101" s="14">
        <f>C101/100*4</f>
        <v>36.1</v>
      </c>
      <c r="J101" s="63">
        <f>C101/100*12</f>
        <v>108.30000000000001</v>
      </c>
      <c r="K101" s="21">
        <f>C101/100*0.04</f>
        <v>0.36100000000000004</v>
      </c>
      <c r="L101" s="318">
        <v>950</v>
      </c>
      <c r="M101" s="15">
        <v>22</v>
      </c>
      <c r="N101" s="16">
        <f t="shared" si="5"/>
        <v>20900</v>
      </c>
      <c r="O101" s="314"/>
    </row>
    <row r="102" spans="1:23" s="2" customFormat="1" ht="20.399999999999999" customHeight="1">
      <c r="A102" s="8">
        <v>10</v>
      </c>
      <c r="B102" s="5" t="s">
        <v>161</v>
      </c>
      <c r="C102" s="12">
        <f>L102/100*90</f>
        <v>1593</v>
      </c>
      <c r="D102" s="13">
        <f>C102/100*29</f>
        <v>461.96999999999997</v>
      </c>
      <c r="E102" s="17"/>
      <c r="F102" s="17">
        <f>C102/100*1.8</f>
        <v>28.673999999999999</v>
      </c>
      <c r="G102" s="17"/>
      <c r="H102" s="17">
        <f>C102/100*0.1</f>
        <v>1.593</v>
      </c>
      <c r="I102" s="17">
        <f>C102/100*5.3</f>
        <v>84.429000000000002</v>
      </c>
      <c r="J102" s="63">
        <f>C102/100*48</f>
        <v>764.64</v>
      </c>
      <c r="K102" s="21">
        <f>C102/100*0.05</f>
        <v>0.79649999999999999</v>
      </c>
      <c r="L102" s="317">
        <v>1770</v>
      </c>
      <c r="M102" s="15">
        <v>13</v>
      </c>
      <c r="N102" s="16">
        <f t="shared" si="5"/>
        <v>23010</v>
      </c>
      <c r="O102" s="314"/>
      <c r="Q102" s="3"/>
      <c r="R102" s="3"/>
      <c r="S102" s="4"/>
    </row>
    <row r="103" spans="1:23" s="2" customFormat="1" ht="18" customHeight="1">
      <c r="A103" s="8">
        <v>11</v>
      </c>
      <c r="B103" s="9" t="s">
        <v>111</v>
      </c>
      <c r="C103" s="12"/>
      <c r="D103" s="136"/>
      <c r="E103" s="14"/>
      <c r="F103" s="14"/>
      <c r="G103" s="14"/>
      <c r="H103" s="14"/>
      <c r="I103" s="14"/>
      <c r="J103" s="14"/>
      <c r="K103" s="14"/>
      <c r="L103" s="15"/>
      <c r="M103" s="15"/>
      <c r="N103" s="16">
        <v>4150</v>
      </c>
      <c r="O103" s="314"/>
    </row>
    <row r="104" spans="1:23" s="2" customFormat="1" ht="18" customHeight="1">
      <c r="A104" s="23" t="s">
        <v>104</v>
      </c>
      <c r="B104" s="24"/>
      <c r="C104" s="25"/>
      <c r="D104" s="94">
        <f>SUM(D93:D103)</f>
        <v>18053.178</v>
      </c>
      <c r="E104" s="31"/>
      <c r="F104" s="31"/>
      <c r="G104" s="31"/>
      <c r="H104" s="31"/>
      <c r="I104" s="31"/>
      <c r="J104" s="31"/>
      <c r="K104" s="31"/>
      <c r="L104" s="32"/>
      <c r="M104" s="32"/>
      <c r="N104" s="190">
        <f>SUM(N93:N103)</f>
        <v>622012</v>
      </c>
      <c r="O104" s="314"/>
    </row>
    <row r="105" spans="1:23" ht="18" customHeight="1">
      <c r="A105" s="23" t="s">
        <v>43</v>
      </c>
      <c r="B105" s="24"/>
      <c r="C105" s="33"/>
      <c r="D105" s="34">
        <f>D104/C87</f>
        <v>286.55838095238096</v>
      </c>
      <c r="E105" s="34"/>
      <c r="F105" s="34"/>
      <c r="G105" s="34"/>
      <c r="H105" s="34"/>
      <c r="I105" s="34"/>
      <c r="J105" s="34"/>
      <c r="K105" s="34"/>
      <c r="L105" s="35"/>
      <c r="M105" s="35"/>
      <c r="N105" s="191"/>
      <c r="O105" s="345"/>
      <c r="P105" s="2"/>
      <c r="Q105" s="2"/>
      <c r="R105" s="2"/>
      <c r="S105" s="2"/>
      <c r="T105" s="2"/>
      <c r="U105" s="2"/>
      <c r="V105" s="2"/>
      <c r="W105" s="2"/>
    </row>
    <row r="106" spans="1:23" ht="18" customHeight="1">
      <c r="A106" s="192" t="s">
        <v>44</v>
      </c>
      <c r="B106" s="193"/>
      <c r="C106" s="319" t="s">
        <v>133</v>
      </c>
      <c r="D106" s="29" t="s">
        <v>38</v>
      </c>
      <c r="E106" s="34"/>
      <c r="F106" s="34"/>
      <c r="G106" s="34"/>
      <c r="H106" s="34"/>
      <c r="I106" s="34"/>
      <c r="J106" s="36"/>
      <c r="K106" s="36"/>
      <c r="L106" s="35"/>
      <c r="M106" s="35"/>
      <c r="N106" s="153"/>
      <c r="O106" s="4"/>
      <c r="P106" s="2"/>
      <c r="Q106" s="2"/>
      <c r="R106" s="2"/>
      <c r="S106" s="2"/>
      <c r="T106" s="2"/>
      <c r="U106" s="2"/>
      <c r="V106" s="2"/>
      <c r="W106" s="2"/>
    </row>
    <row r="107" spans="1:23" ht="18" customHeight="1">
      <c r="A107" s="194"/>
      <c r="B107" s="195"/>
      <c r="C107" s="62" t="s">
        <v>58</v>
      </c>
      <c r="D107" s="29">
        <f>D105*100/930</f>
        <v>30.812729134664622</v>
      </c>
      <c r="E107" s="34"/>
      <c r="F107" s="34"/>
      <c r="G107" s="34"/>
      <c r="H107" s="34"/>
      <c r="I107" s="34"/>
      <c r="J107" s="36"/>
      <c r="K107" s="36"/>
      <c r="L107" s="35"/>
      <c r="M107" s="35"/>
      <c r="N107" s="153"/>
      <c r="O107" s="4"/>
      <c r="P107" s="2"/>
      <c r="Q107" s="2"/>
      <c r="R107" s="2"/>
      <c r="S107" s="2"/>
      <c r="T107" s="2"/>
      <c r="U107" s="2"/>
      <c r="V107" s="2"/>
      <c r="W107" s="2"/>
    </row>
    <row r="108" spans="1:23" s="2" customFormat="1" ht="18" customHeight="1">
      <c r="A108" s="224" t="s">
        <v>45</v>
      </c>
      <c r="B108" s="224"/>
      <c r="C108" s="45"/>
      <c r="D108" s="46"/>
      <c r="E108" s="47"/>
      <c r="F108" s="47"/>
      <c r="G108" s="47"/>
      <c r="H108" s="47"/>
      <c r="I108" s="47"/>
      <c r="J108" s="47"/>
      <c r="K108" s="47"/>
      <c r="L108" s="48"/>
      <c r="M108" s="48"/>
      <c r="N108" s="51"/>
      <c r="O108" s="314"/>
    </row>
    <row r="109" spans="1:23" s="2" customFormat="1" ht="18" customHeight="1">
      <c r="A109" s="8">
        <v>1</v>
      </c>
      <c r="B109" s="9" t="s">
        <v>2</v>
      </c>
      <c r="C109" s="12">
        <f>L109/100*100</f>
        <v>80</v>
      </c>
      <c r="D109" s="13">
        <f>C109/100*60</f>
        <v>48</v>
      </c>
      <c r="E109" s="14">
        <f>C109/100*15</f>
        <v>12</v>
      </c>
      <c r="F109" s="14"/>
      <c r="G109" s="14"/>
      <c r="H109" s="14"/>
      <c r="I109" s="14"/>
      <c r="J109" s="64">
        <f>C109/100*387</f>
        <v>309.60000000000002</v>
      </c>
      <c r="K109" s="22">
        <f>C109/100*0.09</f>
        <v>7.1999999999999995E-2</v>
      </c>
      <c r="L109" s="111">
        <v>80</v>
      </c>
      <c r="M109" s="20">
        <v>20</v>
      </c>
      <c r="N109" s="16">
        <f>L109*M109</f>
        <v>1600</v>
      </c>
      <c r="O109" s="314"/>
    </row>
    <row r="110" spans="1:23" s="2" customFormat="1" ht="18" customHeight="1">
      <c r="A110" s="8">
        <v>2</v>
      </c>
      <c r="B110" s="9" t="s">
        <v>121</v>
      </c>
      <c r="C110" s="12">
        <f>L110/100*100</f>
        <v>120</v>
      </c>
      <c r="D110" s="13">
        <f>C110/100*899</f>
        <v>1078.8</v>
      </c>
      <c r="E110" s="14"/>
      <c r="F110" s="14"/>
      <c r="G110" s="14">
        <f>C110/100*100</f>
        <v>120</v>
      </c>
      <c r="H110" s="14"/>
      <c r="I110" s="14"/>
      <c r="J110" s="14"/>
      <c r="K110" s="14"/>
      <c r="L110" s="15">
        <v>120</v>
      </c>
      <c r="M110" s="65">
        <v>68</v>
      </c>
      <c r="N110" s="16">
        <f t="shared" ref="N110" si="6">L110*M110</f>
        <v>8160</v>
      </c>
      <c r="O110" s="315"/>
    </row>
    <row r="111" spans="1:23" s="2" customFormat="1" ht="18" customHeight="1">
      <c r="A111" s="8">
        <v>3</v>
      </c>
      <c r="B111" s="9" t="s">
        <v>29</v>
      </c>
      <c r="C111" s="12">
        <f>L111/100*100</f>
        <v>70</v>
      </c>
      <c r="D111" s="13">
        <f>C111/100*390</f>
        <v>273</v>
      </c>
      <c r="E111" s="14"/>
      <c r="F111" s="14"/>
      <c r="G111" s="14"/>
      <c r="H111" s="14"/>
      <c r="I111" s="14">
        <f>C111/100*97.4</f>
        <v>68.179999999999993</v>
      </c>
      <c r="J111" s="64">
        <f>C111/100*178</f>
        <v>124.6</v>
      </c>
      <c r="K111" s="22">
        <f>C111/100*0.05</f>
        <v>3.4999999999999996E-2</v>
      </c>
      <c r="L111" s="111">
        <v>70</v>
      </c>
      <c r="M111" s="20">
        <v>25</v>
      </c>
      <c r="N111" s="16">
        <f t="shared" ref="N111:N117" si="7">L111*M111</f>
        <v>1750</v>
      </c>
      <c r="O111" s="337"/>
    </row>
    <row r="112" spans="1:23" s="2" customFormat="1" ht="18" customHeight="1">
      <c r="A112" s="8">
        <v>4</v>
      </c>
      <c r="B112" s="5" t="s">
        <v>1</v>
      </c>
      <c r="C112" s="12">
        <f>L112/100*100</f>
        <v>2646</v>
      </c>
      <c r="D112" s="13">
        <f>C112/100*344</f>
        <v>9102.24</v>
      </c>
      <c r="E112" s="14"/>
      <c r="F112" s="14">
        <f>C112/100*7.9</f>
        <v>209.03400000000002</v>
      </c>
      <c r="G112" s="14"/>
      <c r="H112" s="14">
        <f>C112/100*1</f>
        <v>26.46</v>
      </c>
      <c r="I112" s="14">
        <f>C112/100*74.2</f>
        <v>1963.3320000000001</v>
      </c>
      <c r="J112" s="64">
        <f>C112/100*30</f>
        <v>793.80000000000007</v>
      </c>
      <c r="K112" s="22">
        <f>C112/100*0.1</f>
        <v>2.6460000000000004</v>
      </c>
      <c r="L112" s="111">
        <v>2646</v>
      </c>
      <c r="M112" s="20">
        <v>18</v>
      </c>
      <c r="N112" s="16">
        <f t="shared" si="7"/>
        <v>47628</v>
      </c>
      <c r="O112" s="314"/>
    </row>
    <row r="113" spans="1:23" s="2" customFormat="1" ht="18" customHeight="1">
      <c r="A113" s="8">
        <v>5</v>
      </c>
      <c r="B113" s="5" t="s">
        <v>117</v>
      </c>
      <c r="C113" s="12">
        <f>L113/100*100</f>
        <v>50</v>
      </c>
      <c r="D113" s="13">
        <f>C113/100*247</f>
        <v>123.5</v>
      </c>
      <c r="E113" s="17"/>
      <c r="F113" s="17">
        <f>C113/100*17.5</f>
        <v>8.75</v>
      </c>
      <c r="G113" s="17"/>
      <c r="H113" s="17">
        <f>C113/100*1.6</f>
        <v>0.8</v>
      </c>
      <c r="I113" s="17">
        <f>C113/100*39.2</f>
        <v>19.600000000000001</v>
      </c>
      <c r="J113" s="21"/>
      <c r="K113" s="21"/>
      <c r="L113" s="318">
        <v>50</v>
      </c>
      <c r="M113" s="20">
        <v>50</v>
      </c>
      <c r="N113" s="16">
        <f t="shared" si="7"/>
        <v>2500</v>
      </c>
      <c r="O113" s="314"/>
      <c r="Q113" s="3"/>
      <c r="R113" s="3"/>
      <c r="S113" s="4"/>
      <c r="T113" s="3"/>
    </row>
    <row r="114" spans="1:23" s="2" customFormat="1" ht="18" customHeight="1">
      <c r="A114" s="8">
        <v>7</v>
      </c>
      <c r="B114" s="5" t="s">
        <v>20</v>
      </c>
      <c r="C114" s="12">
        <f>L114/100*95</f>
        <v>902.5</v>
      </c>
      <c r="D114" s="13">
        <f>C114/100*20</f>
        <v>180.5</v>
      </c>
      <c r="E114" s="14"/>
      <c r="F114" s="14">
        <f>C114/100*0.6</f>
        <v>5.415</v>
      </c>
      <c r="G114" s="14"/>
      <c r="H114" s="14">
        <f>C114/100*0.2</f>
        <v>1.8050000000000002</v>
      </c>
      <c r="I114" s="14">
        <f>C114/100*4</f>
        <v>36.1</v>
      </c>
      <c r="J114" s="63">
        <f>C114/100*12</f>
        <v>108.30000000000001</v>
      </c>
      <c r="K114" s="21">
        <f>C114/100*0.04</f>
        <v>0.36100000000000004</v>
      </c>
      <c r="L114" s="318">
        <v>950</v>
      </c>
      <c r="M114" s="15">
        <v>22</v>
      </c>
      <c r="N114" s="16">
        <f t="shared" si="7"/>
        <v>20900</v>
      </c>
      <c r="O114" s="314"/>
    </row>
    <row r="115" spans="1:23" s="2" customFormat="1" ht="18" customHeight="1">
      <c r="A115" s="8">
        <v>9</v>
      </c>
      <c r="B115" s="5" t="s">
        <v>5</v>
      </c>
      <c r="C115" s="12">
        <f>L115/100*98.5</f>
        <v>620.54999999999995</v>
      </c>
      <c r="D115" s="13">
        <f>C115/100*39</f>
        <v>242.0145</v>
      </c>
      <c r="E115" s="17"/>
      <c r="F115" s="17">
        <f>C115/100*1.5</f>
        <v>9.3082499999999992</v>
      </c>
      <c r="G115" s="17"/>
      <c r="H115" s="17">
        <f>C115/100*0.2</f>
        <v>1.2411000000000001</v>
      </c>
      <c r="I115" s="17">
        <f>C115/100*7.8</f>
        <v>48.402899999999995</v>
      </c>
      <c r="J115" s="17">
        <f>C115/100*43</f>
        <v>266.8365</v>
      </c>
      <c r="K115" s="17">
        <f>C115/100*0.06</f>
        <v>0.37232999999999999</v>
      </c>
      <c r="L115" s="318">
        <v>630</v>
      </c>
      <c r="M115" s="15">
        <v>17</v>
      </c>
      <c r="N115" s="16">
        <f t="shared" si="7"/>
        <v>10710</v>
      </c>
      <c r="O115" s="314"/>
      <c r="Q115" s="3"/>
      <c r="R115" s="3"/>
      <c r="S115" s="4"/>
    </row>
    <row r="116" spans="1:23" s="2" customFormat="1" ht="18" customHeight="1">
      <c r="A116" s="8">
        <v>9</v>
      </c>
      <c r="B116" s="5" t="s">
        <v>140</v>
      </c>
      <c r="C116" s="12">
        <f>L116/100*87</f>
        <v>1200.6000000000001</v>
      </c>
      <c r="D116" s="13">
        <f>C116/100*21</f>
        <v>252.12600000000003</v>
      </c>
      <c r="E116" s="17"/>
      <c r="F116" s="17">
        <f>C116/100*1.5</f>
        <v>18.009000000000004</v>
      </c>
      <c r="G116" s="17"/>
      <c r="H116" s="17">
        <f>C116/100*0.1</f>
        <v>1.2006000000000003</v>
      </c>
      <c r="I116" s="17">
        <f>C116/100*3.6</f>
        <v>43.221600000000009</v>
      </c>
      <c r="J116" s="17">
        <f>C116/100*40</f>
        <v>480.24000000000007</v>
      </c>
      <c r="K116" s="17">
        <f>C116/100*0.06</f>
        <v>0.72036000000000011</v>
      </c>
      <c r="L116" s="318">
        <v>1380</v>
      </c>
      <c r="M116" s="15">
        <v>18</v>
      </c>
      <c r="N116" s="16">
        <f t="shared" ref="N116" si="8">L116*M116</f>
        <v>24840</v>
      </c>
      <c r="O116" s="314"/>
      <c r="Q116" s="3"/>
      <c r="R116" s="3"/>
      <c r="S116" s="4"/>
    </row>
    <row r="117" spans="1:23" s="2" customFormat="1" ht="18" customHeight="1">
      <c r="A117" s="8">
        <v>8</v>
      </c>
      <c r="B117" s="9" t="s">
        <v>64</v>
      </c>
      <c r="C117" s="12">
        <f>L117/100*40</f>
        <v>2304</v>
      </c>
      <c r="D117" s="13">
        <f>C117/100*276</f>
        <v>6359.04</v>
      </c>
      <c r="E117" s="14">
        <f>C117/100*17.8</f>
        <v>410.11200000000002</v>
      </c>
      <c r="F117" s="14"/>
      <c r="G117" s="14">
        <f>C117/100*21.8</f>
        <v>502.27199999999999</v>
      </c>
      <c r="H117" s="14"/>
      <c r="I117" s="14"/>
      <c r="J117" s="64">
        <f>C117/100*13</f>
        <v>299.52</v>
      </c>
      <c r="K117" s="22">
        <f>C117/100*0.07</f>
        <v>1.6128</v>
      </c>
      <c r="L117" s="111">
        <v>5760</v>
      </c>
      <c r="M117" s="20">
        <v>63</v>
      </c>
      <c r="N117" s="93">
        <f t="shared" si="7"/>
        <v>362880</v>
      </c>
      <c r="O117" s="314"/>
    </row>
    <row r="118" spans="1:23" s="2" customFormat="1" ht="18" customHeight="1">
      <c r="A118" s="8">
        <v>9</v>
      </c>
      <c r="B118" s="9" t="s">
        <v>111</v>
      </c>
      <c r="C118" s="12"/>
      <c r="D118" s="13"/>
      <c r="E118" s="14"/>
      <c r="F118" s="14"/>
      <c r="G118" s="104"/>
      <c r="H118" s="104"/>
      <c r="I118" s="14"/>
      <c r="J118" s="14"/>
      <c r="K118" s="14"/>
      <c r="L118" s="15"/>
      <c r="M118" s="15"/>
      <c r="N118" s="16">
        <v>4150</v>
      </c>
      <c r="O118" s="314"/>
    </row>
    <row r="119" spans="1:23" s="2" customFormat="1" ht="18" customHeight="1">
      <c r="A119" s="23" t="s">
        <v>105</v>
      </c>
      <c r="B119" s="24"/>
      <c r="C119" s="25"/>
      <c r="D119" s="94">
        <f>SUM(D109:D118)</f>
        <v>17659.220499999999</v>
      </c>
      <c r="E119" s="31"/>
      <c r="F119" s="31"/>
      <c r="G119" s="31"/>
      <c r="H119" s="31"/>
      <c r="I119" s="31"/>
      <c r="J119" s="31"/>
      <c r="K119" s="31"/>
      <c r="L119" s="32"/>
      <c r="M119" s="32"/>
      <c r="N119" s="190">
        <f>SUM(N109:N118)</f>
        <v>485118</v>
      </c>
      <c r="O119" s="314"/>
    </row>
    <row r="120" spans="1:23" ht="18" customHeight="1">
      <c r="A120" s="23" t="s">
        <v>46</v>
      </c>
      <c r="B120" s="24"/>
      <c r="C120" s="52"/>
      <c r="D120" s="36">
        <f>D119/C87</f>
        <v>280.30508730158732</v>
      </c>
      <c r="E120" s="36"/>
      <c r="F120" s="36"/>
      <c r="G120" s="36"/>
      <c r="H120" s="36"/>
      <c r="I120" s="36"/>
      <c r="J120" s="36"/>
      <c r="K120" s="36"/>
      <c r="L120" s="53"/>
      <c r="M120" s="35"/>
      <c r="N120" s="191"/>
      <c r="O120" s="345"/>
      <c r="P120" s="2"/>
      <c r="Q120" s="2"/>
      <c r="R120" s="2"/>
      <c r="S120" s="2"/>
      <c r="T120" s="2"/>
      <c r="U120" s="2"/>
      <c r="V120" s="2"/>
      <c r="W120" s="2"/>
    </row>
    <row r="121" spans="1:23" ht="18" customHeight="1">
      <c r="A121" s="192" t="s">
        <v>47</v>
      </c>
      <c r="B121" s="193"/>
      <c r="C121" s="319" t="s">
        <v>133</v>
      </c>
      <c r="D121" s="29" t="s">
        <v>48</v>
      </c>
      <c r="E121" s="34"/>
      <c r="F121" s="34"/>
      <c r="G121" s="34"/>
      <c r="H121" s="34"/>
      <c r="I121" s="34"/>
      <c r="J121" s="36"/>
      <c r="K121" s="36"/>
      <c r="L121" s="35"/>
      <c r="M121" s="35"/>
      <c r="N121" s="153"/>
      <c r="O121" s="345"/>
      <c r="P121" s="2"/>
      <c r="Q121" s="2"/>
      <c r="R121" s="2"/>
      <c r="S121" s="2"/>
      <c r="T121" s="2"/>
      <c r="U121" s="2"/>
      <c r="V121" s="2"/>
      <c r="W121" s="2"/>
    </row>
    <row r="122" spans="1:23" ht="18" customHeight="1">
      <c r="A122" s="194"/>
      <c r="B122" s="195"/>
      <c r="C122" s="62" t="s">
        <v>58</v>
      </c>
      <c r="D122" s="29">
        <f>D120*100/930</f>
        <v>30.140331967912616</v>
      </c>
      <c r="E122" s="34"/>
      <c r="F122" s="34"/>
      <c r="G122" s="34"/>
      <c r="H122" s="34"/>
      <c r="I122" s="34"/>
      <c r="J122" s="36"/>
      <c r="K122" s="36"/>
      <c r="L122" s="35"/>
      <c r="M122" s="35"/>
      <c r="N122" s="153"/>
      <c r="O122" s="345"/>
      <c r="P122" s="2"/>
      <c r="Q122" s="2"/>
      <c r="R122" s="2"/>
      <c r="S122" s="2"/>
      <c r="T122" s="2"/>
      <c r="U122" s="2"/>
      <c r="V122" s="2"/>
      <c r="W122" s="2"/>
    </row>
    <row r="123" spans="1:23" ht="18" customHeight="1">
      <c r="A123" s="224" t="s">
        <v>39</v>
      </c>
      <c r="B123" s="224"/>
      <c r="C123" s="54"/>
      <c r="D123" s="55"/>
      <c r="E123" s="55"/>
      <c r="F123" s="55"/>
      <c r="G123" s="55"/>
      <c r="H123" s="55"/>
      <c r="I123" s="55"/>
      <c r="J123" s="55"/>
      <c r="K123" s="55"/>
      <c r="L123" s="56"/>
      <c r="M123" s="56"/>
      <c r="N123" s="57"/>
      <c r="O123" s="345"/>
      <c r="P123" s="2"/>
      <c r="Q123" s="2"/>
      <c r="R123" s="2"/>
      <c r="S123" s="2"/>
      <c r="T123" s="2"/>
      <c r="U123" s="2"/>
      <c r="V123" s="2"/>
      <c r="W123" s="2"/>
    </row>
    <row r="124" spans="1:23" s="2" customFormat="1" ht="18" customHeight="1">
      <c r="A124" s="119">
        <v>1</v>
      </c>
      <c r="B124" s="141" t="s">
        <v>131</v>
      </c>
      <c r="C124" s="25">
        <f>L124/100*100</f>
        <v>1070</v>
      </c>
      <c r="D124" s="120">
        <f>C124/100*487</f>
        <v>5210.8999999999996</v>
      </c>
      <c r="E124" s="27"/>
      <c r="F124" s="27">
        <f>C124/100*19.5</f>
        <v>208.64999999999998</v>
      </c>
      <c r="G124" s="27"/>
      <c r="H124" s="27">
        <f>C124/100*23.2</f>
        <v>248.23999999999998</v>
      </c>
      <c r="I124" s="27">
        <f>C124/100*46</f>
        <v>492.2</v>
      </c>
      <c r="J124" s="121">
        <f>C124/100*680</f>
        <v>7275.9999999999991</v>
      </c>
      <c r="K124" s="27">
        <f>C124/100*0.55</f>
        <v>5.8849999999999998</v>
      </c>
      <c r="L124" s="28">
        <v>1070</v>
      </c>
      <c r="M124" s="142">
        <v>260</v>
      </c>
      <c r="N124" s="145">
        <f t="shared" ref="N124" si="9">L124*M124</f>
        <v>278200</v>
      </c>
      <c r="O124" s="314"/>
      <c r="P124" s="3"/>
    </row>
    <row r="125" spans="1:23" ht="19.8" customHeight="1">
      <c r="A125" s="211" t="s">
        <v>0</v>
      </c>
      <c r="B125" s="214" t="s">
        <v>19</v>
      </c>
      <c r="C125" s="217" t="s">
        <v>8</v>
      </c>
      <c r="D125" s="217" t="s">
        <v>9</v>
      </c>
      <c r="E125" s="272" t="s">
        <v>11</v>
      </c>
      <c r="F125" s="273"/>
      <c r="G125" s="272" t="s">
        <v>13</v>
      </c>
      <c r="H125" s="273"/>
      <c r="I125" s="208" t="s">
        <v>16</v>
      </c>
      <c r="J125" s="208" t="s">
        <v>32</v>
      </c>
      <c r="K125" s="208" t="s">
        <v>33</v>
      </c>
      <c r="L125" s="208" t="s">
        <v>17</v>
      </c>
      <c r="M125" s="208" t="s">
        <v>34</v>
      </c>
      <c r="N125" s="211" t="s">
        <v>18</v>
      </c>
      <c r="O125" s="313"/>
    </row>
    <row r="126" spans="1:23" ht="19.8" customHeight="1">
      <c r="A126" s="212"/>
      <c r="B126" s="215"/>
      <c r="C126" s="218"/>
      <c r="D126" s="218"/>
      <c r="E126" s="274"/>
      <c r="F126" s="275"/>
      <c r="G126" s="274"/>
      <c r="H126" s="275"/>
      <c r="I126" s="209"/>
      <c r="J126" s="209"/>
      <c r="K126" s="209"/>
      <c r="L126" s="209"/>
      <c r="M126" s="209"/>
      <c r="N126" s="212"/>
      <c r="O126" s="152"/>
    </row>
    <row r="127" spans="1:23" ht="21" customHeight="1">
      <c r="A127" s="212"/>
      <c r="B127" s="215"/>
      <c r="C127" s="218"/>
      <c r="D127" s="218"/>
      <c r="E127" s="208" t="s">
        <v>10</v>
      </c>
      <c r="F127" s="208" t="s">
        <v>12</v>
      </c>
      <c r="G127" s="208" t="s">
        <v>14</v>
      </c>
      <c r="H127" s="208" t="s">
        <v>15</v>
      </c>
      <c r="I127" s="209"/>
      <c r="J127" s="209"/>
      <c r="K127" s="209"/>
      <c r="L127" s="209"/>
      <c r="M127" s="209"/>
      <c r="N127" s="212"/>
      <c r="O127" s="152"/>
    </row>
    <row r="128" spans="1:23" ht="21" customHeight="1">
      <c r="A128" s="213"/>
      <c r="B128" s="216"/>
      <c r="C128" s="219"/>
      <c r="D128" s="219"/>
      <c r="E128" s="210"/>
      <c r="F128" s="210"/>
      <c r="G128" s="210"/>
      <c r="H128" s="210"/>
      <c r="I128" s="210"/>
      <c r="J128" s="210"/>
      <c r="K128" s="210"/>
      <c r="L128" s="210"/>
      <c r="M128" s="210"/>
      <c r="N128" s="213"/>
      <c r="O128" s="152"/>
    </row>
    <row r="129" spans="1:23" s="2" customFormat="1" ht="21" customHeight="1">
      <c r="A129" s="189" t="s">
        <v>98</v>
      </c>
      <c r="B129" s="189"/>
      <c r="C129" s="25"/>
      <c r="D129" s="26">
        <f>SUM(D123:D124)</f>
        <v>5210.8999999999996</v>
      </c>
      <c r="E129" s="31"/>
      <c r="F129" s="31"/>
      <c r="G129" s="31"/>
      <c r="H129" s="31"/>
      <c r="I129" s="31"/>
      <c r="J129" s="31"/>
      <c r="K129" s="31"/>
      <c r="L129" s="32"/>
      <c r="M129" s="58"/>
      <c r="N129" s="190">
        <f>SUM(N123:N124)</f>
        <v>278200</v>
      </c>
      <c r="O129" s="314"/>
    </row>
    <row r="130" spans="1:23" ht="21" customHeight="1">
      <c r="A130" s="189" t="s">
        <v>7</v>
      </c>
      <c r="B130" s="189"/>
      <c r="C130" s="33"/>
      <c r="D130" s="34">
        <f>D129/C87</f>
        <v>82.712698412698401</v>
      </c>
      <c r="E130" s="34"/>
      <c r="F130" s="34"/>
      <c r="G130" s="34"/>
      <c r="H130" s="34"/>
      <c r="I130" s="34"/>
      <c r="J130" s="34"/>
      <c r="K130" s="34"/>
      <c r="L130" s="35"/>
      <c r="M130" s="18"/>
      <c r="N130" s="191"/>
      <c r="O130" s="345"/>
      <c r="P130" s="2"/>
      <c r="Q130" s="2"/>
      <c r="R130" s="2"/>
      <c r="S130" s="2"/>
      <c r="T130" s="2"/>
      <c r="U130" s="2"/>
      <c r="V130" s="2"/>
      <c r="W130" s="2"/>
    </row>
    <row r="131" spans="1:23" ht="21" customHeight="1">
      <c r="A131" s="192" t="s">
        <v>40</v>
      </c>
      <c r="B131" s="193"/>
      <c r="C131" s="319" t="s">
        <v>133</v>
      </c>
      <c r="D131" s="29" t="s">
        <v>49</v>
      </c>
      <c r="E131" s="34"/>
      <c r="F131" s="34"/>
      <c r="G131" s="34"/>
      <c r="H131" s="34"/>
      <c r="I131" s="34"/>
      <c r="J131" s="36"/>
      <c r="K131" s="36"/>
      <c r="L131" s="35"/>
      <c r="M131" s="35"/>
      <c r="N131" s="153"/>
      <c r="O131" s="4"/>
      <c r="P131" s="2"/>
      <c r="Q131" s="2"/>
      <c r="R131" s="2"/>
      <c r="S131" s="2"/>
      <c r="T131" s="2"/>
      <c r="U131" s="2"/>
      <c r="V131" s="2"/>
      <c r="W131" s="2"/>
    </row>
    <row r="132" spans="1:23" ht="21" customHeight="1">
      <c r="A132" s="194"/>
      <c r="B132" s="195"/>
      <c r="C132" s="62" t="s">
        <v>58</v>
      </c>
      <c r="D132" s="29">
        <f>D130*100/930</f>
        <v>8.8938385389998285</v>
      </c>
      <c r="E132" s="34"/>
      <c r="F132" s="34"/>
      <c r="G132" s="34"/>
      <c r="H132" s="34"/>
      <c r="I132" s="34"/>
      <c r="J132" s="36"/>
      <c r="K132" s="36"/>
      <c r="L132" s="35"/>
      <c r="M132" s="35"/>
      <c r="N132" s="153"/>
      <c r="O132" s="4"/>
      <c r="P132" s="2"/>
      <c r="Q132" s="2"/>
      <c r="R132" s="2"/>
      <c r="S132" s="2"/>
      <c r="T132" s="2"/>
      <c r="U132" s="2"/>
      <c r="V132" s="2"/>
      <c r="W132" s="2"/>
    </row>
    <row r="133" spans="1:23" ht="21" customHeight="1">
      <c r="A133" s="196" t="s">
        <v>99</v>
      </c>
      <c r="B133" s="197"/>
      <c r="C133" s="200"/>
      <c r="D133" s="202">
        <f>D104+D119+D129</f>
        <v>40923.298499999997</v>
      </c>
      <c r="E133" s="95">
        <f>SUM(E93:E131)</f>
        <v>1005.5719000000001</v>
      </c>
      <c r="F133" s="6">
        <f t="shared" ref="F133:H133" si="10">SUM(F93:F131)</f>
        <v>716.01625000000001</v>
      </c>
      <c r="G133" s="95">
        <f t="shared" si="10"/>
        <v>1084.9563000000001</v>
      </c>
      <c r="H133" s="6">
        <f t="shared" si="10"/>
        <v>471.03470000000004</v>
      </c>
      <c r="I133" s="204">
        <f>SUM(I93:I131)</f>
        <v>4848.9561000000003</v>
      </c>
      <c r="J133" s="206">
        <f>SUM(J93:J124)</f>
        <v>13062.4025</v>
      </c>
      <c r="K133" s="204">
        <f>SUM(K93:K124)</f>
        <v>25.961560000000006</v>
      </c>
      <c r="L133" s="171"/>
      <c r="M133" s="171"/>
      <c r="N133" s="172">
        <f>N104+N119+N129</f>
        <v>1385330</v>
      </c>
      <c r="U133" s="11"/>
      <c r="V133" s="11"/>
    </row>
    <row r="134" spans="1:23" ht="21" customHeight="1">
      <c r="A134" s="198"/>
      <c r="B134" s="199"/>
      <c r="C134" s="201"/>
      <c r="D134" s="203"/>
      <c r="E134" s="173">
        <f>E133+F133</f>
        <v>1721.58815</v>
      </c>
      <c r="F134" s="174"/>
      <c r="G134" s="173">
        <f>G133+H133</f>
        <v>1555.991</v>
      </c>
      <c r="H134" s="174"/>
      <c r="I134" s="205"/>
      <c r="J134" s="207"/>
      <c r="K134" s="205"/>
      <c r="L134" s="171"/>
      <c r="M134" s="171"/>
      <c r="N134" s="172"/>
      <c r="U134" s="11"/>
      <c r="V134" s="11"/>
    </row>
    <row r="135" spans="1:23" ht="21" customHeight="1">
      <c r="A135" s="178" t="s">
        <v>75</v>
      </c>
      <c r="B135" s="179"/>
      <c r="C135" s="180"/>
      <c r="D135" s="132">
        <f>D133/C87</f>
        <v>649.57616666666661</v>
      </c>
      <c r="E135" s="108">
        <f>E133/C87</f>
        <v>15.961458730158732</v>
      </c>
      <c r="F135" s="107">
        <f>F133/C87</f>
        <v>11.365337301587301</v>
      </c>
      <c r="G135" s="108">
        <f>G133/C87</f>
        <v>17.221528571428571</v>
      </c>
      <c r="H135" s="107">
        <f>H133/C87</f>
        <v>7.4767412698412707</v>
      </c>
      <c r="I135" s="184">
        <f>I133/C87</f>
        <v>76.967557142857146</v>
      </c>
      <c r="J135" s="252">
        <f>J133/C87</f>
        <v>207.33972222222224</v>
      </c>
      <c r="K135" s="184">
        <f>K133/C87</f>
        <v>0.41208825396825405</v>
      </c>
      <c r="L135" s="171"/>
      <c r="M135" s="171"/>
      <c r="N135" s="172"/>
      <c r="P135" s="308"/>
      <c r="Q135" s="310"/>
      <c r="R135" s="310"/>
      <c r="S135" s="310"/>
      <c r="T135" s="310"/>
      <c r="U135" s="321"/>
      <c r="V135" s="321"/>
    </row>
    <row r="136" spans="1:23" ht="21" customHeight="1">
      <c r="A136" s="181"/>
      <c r="B136" s="182"/>
      <c r="C136" s="183"/>
      <c r="D136" s="98"/>
      <c r="E136" s="296">
        <f>E135+F135</f>
        <v>27.326796031746035</v>
      </c>
      <c r="F136" s="295"/>
      <c r="G136" s="296">
        <f>G135+H135</f>
        <v>24.698269841269841</v>
      </c>
      <c r="H136" s="295"/>
      <c r="I136" s="185"/>
      <c r="J136" s="253"/>
      <c r="K136" s="185"/>
      <c r="L136" s="171"/>
      <c r="M136" s="171"/>
      <c r="N136" s="172"/>
      <c r="P136" s="328"/>
      <c r="Q136" s="310"/>
      <c r="R136" s="310"/>
      <c r="S136" s="335"/>
      <c r="T136" s="335"/>
      <c r="U136" s="310"/>
      <c r="V136" s="310"/>
    </row>
    <row r="137" spans="1:23" ht="21" customHeight="1">
      <c r="A137" s="322" t="s">
        <v>76</v>
      </c>
      <c r="B137" s="323"/>
      <c r="C137" s="324"/>
      <c r="D137" s="325" t="s">
        <v>28</v>
      </c>
      <c r="E137" s="334" t="s">
        <v>24</v>
      </c>
      <c r="F137" s="334"/>
      <c r="G137" s="334" t="s">
        <v>25</v>
      </c>
      <c r="H137" s="334"/>
      <c r="I137" s="325" t="s">
        <v>26</v>
      </c>
      <c r="J137" s="151">
        <v>500</v>
      </c>
      <c r="K137" s="151">
        <v>0.59</v>
      </c>
      <c r="L137" s="171"/>
      <c r="M137" s="171"/>
      <c r="N137" s="172"/>
      <c r="O137" s="327"/>
      <c r="P137" s="308"/>
      <c r="Q137" s="308"/>
      <c r="R137" s="308"/>
      <c r="S137" s="308"/>
      <c r="T137" s="308"/>
      <c r="U137" s="308"/>
      <c r="V137" s="308"/>
    </row>
    <row r="138" spans="1:23" ht="21" customHeight="1">
      <c r="A138" s="164" t="s">
        <v>69</v>
      </c>
      <c r="B138" s="168"/>
      <c r="C138" s="165"/>
      <c r="D138" s="19"/>
      <c r="E138" s="169">
        <f>E136*4.1</f>
        <v>112.03986373015873</v>
      </c>
      <c r="F138" s="170"/>
      <c r="G138" s="169">
        <f>G136*9</f>
        <v>222.28442857142858</v>
      </c>
      <c r="H138" s="170"/>
      <c r="I138" s="68">
        <f>I135*4.1</f>
        <v>315.56698428571428</v>
      </c>
      <c r="J138" s="175"/>
      <c r="K138" s="175"/>
      <c r="L138" s="171"/>
      <c r="M138" s="171"/>
      <c r="N138" s="172"/>
      <c r="O138" s="327"/>
      <c r="P138" s="329"/>
      <c r="Q138" s="307"/>
      <c r="R138" s="307"/>
      <c r="S138" s="307"/>
      <c r="T138" s="308"/>
      <c r="U138" s="308"/>
      <c r="V138" s="308"/>
    </row>
    <row r="139" spans="1:23" ht="21" customHeight="1">
      <c r="A139" s="160" t="s">
        <v>77</v>
      </c>
      <c r="B139" s="161"/>
      <c r="C139" s="164" t="s">
        <v>58</v>
      </c>
      <c r="D139" s="165"/>
      <c r="E139" s="280">
        <f>E138*100/D135</f>
        <v>17.248148789863553</v>
      </c>
      <c r="F139" s="281"/>
      <c r="G139" s="280">
        <f>G138*100/D135</f>
        <v>34.2199175367059</v>
      </c>
      <c r="H139" s="281"/>
      <c r="I139" s="85">
        <f>I138*100/D135</f>
        <v>48.580443753819111</v>
      </c>
      <c r="J139" s="176"/>
      <c r="K139" s="176"/>
      <c r="L139" s="171"/>
      <c r="M139" s="171"/>
      <c r="N139" s="172"/>
      <c r="O139" s="327"/>
      <c r="P139" s="308"/>
      <c r="Q139" s="309"/>
      <c r="R139" s="308"/>
      <c r="S139" s="308"/>
      <c r="T139" s="308"/>
      <c r="U139" s="308"/>
      <c r="V139" s="308"/>
    </row>
    <row r="140" spans="1:23" ht="21" customHeight="1">
      <c r="A140" s="162"/>
      <c r="B140" s="163"/>
      <c r="C140" s="164" t="s">
        <v>71</v>
      </c>
      <c r="D140" s="165"/>
      <c r="E140" s="164" t="s">
        <v>72</v>
      </c>
      <c r="F140" s="165"/>
      <c r="G140" s="164" t="s">
        <v>78</v>
      </c>
      <c r="H140" s="165"/>
      <c r="I140" s="325" t="s">
        <v>79</v>
      </c>
      <c r="J140" s="177"/>
      <c r="K140" s="177"/>
      <c r="L140" s="171"/>
      <c r="M140" s="171"/>
      <c r="N140" s="172"/>
      <c r="O140" s="327"/>
      <c r="P140" s="84"/>
    </row>
    <row r="141" spans="1:23" ht="21" customHeight="1">
      <c r="A141" s="70"/>
      <c r="B141" s="71"/>
      <c r="C141" s="70"/>
      <c r="D141" s="70"/>
      <c r="E141" s="70"/>
      <c r="F141" s="70"/>
      <c r="G141" s="70"/>
      <c r="H141" s="70"/>
      <c r="I141" s="70"/>
      <c r="J141" s="70"/>
      <c r="K141" s="70"/>
      <c r="L141" s="72"/>
      <c r="M141" s="72"/>
      <c r="N141" s="73"/>
      <c r="O141" s="327"/>
    </row>
    <row r="142" spans="1:23" ht="21" customHeight="1">
      <c r="A142" s="156" t="s">
        <v>100</v>
      </c>
      <c r="B142" s="156"/>
      <c r="C142" s="156"/>
      <c r="D142" s="156"/>
      <c r="E142" s="156"/>
      <c r="F142" s="156"/>
      <c r="G142" s="156"/>
      <c r="H142" s="156"/>
      <c r="I142" s="156"/>
      <c r="J142" s="156"/>
      <c r="K142" s="156"/>
      <c r="L142" s="156"/>
      <c r="M142" s="156"/>
      <c r="N142" s="156"/>
      <c r="O142" s="327"/>
    </row>
    <row r="143" spans="1:23" ht="21" customHeight="1">
      <c r="A143" s="87" t="s">
        <v>101</v>
      </c>
      <c r="B143" s="157" t="s">
        <v>102</v>
      </c>
      <c r="C143" s="157"/>
      <c r="D143" s="157"/>
      <c r="E143" s="157"/>
      <c r="F143" s="157"/>
      <c r="G143" s="157"/>
      <c r="H143" s="157"/>
      <c r="I143" s="157"/>
      <c r="J143" s="157"/>
      <c r="K143" s="157"/>
      <c r="L143" s="157"/>
      <c r="M143" s="157"/>
      <c r="N143" s="157"/>
      <c r="O143" s="327"/>
    </row>
    <row r="144" spans="1:23" ht="21" customHeight="1">
      <c r="A144" s="88"/>
      <c r="B144" s="158" t="s">
        <v>184</v>
      </c>
      <c r="C144" s="158"/>
      <c r="D144" s="158"/>
      <c r="E144" s="158"/>
      <c r="F144" s="158"/>
      <c r="G144" s="158"/>
      <c r="H144" s="158"/>
      <c r="I144" s="158"/>
      <c r="J144" s="158"/>
      <c r="K144" s="158"/>
      <c r="L144" s="158"/>
      <c r="M144" s="158"/>
      <c r="N144" s="158"/>
      <c r="O144" s="327"/>
    </row>
    <row r="145" spans="1:15" ht="21" customHeight="1">
      <c r="A145" s="88"/>
      <c r="B145" s="158" t="s">
        <v>185</v>
      </c>
      <c r="C145" s="158"/>
      <c r="D145" s="158"/>
      <c r="E145" s="158"/>
      <c r="F145" s="158"/>
      <c r="G145" s="158"/>
      <c r="H145" s="158"/>
      <c r="I145" s="158"/>
      <c r="J145" s="158"/>
      <c r="K145" s="158"/>
      <c r="L145" s="158"/>
      <c r="M145" s="158"/>
      <c r="N145" s="158"/>
      <c r="O145" s="327"/>
    </row>
    <row r="146" spans="1:15" ht="21" customHeight="1">
      <c r="A146" s="88"/>
      <c r="B146" s="158" t="s">
        <v>147</v>
      </c>
      <c r="C146" s="158"/>
      <c r="D146" s="158"/>
      <c r="E146" s="158"/>
      <c r="F146" s="158"/>
      <c r="G146" s="158"/>
      <c r="H146" s="158"/>
      <c r="I146" s="158"/>
      <c r="J146" s="158"/>
      <c r="K146" s="158"/>
      <c r="L146" s="158"/>
      <c r="M146" s="158"/>
      <c r="N146" s="158"/>
      <c r="O146" s="327"/>
    </row>
    <row r="147" spans="1:15" ht="21" customHeight="1">
      <c r="A147" s="70"/>
      <c r="B147" s="159" t="s">
        <v>107</v>
      </c>
      <c r="C147" s="159"/>
      <c r="D147" s="159"/>
      <c r="E147" s="159"/>
      <c r="F147" s="159"/>
      <c r="G147" s="159"/>
      <c r="H147" s="159"/>
      <c r="I147" s="159"/>
      <c r="J147" s="159"/>
      <c r="K147" s="159"/>
      <c r="L147" s="159"/>
      <c r="M147" s="159"/>
      <c r="N147" s="159"/>
      <c r="O147" s="327"/>
    </row>
    <row r="148" spans="1:15" ht="21" customHeight="1">
      <c r="A148" s="70"/>
      <c r="B148" s="70"/>
      <c r="C148" s="70"/>
      <c r="D148" s="70"/>
      <c r="E148" s="70"/>
      <c r="F148" s="70"/>
      <c r="G148" s="70"/>
      <c r="H148" s="70"/>
      <c r="I148" s="70"/>
      <c r="J148" s="70"/>
      <c r="K148" s="70"/>
      <c r="L148" s="89"/>
      <c r="M148" s="89"/>
      <c r="N148" s="90"/>
      <c r="O148" s="327"/>
    </row>
    <row r="149" spans="1:15" ht="21" customHeight="1">
      <c r="A149" s="154" t="s">
        <v>60</v>
      </c>
      <c r="B149" s="154"/>
      <c r="C149" s="154"/>
      <c r="D149" s="154"/>
      <c r="E149" s="330"/>
      <c r="F149" s="330"/>
      <c r="G149" s="330"/>
      <c r="H149" s="330"/>
      <c r="I149" s="330"/>
      <c r="J149" s="331" t="s">
        <v>36</v>
      </c>
      <c r="K149" s="331"/>
      <c r="L149" s="331"/>
      <c r="M149" s="331"/>
      <c r="N149" s="331"/>
      <c r="O149" s="327"/>
    </row>
    <row r="150" spans="1:15" ht="21" customHeight="1">
      <c r="A150" s="152"/>
      <c r="B150" s="152"/>
      <c r="C150" s="152"/>
      <c r="D150" s="330"/>
      <c r="E150" s="330"/>
      <c r="F150" s="330"/>
      <c r="G150" s="330"/>
      <c r="H150" s="332"/>
      <c r="I150" s="332"/>
      <c r="J150" s="332"/>
      <c r="K150" s="332"/>
      <c r="L150" s="332"/>
      <c r="M150" s="332"/>
      <c r="N150" s="332"/>
      <c r="O150" s="327"/>
    </row>
    <row r="151" spans="1:15" ht="21" customHeight="1">
      <c r="A151" s="152"/>
      <c r="B151" s="152"/>
      <c r="C151" s="152"/>
      <c r="D151" s="330"/>
      <c r="E151" s="330"/>
      <c r="F151" s="330"/>
      <c r="G151" s="330"/>
      <c r="H151" s="332"/>
      <c r="I151" s="332"/>
      <c r="J151" s="332"/>
      <c r="K151" s="332"/>
      <c r="L151" s="332"/>
      <c r="M151" s="332"/>
      <c r="N151" s="332"/>
      <c r="O151" s="327"/>
    </row>
    <row r="152" spans="1:15" ht="21" customHeight="1">
      <c r="A152" s="155" t="s">
        <v>84</v>
      </c>
      <c r="B152" s="155"/>
      <c r="C152" s="155"/>
      <c r="D152" s="155"/>
      <c r="E152" s="330"/>
      <c r="F152" s="330"/>
      <c r="G152" s="330"/>
      <c r="H152" s="332"/>
      <c r="I152" s="332"/>
      <c r="J152" s="333" t="s">
        <v>103</v>
      </c>
      <c r="K152" s="333"/>
      <c r="L152" s="333"/>
      <c r="M152" s="333"/>
      <c r="N152" s="333"/>
      <c r="O152" s="327"/>
    </row>
    <row r="155" spans="1:15" ht="21" customHeight="1">
      <c r="J155" s="333" t="s">
        <v>114</v>
      </c>
      <c r="K155" s="333"/>
      <c r="L155" s="333"/>
      <c r="M155" s="333"/>
      <c r="N155" s="333"/>
    </row>
  </sheetData>
  <mergeCells count="206">
    <mergeCell ref="J155:N155"/>
    <mergeCell ref="A152:D152"/>
    <mergeCell ref="J152:N152"/>
    <mergeCell ref="Q135:R135"/>
    <mergeCell ref="S135:T135"/>
    <mergeCell ref="U135:V135"/>
    <mergeCell ref="Q136:R136"/>
    <mergeCell ref="S136:T136"/>
    <mergeCell ref="U136:V136"/>
    <mergeCell ref="A137:C137"/>
    <mergeCell ref="A138:C138"/>
    <mergeCell ref="J138:J140"/>
    <mergeCell ref="K138:K140"/>
    <mergeCell ref="A139:B140"/>
    <mergeCell ref="C139:D139"/>
    <mergeCell ref="E139:F139"/>
    <mergeCell ref="G139:H139"/>
    <mergeCell ref="C140:D140"/>
    <mergeCell ref="E140:F140"/>
    <mergeCell ref="G140:H140"/>
    <mergeCell ref="B143:N143"/>
    <mergeCell ref="B144:N144"/>
    <mergeCell ref="B145:N145"/>
    <mergeCell ref="A142:N142"/>
    <mergeCell ref="B146:N146"/>
    <mergeCell ref="N129:N130"/>
    <mergeCell ref="A130:B130"/>
    <mergeCell ref="A133:B134"/>
    <mergeCell ref="C133:C134"/>
    <mergeCell ref="D133:D134"/>
    <mergeCell ref="L133:L140"/>
    <mergeCell ref="M133:M140"/>
    <mergeCell ref="N133:N140"/>
    <mergeCell ref="A135:C136"/>
    <mergeCell ref="I135:I136"/>
    <mergeCell ref="J135:J136"/>
    <mergeCell ref="K135:K136"/>
    <mergeCell ref="G136:H136"/>
    <mergeCell ref="E136:F136"/>
    <mergeCell ref="E137:F137"/>
    <mergeCell ref="G137:H137"/>
    <mergeCell ref="E138:F138"/>
    <mergeCell ref="G138:H138"/>
    <mergeCell ref="I133:I134"/>
    <mergeCell ref="E134:F134"/>
    <mergeCell ref="G134:H134"/>
    <mergeCell ref="N119:N120"/>
    <mergeCell ref="A121:B122"/>
    <mergeCell ref="A123:B123"/>
    <mergeCell ref="A125:A128"/>
    <mergeCell ref="B125:B128"/>
    <mergeCell ref="C125:C128"/>
    <mergeCell ref="D125:D128"/>
    <mergeCell ref="E125:F126"/>
    <mergeCell ref="G125:H126"/>
    <mergeCell ref="I125:I128"/>
    <mergeCell ref="J125:J128"/>
    <mergeCell ref="K125:K128"/>
    <mergeCell ref="L125:L128"/>
    <mergeCell ref="M125:M128"/>
    <mergeCell ref="N125:N128"/>
    <mergeCell ref="E127:E128"/>
    <mergeCell ref="F127:F128"/>
    <mergeCell ref="G127:G128"/>
    <mergeCell ref="H127:H128"/>
    <mergeCell ref="C87:D87"/>
    <mergeCell ref="L41:L44"/>
    <mergeCell ref="A53:C53"/>
    <mergeCell ref="A46:B46"/>
    <mergeCell ref="F43:F44"/>
    <mergeCell ref="G43:G44"/>
    <mergeCell ref="H43:H44"/>
    <mergeCell ref="L49:L56"/>
    <mergeCell ref="A82:D83"/>
    <mergeCell ref="E84:I86"/>
    <mergeCell ref="A41:A44"/>
    <mergeCell ref="B41:B44"/>
    <mergeCell ref="C41:C44"/>
    <mergeCell ref="D41:D44"/>
    <mergeCell ref="G53:H53"/>
    <mergeCell ref="B62:N62"/>
    <mergeCell ref="B63:N63"/>
    <mergeCell ref="A65:D65"/>
    <mergeCell ref="J65:N65"/>
    <mergeCell ref="A69:D69"/>
    <mergeCell ref="J71:N71"/>
    <mergeCell ref="J83:N83"/>
    <mergeCell ref="A84:D84"/>
    <mergeCell ref="B61:N61"/>
    <mergeCell ref="C8:D8"/>
    <mergeCell ref="J9:J12"/>
    <mergeCell ref="U52:V52"/>
    <mergeCell ref="U53:V53"/>
    <mergeCell ref="S52:T52"/>
    <mergeCell ref="Q53:R53"/>
    <mergeCell ref="S53:T53"/>
    <mergeCell ref="A88:A91"/>
    <mergeCell ref="B88:B91"/>
    <mergeCell ref="C88:C91"/>
    <mergeCell ref="H90:H91"/>
    <mergeCell ref="J88:J91"/>
    <mergeCell ref="K88:K91"/>
    <mergeCell ref="M88:M91"/>
    <mergeCell ref="D88:D91"/>
    <mergeCell ref="E83:I83"/>
    <mergeCell ref="G56:H56"/>
    <mergeCell ref="A85:D85"/>
    <mergeCell ref="A51:C52"/>
    <mergeCell ref="E55:F55"/>
    <mergeCell ref="G55:H55"/>
    <mergeCell ref="C56:D56"/>
    <mergeCell ref="E56:F56"/>
    <mergeCell ref="A87:B87"/>
    <mergeCell ref="Q52:R52"/>
    <mergeCell ref="G88:H89"/>
    <mergeCell ref="J68:N68"/>
    <mergeCell ref="A3:D3"/>
    <mergeCell ref="E3:N3"/>
    <mergeCell ref="A4:D4"/>
    <mergeCell ref="E4:I7"/>
    <mergeCell ref="J4:N7"/>
    <mergeCell ref="A5:D5"/>
    <mergeCell ref="A7:D7"/>
    <mergeCell ref="C9:C12"/>
    <mergeCell ref="E41:F42"/>
    <mergeCell ref="G41:H42"/>
    <mergeCell ref="D9:D12"/>
    <mergeCell ref="M41:M44"/>
    <mergeCell ref="F11:F12"/>
    <mergeCell ref="G11:G12"/>
    <mergeCell ref="H11:H12"/>
    <mergeCell ref="E9:F10"/>
    <mergeCell ref="G9:H10"/>
    <mergeCell ref="I41:I44"/>
    <mergeCell ref="N41:N44"/>
    <mergeCell ref="E43:E44"/>
    <mergeCell ref="K9:K12"/>
    <mergeCell ref="F1:N1"/>
    <mergeCell ref="F80:N80"/>
    <mergeCell ref="J41:J44"/>
    <mergeCell ref="A29:B30"/>
    <mergeCell ref="A31:B31"/>
    <mergeCell ref="A45:B45"/>
    <mergeCell ref="A47:B48"/>
    <mergeCell ref="A106:B107"/>
    <mergeCell ref="A108:B108"/>
    <mergeCell ref="K41:K44"/>
    <mergeCell ref="A86:D86"/>
    <mergeCell ref="A9:A12"/>
    <mergeCell ref="L9:L12"/>
    <mergeCell ref="N9:N12"/>
    <mergeCell ref="N104:N105"/>
    <mergeCell ref="A13:N13"/>
    <mergeCell ref="I49:I50"/>
    <mergeCell ref="E50:F50"/>
    <mergeCell ref="G50:H50"/>
    <mergeCell ref="A49:B50"/>
    <mergeCell ref="C49:C50"/>
    <mergeCell ref="D49:D50"/>
    <mergeCell ref="N27:N28"/>
    <mergeCell ref="A8:B8"/>
    <mergeCell ref="M9:M12"/>
    <mergeCell ref="J49:J50"/>
    <mergeCell ref="I9:I12"/>
    <mergeCell ref="E11:E12"/>
    <mergeCell ref="B9:B12"/>
    <mergeCell ref="J51:J52"/>
    <mergeCell ref="K51:K52"/>
    <mergeCell ref="I51:I52"/>
    <mergeCell ref="E52:F52"/>
    <mergeCell ref="G52:H52"/>
    <mergeCell ref="K49:K50"/>
    <mergeCell ref="M49:M56"/>
    <mergeCell ref="N49:N56"/>
    <mergeCell ref="N45:N46"/>
    <mergeCell ref="A54:C54"/>
    <mergeCell ref="E54:F54"/>
    <mergeCell ref="G54:H54"/>
    <mergeCell ref="J54:J56"/>
    <mergeCell ref="K54:K56"/>
    <mergeCell ref="A55:B56"/>
    <mergeCell ref="C55:D55"/>
    <mergeCell ref="A6:D6"/>
    <mergeCell ref="B147:N147"/>
    <mergeCell ref="A149:D149"/>
    <mergeCell ref="J149:N149"/>
    <mergeCell ref="N88:N91"/>
    <mergeCell ref="E90:E91"/>
    <mergeCell ref="F90:F91"/>
    <mergeCell ref="G90:G91"/>
    <mergeCell ref="E53:F53"/>
    <mergeCell ref="E88:F89"/>
    <mergeCell ref="I88:I91"/>
    <mergeCell ref="J84:N84"/>
    <mergeCell ref="J85:N85"/>
    <mergeCell ref="J86:N86"/>
    <mergeCell ref="A92:N92"/>
    <mergeCell ref="L88:L91"/>
    <mergeCell ref="E82:N82"/>
    <mergeCell ref="K133:K134"/>
    <mergeCell ref="J133:J134"/>
    <mergeCell ref="A131:B132"/>
    <mergeCell ref="A129:B129"/>
    <mergeCell ref="A58:N58"/>
    <mergeCell ref="B59:N59"/>
    <mergeCell ref="B60:N60"/>
  </mergeCells>
  <pageMargins left="0.23333333333333334" right="0.15625" top="0.42708333333333331" bottom="0.39583333333333331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X159"/>
  <sheetViews>
    <sheetView workbookViewId="0">
      <selection activeCell="R8" sqref="R8"/>
    </sheetView>
  </sheetViews>
  <sheetFormatPr defaultColWidth="9.109375" defaultRowHeight="21" customHeight="1"/>
  <cols>
    <col min="1" max="1" width="4" style="1" customWidth="1"/>
    <col min="2" max="2" width="11" style="1" customWidth="1"/>
    <col min="3" max="3" width="7.109375" style="1" customWidth="1"/>
    <col min="4" max="4" width="7.33203125" style="1" customWidth="1"/>
    <col min="5" max="8" width="6.88671875" style="1" customWidth="1"/>
    <col min="9" max="10" width="7.5546875" style="1" customWidth="1"/>
    <col min="11" max="11" width="7.33203125" style="1" customWidth="1"/>
    <col min="12" max="12" width="6.33203125" style="1" customWidth="1"/>
    <col min="13" max="13" width="6.6640625" style="1" customWidth="1"/>
    <col min="14" max="14" width="8.44140625" style="1" customWidth="1"/>
    <col min="15" max="15" width="11.88671875" style="1" customWidth="1"/>
    <col min="16" max="16" width="9.109375" style="1"/>
    <col min="17" max="22" width="8.88671875" style="1" customWidth="1"/>
    <col min="23" max="16384" width="9.109375" style="1"/>
  </cols>
  <sheetData>
    <row r="1" spans="1:20" ht="19.2" customHeight="1">
      <c r="A1" s="10" t="s">
        <v>59</v>
      </c>
      <c r="B1" s="7"/>
      <c r="C1" s="7"/>
      <c r="D1" s="7"/>
      <c r="E1" s="7"/>
      <c r="F1" s="244" t="s">
        <v>30</v>
      </c>
      <c r="G1" s="244"/>
      <c r="H1" s="244"/>
      <c r="I1" s="244"/>
      <c r="J1" s="244"/>
      <c r="K1" s="244"/>
      <c r="L1" s="244"/>
      <c r="M1" s="244"/>
      <c r="N1" s="244"/>
      <c r="O1" s="311"/>
      <c r="P1" s="311"/>
      <c r="T1" s="2"/>
    </row>
    <row r="2" spans="1:20" ht="9.6" customHeight="1">
      <c r="A2" s="10"/>
      <c r="B2" s="7"/>
      <c r="C2" s="7"/>
      <c r="D2" s="7"/>
      <c r="E2" s="7"/>
      <c r="F2" s="149"/>
      <c r="G2" s="149"/>
      <c r="H2" s="149"/>
      <c r="I2" s="149"/>
      <c r="J2" s="149"/>
      <c r="K2" s="149"/>
      <c r="L2" s="149"/>
      <c r="M2" s="149"/>
      <c r="N2" s="149"/>
      <c r="O2" s="311"/>
      <c r="P2" s="311"/>
      <c r="T2" s="2"/>
    </row>
    <row r="3" spans="1:20" ht="19.2" customHeight="1">
      <c r="A3" s="7" t="s">
        <v>188</v>
      </c>
      <c r="B3" s="7"/>
      <c r="C3" s="7"/>
      <c r="D3" s="7"/>
      <c r="E3" s="7"/>
      <c r="F3" s="149"/>
      <c r="G3" s="149"/>
      <c r="H3" s="149"/>
      <c r="I3" s="149"/>
      <c r="J3" s="149"/>
      <c r="K3" s="149"/>
      <c r="L3" s="149"/>
      <c r="M3" s="149"/>
      <c r="N3" s="149"/>
      <c r="O3" s="311"/>
      <c r="P3" s="311"/>
      <c r="T3" s="2"/>
    </row>
    <row r="4" spans="1:20" ht="9.6" customHeight="1">
      <c r="A4" s="7"/>
      <c r="B4" s="7"/>
      <c r="C4" s="7"/>
      <c r="D4" s="7"/>
      <c r="E4" s="7"/>
      <c r="F4" s="149"/>
      <c r="G4" s="149"/>
      <c r="H4" s="149"/>
      <c r="I4" s="149"/>
      <c r="J4" s="149"/>
      <c r="K4" s="149"/>
      <c r="L4" s="149"/>
      <c r="M4" s="149"/>
      <c r="N4" s="149"/>
      <c r="O4" s="311"/>
      <c r="P4" s="311"/>
      <c r="T4" s="2"/>
    </row>
    <row r="5" spans="1:20" s="2" customFormat="1" ht="20.399999999999999" customHeight="1">
      <c r="A5" s="245" t="s">
        <v>81</v>
      </c>
      <c r="B5" s="245"/>
      <c r="C5" s="245"/>
      <c r="D5" s="245"/>
      <c r="E5" s="245" t="s">
        <v>93</v>
      </c>
      <c r="F5" s="245"/>
      <c r="G5" s="245"/>
      <c r="H5" s="245"/>
      <c r="I5" s="245"/>
      <c r="J5" s="245"/>
      <c r="K5" s="245"/>
      <c r="L5" s="245"/>
      <c r="M5" s="245"/>
      <c r="N5" s="245"/>
      <c r="O5" s="312"/>
    </row>
    <row r="6" spans="1:20" s="2" customFormat="1" ht="20.399999999999999" customHeight="1">
      <c r="A6" s="231" t="s">
        <v>83</v>
      </c>
      <c r="B6" s="231"/>
      <c r="C6" s="231"/>
      <c r="D6" s="231"/>
      <c r="E6" s="232" t="s">
        <v>155</v>
      </c>
      <c r="F6" s="232"/>
      <c r="G6" s="232"/>
      <c r="H6" s="232"/>
      <c r="I6" s="232"/>
      <c r="J6" s="260" t="s">
        <v>156</v>
      </c>
      <c r="K6" s="261"/>
      <c r="L6" s="261"/>
      <c r="M6" s="261"/>
      <c r="N6" s="262"/>
      <c r="O6" s="312"/>
    </row>
    <row r="7" spans="1:20" s="2" customFormat="1" ht="20.399999999999999" customHeight="1">
      <c r="A7" s="284" t="s">
        <v>142</v>
      </c>
      <c r="B7" s="285"/>
      <c r="C7" s="285"/>
      <c r="D7" s="286"/>
      <c r="E7" s="232"/>
      <c r="F7" s="232"/>
      <c r="G7" s="232"/>
      <c r="H7" s="232"/>
      <c r="I7" s="232"/>
      <c r="J7" s="263"/>
      <c r="K7" s="264"/>
      <c r="L7" s="264"/>
      <c r="M7" s="264"/>
      <c r="N7" s="265"/>
      <c r="O7" s="312"/>
    </row>
    <row r="8" spans="1:20" s="2" customFormat="1" ht="20.399999999999999" customHeight="1">
      <c r="A8" s="236" t="s">
        <v>87</v>
      </c>
      <c r="B8" s="236"/>
      <c r="C8" s="236"/>
      <c r="D8" s="236"/>
      <c r="E8" s="232"/>
      <c r="F8" s="232"/>
      <c r="G8" s="232"/>
      <c r="H8" s="232"/>
      <c r="I8" s="232"/>
      <c r="J8" s="263"/>
      <c r="K8" s="264"/>
      <c r="L8" s="264"/>
      <c r="M8" s="264"/>
      <c r="N8" s="265"/>
      <c r="O8" s="312"/>
    </row>
    <row r="9" spans="1:20" s="2" customFormat="1" ht="20.399999999999999" customHeight="1">
      <c r="A9" s="287" t="s">
        <v>141</v>
      </c>
      <c r="B9" s="287"/>
      <c r="C9" s="287"/>
      <c r="D9" s="287"/>
      <c r="E9" s="232"/>
      <c r="F9" s="232"/>
      <c r="G9" s="232"/>
      <c r="H9" s="232"/>
      <c r="I9" s="232"/>
      <c r="J9" s="266"/>
      <c r="K9" s="267"/>
      <c r="L9" s="267"/>
      <c r="M9" s="267"/>
      <c r="N9" s="268"/>
      <c r="O9" s="312"/>
    </row>
    <row r="10" spans="1:20" s="2" customFormat="1" ht="20.399999999999999" customHeight="1">
      <c r="A10" s="277" t="s">
        <v>110</v>
      </c>
      <c r="B10" s="277"/>
      <c r="C10" s="279">
        <v>216</v>
      </c>
      <c r="D10" s="27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312"/>
    </row>
    <row r="11" spans="1:20" ht="20.399999999999999" customHeight="1">
      <c r="A11" s="211" t="s">
        <v>0</v>
      </c>
      <c r="B11" s="214" t="s">
        <v>19</v>
      </c>
      <c r="C11" s="217" t="s">
        <v>8</v>
      </c>
      <c r="D11" s="217" t="s">
        <v>9</v>
      </c>
      <c r="E11" s="220" t="s">
        <v>11</v>
      </c>
      <c r="F11" s="221"/>
      <c r="G11" s="220" t="s">
        <v>13</v>
      </c>
      <c r="H11" s="221"/>
      <c r="I11" s="208" t="s">
        <v>16</v>
      </c>
      <c r="J11" s="208" t="s">
        <v>32</v>
      </c>
      <c r="K11" s="208" t="s">
        <v>33</v>
      </c>
      <c r="L11" s="208" t="s">
        <v>17</v>
      </c>
      <c r="M11" s="208" t="s">
        <v>54</v>
      </c>
      <c r="N11" s="211" t="s">
        <v>18</v>
      </c>
      <c r="O11" s="313"/>
    </row>
    <row r="12" spans="1:20" ht="20.399999999999999" customHeight="1">
      <c r="A12" s="212"/>
      <c r="B12" s="215"/>
      <c r="C12" s="218"/>
      <c r="D12" s="218"/>
      <c r="E12" s="222"/>
      <c r="F12" s="223"/>
      <c r="G12" s="222"/>
      <c r="H12" s="223"/>
      <c r="I12" s="209"/>
      <c r="J12" s="209"/>
      <c r="K12" s="209"/>
      <c r="L12" s="209"/>
      <c r="M12" s="209"/>
      <c r="N12" s="212"/>
      <c r="O12" s="152"/>
    </row>
    <row r="13" spans="1:20" ht="20.399999999999999" customHeight="1">
      <c r="A13" s="212"/>
      <c r="B13" s="215"/>
      <c r="C13" s="218"/>
      <c r="D13" s="218"/>
      <c r="E13" s="208" t="s">
        <v>10</v>
      </c>
      <c r="F13" s="208" t="s">
        <v>12</v>
      </c>
      <c r="G13" s="208" t="s">
        <v>14</v>
      </c>
      <c r="H13" s="208" t="s">
        <v>15</v>
      </c>
      <c r="I13" s="209"/>
      <c r="J13" s="209"/>
      <c r="K13" s="209"/>
      <c r="L13" s="209"/>
      <c r="M13" s="209"/>
      <c r="N13" s="212"/>
      <c r="O13" s="152"/>
    </row>
    <row r="14" spans="1:20" ht="20.399999999999999" customHeight="1">
      <c r="A14" s="213"/>
      <c r="B14" s="216"/>
      <c r="C14" s="219"/>
      <c r="D14" s="219"/>
      <c r="E14" s="210"/>
      <c r="F14" s="210"/>
      <c r="G14" s="210"/>
      <c r="H14" s="210"/>
      <c r="I14" s="210"/>
      <c r="J14" s="210"/>
      <c r="K14" s="210"/>
      <c r="L14" s="210"/>
      <c r="M14" s="210"/>
      <c r="N14" s="213"/>
      <c r="O14" s="152"/>
    </row>
    <row r="15" spans="1:20" ht="20.399999999999999" customHeight="1">
      <c r="A15" s="225" t="s">
        <v>35</v>
      </c>
      <c r="B15" s="226"/>
      <c r="C15" s="226"/>
      <c r="D15" s="226"/>
      <c r="E15" s="226"/>
      <c r="F15" s="226"/>
      <c r="G15" s="226"/>
      <c r="H15" s="226"/>
      <c r="I15" s="226"/>
      <c r="J15" s="226"/>
      <c r="K15" s="226"/>
      <c r="L15" s="226"/>
      <c r="M15" s="226"/>
      <c r="N15" s="227"/>
      <c r="O15" s="152"/>
    </row>
    <row r="16" spans="1:20" s="2" customFormat="1" ht="20.399999999999999" customHeight="1">
      <c r="A16" s="8">
        <v>1</v>
      </c>
      <c r="B16" s="9" t="s">
        <v>2</v>
      </c>
      <c r="C16" s="12">
        <f>L16/100*100</f>
        <v>110.00000000000001</v>
      </c>
      <c r="D16" s="13">
        <f>C16/100*60</f>
        <v>66</v>
      </c>
      <c r="E16" s="14">
        <f>C16/100*15</f>
        <v>16.5</v>
      </c>
      <c r="F16" s="14"/>
      <c r="G16" s="14"/>
      <c r="H16" s="14"/>
      <c r="I16" s="14"/>
      <c r="J16" s="22">
        <f>C16/100*387</f>
        <v>425.70000000000005</v>
      </c>
      <c r="K16" s="22">
        <f>C16/100*0.09</f>
        <v>9.9000000000000005E-2</v>
      </c>
      <c r="L16" s="111">
        <v>110</v>
      </c>
      <c r="M16" s="20">
        <v>20</v>
      </c>
      <c r="N16" s="16">
        <f>L16*M16</f>
        <v>2200</v>
      </c>
      <c r="O16" s="314"/>
    </row>
    <row r="17" spans="1:20" s="2" customFormat="1" ht="20.399999999999999" customHeight="1">
      <c r="A17" s="8">
        <v>2</v>
      </c>
      <c r="B17" s="9" t="s">
        <v>119</v>
      </c>
      <c r="C17" s="12">
        <f>L17/100*100</f>
        <v>1510</v>
      </c>
      <c r="D17" s="13">
        <f>C17/100*53</f>
        <v>800.3</v>
      </c>
      <c r="E17" s="14"/>
      <c r="F17" s="14">
        <f>C17/100*6.3</f>
        <v>95.13</v>
      </c>
      <c r="G17" s="14"/>
      <c r="H17" s="14">
        <f>C17/100*0.04</f>
        <v>0.60399999999999998</v>
      </c>
      <c r="I17" s="14">
        <f>C17/100*6.8</f>
        <v>102.67999999999999</v>
      </c>
      <c r="J17" s="22">
        <f>C17/100*19</f>
        <v>286.89999999999998</v>
      </c>
      <c r="K17" s="22">
        <f>C17/100*0.03</f>
        <v>0.45299999999999996</v>
      </c>
      <c r="L17" s="111">
        <v>1510</v>
      </c>
      <c r="M17" s="20">
        <v>42.5</v>
      </c>
      <c r="N17" s="16">
        <f t="shared" ref="N17:N27" si="0">L17*M17</f>
        <v>64175</v>
      </c>
      <c r="O17" s="337"/>
    </row>
    <row r="18" spans="1:20" s="2" customFormat="1" ht="20.399999999999999" customHeight="1">
      <c r="A18" s="8">
        <v>3</v>
      </c>
      <c r="B18" s="115" t="s">
        <v>121</v>
      </c>
      <c r="C18" s="12">
        <f>L18/100*100</f>
        <v>650</v>
      </c>
      <c r="D18" s="13">
        <f>C18/100*899</f>
        <v>5843.5</v>
      </c>
      <c r="E18" s="14"/>
      <c r="F18" s="14"/>
      <c r="G18" s="14">
        <f>C18/100*100</f>
        <v>650</v>
      </c>
      <c r="H18" s="14"/>
      <c r="I18" s="14"/>
      <c r="J18" s="14"/>
      <c r="K18" s="14"/>
      <c r="L18" s="15">
        <v>650</v>
      </c>
      <c r="M18" s="65">
        <v>68</v>
      </c>
      <c r="N18" s="16">
        <f t="shared" si="0"/>
        <v>44200</v>
      </c>
      <c r="O18" s="315"/>
    </row>
    <row r="19" spans="1:20" s="2" customFormat="1" ht="20.399999999999999" customHeight="1">
      <c r="A19" s="8">
        <v>4</v>
      </c>
      <c r="B19" s="9" t="s">
        <v>129</v>
      </c>
      <c r="C19" s="12">
        <f>L19/100*90</f>
        <v>189</v>
      </c>
      <c r="D19" s="13">
        <f>C19/100*281</f>
        <v>531.08999999999992</v>
      </c>
      <c r="E19" s="14"/>
      <c r="F19" s="14">
        <f>C19/100*9.5</f>
        <v>17.954999999999998</v>
      </c>
      <c r="G19" s="14"/>
      <c r="H19" s="14">
        <f>C19/100*0.2</f>
        <v>0.378</v>
      </c>
      <c r="I19" s="14">
        <f>D19/100*58.5</f>
        <v>310.68764999999996</v>
      </c>
      <c r="J19" s="22">
        <f>C19/100*321</f>
        <v>606.68999999999994</v>
      </c>
      <c r="K19" s="22">
        <f>C19/100*0.14</f>
        <v>0.2646</v>
      </c>
      <c r="L19" s="111">
        <v>210</v>
      </c>
      <c r="M19" s="43">
        <v>120</v>
      </c>
      <c r="N19" s="16">
        <f t="shared" si="0"/>
        <v>25200</v>
      </c>
      <c r="O19" s="337"/>
    </row>
    <row r="20" spans="1:20" s="2" customFormat="1" ht="20.399999999999999" customHeight="1">
      <c r="A20" s="8">
        <v>5</v>
      </c>
      <c r="B20" s="5" t="s">
        <v>1</v>
      </c>
      <c r="C20" s="12">
        <f>L20/100*100</f>
        <v>20520</v>
      </c>
      <c r="D20" s="65">
        <f>C20/100*321</f>
        <v>65869.2</v>
      </c>
      <c r="E20" s="14"/>
      <c r="F20" s="91">
        <f>C20/100*7.9</f>
        <v>1621.08</v>
      </c>
      <c r="G20" s="14"/>
      <c r="H20" s="14">
        <f>C20/100*1</f>
        <v>205.2</v>
      </c>
      <c r="I20" s="91">
        <f>C20/100*67</f>
        <v>13748.4</v>
      </c>
      <c r="J20" s="64">
        <f>C20/100*30</f>
        <v>6156</v>
      </c>
      <c r="K20" s="22">
        <f>C20/100*0.1</f>
        <v>20.52</v>
      </c>
      <c r="L20" s="111">
        <v>20520</v>
      </c>
      <c r="M20" s="20">
        <v>18</v>
      </c>
      <c r="N20" s="16">
        <f t="shared" si="0"/>
        <v>369360</v>
      </c>
      <c r="O20" s="314"/>
    </row>
    <row r="21" spans="1:20" s="2" customFormat="1" ht="20.399999999999999" customHeight="1">
      <c r="A21" s="8">
        <v>6</v>
      </c>
      <c r="B21" s="5" t="s">
        <v>3</v>
      </c>
      <c r="C21" s="12">
        <f>L21/100*48</f>
        <v>3729.6000000000004</v>
      </c>
      <c r="D21" s="13">
        <f>C21/100*199</f>
        <v>7421.9040000000014</v>
      </c>
      <c r="E21" s="14">
        <f>C21/100*20.3</f>
        <v>757.1088000000002</v>
      </c>
      <c r="F21" s="14"/>
      <c r="G21" s="14">
        <f>C21/100*13.1</f>
        <v>488.57760000000007</v>
      </c>
      <c r="H21" s="14"/>
      <c r="I21" s="14"/>
      <c r="J21" s="22">
        <f>C21/100*12</f>
        <v>447.55200000000008</v>
      </c>
      <c r="K21" s="22">
        <f>C21/100*0.15</f>
        <v>5.5944000000000011</v>
      </c>
      <c r="L21" s="111">
        <v>7770</v>
      </c>
      <c r="M21" s="15">
        <v>84</v>
      </c>
      <c r="N21" s="16">
        <f t="shared" si="0"/>
        <v>652680</v>
      </c>
      <c r="O21" s="314"/>
      <c r="Q21" s="3"/>
      <c r="R21" s="3"/>
      <c r="S21" s="4"/>
    </row>
    <row r="22" spans="1:20" s="2" customFormat="1" ht="20.399999999999999" customHeight="1">
      <c r="A22" s="8">
        <v>7</v>
      </c>
      <c r="B22" s="9" t="s">
        <v>66</v>
      </c>
      <c r="C22" s="12">
        <f>L22/100*98</f>
        <v>7408.7999999999993</v>
      </c>
      <c r="D22" s="65">
        <f>C22/100*139</f>
        <v>10298.232</v>
      </c>
      <c r="E22" s="91">
        <f>C22/100*19</f>
        <v>1407.6719999999998</v>
      </c>
      <c r="F22" s="14"/>
      <c r="G22" s="14">
        <f>C22/100*7</f>
        <v>518.61599999999999</v>
      </c>
      <c r="H22" s="14"/>
      <c r="I22" s="14"/>
      <c r="J22" s="22">
        <f>C22/100*7</f>
        <v>518.61599999999999</v>
      </c>
      <c r="K22" s="22">
        <f>C22/100*0.9</f>
        <v>66.679199999999994</v>
      </c>
      <c r="L22" s="111">
        <v>7560</v>
      </c>
      <c r="M22" s="15">
        <v>137</v>
      </c>
      <c r="N22" s="93">
        <f t="shared" si="0"/>
        <v>1035720</v>
      </c>
      <c r="O22" s="314"/>
    </row>
    <row r="23" spans="1:20" s="2" customFormat="1" ht="20.399999999999999" customHeight="1">
      <c r="A23" s="8">
        <v>8</v>
      </c>
      <c r="B23" s="5" t="s">
        <v>63</v>
      </c>
      <c r="C23" s="12">
        <f>L23/100*86</f>
        <v>1857.6000000000001</v>
      </c>
      <c r="D23" s="13">
        <f>C23/100*166</f>
        <v>3083.616</v>
      </c>
      <c r="E23" s="14">
        <f>C23/100*14.8</f>
        <v>274.9248</v>
      </c>
      <c r="F23" s="14"/>
      <c r="G23" s="14">
        <f>C23/100*11.6</f>
        <v>215.48159999999999</v>
      </c>
      <c r="H23" s="14"/>
      <c r="I23" s="14">
        <f>C23/100*0.5</f>
        <v>9.2880000000000003</v>
      </c>
      <c r="J23" s="64">
        <f>C23/100*55</f>
        <v>1021.6800000000001</v>
      </c>
      <c r="K23" s="22">
        <f>C23/100*0.16</f>
        <v>2.9721600000000001</v>
      </c>
      <c r="L23" s="111">
        <v>2160</v>
      </c>
      <c r="M23" s="20">
        <v>62</v>
      </c>
      <c r="N23" s="16">
        <f t="shared" si="0"/>
        <v>133920</v>
      </c>
      <c r="O23" s="314"/>
      <c r="Q23" s="3"/>
      <c r="R23" s="3"/>
      <c r="S23" s="4"/>
    </row>
    <row r="24" spans="1:20" s="2" customFormat="1" ht="20.399999999999999" customHeight="1">
      <c r="A24" s="8">
        <v>9</v>
      </c>
      <c r="B24" s="5" t="s">
        <v>143</v>
      </c>
      <c r="C24" s="12">
        <f>L24/100*31</f>
        <v>669.6</v>
      </c>
      <c r="D24" s="13">
        <f>C24/100*87</f>
        <v>582.55200000000002</v>
      </c>
      <c r="E24" s="14">
        <f>C24/100*12.3</f>
        <v>82.360800000000012</v>
      </c>
      <c r="F24" s="14"/>
      <c r="G24" s="14">
        <f>C24/100*3.3</f>
        <v>22.096800000000002</v>
      </c>
      <c r="H24" s="14"/>
      <c r="I24" s="14">
        <f>C24/100*2</f>
        <v>13.392000000000001</v>
      </c>
      <c r="J24" s="64">
        <f>C24/100*1120</f>
        <v>7499.52</v>
      </c>
      <c r="K24" s="22">
        <f>C24/100*0.01</f>
        <v>6.6960000000000006E-2</v>
      </c>
      <c r="L24" s="111">
        <v>2160</v>
      </c>
      <c r="M24" s="20">
        <v>160</v>
      </c>
      <c r="N24" s="93">
        <f t="shared" si="0"/>
        <v>345600</v>
      </c>
      <c r="O24" s="314"/>
      <c r="Q24" s="3"/>
      <c r="R24" s="3"/>
      <c r="S24" s="4"/>
    </row>
    <row r="25" spans="1:20" s="2" customFormat="1" ht="20.399999999999999" customHeight="1">
      <c r="A25" s="8">
        <v>10</v>
      </c>
      <c r="B25" s="5" t="s">
        <v>68</v>
      </c>
      <c r="C25" s="12">
        <f>L25/100*75</f>
        <v>3240</v>
      </c>
      <c r="D25" s="13">
        <f>C25/100*12</f>
        <v>388.79999999999995</v>
      </c>
      <c r="E25" s="17"/>
      <c r="F25" s="17">
        <f>C25/100*0.6</f>
        <v>19.439999999999998</v>
      </c>
      <c r="G25" s="17"/>
      <c r="H25" s="17"/>
      <c r="I25" s="17">
        <f>C25/100*2.4</f>
        <v>77.759999999999991</v>
      </c>
      <c r="J25" s="91">
        <f>C25/100*120</f>
        <v>3888</v>
      </c>
      <c r="K25" s="22">
        <f>C25/100*0.02</f>
        <v>0.64800000000000002</v>
      </c>
      <c r="L25" s="318">
        <v>4320</v>
      </c>
      <c r="M25" s="20">
        <v>25</v>
      </c>
      <c r="N25" s="16">
        <f t="shared" si="0"/>
        <v>108000</v>
      </c>
      <c r="O25" s="314"/>
      <c r="P25" s="3"/>
    </row>
    <row r="26" spans="1:20" s="2" customFormat="1" ht="20.399999999999999" customHeight="1">
      <c r="A26" s="8">
        <v>11</v>
      </c>
      <c r="B26" s="5" t="s">
        <v>135</v>
      </c>
      <c r="C26" s="12">
        <f>L26/100*75</f>
        <v>5670</v>
      </c>
      <c r="D26" s="13">
        <f>C26/100*17</f>
        <v>963.90000000000009</v>
      </c>
      <c r="E26" s="14"/>
      <c r="F26" s="14">
        <f>C26/100*1.4</f>
        <v>79.38</v>
      </c>
      <c r="G26" s="14"/>
      <c r="H26" s="14">
        <f>C26/100*0.2</f>
        <v>11.340000000000002</v>
      </c>
      <c r="I26" s="14">
        <f>C26/100*2.4</f>
        <v>136.08000000000001</v>
      </c>
      <c r="J26" s="91">
        <f>C26/100*50</f>
        <v>2835</v>
      </c>
      <c r="K26" s="14">
        <f>C26/100*0.09</f>
        <v>5.1029999999999998</v>
      </c>
      <c r="L26" s="111">
        <v>7560</v>
      </c>
      <c r="M26" s="20">
        <v>18</v>
      </c>
      <c r="N26" s="16">
        <f t="shared" si="0"/>
        <v>136080</v>
      </c>
      <c r="O26" s="314"/>
    </row>
    <row r="27" spans="1:20" s="2" customFormat="1" ht="20.399999999999999" customHeight="1">
      <c r="A27" s="8">
        <v>12</v>
      </c>
      <c r="B27" s="5" t="s">
        <v>117</v>
      </c>
      <c r="C27" s="12">
        <f>L27/100*100</f>
        <v>210</v>
      </c>
      <c r="D27" s="13">
        <f>C27/100*247</f>
        <v>518.70000000000005</v>
      </c>
      <c r="E27" s="17"/>
      <c r="F27" s="17">
        <f>C27/100*17.5</f>
        <v>36.75</v>
      </c>
      <c r="G27" s="17"/>
      <c r="H27" s="17">
        <f>C27/100*1.6</f>
        <v>3.3600000000000003</v>
      </c>
      <c r="I27" s="17">
        <f>C27/100*39.2</f>
        <v>82.320000000000007</v>
      </c>
      <c r="J27" s="21"/>
      <c r="K27" s="21"/>
      <c r="L27" s="317">
        <v>210</v>
      </c>
      <c r="M27" s="20">
        <v>50</v>
      </c>
      <c r="N27" s="16">
        <f t="shared" si="0"/>
        <v>10500</v>
      </c>
      <c r="O27" s="314"/>
      <c r="Q27" s="3"/>
      <c r="R27" s="3"/>
      <c r="S27" s="4"/>
      <c r="T27" s="3"/>
    </row>
    <row r="28" spans="1:20" s="2" customFormat="1" ht="20.399999999999999" customHeight="1">
      <c r="A28" s="8">
        <v>13</v>
      </c>
      <c r="B28" s="9" t="s">
        <v>111</v>
      </c>
      <c r="C28" s="12"/>
      <c r="D28" s="13"/>
      <c r="E28" s="14"/>
      <c r="F28" s="14"/>
      <c r="G28" s="14"/>
      <c r="H28" s="14"/>
      <c r="I28" s="14"/>
      <c r="J28" s="14"/>
      <c r="K28" s="14"/>
      <c r="L28" s="15"/>
      <c r="M28" s="15"/>
      <c r="N28" s="16">
        <v>15750</v>
      </c>
      <c r="O28" s="314"/>
    </row>
    <row r="29" spans="1:20" s="2" customFormat="1" ht="20.399999999999999" customHeight="1">
      <c r="A29" s="23" t="s">
        <v>97</v>
      </c>
      <c r="B29" s="24"/>
      <c r="C29" s="25"/>
      <c r="D29" s="94">
        <f>SUM(D16:D28)</f>
        <v>96367.79399999998</v>
      </c>
      <c r="E29" s="27"/>
      <c r="F29" s="27"/>
      <c r="G29" s="27"/>
      <c r="H29" s="27"/>
      <c r="I29" s="27"/>
      <c r="J29" s="27"/>
      <c r="K29" s="27"/>
      <c r="L29" s="28"/>
      <c r="M29" s="28"/>
      <c r="N29" s="190">
        <f>SUM(N16:N28)</f>
        <v>2943385</v>
      </c>
      <c r="O29" s="314"/>
    </row>
    <row r="30" spans="1:20" s="2" customFormat="1" ht="20.399999999999999" customHeight="1">
      <c r="A30" s="23" t="s">
        <v>6</v>
      </c>
      <c r="B30" s="24"/>
      <c r="C30" s="25"/>
      <c r="D30" s="26">
        <f>D29/C10</f>
        <v>446.14719444444432</v>
      </c>
      <c r="E30" s="27"/>
      <c r="F30" s="27"/>
      <c r="G30" s="27"/>
      <c r="H30" s="27"/>
      <c r="I30" s="27"/>
      <c r="J30" s="27"/>
      <c r="K30" s="27"/>
      <c r="L30" s="28"/>
      <c r="M30" s="28"/>
      <c r="N30" s="191"/>
      <c r="O30" s="314"/>
    </row>
    <row r="31" spans="1:20" s="2" customFormat="1" ht="20.399999999999999" customHeight="1">
      <c r="A31" s="283" t="s">
        <v>50</v>
      </c>
      <c r="B31" s="193"/>
      <c r="C31" s="319" t="s">
        <v>133</v>
      </c>
      <c r="D31" s="29" t="s">
        <v>38</v>
      </c>
      <c r="E31" s="27"/>
      <c r="F31" s="27"/>
      <c r="G31" s="27"/>
      <c r="H31" s="27"/>
      <c r="I31" s="27"/>
      <c r="J31" s="27"/>
      <c r="K31" s="27"/>
      <c r="L31" s="28"/>
      <c r="M31" s="28"/>
      <c r="N31" s="30"/>
      <c r="O31" s="314"/>
    </row>
    <row r="32" spans="1:20" s="2" customFormat="1" ht="20.399999999999999" customHeight="1">
      <c r="A32" s="194"/>
      <c r="B32" s="195"/>
      <c r="C32" s="62" t="s">
        <v>58</v>
      </c>
      <c r="D32" s="29">
        <f>D30*100/1320</f>
        <v>33.799029882154876</v>
      </c>
      <c r="E32" s="27"/>
      <c r="F32" s="27"/>
      <c r="G32" s="27"/>
      <c r="H32" s="27"/>
      <c r="I32" s="27"/>
      <c r="J32" s="27"/>
      <c r="K32" s="27"/>
      <c r="L32" s="28"/>
      <c r="M32" s="28"/>
      <c r="N32" s="30"/>
      <c r="O32" s="314"/>
    </row>
    <row r="33" spans="1:23" s="2" customFormat="1" ht="20.399999999999999" customHeight="1">
      <c r="A33" s="224" t="s">
        <v>39</v>
      </c>
      <c r="B33" s="224"/>
      <c r="C33" s="45"/>
      <c r="D33" s="46"/>
      <c r="E33" s="47"/>
      <c r="F33" s="47"/>
      <c r="G33" s="47"/>
      <c r="H33" s="47"/>
      <c r="I33" s="47"/>
      <c r="J33" s="47"/>
      <c r="K33" s="47"/>
      <c r="L33" s="48"/>
      <c r="M33" s="48"/>
      <c r="N33" s="49"/>
      <c r="O33" s="314"/>
    </row>
    <row r="34" spans="1:23" s="2" customFormat="1" ht="20.399999999999999" customHeight="1">
      <c r="A34" s="8">
        <v>1</v>
      </c>
      <c r="B34" s="9" t="s">
        <v>2</v>
      </c>
      <c r="C34" s="12">
        <f>L34/100*100</f>
        <v>210</v>
      </c>
      <c r="D34" s="13">
        <f>C34/100*60</f>
        <v>126</v>
      </c>
      <c r="E34" s="14">
        <f>C34/100*15</f>
        <v>31.5</v>
      </c>
      <c r="F34" s="14"/>
      <c r="G34" s="14"/>
      <c r="H34" s="14"/>
      <c r="I34" s="14"/>
      <c r="J34" s="22">
        <f>C34/100*387</f>
        <v>812.7</v>
      </c>
      <c r="K34" s="22">
        <f>C34/100*0.09</f>
        <v>0.189</v>
      </c>
      <c r="L34" s="111">
        <v>210</v>
      </c>
      <c r="M34" s="20">
        <v>20</v>
      </c>
      <c r="N34" s="16">
        <f>L34*M34</f>
        <v>4200</v>
      </c>
      <c r="O34" s="314"/>
    </row>
    <row r="35" spans="1:23" s="2" customFormat="1" ht="20.399999999999999" customHeight="1">
      <c r="A35" s="8">
        <v>2</v>
      </c>
      <c r="B35" s="115" t="s">
        <v>121</v>
      </c>
      <c r="C35" s="12">
        <f>L35/100*100</f>
        <v>750</v>
      </c>
      <c r="D35" s="13">
        <f>C35/100*899</f>
        <v>6742.5</v>
      </c>
      <c r="E35" s="14"/>
      <c r="F35" s="14"/>
      <c r="G35" s="14">
        <f>C35/100*100</f>
        <v>750</v>
      </c>
      <c r="H35" s="14"/>
      <c r="I35" s="14"/>
      <c r="J35" s="14"/>
      <c r="K35" s="14"/>
      <c r="L35" s="15">
        <v>750</v>
      </c>
      <c r="M35" s="65">
        <v>68</v>
      </c>
      <c r="N35" s="16">
        <f t="shared" ref="N35:N38" si="1">L35*M35</f>
        <v>51000</v>
      </c>
      <c r="O35" s="315"/>
    </row>
    <row r="36" spans="1:23" s="2" customFormat="1" ht="20.399999999999999" customHeight="1">
      <c r="A36" s="8">
        <v>3</v>
      </c>
      <c r="B36" s="9" t="s">
        <v>126</v>
      </c>
      <c r="C36" s="12">
        <f>L36/100*100</f>
        <v>969.99999999999989</v>
      </c>
      <c r="D36" s="65">
        <f>C36/100*900</f>
        <v>8730</v>
      </c>
      <c r="E36" s="14"/>
      <c r="F36" s="14"/>
      <c r="G36" s="91"/>
      <c r="H36" s="14">
        <f>C36/100*100</f>
        <v>969.99999999999989</v>
      </c>
      <c r="I36" s="14"/>
      <c r="J36" s="14"/>
      <c r="K36" s="14"/>
      <c r="L36" s="111">
        <v>970</v>
      </c>
      <c r="M36" s="65">
        <v>63.5</v>
      </c>
      <c r="N36" s="93">
        <f t="shared" si="1"/>
        <v>61595</v>
      </c>
      <c r="O36" s="315"/>
    </row>
    <row r="37" spans="1:23" s="2" customFormat="1" ht="20.399999999999999" customHeight="1">
      <c r="A37" s="8">
        <v>4</v>
      </c>
      <c r="B37" s="9" t="s">
        <v>66</v>
      </c>
      <c r="C37" s="12">
        <f>L37/100*98</f>
        <v>6066.2</v>
      </c>
      <c r="D37" s="13">
        <f>C37/100*139</f>
        <v>8432.018</v>
      </c>
      <c r="E37" s="91">
        <f>C37/100*19</f>
        <v>1152.578</v>
      </c>
      <c r="F37" s="14"/>
      <c r="G37" s="14">
        <f>C37/100*7</f>
        <v>424.63400000000001</v>
      </c>
      <c r="H37" s="14"/>
      <c r="I37" s="14"/>
      <c r="J37" s="22">
        <f>C37/100*7</f>
        <v>424.63400000000001</v>
      </c>
      <c r="K37" s="22">
        <f>C37/100*0.9</f>
        <v>54.595799999999997</v>
      </c>
      <c r="L37" s="111">
        <v>6190</v>
      </c>
      <c r="M37" s="15">
        <v>137</v>
      </c>
      <c r="N37" s="16">
        <f t="shared" si="1"/>
        <v>848030</v>
      </c>
      <c r="O37" s="314"/>
    </row>
    <row r="38" spans="1:23" s="2" customFormat="1" ht="19.8" customHeight="1">
      <c r="A38" s="8">
        <v>5</v>
      </c>
      <c r="B38" s="5" t="s">
        <v>65</v>
      </c>
      <c r="C38" s="12">
        <f>L38/100*100</f>
        <v>6480</v>
      </c>
      <c r="D38" s="65">
        <f>C38/100*344</f>
        <v>22291.200000000001</v>
      </c>
      <c r="E38" s="14"/>
      <c r="F38" s="14">
        <f>C38/100*8.6</f>
        <v>557.28</v>
      </c>
      <c r="G38" s="14"/>
      <c r="H38" s="14">
        <f>C38/100*1.5</f>
        <v>97.199999999999989</v>
      </c>
      <c r="I38" s="91">
        <f>C38/100*70</f>
        <v>4536</v>
      </c>
      <c r="J38" s="91">
        <f>C38/100*32</f>
        <v>2073.6</v>
      </c>
      <c r="K38" s="14">
        <f>C38/100*0.14</f>
        <v>9.072000000000001</v>
      </c>
      <c r="L38" s="111">
        <v>6480</v>
      </c>
      <c r="M38" s="20">
        <v>30</v>
      </c>
      <c r="N38" s="16">
        <f t="shared" si="1"/>
        <v>194400</v>
      </c>
      <c r="O38" s="314"/>
      <c r="P38" s="320"/>
    </row>
    <row r="39" spans="1:23" s="2" customFormat="1" ht="19.8" customHeight="1">
      <c r="A39" s="8">
        <v>6</v>
      </c>
      <c r="B39" s="5" t="s">
        <v>61</v>
      </c>
      <c r="C39" s="12">
        <f>L39/100*100</f>
        <v>430</v>
      </c>
      <c r="D39" s="13">
        <f>C39/100*334</f>
        <v>1436.2</v>
      </c>
      <c r="E39" s="14"/>
      <c r="F39" s="14">
        <f>C39/100*20</f>
        <v>86</v>
      </c>
      <c r="G39" s="14"/>
      <c r="H39" s="14">
        <f>C39/100*2.4</f>
        <v>10.319999999999999</v>
      </c>
      <c r="I39" s="14">
        <f>C39/100*58</f>
        <v>249.39999999999998</v>
      </c>
      <c r="J39" s="22">
        <f>C39/100*89</f>
        <v>382.7</v>
      </c>
      <c r="K39" s="22">
        <f>C39/100*0.64</f>
        <v>2.7519999999999998</v>
      </c>
      <c r="L39" s="111">
        <v>430</v>
      </c>
      <c r="M39" s="102">
        <v>190</v>
      </c>
      <c r="N39" s="16">
        <f>L39*M39</f>
        <v>81700</v>
      </c>
      <c r="O39" s="314"/>
    </row>
    <row r="40" spans="1:23" s="2" customFormat="1" ht="20.399999999999999" customHeight="1">
      <c r="A40" s="8">
        <v>7</v>
      </c>
      <c r="B40" s="5" t="s">
        <v>117</v>
      </c>
      <c r="C40" s="12">
        <f>L40/100*100</f>
        <v>130</v>
      </c>
      <c r="D40" s="13">
        <f>C40/100*247</f>
        <v>321.10000000000002</v>
      </c>
      <c r="E40" s="17"/>
      <c r="F40" s="17">
        <f>C40/100*17.5</f>
        <v>22.75</v>
      </c>
      <c r="G40" s="17"/>
      <c r="H40" s="17">
        <f>C40/100*1.6</f>
        <v>2.08</v>
      </c>
      <c r="I40" s="17">
        <f>C40/100*39.2</f>
        <v>50.960000000000008</v>
      </c>
      <c r="J40" s="21"/>
      <c r="K40" s="21"/>
      <c r="L40" s="318">
        <v>130</v>
      </c>
      <c r="M40" s="20">
        <v>50</v>
      </c>
      <c r="N40" s="16">
        <f t="shared" ref="N40:N41" si="2">L40*M40</f>
        <v>6500</v>
      </c>
      <c r="O40" s="314"/>
      <c r="Q40" s="3"/>
      <c r="R40" s="3"/>
      <c r="S40" s="4"/>
      <c r="T40" s="3"/>
    </row>
    <row r="41" spans="1:23" s="2" customFormat="1" ht="20.399999999999999" customHeight="1">
      <c r="A41" s="8">
        <v>8</v>
      </c>
      <c r="B41" s="123" t="s">
        <v>155</v>
      </c>
      <c r="C41" s="12">
        <f>L41/100*73.5</f>
        <v>17463.599999999999</v>
      </c>
      <c r="D41" s="13">
        <f>C41/100*56</f>
        <v>9779.616</v>
      </c>
      <c r="E41" s="17"/>
      <c r="F41" s="17">
        <f>C41/100*0.9</f>
        <v>157.17240000000001</v>
      </c>
      <c r="G41" s="17"/>
      <c r="H41" s="17">
        <f>C41/100*0.3</f>
        <v>52.390799999999999</v>
      </c>
      <c r="I41" s="124">
        <f>C41/100*12.4</f>
        <v>2165.4864000000002</v>
      </c>
      <c r="J41" s="63">
        <f>C41/100*12</f>
        <v>2095.6320000000001</v>
      </c>
      <c r="K41" s="21">
        <f>C41/100*0.04</f>
        <v>6.9854399999999996</v>
      </c>
      <c r="L41" s="317">
        <v>23760</v>
      </c>
      <c r="M41" s="20">
        <v>23</v>
      </c>
      <c r="N41" s="16">
        <f t="shared" si="2"/>
        <v>546480</v>
      </c>
      <c r="O41" s="314"/>
    </row>
    <row r="42" spans="1:23" s="2" customFormat="1" ht="20.399999999999999" customHeight="1">
      <c r="A42" s="77">
        <v>9</v>
      </c>
      <c r="B42" s="78" t="s">
        <v>111</v>
      </c>
      <c r="C42" s="79"/>
      <c r="D42" s="346"/>
      <c r="E42" s="105"/>
      <c r="F42" s="105"/>
      <c r="G42" s="105"/>
      <c r="H42" s="81"/>
      <c r="I42" s="81"/>
      <c r="J42" s="81"/>
      <c r="K42" s="81"/>
      <c r="L42" s="82"/>
      <c r="M42" s="82"/>
      <c r="N42" s="83">
        <v>14100</v>
      </c>
      <c r="O42" s="314"/>
    </row>
    <row r="43" spans="1:23" ht="19.2" customHeight="1">
      <c r="A43" s="211" t="s">
        <v>0</v>
      </c>
      <c r="B43" s="214" t="s">
        <v>19</v>
      </c>
      <c r="C43" s="217" t="s">
        <v>8</v>
      </c>
      <c r="D43" s="217" t="s">
        <v>9</v>
      </c>
      <c r="E43" s="220" t="s">
        <v>11</v>
      </c>
      <c r="F43" s="221"/>
      <c r="G43" s="220" t="s">
        <v>13</v>
      </c>
      <c r="H43" s="221"/>
      <c r="I43" s="208" t="s">
        <v>16</v>
      </c>
      <c r="J43" s="208" t="s">
        <v>32</v>
      </c>
      <c r="K43" s="208" t="s">
        <v>33</v>
      </c>
      <c r="L43" s="208" t="s">
        <v>17</v>
      </c>
      <c r="M43" s="208" t="s">
        <v>54</v>
      </c>
      <c r="N43" s="211" t="s">
        <v>18</v>
      </c>
      <c r="O43" s="313"/>
    </row>
    <row r="44" spans="1:23" ht="19.2" customHeight="1">
      <c r="A44" s="212"/>
      <c r="B44" s="215"/>
      <c r="C44" s="218"/>
      <c r="D44" s="218"/>
      <c r="E44" s="222"/>
      <c r="F44" s="223"/>
      <c r="G44" s="222"/>
      <c r="H44" s="223"/>
      <c r="I44" s="209"/>
      <c r="J44" s="209"/>
      <c r="K44" s="209"/>
      <c r="L44" s="209"/>
      <c r="M44" s="209"/>
      <c r="N44" s="212"/>
      <c r="O44" s="152"/>
    </row>
    <row r="45" spans="1:23" ht="19.2" customHeight="1">
      <c r="A45" s="212"/>
      <c r="B45" s="215"/>
      <c r="C45" s="218"/>
      <c r="D45" s="218"/>
      <c r="E45" s="208" t="s">
        <v>10</v>
      </c>
      <c r="F45" s="208" t="s">
        <v>12</v>
      </c>
      <c r="G45" s="208" t="s">
        <v>14</v>
      </c>
      <c r="H45" s="208" t="s">
        <v>15</v>
      </c>
      <c r="I45" s="209"/>
      <c r="J45" s="209"/>
      <c r="K45" s="209"/>
      <c r="L45" s="209"/>
      <c r="M45" s="209"/>
      <c r="N45" s="212"/>
      <c r="O45" s="152"/>
    </row>
    <row r="46" spans="1:23" ht="19.2" customHeight="1">
      <c r="A46" s="213"/>
      <c r="B46" s="216"/>
      <c r="C46" s="219"/>
      <c r="D46" s="219"/>
      <c r="E46" s="210"/>
      <c r="F46" s="210"/>
      <c r="G46" s="210"/>
      <c r="H46" s="210"/>
      <c r="I46" s="210"/>
      <c r="J46" s="210"/>
      <c r="K46" s="210"/>
      <c r="L46" s="210"/>
      <c r="M46" s="210"/>
      <c r="N46" s="213"/>
      <c r="O46" s="152"/>
    </row>
    <row r="47" spans="1:23" s="2" customFormat="1" ht="21" customHeight="1">
      <c r="A47" s="23" t="s">
        <v>98</v>
      </c>
      <c r="B47" s="24"/>
      <c r="C47" s="25"/>
      <c r="D47" s="94">
        <f>SUM(D34:D42)</f>
        <v>57858.633999999998</v>
      </c>
      <c r="E47" s="31"/>
      <c r="F47" s="31"/>
      <c r="G47" s="31"/>
      <c r="H47" s="31"/>
      <c r="I47" s="31"/>
      <c r="J47" s="31"/>
      <c r="K47" s="31"/>
      <c r="L47" s="32"/>
      <c r="M47" s="32"/>
      <c r="N47" s="190">
        <f>SUM(N34:N42)</f>
        <v>1808005</v>
      </c>
      <c r="O47" s="314"/>
    </row>
    <row r="48" spans="1:23" ht="21" customHeight="1">
      <c r="A48" s="23" t="s">
        <v>7</v>
      </c>
      <c r="B48" s="24"/>
      <c r="C48" s="33"/>
      <c r="D48" s="34">
        <f>D47/C10</f>
        <v>267.86404629629629</v>
      </c>
      <c r="E48" s="34"/>
      <c r="F48" s="34"/>
      <c r="G48" s="34"/>
      <c r="H48" s="34"/>
      <c r="I48" s="34"/>
      <c r="J48" s="34"/>
      <c r="K48" s="34"/>
      <c r="L48" s="35"/>
      <c r="M48" s="35"/>
      <c r="N48" s="191"/>
      <c r="O48" s="4"/>
      <c r="P48" s="2"/>
      <c r="Q48" s="2"/>
      <c r="R48" s="2"/>
      <c r="S48" s="2"/>
      <c r="T48" s="2"/>
      <c r="U48" s="2"/>
      <c r="V48" s="2"/>
      <c r="W48" s="2"/>
    </row>
    <row r="49" spans="1:23" ht="21" customHeight="1">
      <c r="A49" s="283" t="s">
        <v>51</v>
      </c>
      <c r="B49" s="193"/>
      <c r="C49" s="319" t="s">
        <v>133</v>
      </c>
      <c r="D49" s="29" t="s">
        <v>41</v>
      </c>
      <c r="E49" s="34"/>
      <c r="F49" s="34"/>
      <c r="G49" s="34"/>
      <c r="H49" s="34"/>
      <c r="I49" s="34"/>
      <c r="J49" s="36"/>
      <c r="K49" s="36"/>
      <c r="L49" s="35"/>
      <c r="M49" s="35"/>
      <c r="N49" s="153"/>
      <c r="O49" s="4"/>
      <c r="P49" s="2"/>
      <c r="Q49" s="2"/>
      <c r="R49" s="2"/>
      <c r="S49" s="2"/>
      <c r="T49" s="2"/>
      <c r="U49" s="2"/>
      <c r="V49" s="2"/>
      <c r="W49" s="2"/>
    </row>
    <row r="50" spans="1:23" ht="21" customHeight="1">
      <c r="A50" s="194"/>
      <c r="B50" s="195"/>
      <c r="C50" s="62" t="s">
        <v>58</v>
      </c>
      <c r="D50" s="29">
        <f>D48*100/1320</f>
        <v>20.292730780022445</v>
      </c>
      <c r="E50" s="34"/>
      <c r="F50" s="34"/>
      <c r="G50" s="34"/>
      <c r="H50" s="34"/>
      <c r="I50" s="34"/>
      <c r="J50" s="36"/>
      <c r="K50" s="36"/>
      <c r="L50" s="35"/>
      <c r="M50" s="35"/>
      <c r="N50" s="153"/>
      <c r="O50" s="4"/>
      <c r="P50" s="2"/>
      <c r="Q50" s="2"/>
      <c r="R50" s="2"/>
      <c r="S50" s="2"/>
      <c r="T50" s="2"/>
      <c r="U50" s="2"/>
      <c r="V50" s="2"/>
      <c r="W50" s="2"/>
    </row>
    <row r="51" spans="1:23" ht="21" customHeight="1">
      <c r="A51" s="196" t="s">
        <v>99</v>
      </c>
      <c r="B51" s="197"/>
      <c r="C51" s="200"/>
      <c r="D51" s="254">
        <f>D29+D47</f>
        <v>154226.42799999999</v>
      </c>
      <c r="E51" s="95">
        <f>SUM(E16:E42)</f>
        <v>3722.6444000000001</v>
      </c>
      <c r="F51" s="95">
        <f t="shared" ref="F51:H51" si="3">SUM(F16:F42)</f>
        <v>2692.9374000000003</v>
      </c>
      <c r="G51" s="95">
        <f t="shared" si="3"/>
        <v>3069.4059999999999</v>
      </c>
      <c r="H51" s="95">
        <f t="shared" si="3"/>
        <v>1352.8727999999996</v>
      </c>
      <c r="I51" s="206">
        <f>SUM(I16:I42)</f>
        <v>21482.45405</v>
      </c>
      <c r="J51" s="206">
        <f>SUM(J16:J42)</f>
        <v>29474.923999999999</v>
      </c>
      <c r="K51" s="204">
        <f>SUM(K16:K42)</f>
        <v>175.99456000000001</v>
      </c>
      <c r="L51" s="171"/>
      <c r="M51" s="171"/>
      <c r="N51" s="290">
        <f>N29+N47</f>
        <v>4751390</v>
      </c>
      <c r="P51" s="2"/>
      <c r="Q51" s="2"/>
      <c r="R51" s="2"/>
      <c r="S51" s="2"/>
      <c r="T51" s="2"/>
      <c r="U51" s="2"/>
      <c r="V51" s="2"/>
    </row>
    <row r="52" spans="1:23" ht="21" customHeight="1">
      <c r="A52" s="198"/>
      <c r="B52" s="199"/>
      <c r="C52" s="201"/>
      <c r="D52" s="255"/>
      <c r="E52" s="173">
        <f>E51+F51</f>
        <v>6415.5817999999999</v>
      </c>
      <c r="F52" s="174"/>
      <c r="G52" s="173">
        <f>G51+H51</f>
        <v>4422.2788</v>
      </c>
      <c r="H52" s="174"/>
      <c r="I52" s="207"/>
      <c r="J52" s="207"/>
      <c r="K52" s="205"/>
      <c r="L52" s="171"/>
      <c r="M52" s="171"/>
      <c r="N52" s="290"/>
      <c r="U52" s="11"/>
      <c r="V52" s="11"/>
    </row>
    <row r="53" spans="1:23" ht="21" customHeight="1">
      <c r="A53" s="246" t="s">
        <v>75</v>
      </c>
      <c r="B53" s="247"/>
      <c r="C53" s="248"/>
      <c r="D53" s="101">
        <f>D51/C10</f>
        <v>714.01124074074062</v>
      </c>
      <c r="E53" s="347">
        <f>E51/C10</f>
        <v>17.234464814814814</v>
      </c>
      <c r="F53" s="106">
        <f>F51/C10</f>
        <v>12.467302777777778</v>
      </c>
      <c r="G53" s="347">
        <f>G51/C10</f>
        <v>14.210212962962963</v>
      </c>
      <c r="H53" s="107">
        <f>H51/C10</f>
        <v>6.2632999999999983</v>
      </c>
      <c r="I53" s="276">
        <f>I51/C10</f>
        <v>99.455805787037036</v>
      </c>
      <c r="J53" s="276">
        <f>J51/C10</f>
        <v>136.45798148148148</v>
      </c>
      <c r="K53" s="184">
        <f>K51/C10</f>
        <v>0.81478962962962964</v>
      </c>
      <c r="L53" s="171"/>
      <c r="M53" s="171"/>
      <c r="N53" s="290"/>
      <c r="U53" s="11"/>
      <c r="V53" s="11"/>
    </row>
    <row r="54" spans="1:23" ht="21" customHeight="1">
      <c r="A54" s="249"/>
      <c r="B54" s="250"/>
      <c r="C54" s="251"/>
      <c r="D54" s="98"/>
      <c r="E54" s="296">
        <f>E53+F53</f>
        <v>29.701767592592592</v>
      </c>
      <c r="F54" s="295"/>
      <c r="G54" s="296">
        <f>G53+H53</f>
        <v>20.47351296296296</v>
      </c>
      <c r="H54" s="295"/>
      <c r="I54" s="187"/>
      <c r="J54" s="187"/>
      <c r="K54" s="185"/>
      <c r="L54" s="171"/>
      <c r="M54" s="171"/>
      <c r="N54" s="290"/>
      <c r="P54" s="308"/>
      <c r="Q54" s="310"/>
      <c r="R54" s="310"/>
      <c r="S54" s="310"/>
      <c r="T54" s="310"/>
      <c r="U54" s="321"/>
      <c r="V54" s="321"/>
    </row>
    <row r="55" spans="1:23" ht="21" customHeight="1">
      <c r="A55" s="322" t="s">
        <v>76</v>
      </c>
      <c r="B55" s="323"/>
      <c r="C55" s="324"/>
      <c r="D55" s="325" t="s">
        <v>27</v>
      </c>
      <c r="E55" s="245" t="s">
        <v>21</v>
      </c>
      <c r="F55" s="245"/>
      <c r="G55" s="245" t="s">
        <v>22</v>
      </c>
      <c r="H55" s="245"/>
      <c r="I55" s="150" t="s">
        <v>23</v>
      </c>
      <c r="J55" s="343">
        <v>600</v>
      </c>
      <c r="K55" s="343">
        <v>0.74</v>
      </c>
      <c r="L55" s="171"/>
      <c r="M55" s="171"/>
      <c r="N55" s="290"/>
      <c r="O55" s="327"/>
      <c r="P55" s="328"/>
      <c r="Q55" s="310"/>
      <c r="R55" s="310"/>
      <c r="S55" s="310"/>
      <c r="T55" s="310"/>
      <c r="U55" s="310"/>
      <c r="V55" s="310"/>
    </row>
    <row r="56" spans="1:23" ht="21" customHeight="1">
      <c r="A56" s="164" t="s">
        <v>69</v>
      </c>
      <c r="B56" s="168"/>
      <c r="C56" s="165"/>
      <c r="D56" s="19"/>
      <c r="E56" s="169">
        <f>E54*4.1</f>
        <v>121.77724712962961</v>
      </c>
      <c r="F56" s="170"/>
      <c r="G56" s="169">
        <f>G54*9</f>
        <v>184.26161666666664</v>
      </c>
      <c r="H56" s="170"/>
      <c r="I56" s="68">
        <f>I53*4.1</f>
        <v>407.76880372685179</v>
      </c>
      <c r="J56" s="175"/>
      <c r="K56" s="175"/>
      <c r="L56" s="171"/>
      <c r="M56" s="171"/>
      <c r="N56" s="290"/>
      <c r="O56" s="327"/>
      <c r="P56" s="329"/>
      <c r="Q56" s="307"/>
      <c r="R56" s="307"/>
      <c r="S56" s="307"/>
      <c r="T56" s="308"/>
      <c r="U56" s="308"/>
      <c r="V56" s="308"/>
    </row>
    <row r="57" spans="1:23" ht="21" customHeight="1">
      <c r="A57" s="160" t="s">
        <v>70</v>
      </c>
      <c r="B57" s="161"/>
      <c r="C57" s="164" t="s">
        <v>58</v>
      </c>
      <c r="D57" s="165"/>
      <c r="E57" s="288">
        <f>E56*100/D53</f>
        <v>17.055368344522641</v>
      </c>
      <c r="F57" s="289"/>
      <c r="G57" s="288">
        <f>G56*100/D53</f>
        <v>25.806542831945766</v>
      </c>
      <c r="H57" s="289"/>
      <c r="I57" s="143">
        <f>I56*100/D53</f>
        <v>57.10957761726803</v>
      </c>
      <c r="J57" s="176"/>
      <c r="K57" s="176"/>
      <c r="L57" s="171"/>
      <c r="M57" s="171"/>
      <c r="N57" s="290"/>
      <c r="O57" s="327"/>
      <c r="P57" s="308"/>
      <c r="Q57" s="309"/>
      <c r="R57" s="308"/>
      <c r="S57" s="308"/>
      <c r="T57" s="308"/>
      <c r="U57" s="308"/>
      <c r="V57" s="308"/>
    </row>
    <row r="58" spans="1:23" ht="21" customHeight="1">
      <c r="A58" s="162"/>
      <c r="B58" s="163"/>
      <c r="C58" s="164" t="s">
        <v>71</v>
      </c>
      <c r="D58" s="165"/>
      <c r="E58" s="164" t="s">
        <v>72</v>
      </c>
      <c r="F58" s="165"/>
      <c r="G58" s="164" t="s">
        <v>73</v>
      </c>
      <c r="H58" s="165"/>
      <c r="I58" s="325" t="s">
        <v>74</v>
      </c>
      <c r="J58" s="177"/>
      <c r="K58" s="177"/>
      <c r="L58" s="171"/>
      <c r="M58" s="171"/>
      <c r="N58" s="290"/>
      <c r="O58" s="327"/>
      <c r="P58" s="84"/>
    </row>
    <row r="59" spans="1:23" ht="21" customHeight="1">
      <c r="A59" s="70"/>
      <c r="B59" s="71"/>
      <c r="C59" s="70"/>
      <c r="D59" s="70"/>
      <c r="E59" s="70"/>
      <c r="F59" s="70"/>
      <c r="G59" s="70"/>
      <c r="H59" s="70"/>
      <c r="I59" s="70"/>
      <c r="J59" s="70"/>
      <c r="K59" s="70"/>
      <c r="L59" s="72"/>
      <c r="M59" s="72"/>
      <c r="N59" s="73"/>
      <c r="O59" s="327"/>
    </row>
    <row r="60" spans="1:23" ht="21" customHeight="1">
      <c r="A60" s="156" t="s">
        <v>100</v>
      </c>
      <c r="B60" s="156"/>
      <c r="C60" s="156"/>
      <c r="D60" s="156"/>
      <c r="E60" s="156"/>
      <c r="F60" s="156"/>
      <c r="G60" s="156"/>
      <c r="H60" s="156"/>
      <c r="I60" s="156"/>
      <c r="J60" s="156"/>
      <c r="K60" s="156"/>
      <c r="L60" s="156"/>
      <c r="M60" s="156"/>
      <c r="N60" s="156"/>
      <c r="O60" s="327"/>
    </row>
    <row r="61" spans="1:23" ht="21" customHeight="1">
      <c r="A61" s="87" t="s">
        <v>101</v>
      </c>
      <c r="B61" s="157" t="s">
        <v>116</v>
      </c>
      <c r="C61" s="157"/>
      <c r="D61" s="157"/>
      <c r="E61" s="157"/>
      <c r="F61" s="157"/>
      <c r="G61" s="157"/>
      <c r="H61" s="157"/>
      <c r="I61" s="157"/>
      <c r="J61" s="157"/>
      <c r="K61" s="157"/>
      <c r="L61" s="157"/>
      <c r="M61" s="157"/>
      <c r="N61" s="157"/>
      <c r="O61" s="327"/>
    </row>
    <row r="62" spans="1:23" ht="21" customHeight="1">
      <c r="A62" s="88"/>
      <c r="B62" s="158" t="s">
        <v>186</v>
      </c>
      <c r="C62" s="15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  <c r="O62" s="327"/>
    </row>
    <row r="63" spans="1:23" ht="21" customHeight="1">
      <c r="A63" s="88"/>
      <c r="B63" s="158" t="s">
        <v>172</v>
      </c>
      <c r="C63" s="15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  <c r="O63" s="327"/>
    </row>
    <row r="64" spans="1:23" ht="21" customHeight="1">
      <c r="A64" s="88"/>
      <c r="B64" s="158" t="s">
        <v>187</v>
      </c>
      <c r="C64" s="15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  <c r="O64" s="327"/>
    </row>
    <row r="65" spans="1:15" ht="21" customHeight="1">
      <c r="A65" s="70"/>
      <c r="B65" s="159" t="s">
        <v>107</v>
      </c>
      <c r="C65" s="159"/>
      <c r="D65" s="159"/>
      <c r="E65" s="159"/>
      <c r="F65" s="159"/>
      <c r="G65" s="159"/>
      <c r="H65" s="159"/>
      <c r="I65" s="159"/>
      <c r="J65" s="159"/>
      <c r="K65" s="159"/>
      <c r="L65" s="159"/>
      <c r="M65" s="159"/>
      <c r="N65" s="159"/>
      <c r="O65" s="327"/>
    </row>
    <row r="66" spans="1:15" ht="21" customHeight="1">
      <c r="A66" s="70"/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89"/>
      <c r="M66" s="89"/>
      <c r="N66" s="90"/>
      <c r="O66" s="327"/>
    </row>
    <row r="67" spans="1:15" ht="21" customHeight="1">
      <c r="A67" s="154" t="s">
        <v>60</v>
      </c>
      <c r="B67" s="154"/>
      <c r="C67" s="154"/>
      <c r="D67" s="154"/>
      <c r="E67" s="330"/>
      <c r="F67" s="330"/>
      <c r="G67" s="330"/>
      <c r="H67" s="330"/>
      <c r="I67" s="330"/>
      <c r="J67" s="331" t="s">
        <v>36</v>
      </c>
      <c r="K67" s="331"/>
      <c r="L67" s="331"/>
      <c r="M67" s="331"/>
      <c r="N67" s="331"/>
      <c r="O67" s="327"/>
    </row>
    <row r="68" spans="1:15" ht="21" customHeight="1">
      <c r="A68" s="152"/>
      <c r="B68" s="152"/>
      <c r="C68" s="152"/>
      <c r="D68" s="330"/>
      <c r="E68" s="330"/>
      <c r="F68" s="330"/>
      <c r="G68" s="330"/>
      <c r="H68" s="332"/>
      <c r="I68" s="332"/>
      <c r="J68" s="332"/>
      <c r="K68" s="332"/>
      <c r="L68" s="332"/>
      <c r="M68" s="332"/>
      <c r="N68" s="332"/>
      <c r="O68" s="327"/>
    </row>
    <row r="69" spans="1:15" ht="21" customHeight="1">
      <c r="A69" s="152"/>
      <c r="B69" s="152"/>
      <c r="C69" s="152"/>
      <c r="D69" s="330"/>
      <c r="E69" s="330"/>
      <c r="F69" s="330"/>
      <c r="G69" s="330"/>
      <c r="H69" s="332"/>
      <c r="I69" s="332"/>
      <c r="J69" s="332"/>
      <c r="K69" s="332"/>
      <c r="L69" s="332"/>
      <c r="M69" s="332"/>
      <c r="N69" s="332"/>
      <c r="O69" s="327"/>
    </row>
    <row r="70" spans="1:15" ht="21" customHeight="1">
      <c r="A70" s="152"/>
      <c r="B70" s="152"/>
      <c r="C70" s="152"/>
      <c r="D70" s="330"/>
      <c r="E70" s="330"/>
      <c r="F70" s="330"/>
      <c r="G70" s="330"/>
      <c r="H70" s="332"/>
      <c r="I70" s="332"/>
      <c r="J70" s="333" t="s">
        <v>103</v>
      </c>
      <c r="K70" s="333"/>
      <c r="L70" s="333"/>
      <c r="M70" s="333"/>
      <c r="N70" s="333"/>
      <c r="O70" s="327"/>
    </row>
    <row r="71" spans="1:15" ht="21" customHeight="1">
      <c r="A71" s="155" t="s">
        <v>84</v>
      </c>
      <c r="B71" s="155"/>
      <c r="C71" s="155"/>
      <c r="D71" s="155"/>
      <c r="E71" s="330"/>
      <c r="F71" s="330"/>
      <c r="G71" s="330"/>
      <c r="H71" s="332"/>
      <c r="I71" s="332"/>
      <c r="J71" s="333"/>
      <c r="K71" s="333"/>
      <c r="L71" s="333"/>
      <c r="M71" s="333"/>
      <c r="N71" s="333"/>
      <c r="O71" s="327"/>
    </row>
    <row r="72" spans="1:15" ht="21" customHeight="1">
      <c r="A72" s="152"/>
      <c r="B72" s="152"/>
      <c r="C72" s="152"/>
      <c r="D72" s="330"/>
      <c r="E72" s="330"/>
      <c r="F72" s="330"/>
      <c r="G72" s="330"/>
      <c r="H72" s="332"/>
      <c r="I72" s="332"/>
      <c r="J72" s="332"/>
      <c r="K72" s="332"/>
      <c r="L72" s="332"/>
      <c r="M72" s="332"/>
      <c r="N72" s="332"/>
      <c r="O72" s="327"/>
    </row>
    <row r="73" spans="1:15" ht="21" customHeight="1">
      <c r="A73" s="152"/>
      <c r="B73" s="152"/>
      <c r="C73" s="152"/>
      <c r="D73" s="330"/>
      <c r="E73" s="330"/>
      <c r="F73" s="330"/>
      <c r="G73" s="330"/>
      <c r="H73" s="332"/>
      <c r="I73" s="332"/>
      <c r="J73" s="333" t="s">
        <v>114</v>
      </c>
      <c r="K73" s="333"/>
      <c r="L73" s="333"/>
      <c r="M73" s="333"/>
      <c r="N73" s="333"/>
      <c r="O73" s="327"/>
    </row>
    <row r="74" spans="1:15" ht="21" customHeight="1">
      <c r="A74" s="152"/>
      <c r="B74" s="152"/>
      <c r="C74" s="152"/>
      <c r="D74" s="330"/>
      <c r="E74" s="330"/>
      <c r="F74" s="330"/>
      <c r="G74" s="330"/>
      <c r="H74" s="332"/>
      <c r="I74" s="332"/>
      <c r="J74" s="332"/>
      <c r="K74" s="332"/>
      <c r="L74" s="332"/>
      <c r="M74" s="332"/>
      <c r="N74" s="332"/>
      <c r="O74" s="327"/>
    </row>
    <row r="75" spans="1:15" ht="21" customHeight="1">
      <c r="A75" s="152"/>
      <c r="B75" s="152"/>
      <c r="C75" s="152"/>
      <c r="D75" s="330"/>
      <c r="E75" s="330"/>
      <c r="F75" s="330"/>
      <c r="G75" s="330"/>
      <c r="H75" s="332"/>
      <c r="I75" s="332"/>
      <c r="J75" s="332"/>
      <c r="K75" s="332"/>
      <c r="L75" s="332"/>
      <c r="M75" s="332"/>
      <c r="N75" s="332"/>
      <c r="O75" s="327"/>
    </row>
    <row r="76" spans="1:15" ht="21" customHeight="1">
      <c r="A76" s="152"/>
      <c r="B76" s="152"/>
      <c r="C76" s="152"/>
      <c r="D76" s="330"/>
      <c r="E76" s="330"/>
      <c r="F76" s="330"/>
      <c r="G76" s="330"/>
      <c r="H76" s="332"/>
      <c r="I76" s="332"/>
      <c r="J76" s="332"/>
      <c r="K76" s="332"/>
      <c r="L76" s="332"/>
      <c r="M76" s="332"/>
      <c r="N76" s="332"/>
      <c r="O76" s="327"/>
    </row>
    <row r="77" spans="1:15" ht="21" customHeight="1">
      <c r="A77" s="152"/>
      <c r="B77" s="152"/>
      <c r="C77" s="152"/>
      <c r="D77" s="330"/>
      <c r="E77" s="330"/>
      <c r="F77" s="330"/>
      <c r="G77" s="330"/>
      <c r="H77" s="332"/>
      <c r="I77" s="332"/>
      <c r="J77" s="332"/>
      <c r="K77" s="332"/>
      <c r="L77" s="332"/>
      <c r="M77" s="332"/>
      <c r="N77" s="332"/>
      <c r="O77" s="327"/>
    </row>
    <row r="78" spans="1:15" ht="21" customHeight="1">
      <c r="A78" s="152"/>
      <c r="B78" s="152"/>
      <c r="C78" s="152"/>
      <c r="D78" s="330"/>
      <c r="E78" s="330"/>
      <c r="F78" s="330"/>
      <c r="G78" s="330"/>
      <c r="H78" s="332"/>
      <c r="I78" s="332"/>
      <c r="J78" s="332"/>
      <c r="K78" s="332"/>
      <c r="L78" s="332"/>
      <c r="M78" s="332"/>
      <c r="N78" s="332"/>
      <c r="O78" s="327"/>
    </row>
    <row r="79" spans="1:15" ht="21" customHeight="1">
      <c r="A79" s="152"/>
      <c r="B79" s="152"/>
      <c r="C79" s="152"/>
      <c r="D79" s="330"/>
      <c r="E79" s="330"/>
      <c r="F79" s="330"/>
      <c r="G79" s="330"/>
      <c r="H79" s="332"/>
      <c r="I79" s="332"/>
      <c r="J79" s="332"/>
      <c r="K79" s="332"/>
      <c r="L79" s="332"/>
      <c r="M79" s="332"/>
      <c r="N79" s="332"/>
      <c r="O79" s="327"/>
    </row>
    <row r="80" spans="1:15" ht="21" customHeight="1">
      <c r="A80" s="152"/>
      <c r="B80" s="152"/>
      <c r="C80" s="152"/>
      <c r="D80" s="330"/>
      <c r="E80" s="330"/>
      <c r="F80" s="330"/>
      <c r="G80" s="330"/>
      <c r="H80" s="332"/>
      <c r="I80" s="332"/>
      <c r="J80" s="332"/>
      <c r="K80" s="332"/>
      <c r="L80" s="332"/>
      <c r="M80" s="332"/>
      <c r="N80" s="332"/>
      <c r="O80" s="327"/>
    </row>
    <row r="81" spans="1:20" ht="21" customHeight="1">
      <c r="A81" s="152"/>
      <c r="B81" s="152"/>
      <c r="C81" s="152"/>
      <c r="D81" s="330"/>
      <c r="E81" s="330"/>
      <c r="F81" s="330"/>
      <c r="G81" s="330"/>
      <c r="H81" s="332"/>
      <c r="I81" s="332"/>
      <c r="J81" s="332"/>
      <c r="K81" s="332"/>
      <c r="L81" s="332"/>
      <c r="M81" s="332"/>
      <c r="N81" s="332"/>
      <c r="O81" s="327"/>
    </row>
    <row r="82" spans="1:20" ht="21" customHeight="1">
      <c r="A82" s="152"/>
      <c r="B82" s="152"/>
      <c r="C82" s="152"/>
      <c r="D82" s="330"/>
      <c r="E82" s="330"/>
      <c r="F82" s="330"/>
      <c r="G82" s="330"/>
      <c r="H82" s="332"/>
      <c r="I82" s="332"/>
      <c r="J82" s="332"/>
      <c r="K82" s="332"/>
      <c r="L82" s="332"/>
      <c r="M82" s="332"/>
      <c r="N82" s="332"/>
      <c r="O82" s="327"/>
    </row>
    <row r="83" spans="1:20" s="118" customFormat="1" ht="18" customHeight="1">
      <c r="A83" s="116" t="s">
        <v>59</v>
      </c>
      <c r="B83" s="117"/>
      <c r="C83" s="117"/>
      <c r="D83" s="117"/>
      <c r="E83" s="117"/>
      <c r="F83" s="282" t="s">
        <v>31</v>
      </c>
      <c r="G83" s="282"/>
      <c r="H83" s="282"/>
      <c r="I83" s="282"/>
      <c r="J83" s="282"/>
      <c r="K83" s="282"/>
      <c r="L83" s="282"/>
      <c r="M83" s="282"/>
      <c r="N83" s="282"/>
      <c r="O83" s="348"/>
      <c r="P83" s="348"/>
    </row>
    <row r="84" spans="1:20" ht="18" customHeight="1">
      <c r="A84" s="7" t="s">
        <v>188</v>
      </c>
      <c r="B84" s="7"/>
      <c r="C84" s="7"/>
      <c r="D84" s="7"/>
      <c r="E84" s="7"/>
      <c r="F84" s="149"/>
      <c r="G84" s="149"/>
      <c r="H84" s="149"/>
      <c r="I84" s="149"/>
      <c r="J84" s="149"/>
      <c r="K84" s="149"/>
      <c r="L84" s="149"/>
      <c r="M84" s="149"/>
      <c r="N84" s="149"/>
      <c r="O84" s="311"/>
      <c r="P84" s="311"/>
      <c r="T84" s="2"/>
    </row>
    <row r="85" spans="1:20" s="2" customFormat="1" ht="13.2" customHeight="1">
      <c r="A85" s="245" t="s">
        <v>95</v>
      </c>
      <c r="B85" s="245"/>
      <c r="C85" s="245"/>
      <c r="D85" s="245"/>
      <c r="E85" s="245" t="s">
        <v>82</v>
      </c>
      <c r="F85" s="245"/>
      <c r="G85" s="245"/>
      <c r="H85" s="245"/>
      <c r="I85" s="245"/>
      <c r="J85" s="245"/>
      <c r="K85" s="245"/>
      <c r="L85" s="245"/>
      <c r="M85" s="245"/>
      <c r="N85" s="245"/>
      <c r="O85" s="312"/>
    </row>
    <row r="86" spans="1:20" s="2" customFormat="1" ht="18" customHeight="1">
      <c r="A86" s="245"/>
      <c r="B86" s="245"/>
      <c r="C86" s="245"/>
      <c r="D86" s="245"/>
      <c r="E86" s="245" t="s">
        <v>94</v>
      </c>
      <c r="F86" s="245"/>
      <c r="G86" s="245"/>
      <c r="H86" s="245"/>
      <c r="I86" s="245"/>
      <c r="J86" s="245" t="s">
        <v>96</v>
      </c>
      <c r="K86" s="245"/>
      <c r="L86" s="245"/>
      <c r="M86" s="245"/>
      <c r="N86" s="245"/>
      <c r="O86" s="312"/>
    </row>
    <row r="87" spans="1:20" s="2" customFormat="1" ht="18" customHeight="1">
      <c r="A87" s="231" t="s">
        <v>83</v>
      </c>
      <c r="B87" s="231"/>
      <c r="C87" s="231"/>
      <c r="D87" s="231"/>
      <c r="E87" s="232" t="s">
        <v>155</v>
      </c>
      <c r="F87" s="232"/>
      <c r="G87" s="232"/>
      <c r="H87" s="232"/>
      <c r="I87" s="232"/>
      <c r="J87" s="233" t="s">
        <v>83</v>
      </c>
      <c r="K87" s="234"/>
      <c r="L87" s="234"/>
      <c r="M87" s="234"/>
      <c r="N87" s="235"/>
      <c r="O87" s="312"/>
    </row>
    <row r="88" spans="1:20" s="2" customFormat="1" ht="18" customHeight="1">
      <c r="A88" s="284" t="s">
        <v>142</v>
      </c>
      <c r="B88" s="285"/>
      <c r="C88" s="285"/>
      <c r="D88" s="286"/>
      <c r="E88" s="232"/>
      <c r="F88" s="232"/>
      <c r="G88" s="232"/>
      <c r="H88" s="232"/>
      <c r="I88" s="232"/>
      <c r="J88" s="269" t="s">
        <v>88</v>
      </c>
      <c r="K88" s="270"/>
      <c r="L88" s="270"/>
      <c r="M88" s="270"/>
      <c r="N88" s="270"/>
      <c r="O88" s="312"/>
    </row>
    <row r="89" spans="1:20" s="2" customFormat="1" ht="18" customHeight="1">
      <c r="A89" s="287" t="s">
        <v>141</v>
      </c>
      <c r="B89" s="287"/>
      <c r="C89" s="287"/>
      <c r="D89" s="287"/>
      <c r="E89" s="232"/>
      <c r="F89" s="232"/>
      <c r="G89" s="232"/>
      <c r="H89" s="232"/>
      <c r="I89" s="232"/>
      <c r="J89" s="241" t="s">
        <v>89</v>
      </c>
      <c r="K89" s="242"/>
      <c r="L89" s="242"/>
      <c r="M89" s="242"/>
      <c r="N89" s="243"/>
      <c r="O89" s="312"/>
    </row>
    <row r="90" spans="1:20" ht="18" customHeight="1">
      <c r="A90" s="277" t="s">
        <v>110</v>
      </c>
      <c r="B90" s="277"/>
      <c r="C90" s="279">
        <v>66</v>
      </c>
      <c r="D90" s="279"/>
      <c r="E90" s="7"/>
      <c r="F90" s="149"/>
      <c r="G90" s="149"/>
      <c r="H90" s="149"/>
      <c r="I90" s="149"/>
      <c r="J90" s="149"/>
      <c r="K90" s="149"/>
      <c r="L90" s="149"/>
      <c r="M90" s="149"/>
      <c r="N90" s="149"/>
      <c r="O90" s="311"/>
      <c r="P90" s="311"/>
      <c r="T90" s="2"/>
    </row>
    <row r="91" spans="1:20" ht="18" customHeight="1">
      <c r="A91" s="211" t="s">
        <v>0</v>
      </c>
      <c r="B91" s="214" t="s">
        <v>19</v>
      </c>
      <c r="C91" s="217" t="s">
        <v>8</v>
      </c>
      <c r="D91" s="217" t="s">
        <v>9</v>
      </c>
      <c r="E91" s="220" t="s">
        <v>11</v>
      </c>
      <c r="F91" s="221"/>
      <c r="G91" s="220" t="s">
        <v>13</v>
      </c>
      <c r="H91" s="221"/>
      <c r="I91" s="208" t="s">
        <v>16</v>
      </c>
      <c r="J91" s="208" t="s">
        <v>32</v>
      </c>
      <c r="K91" s="208" t="s">
        <v>33</v>
      </c>
      <c r="L91" s="208" t="s">
        <v>17</v>
      </c>
      <c r="M91" s="208" t="s">
        <v>34</v>
      </c>
      <c r="N91" s="211" t="s">
        <v>18</v>
      </c>
      <c r="O91" s="313"/>
    </row>
    <row r="92" spans="1:20" ht="18" customHeight="1">
      <c r="A92" s="212"/>
      <c r="B92" s="215"/>
      <c r="C92" s="218"/>
      <c r="D92" s="218"/>
      <c r="E92" s="222"/>
      <c r="F92" s="223"/>
      <c r="G92" s="222"/>
      <c r="H92" s="223"/>
      <c r="I92" s="209"/>
      <c r="J92" s="209"/>
      <c r="K92" s="209"/>
      <c r="L92" s="209"/>
      <c r="M92" s="209"/>
      <c r="N92" s="212"/>
      <c r="O92" s="152"/>
    </row>
    <row r="93" spans="1:20" ht="18" customHeight="1">
      <c r="A93" s="212"/>
      <c r="B93" s="215"/>
      <c r="C93" s="218"/>
      <c r="D93" s="218"/>
      <c r="E93" s="208" t="s">
        <v>10</v>
      </c>
      <c r="F93" s="208" t="s">
        <v>12</v>
      </c>
      <c r="G93" s="208" t="s">
        <v>14</v>
      </c>
      <c r="H93" s="208" t="s">
        <v>15</v>
      </c>
      <c r="I93" s="209"/>
      <c r="J93" s="209"/>
      <c r="K93" s="209"/>
      <c r="L93" s="209"/>
      <c r="M93" s="209"/>
      <c r="N93" s="212"/>
      <c r="O93" s="152"/>
    </row>
    <row r="94" spans="1:20" ht="18" customHeight="1">
      <c r="A94" s="213"/>
      <c r="B94" s="216"/>
      <c r="C94" s="219"/>
      <c r="D94" s="219"/>
      <c r="E94" s="210"/>
      <c r="F94" s="210"/>
      <c r="G94" s="210"/>
      <c r="H94" s="210"/>
      <c r="I94" s="210"/>
      <c r="J94" s="210"/>
      <c r="K94" s="210"/>
      <c r="L94" s="210"/>
      <c r="M94" s="210"/>
      <c r="N94" s="213"/>
      <c r="O94" s="152"/>
    </row>
    <row r="95" spans="1:20" ht="18" customHeight="1">
      <c r="A95" s="225" t="s">
        <v>42</v>
      </c>
      <c r="B95" s="226"/>
      <c r="C95" s="226"/>
      <c r="D95" s="226"/>
      <c r="E95" s="226"/>
      <c r="F95" s="226"/>
      <c r="G95" s="226"/>
      <c r="H95" s="226"/>
      <c r="I95" s="226"/>
      <c r="J95" s="226"/>
      <c r="K95" s="226"/>
      <c r="L95" s="226"/>
      <c r="M95" s="226"/>
      <c r="N95" s="227"/>
      <c r="O95" s="152"/>
    </row>
    <row r="96" spans="1:20" s="2" customFormat="1" ht="18" customHeight="1">
      <c r="A96" s="8">
        <v>1</v>
      </c>
      <c r="B96" s="9" t="s">
        <v>2</v>
      </c>
      <c r="C96" s="12">
        <f t="shared" ref="C96:C99" si="4">L96/100*100</f>
        <v>40</v>
      </c>
      <c r="D96" s="13">
        <f>C96/100*60</f>
        <v>24</v>
      </c>
      <c r="E96" s="14">
        <f>C96/100*15</f>
        <v>6</v>
      </c>
      <c r="F96" s="14"/>
      <c r="G96" s="14"/>
      <c r="H96" s="14"/>
      <c r="I96" s="14"/>
      <c r="J96" s="22">
        <f>C96/100*387</f>
        <v>154.80000000000001</v>
      </c>
      <c r="K96" s="22">
        <f>C96/100*0.09</f>
        <v>3.5999999999999997E-2</v>
      </c>
      <c r="L96" s="111">
        <v>40</v>
      </c>
      <c r="M96" s="20">
        <v>20</v>
      </c>
      <c r="N96" s="16">
        <f>L96*M96</f>
        <v>800</v>
      </c>
      <c r="O96" s="314"/>
    </row>
    <row r="97" spans="1:23" s="2" customFormat="1" ht="18" customHeight="1">
      <c r="A97" s="8">
        <v>2</v>
      </c>
      <c r="B97" s="9" t="s">
        <v>119</v>
      </c>
      <c r="C97" s="12">
        <f t="shared" si="4"/>
        <v>390</v>
      </c>
      <c r="D97" s="13">
        <f>C97/100*53</f>
        <v>206.7</v>
      </c>
      <c r="E97" s="14"/>
      <c r="F97" s="14">
        <f>C97/100*6.3</f>
        <v>24.57</v>
      </c>
      <c r="G97" s="14"/>
      <c r="H97" s="14">
        <f>C97/100*0.04</f>
        <v>0.156</v>
      </c>
      <c r="I97" s="14">
        <f>C97/100*6.8</f>
        <v>26.52</v>
      </c>
      <c r="J97" s="22">
        <f>C97/100*19</f>
        <v>74.099999999999994</v>
      </c>
      <c r="K97" s="22">
        <f>C97/100*0.03</f>
        <v>0.11699999999999999</v>
      </c>
      <c r="L97" s="111">
        <v>390</v>
      </c>
      <c r="M97" s="20">
        <v>42.5</v>
      </c>
      <c r="N97" s="16">
        <f t="shared" ref="N97:N105" si="5">L97*M97</f>
        <v>16575</v>
      </c>
      <c r="O97" s="337"/>
    </row>
    <row r="98" spans="1:23" s="2" customFormat="1" ht="18" customHeight="1">
      <c r="A98" s="8">
        <v>3</v>
      </c>
      <c r="B98" s="9" t="s">
        <v>126</v>
      </c>
      <c r="C98" s="12">
        <f t="shared" si="4"/>
        <v>360</v>
      </c>
      <c r="D98" s="65">
        <f>C98/100*900</f>
        <v>3240</v>
      </c>
      <c r="E98" s="14"/>
      <c r="F98" s="14"/>
      <c r="G98" s="91"/>
      <c r="H98" s="14">
        <f>C98/100*100</f>
        <v>360</v>
      </c>
      <c r="I98" s="14"/>
      <c r="J98" s="14"/>
      <c r="K98" s="14"/>
      <c r="L98" s="111">
        <v>360</v>
      </c>
      <c r="M98" s="65">
        <v>63.5</v>
      </c>
      <c r="N98" s="93">
        <f t="shared" si="5"/>
        <v>22860</v>
      </c>
      <c r="O98" s="315"/>
    </row>
    <row r="99" spans="1:23" s="2" customFormat="1" ht="18" customHeight="1">
      <c r="A99" s="8">
        <v>4</v>
      </c>
      <c r="B99" s="5" t="s">
        <v>1</v>
      </c>
      <c r="C99" s="12">
        <f t="shared" si="4"/>
        <v>2838</v>
      </c>
      <c r="D99" s="13">
        <f>C99/100*344</f>
        <v>9762.7199999999993</v>
      </c>
      <c r="E99" s="14"/>
      <c r="F99" s="14">
        <f>C99/100*7.9</f>
        <v>224.202</v>
      </c>
      <c r="G99" s="14"/>
      <c r="H99" s="14">
        <f>C99/100*1</f>
        <v>28.38</v>
      </c>
      <c r="I99" s="91">
        <f>C99/100*71.7</f>
        <v>2034.846</v>
      </c>
      <c r="J99" s="22">
        <f>C99/100*30</f>
        <v>851.4</v>
      </c>
      <c r="K99" s="22">
        <f>C99/100*0.1</f>
        <v>2.8380000000000001</v>
      </c>
      <c r="L99" s="111">
        <v>2838</v>
      </c>
      <c r="M99" s="20">
        <v>18</v>
      </c>
      <c r="N99" s="16">
        <f t="shared" si="5"/>
        <v>51084</v>
      </c>
      <c r="O99" s="314"/>
    </row>
    <row r="100" spans="1:23" s="2" customFormat="1" ht="18" customHeight="1">
      <c r="A100" s="8">
        <v>5</v>
      </c>
      <c r="B100" s="9" t="s">
        <v>129</v>
      </c>
      <c r="C100" s="12">
        <f>L100/100*90</f>
        <v>62.999999999999993</v>
      </c>
      <c r="D100" s="13">
        <f>C100/100*281</f>
        <v>177.02999999999997</v>
      </c>
      <c r="E100" s="14"/>
      <c r="F100" s="14">
        <f>C100/100*9.5</f>
        <v>5.9849999999999994</v>
      </c>
      <c r="G100" s="14"/>
      <c r="H100" s="14">
        <f>C100/100*0.2</f>
        <v>0.12599999999999997</v>
      </c>
      <c r="I100" s="14">
        <f>D100/100*58.5</f>
        <v>103.56254999999999</v>
      </c>
      <c r="J100" s="22">
        <f>C100/100*321</f>
        <v>202.22999999999996</v>
      </c>
      <c r="K100" s="22">
        <f>C100/100*0.14</f>
        <v>8.8199999999999987E-2</v>
      </c>
      <c r="L100" s="111">
        <v>70</v>
      </c>
      <c r="M100" s="43">
        <v>120</v>
      </c>
      <c r="N100" s="16">
        <f t="shared" si="5"/>
        <v>8400</v>
      </c>
      <c r="O100" s="337"/>
    </row>
    <row r="101" spans="1:23" s="2" customFormat="1" ht="18" customHeight="1">
      <c r="A101" s="8">
        <v>6</v>
      </c>
      <c r="B101" s="5" t="s">
        <v>143</v>
      </c>
      <c r="C101" s="12">
        <f>L101/100*31</f>
        <v>310</v>
      </c>
      <c r="D101" s="13">
        <f>C101/100*87</f>
        <v>269.7</v>
      </c>
      <c r="E101" s="14">
        <f>C101/100*12.3</f>
        <v>38.130000000000003</v>
      </c>
      <c r="F101" s="14"/>
      <c r="G101" s="14">
        <f>C101/100*3.3</f>
        <v>10.23</v>
      </c>
      <c r="H101" s="14"/>
      <c r="I101" s="14">
        <f>C101/100*2</f>
        <v>6.2</v>
      </c>
      <c r="J101" s="64">
        <f>C101/100*1120</f>
        <v>3472</v>
      </c>
      <c r="K101" s="22">
        <f>C101/100*0.01</f>
        <v>3.1000000000000003E-2</v>
      </c>
      <c r="L101" s="111">
        <v>1000</v>
      </c>
      <c r="M101" s="20">
        <v>160</v>
      </c>
      <c r="N101" s="93">
        <f t="shared" si="5"/>
        <v>160000</v>
      </c>
      <c r="O101" s="314"/>
      <c r="Q101" s="3"/>
      <c r="R101" s="3"/>
      <c r="S101" s="4"/>
    </row>
    <row r="102" spans="1:23" s="2" customFormat="1" ht="18" customHeight="1">
      <c r="A102" s="8">
        <v>7</v>
      </c>
      <c r="B102" s="5" t="s">
        <v>3</v>
      </c>
      <c r="C102" s="12">
        <f>L102/100*48</f>
        <v>1041.5999999999999</v>
      </c>
      <c r="D102" s="13">
        <f>C102/100*199</f>
        <v>2072.7839999999997</v>
      </c>
      <c r="E102" s="14">
        <f>C102/100*20.3</f>
        <v>211.44479999999999</v>
      </c>
      <c r="F102" s="14"/>
      <c r="G102" s="14">
        <f>C102/100*13.1</f>
        <v>136.44959999999998</v>
      </c>
      <c r="H102" s="14"/>
      <c r="I102" s="14"/>
      <c r="J102" s="22">
        <f>C102/100*12</f>
        <v>124.99199999999999</v>
      </c>
      <c r="K102" s="22">
        <f>C102/100*0.15</f>
        <v>1.5623999999999998</v>
      </c>
      <c r="L102" s="111">
        <v>2170</v>
      </c>
      <c r="M102" s="15">
        <v>84</v>
      </c>
      <c r="N102" s="16">
        <f t="shared" si="5"/>
        <v>182280</v>
      </c>
      <c r="O102" s="314"/>
      <c r="Q102" s="3"/>
      <c r="R102" s="3"/>
      <c r="S102" s="4"/>
    </row>
    <row r="103" spans="1:23" s="2" customFormat="1" ht="18" customHeight="1">
      <c r="A103" s="8">
        <v>8</v>
      </c>
      <c r="B103" s="9" t="s">
        <v>66</v>
      </c>
      <c r="C103" s="12">
        <f>L103/100*98</f>
        <v>2137.3799999999997</v>
      </c>
      <c r="D103" s="13">
        <f>C103/100*139</f>
        <v>2970.9581999999996</v>
      </c>
      <c r="E103" s="14">
        <f>C103/100*19</f>
        <v>406.10219999999993</v>
      </c>
      <c r="F103" s="14"/>
      <c r="G103" s="14">
        <f>C103/100*7</f>
        <v>149.61659999999998</v>
      </c>
      <c r="H103" s="14"/>
      <c r="I103" s="14"/>
      <c r="J103" s="22">
        <f>C103/100*7</f>
        <v>149.61659999999998</v>
      </c>
      <c r="K103" s="22">
        <f>C103/100*0.9</f>
        <v>19.236419999999995</v>
      </c>
      <c r="L103" s="111">
        <v>2181</v>
      </c>
      <c r="M103" s="15">
        <v>137</v>
      </c>
      <c r="N103" s="16">
        <f t="shared" si="5"/>
        <v>298797</v>
      </c>
      <c r="O103" s="314"/>
    </row>
    <row r="104" spans="1:23" s="2" customFormat="1" ht="18" customHeight="1">
      <c r="A104" s="8">
        <v>9</v>
      </c>
      <c r="B104" s="5" t="s">
        <v>117</v>
      </c>
      <c r="C104" s="12">
        <f>L104/100*100</f>
        <v>50</v>
      </c>
      <c r="D104" s="13">
        <f>C104/100*247</f>
        <v>123.5</v>
      </c>
      <c r="E104" s="17"/>
      <c r="F104" s="17">
        <f>C104/100*17.5</f>
        <v>8.75</v>
      </c>
      <c r="G104" s="17"/>
      <c r="H104" s="17">
        <f>C104/100*1.6</f>
        <v>0.8</v>
      </c>
      <c r="I104" s="17">
        <f>C104/100*39.2</f>
        <v>19.600000000000001</v>
      </c>
      <c r="J104" s="21"/>
      <c r="K104" s="21"/>
      <c r="L104" s="318">
        <v>50</v>
      </c>
      <c r="M104" s="20">
        <v>50</v>
      </c>
      <c r="N104" s="16">
        <f t="shared" si="5"/>
        <v>2500</v>
      </c>
      <c r="O104" s="314"/>
      <c r="Q104" s="3"/>
      <c r="R104" s="3"/>
      <c r="S104" s="4"/>
      <c r="T104" s="3"/>
    </row>
    <row r="105" spans="1:23" s="2" customFormat="1" ht="18" customHeight="1">
      <c r="A105" s="8">
        <v>10</v>
      </c>
      <c r="B105" s="5" t="s">
        <v>135</v>
      </c>
      <c r="C105" s="12">
        <f>L105/100*75</f>
        <v>1387.5</v>
      </c>
      <c r="D105" s="13">
        <f>C105/100*17</f>
        <v>235.875</v>
      </c>
      <c r="E105" s="14"/>
      <c r="F105" s="14">
        <f>C105/100*1.4</f>
        <v>19.424999999999997</v>
      </c>
      <c r="G105" s="14"/>
      <c r="H105" s="14">
        <f>C105/100*0.2</f>
        <v>2.7750000000000004</v>
      </c>
      <c r="I105" s="14">
        <f>C105/100*2.4</f>
        <v>33.299999999999997</v>
      </c>
      <c r="J105" s="14">
        <f>C105/100*50</f>
        <v>693.75</v>
      </c>
      <c r="K105" s="14">
        <f>C105/100*0.09</f>
        <v>1.24875</v>
      </c>
      <c r="L105" s="111">
        <v>1850</v>
      </c>
      <c r="M105" s="20">
        <v>18</v>
      </c>
      <c r="N105" s="16">
        <f t="shared" si="5"/>
        <v>33300</v>
      </c>
      <c r="O105" s="314"/>
    </row>
    <row r="106" spans="1:23" s="2" customFormat="1" ht="18" customHeight="1">
      <c r="A106" s="8">
        <v>11</v>
      </c>
      <c r="B106" s="9" t="s">
        <v>111</v>
      </c>
      <c r="C106" s="12"/>
      <c r="D106" s="136"/>
      <c r="E106" s="14"/>
      <c r="F106" s="14"/>
      <c r="G106" s="14"/>
      <c r="H106" s="14"/>
      <c r="I106" s="14"/>
      <c r="J106" s="14"/>
      <c r="K106" s="14"/>
      <c r="L106" s="15"/>
      <c r="M106" s="15"/>
      <c r="N106" s="16">
        <v>4700</v>
      </c>
      <c r="O106" s="314"/>
    </row>
    <row r="107" spans="1:23" s="2" customFormat="1" ht="18" customHeight="1">
      <c r="A107" s="23" t="s">
        <v>104</v>
      </c>
      <c r="B107" s="24"/>
      <c r="C107" s="25"/>
      <c r="D107" s="94">
        <f>SUM(D96:D106)</f>
        <v>19083.267199999998</v>
      </c>
      <c r="E107" s="31"/>
      <c r="F107" s="31"/>
      <c r="G107" s="31"/>
      <c r="H107" s="31"/>
      <c r="I107" s="31"/>
      <c r="J107" s="31"/>
      <c r="K107" s="31"/>
      <c r="L107" s="32"/>
      <c r="M107" s="32"/>
      <c r="N107" s="292">
        <f>SUM(N96:N106)</f>
        <v>781296</v>
      </c>
      <c r="O107" s="314"/>
    </row>
    <row r="108" spans="1:23" ht="18" customHeight="1">
      <c r="A108" s="23" t="s">
        <v>43</v>
      </c>
      <c r="B108" s="24"/>
      <c r="C108" s="33"/>
      <c r="D108" s="34">
        <f>D107/C90</f>
        <v>289.14041212121208</v>
      </c>
      <c r="E108" s="34"/>
      <c r="F108" s="34"/>
      <c r="G108" s="34"/>
      <c r="H108" s="34"/>
      <c r="I108" s="34"/>
      <c r="J108" s="34"/>
      <c r="K108" s="34"/>
      <c r="L108" s="35"/>
      <c r="M108" s="35"/>
      <c r="N108" s="293"/>
      <c r="O108" s="345"/>
      <c r="P108" s="2"/>
      <c r="Q108" s="2"/>
      <c r="R108" s="2"/>
      <c r="S108" s="2"/>
      <c r="T108" s="2"/>
      <c r="U108" s="2"/>
      <c r="V108" s="2"/>
      <c r="W108" s="2"/>
    </row>
    <row r="109" spans="1:23" ht="18" customHeight="1">
      <c r="A109" s="283" t="s">
        <v>52</v>
      </c>
      <c r="B109" s="193"/>
      <c r="C109" s="319" t="s">
        <v>133</v>
      </c>
      <c r="D109" s="29" t="s">
        <v>38</v>
      </c>
      <c r="E109" s="34"/>
      <c r="F109" s="34"/>
      <c r="G109" s="34"/>
      <c r="H109" s="34"/>
      <c r="I109" s="34"/>
      <c r="J109" s="36"/>
      <c r="K109" s="36"/>
      <c r="L109" s="35"/>
      <c r="M109" s="35"/>
      <c r="N109" s="153"/>
      <c r="O109" s="4"/>
      <c r="P109" s="2"/>
      <c r="Q109" s="2"/>
      <c r="R109" s="2"/>
      <c r="S109" s="2"/>
      <c r="T109" s="2"/>
      <c r="U109" s="2"/>
      <c r="V109" s="2"/>
      <c r="W109" s="2"/>
    </row>
    <row r="110" spans="1:23" ht="18" customHeight="1">
      <c r="A110" s="194"/>
      <c r="B110" s="195"/>
      <c r="C110" s="62" t="s">
        <v>58</v>
      </c>
      <c r="D110" s="29">
        <f>D108*100/930</f>
        <v>31.090366894753984</v>
      </c>
      <c r="E110" s="34"/>
      <c r="F110" s="34"/>
      <c r="G110" s="34"/>
      <c r="H110" s="34"/>
      <c r="I110" s="34"/>
      <c r="J110" s="36"/>
      <c r="K110" s="36"/>
      <c r="L110" s="35"/>
      <c r="M110" s="35"/>
      <c r="N110" s="153"/>
      <c r="O110" s="4"/>
      <c r="P110" s="2"/>
      <c r="Q110" s="2"/>
      <c r="R110" s="2"/>
      <c r="S110" s="2"/>
      <c r="T110" s="2"/>
      <c r="U110" s="2"/>
      <c r="V110" s="2"/>
      <c r="W110" s="2"/>
    </row>
    <row r="111" spans="1:23" s="2" customFormat="1" ht="18" customHeight="1">
      <c r="A111" s="224" t="s">
        <v>45</v>
      </c>
      <c r="B111" s="224"/>
      <c r="C111" s="45"/>
      <c r="D111" s="46"/>
      <c r="E111" s="47"/>
      <c r="F111" s="47"/>
      <c r="G111" s="47"/>
      <c r="H111" s="47"/>
      <c r="I111" s="47"/>
      <c r="J111" s="47"/>
      <c r="K111" s="47"/>
      <c r="L111" s="48"/>
      <c r="M111" s="48"/>
      <c r="N111" s="51"/>
      <c r="O111" s="314"/>
    </row>
    <row r="112" spans="1:23" s="2" customFormat="1" ht="18" customHeight="1">
      <c r="A112" s="8">
        <v>1</v>
      </c>
      <c r="B112" s="9" t="s">
        <v>2</v>
      </c>
      <c r="C112" s="12">
        <f>L112/100*100</f>
        <v>70</v>
      </c>
      <c r="D112" s="13">
        <f>C112/100*60</f>
        <v>42</v>
      </c>
      <c r="E112" s="14">
        <f>C112/100*15</f>
        <v>10.5</v>
      </c>
      <c r="F112" s="14"/>
      <c r="G112" s="14"/>
      <c r="H112" s="14"/>
      <c r="I112" s="14"/>
      <c r="J112" s="22">
        <f>C112/100*387</f>
        <v>270.89999999999998</v>
      </c>
      <c r="K112" s="22">
        <f>C112/100*0.09</f>
        <v>6.3E-2</v>
      </c>
      <c r="L112" s="111">
        <v>70</v>
      </c>
      <c r="M112" s="20">
        <v>20</v>
      </c>
      <c r="N112" s="16">
        <f>L112*M112</f>
        <v>1400</v>
      </c>
      <c r="O112" s="314"/>
    </row>
    <row r="113" spans="1:23" s="2" customFormat="1" ht="18" customHeight="1">
      <c r="A113" s="8">
        <v>2</v>
      </c>
      <c r="B113" s="9" t="s">
        <v>29</v>
      </c>
      <c r="C113" s="12">
        <f>L113/100*100</f>
        <v>70</v>
      </c>
      <c r="D113" s="13">
        <f>C113/100*390</f>
        <v>273</v>
      </c>
      <c r="E113" s="14"/>
      <c r="F113" s="14"/>
      <c r="G113" s="14"/>
      <c r="H113" s="14"/>
      <c r="I113" s="14">
        <f>C113/100*97.4</f>
        <v>68.179999999999993</v>
      </c>
      <c r="J113" s="22">
        <f>C113/100*178</f>
        <v>124.6</v>
      </c>
      <c r="K113" s="22">
        <f>C113/100*0.05</f>
        <v>3.4999999999999996E-2</v>
      </c>
      <c r="L113" s="111">
        <v>70</v>
      </c>
      <c r="M113" s="20">
        <v>25</v>
      </c>
      <c r="N113" s="16">
        <f t="shared" ref="N113:N121" si="6">L113*M113</f>
        <v>1750</v>
      </c>
      <c r="O113" s="337"/>
    </row>
    <row r="114" spans="1:23" s="2" customFormat="1" ht="18" customHeight="1">
      <c r="A114" s="8">
        <v>3</v>
      </c>
      <c r="B114" s="115" t="s">
        <v>121</v>
      </c>
      <c r="C114" s="12">
        <f>L114/100*100</f>
        <v>320</v>
      </c>
      <c r="D114" s="13">
        <f>C114/100*899</f>
        <v>2876.8</v>
      </c>
      <c r="E114" s="14"/>
      <c r="F114" s="14"/>
      <c r="G114" s="14">
        <f>C114/100*100</f>
        <v>320</v>
      </c>
      <c r="H114" s="14"/>
      <c r="I114" s="14"/>
      <c r="J114" s="14"/>
      <c r="K114" s="14"/>
      <c r="L114" s="111">
        <v>320</v>
      </c>
      <c r="M114" s="65">
        <v>68</v>
      </c>
      <c r="N114" s="16">
        <f t="shared" si="6"/>
        <v>21760</v>
      </c>
      <c r="O114" s="315"/>
    </row>
    <row r="115" spans="1:23" s="2" customFormat="1" ht="18" customHeight="1">
      <c r="A115" s="8">
        <v>4</v>
      </c>
      <c r="B115" s="5" t="s">
        <v>1</v>
      </c>
      <c r="C115" s="12">
        <f>L115/100*100</f>
        <v>2772</v>
      </c>
      <c r="D115" s="13">
        <f>C115/100*344</f>
        <v>9535.68</v>
      </c>
      <c r="E115" s="14"/>
      <c r="F115" s="14">
        <f>C115/100*7.9</f>
        <v>218.988</v>
      </c>
      <c r="G115" s="14"/>
      <c r="H115" s="14">
        <f>C115/100*1</f>
        <v>27.72</v>
      </c>
      <c r="I115" s="91">
        <f>C115/100*71.7</f>
        <v>1987.5239999999999</v>
      </c>
      <c r="J115" s="22">
        <f>C115/100*30</f>
        <v>831.59999999999991</v>
      </c>
      <c r="K115" s="22">
        <f>C115/100*0.1</f>
        <v>2.7720000000000002</v>
      </c>
      <c r="L115" s="111">
        <v>2772</v>
      </c>
      <c r="M115" s="20">
        <v>18</v>
      </c>
      <c r="N115" s="16">
        <f t="shared" si="6"/>
        <v>49896</v>
      </c>
      <c r="O115" s="314"/>
    </row>
    <row r="116" spans="1:23" s="2" customFormat="1" ht="18" customHeight="1">
      <c r="A116" s="8">
        <v>5</v>
      </c>
      <c r="B116" s="66" t="s">
        <v>62</v>
      </c>
      <c r="C116" s="12">
        <f>L116/100*89</f>
        <v>2937</v>
      </c>
      <c r="D116" s="13">
        <f>C116/100*154</f>
        <v>4522.9800000000005</v>
      </c>
      <c r="E116" s="14">
        <f>C116/100*13.1</f>
        <v>384.74700000000001</v>
      </c>
      <c r="F116" s="14"/>
      <c r="G116" s="14">
        <f>C116/100*11.1</f>
        <v>326.00700000000001</v>
      </c>
      <c r="H116" s="14"/>
      <c r="I116" s="14">
        <f>C116/100*0.4</f>
        <v>11.748000000000001</v>
      </c>
      <c r="J116" s="64">
        <f>C116/100*64</f>
        <v>1879.68</v>
      </c>
      <c r="K116" s="22">
        <f>C116/100*0.13</f>
        <v>3.8181000000000003</v>
      </c>
      <c r="L116" s="111">
        <v>3300</v>
      </c>
      <c r="M116" s="42">
        <v>82</v>
      </c>
      <c r="N116" s="44">
        <f t="shared" si="6"/>
        <v>270600</v>
      </c>
      <c r="O116" s="314"/>
    </row>
    <row r="117" spans="1:23" s="2" customFormat="1" ht="18" customHeight="1">
      <c r="A117" s="8">
        <v>6</v>
      </c>
      <c r="B117" s="9" t="s">
        <v>66</v>
      </c>
      <c r="C117" s="12">
        <f>L117/100*98</f>
        <v>519.4</v>
      </c>
      <c r="D117" s="13">
        <f>C117/100*232</f>
        <v>1205.008</v>
      </c>
      <c r="E117" s="14">
        <f>C117/100*17.6</f>
        <v>91.414400000000001</v>
      </c>
      <c r="F117" s="14"/>
      <c r="G117" s="14">
        <f>C117/100*17.2</f>
        <v>89.336799999999997</v>
      </c>
      <c r="H117" s="14"/>
      <c r="I117" s="14"/>
      <c r="J117" s="22">
        <f>C117/100*7</f>
        <v>36.357999999999997</v>
      </c>
      <c r="K117" s="22">
        <f>C117/100*0.9</f>
        <v>4.6745999999999999</v>
      </c>
      <c r="L117" s="111">
        <v>530</v>
      </c>
      <c r="M117" s="15">
        <v>137</v>
      </c>
      <c r="N117" s="16">
        <f t="shared" si="6"/>
        <v>72610</v>
      </c>
      <c r="O117" s="314"/>
    </row>
    <row r="118" spans="1:23" s="2" customFormat="1" ht="18" customHeight="1">
      <c r="A118" s="8">
        <v>7</v>
      </c>
      <c r="B118" s="5" t="s">
        <v>117</v>
      </c>
      <c r="C118" s="12">
        <f>L118/100*100</f>
        <v>50</v>
      </c>
      <c r="D118" s="13">
        <f>C118/100*247</f>
        <v>123.5</v>
      </c>
      <c r="E118" s="17"/>
      <c r="F118" s="17">
        <f>C118/100*17.5</f>
        <v>8.75</v>
      </c>
      <c r="G118" s="17"/>
      <c r="H118" s="17">
        <f>C118/100*1.6</f>
        <v>0.8</v>
      </c>
      <c r="I118" s="17">
        <f>C118/100*39.2</f>
        <v>19.600000000000001</v>
      </c>
      <c r="J118" s="21"/>
      <c r="K118" s="21"/>
      <c r="L118" s="318">
        <v>50</v>
      </c>
      <c r="M118" s="20">
        <v>50</v>
      </c>
      <c r="N118" s="16">
        <f t="shared" si="6"/>
        <v>2500</v>
      </c>
      <c r="O118" s="314"/>
      <c r="Q118" s="3"/>
      <c r="R118" s="3"/>
      <c r="S118" s="4"/>
      <c r="T118" s="3"/>
    </row>
    <row r="119" spans="1:23" s="2" customFormat="1" ht="18" customHeight="1">
      <c r="A119" s="8">
        <v>8</v>
      </c>
      <c r="B119" s="5" t="s">
        <v>68</v>
      </c>
      <c r="C119" s="12">
        <f>L119/100*75</f>
        <v>990</v>
      </c>
      <c r="D119" s="13">
        <f>C119/100*12</f>
        <v>118.80000000000001</v>
      </c>
      <c r="E119" s="14">
        <f>C119/100*0.6</f>
        <v>5.94</v>
      </c>
      <c r="F119" s="14"/>
      <c r="G119" s="14"/>
      <c r="H119" s="14"/>
      <c r="I119" s="14">
        <f>C119/100*2.4</f>
        <v>23.76</v>
      </c>
      <c r="J119" s="22">
        <f>C119/100*26</f>
        <v>257.40000000000003</v>
      </c>
      <c r="K119" s="22">
        <f>C119/100*0.02</f>
        <v>0.19800000000000001</v>
      </c>
      <c r="L119" s="111">
        <v>1320</v>
      </c>
      <c r="M119" s="15">
        <v>25</v>
      </c>
      <c r="N119" s="16">
        <f t="shared" si="6"/>
        <v>33000</v>
      </c>
      <c r="O119" s="314"/>
    </row>
    <row r="120" spans="1:23" s="2" customFormat="1" ht="18" customHeight="1">
      <c r="A120" s="8">
        <v>9</v>
      </c>
      <c r="B120" s="5" t="s">
        <v>5</v>
      </c>
      <c r="C120" s="12">
        <f>L120/100*98.5</f>
        <v>985</v>
      </c>
      <c r="D120" s="13">
        <f>C120/100*39</f>
        <v>384.15</v>
      </c>
      <c r="E120" s="17"/>
      <c r="F120" s="17">
        <f>C120/100*1.5</f>
        <v>14.774999999999999</v>
      </c>
      <c r="G120" s="17"/>
      <c r="H120" s="17">
        <f>C120/100*0.2</f>
        <v>1.97</v>
      </c>
      <c r="I120" s="17">
        <f>C120/100*7.8</f>
        <v>76.83</v>
      </c>
      <c r="J120" s="17">
        <f>C120/100*43</f>
        <v>423.55</v>
      </c>
      <c r="K120" s="17">
        <f>C120/100*0.06</f>
        <v>0.59099999999999997</v>
      </c>
      <c r="L120" s="318">
        <v>1000</v>
      </c>
      <c r="M120" s="20">
        <v>17</v>
      </c>
      <c r="N120" s="16">
        <f t="shared" si="6"/>
        <v>17000</v>
      </c>
      <c r="O120" s="314"/>
      <c r="Q120" s="3"/>
      <c r="R120" s="3"/>
      <c r="S120" s="4"/>
    </row>
    <row r="121" spans="1:23" s="2" customFormat="1" ht="18" customHeight="1">
      <c r="A121" s="8">
        <v>10</v>
      </c>
      <c r="B121" s="5" t="s">
        <v>20</v>
      </c>
      <c r="C121" s="12">
        <f>L121/100*95</f>
        <v>1254</v>
      </c>
      <c r="D121" s="13">
        <f>C121/100*20</f>
        <v>250.79999999999998</v>
      </c>
      <c r="E121" s="14"/>
      <c r="F121" s="14">
        <f>C121/100*0.6</f>
        <v>7.5239999999999991</v>
      </c>
      <c r="G121" s="14"/>
      <c r="H121" s="14">
        <f>C121/100*0.2</f>
        <v>2.508</v>
      </c>
      <c r="I121" s="14">
        <f>C121/100*4</f>
        <v>50.16</v>
      </c>
      <c r="J121" s="21">
        <f>C121/100*12</f>
        <v>150.47999999999999</v>
      </c>
      <c r="K121" s="21">
        <f>C121/100*0.04</f>
        <v>0.50159999999999993</v>
      </c>
      <c r="L121" s="317">
        <v>1320</v>
      </c>
      <c r="M121" s="15">
        <v>22</v>
      </c>
      <c r="N121" s="16">
        <f t="shared" si="6"/>
        <v>29040</v>
      </c>
      <c r="O121" s="314"/>
      <c r="Q121" s="3"/>
      <c r="R121" s="3"/>
    </row>
    <row r="122" spans="1:23" s="2" customFormat="1" ht="18" customHeight="1">
      <c r="A122" s="8">
        <v>11</v>
      </c>
      <c r="B122" s="9" t="s">
        <v>111</v>
      </c>
      <c r="C122" s="12"/>
      <c r="D122" s="13"/>
      <c r="E122" s="14"/>
      <c r="F122" s="14"/>
      <c r="G122" s="104"/>
      <c r="H122" s="104"/>
      <c r="I122" s="14"/>
      <c r="J122" s="14"/>
      <c r="K122" s="14"/>
      <c r="L122" s="15"/>
      <c r="M122" s="15"/>
      <c r="N122" s="16">
        <v>4700</v>
      </c>
      <c r="O122" s="314"/>
    </row>
    <row r="123" spans="1:23" s="2" customFormat="1" ht="18" customHeight="1">
      <c r="A123" s="23" t="s">
        <v>105</v>
      </c>
      <c r="B123" s="24"/>
      <c r="C123" s="25"/>
      <c r="D123" s="94">
        <f>SUM(D112:D122)</f>
        <v>19332.718000000001</v>
      </c>
      <c r="E123" s="31"/>
      <c r="F123" s="31"/>
      <c r="G123" s="31"/>
      <c r="H123" s="31"/>
      <c r="I123" s="31"/>
      <c r="J123" s="31"/>
      <c r="K123" s="31"/>
      <c r="L123" s="32"/>
      <c r="M123" s="32"/>
      <c r="N123" s="292">
        <f>SUM(N112:N122)</f>
        <v>504256</v>
      </c>
      <c r="O123" s="314"/>
    </row>
    <row r="124" spans="1:23" ht="18" customHeight="1">
      <c r="A124" s="23" t="s">
        <v>46</v>
      </c>
      <c r="B124" s="24"/>
      <c r="C124" s="52"/>
      <c r="D124" s="36">
        <f>D123/C90</f>
        <v>292.9199696969697</v>
      </c>
      <c r="E124" s="36"/>
      <c r="F124" s="36"/>
      <c r="G124" s="36"/>
      <c r="H124" s="36"/>
      <c r="I124" s="36"/>
      <c r="J124" s="36"/>
      <c r="K124" s="36"/>
      <c r="L124" s="53"/>
      <c r="M124" s="35"/>
      <c r="N124" s="293"/>
      <c r="O124" s="4"/>
      <c r="P124" s="2"/>
      <c r="Q124" s="2"/>
      <c r="R124" s="2"/>
      <c r="S124" s="2"/>
      <c r="T124" s="2"/>
      <c r="U124" s="2"/>
      <c r="V124" s="2"/>
      <c r="W124" s="2"/>
    </row>
    <row r="125" spans="1:23" ht="18" customHeight="1">
      <c r="A125" s="283" t="s">
        <v>53</v>
      </c>
      <c r="B125" s="193"/>
      <c r="C125" s="319" t="s">
        <v>133</v>
      </c>
      <c r="D125" s="29" t="s">
        <v>48</v>
      </c>
      <c r="E125" s="34"/>
      <c r="F125" s="34"/>
      <c r="G125" s="34"/>
      <c r="H125" s="34"/>
      <c r="I125" s="34"/>
      <c r="J125" s="36"/>
      <c r="K125" s="36"/>
      <c r="L125" s="35"/>
      <c r="M125" s="35"/>
      <c r="N125" s="153"/>
      <c r="O125" s="4"/>
      <c r="P125" s="2"/>
      <c r="Q125" s="2"/>
      <c r="R125" s="2"/>
      <c r="S125" s="2"/>
      <c r="T125" s="2"/>
      <c r="U125" s="2"/>
      <c r="V125" s="2"/>
      <c r="W125" s="2"/>
    </row>
    <row r="126" spans="1:23" ht="18" customHeight="1">
      <c r="A126" s="194"/>
      <c r="B126" s="195"/>
      <c r="C126" s="62" t="s">
        <v>58</v>
      </c>
      <c r="D126" s="29">
        <f>D124*100/930</f>
        <v>31.496770935158033</v>
      </c>
      <c r="E126" s="34"/>
      <c r="F126" s="34"/>
      <c r="G126" s="34"/>
      <c r="H126" s="34"/>
      <c r="I126" s="34"/>
      <c r="J126" s="36"/>
      <c r="K126" s="36"/>
      <c r="L126" s="35"/>
      <c r="M126" s="35"/>
      <c r="N126" s="153"/>
      <c r="O126" s="4"/>
      <c r="P126" s="2"/>
      <c r="Q126" s="2"/>
      <c r="R126" s="2"/>
      <c r="S126" s="2"/>
      <c r="T126" s="2"/>
      <c r="U126" s="2"/>
      <c r="V126" s="2"/>
      <c r="W126" s="2"/>
    </row>
    <row r="127" spans="1:23" ht="18" customHeight="1">
      <c r="A127" s="291" t="s">
        <v>39</v>
      </c>
      <c r="B127" s="224"/>
      <c r="C127" s="54"/>
      <c r="D127" s="55"/>
      <c r="E127" s="55"/>
      <c r="F127" s="55"/>
      <c r="G127" s="55"/>
      <c r="H127" s="55"/>
      <c r="I127" s="55"/>
      <c r="J127" s="55"/>
      <c r="K127" s="55"/>
      <c r="L127" s="56"/>
      <c r="M127" s="56"/>
      <c r="N127" s="60"/>
      <c r="O127" s="4"/>
      <c r="P127" s="2"/>
      <c r="Q127" s="2"/>
      <c r="R127" s="2"/>
      <c r="S127" s="2"/>
      <c r="T127" s="2"/>
      <c r="U127" s="2"/>
      <c r="V127" s="2"/>
      <c r="W127" s="2"/>
    </row>
    <row r="128" spans="1:23" s="2" customFormat="1" ht="18" customHeight="1">
      <c r="A128" s="119">
        <v>1</v>
      </c>
      <c r="B128" s="125" t="s">
        <v>127</v>
      </c>
      <c r="C128" s="25">
        <f>L128/100*73.5</f>
        <v>5336.0999999999995</v>
      </c>
      <c r="D128" s="120">
        <f>C128/100*56</f>
        <v>2988.2159999999999</v>
      </c>
      <c r="E128" s="27"/>
      <c r="F128" s="27">
        <f>C128/100*0.9</f>
        <v>48.024899999999995</v>
      </c>
      <c r="G128" s="27"/>
      <c r="H128" s="27">
        <f>C128/100*0.3</f>
        <v>16.008299999999998</v>
      </c>
      <c r="I128" s="121">
        <f>C128/100*12.4</f>
        <v>661.67639999999994</v>
      </c>
      <c r="J128" s="126">
        <f>C128/100*12</f>
        <v>640.33199999999999</v>
      </c>
      <c r="K128" s="127">
        <f>C128/100*0.04</f>
        <v>2.1344400000000001</v>
      </c>
      <c r="L128" s="28">
        <v>7260</v>
      </c>
      <c r="M128" s="128">
        <v>23</v>
      </c>
      <c r="N128" s="122">
        <f t="shared" ref="N128" si="7">L128*M128</f>
        <v>166980</v>
      </c>
      <c r="O128" s="314"/>
    </row>
    <row r="129" spans="1:24" ht="18" customHeight="1">
      <c r="A129" s="211" t="s">
        <v>0</v>
      </c>
      <c r="B129" s="214" t="s">
        <v>19</v>
      </c>
      <c r="C129" s="217" t="s">
        <v>8</v>
      </c>
      <c r="D129" s="217" t="s">
        <v>9</v>
      </c>
      <c r="E129" s="220" t="s">
        <v>11</v>
      </c>
      <c r="F129" s="221"/>
      <c r="G129" s="220" t="s">
        <v>13</v>
      </c>
      <c r="H129" s="221"/>
      <c r="I129" s="208" t="s">
        <v>16</v>
      </c>
      <c r="J129" s="208" t="s">
        <v>32</v>
      </c>
      <c r="K129" s="208" t="s">
        <v>33</v>
      </c>
      <c r="L129" s="208" t="s">
        <v>17</v>
      </c>
      <c r="M129" s="208" t="s">
        <v>34</v>
      </c>
      <c r="N129" s="211" t="s">
        <v>18</v>
      </c>
      <c r="O129" s="313"/>
    </row>
    <row r="130" spans="1:24" ht="18" customHeight="1">
      <c r="A130" s="212"/>
      <c r="B130" s="215"/>
      <c r="C130" s="218"/>
      <c r="D130" s="218"/>
      <c r="E130" s="222"/>
      <c r="F130" s="223"/>
      <c r="G130" s="222"/>
      <c r="H130" s="223"/>
      <c r="I130" s="209"/>
      <c r="J130" s="209"/>
      <c r="K130" s="209"/>
      <c r="L130" s="209"/>
      <c r="M130" s="209"/>
      <c r="N130" s="212"/>
      <c r="O130" s="152"/>
    </row>
    <row r="131" spans="1:24" ht="18" customHeight="1">
      <c r="A131" s="212"/>
      <c r="B131" s="215"/>
      <c r="C131" s="218"/>
      <c r="D131" s="218"/>
      <c r="E131" s="208" t="s">
        <v>10</v>
      </c>
      <c r="F131" s="208" t="s">
        <v>12</v>
      </c>
      <c r="G131" s="208" t="s">
        <v>14</v>
      </c>
      <c r="H131" s="208" t="s">
        <v>15</v>
      </c>
      <c r="I131" s="209"/>
      <c r="J131" s="209"/>
      <c r="K131" s="209"/>
      <c r="L131" s="209"/>
      <c r="M131" s="209"/>
      <c r="N131" s="212"/>
      <c r="O131" s="152"/>
    </row>
    <row r="132" spans="1:24" ht="18" customHeight="1">
      <c r="A132" s="213"/>
      <c r="B132" s="216"/>
      <c r="C132" s="219"/>
      <c r="D132" s="219"/>
      <c r="E132" s="210"/>
      <c r="F132" s="210"/>
      <c r="G132" s="210"/>
      <c r="H132" s="210"/>
      <c r="I132" s="210"/>
      <c r="J132" s="210"/>
      <c r="K132" s="210"/>
      <c r="L132" s="210"/>
      <c r="M132" s="210"/>
      <c r="N132" s="213"/>
      <c r="O132" s="152"/>
    </row>
    <row r="133" spans="1:24" s="2" customFormat="1" ht="21" customHeight="1">
      <c r="A133" s="23" t="s">
        <v>98</v>
      </c>
      <c r="B133" s="24"/>
      <c r="C133" s="25"/>
      <c r="D133" s="26">
        <f>SUM(D127:D128)</f>
        <v>2988.2159999999999</v>
      </c>
      <c r="E133" s="31"/>
      <c r="F133" s="31"/>
      <c r="G133" s="31"/>
      <c r="H133" s="31"/>
      <c r="I133" s="31"/>
      <c r="J133" s="31"/>
      <c r="K133" s="31"/>
      <c r="L133" s="32"/>
      <c r="M133" s="58"/>
      <c r="N133" s="292">
        <f>SUM(N127:N128)</f>
        <v>166980</v>
      </c>
      <c r="O133" s="314"/>
    </row>
    <row r="134" spans="1:24" ht="21" customHeight="1">
      <c r="A134" s="23" t="s">
        <v>7</v>
      </c>
      <c r="B134" s="24"/>
      <c r="C134" s="33"/>
      <c r="D134" s="34">
        <f>D133/C90</f>
        <v>45.275999999999996</v>
      </c>
      <c r="E134" s="34"/>
      <c r="F134" s="34"/>
      <c r="G134" s="34"/>
      <c r="H134" s="34"/>
      <c r="I134" s="34"/>
      <c r="J134" s="34"/>
      <c r="K134" s="34"/>
      <c r="L134" s="35"/>
      <c r="M134" s="18"/>
      <c r="N134" s="293"/>
      <c r="O134" s="4"/>
      <c r="P134" s="2"/>
      <c r="Q134" s="2"/>
      <c r="R134" s="2"/>
      <c r="S134" s="2"/>
      <c r="T134" s="2"/>
      <c r="U134" s="2"/>
      <c r="V134" s="2"/>
      <c r="W134" s="2"/>
    </row>
    <row r="135" spans="1:24" ht="21" customHeight="1">
      <c r="A135" s="283" t="s">
        <v>51</v>
      </c>
      <c r="B135" s="193"/>
      <c r="C135" s="319" t="s">
        <v>133</v>
      </c>
      <c r="D135" s="29" t="s">
        <v>49</v>
      </c>
      <c r="E135" s="34"/>
      <c r="F135" s="34"/>
      <c r="G135" s="34"/>
      <c r="H135" s="34"/>
      <c r="I135" s="34"/>
      <c r="J135" s="36"/>
      <c r="K135" s="36"/>
      <c r="L135" s="35"/>
      <c r="M135" s="35"/>
      <c r="N135" s="153"/>
      <c r="O135" s="4"/>
      <c r="P135" s="2"/>
      <c r="Q135" s="2"/>
      <c r="R135" s="2"/>
      <c r="S135" s="2"/>
      <c r="T135" s="2"/>
      <c r="U135" s="2"/>
      <c r="V135" s="2"/>
      <c r="W135" s="2"/>
    </row>
    <row r="136" spans="1:24" ht="21" customHeight="1">
      <c r="A136" s="194"/>
      <c r="B136" s="195"/>
      <c r="C136" s="62" t="s">
        <v>58</v>
      </c>
      <c r="D136" s="29">
        <f>D134*100/930</f>
        <v>4.8683870967741933</v>
      </c>
      <c r="E136" s="34"/>
      <c r="F136" s="34"/>
      <c r="G136" s="34"/>
      <c r="H136" s="34"/>
      <c r="I136" s="34"/>
      <c r="J136" s="36"/>
      <c r="K136" s="36"/>
      <c r="L136" s="35"/>
      <c r="M136" s="35"/>
      <c r="N136" s="153"/>
      <c r="O136" s="4"/>
      <c r="P136" s="2"/>
      <c r="Q136" s="2"/>
      <c r="R136" s="2"/>
      <c r="S136" s="2"/>
      <c r="T136" s="2"/>
      <c r="U136" s="2"/>
      <c r="V136" s="2"/>
      <c r="W136" s="2"/>
    </row>
    <row r="137" spans="1:24" ht="21" customHeight="1">
      <c r="A137" s="196" t="s">
        <v>99</v>
      </c>
      <c r="B137" s="197"/>
      <c r="C137" s="200"/>
      <c r="D137" s="202">
        <f>D107+D123+D133</f>
        <v>41404.201199999996</v>
      </c>
      <c r="E137" s="95">
        <f>SUM(E96:E136)</f>
        <v>1154.2784000000001</v>
      </c>
      <c r="F137" s="6">
        <f>SUM(F96:F136)</f>
        <v>580.99390000000005</v>
      </c>
      <c r="G137" s="95">
        <f>SUM(G96:G136)</f>
        <v>1031.6400000000001</v>
      </c>
      <c r="H137" s="6">
        <f>SUM(H96:H136)</f>
        <v>441.24330000000003</v>
      </c>
      <c r="I137" s="256">
        <f>SUM(I96:I136)</f>
        <v>5123.50695</v>
      </c>
      <c r="J137" s="206">
        <f>SUM(J96:J128)</f>
        <v>10337.7886</v>
      </c>
      <c r="K137" s="204">
        <f>SUM(K96:K128)</f>
        <v>39.945509999999999</v>
      </c>
      <c r="L137" s="171"/>
      <c r="M137" s="171"/>
      <c r="N137" s="290">
        <f>N107+N123+N133</f>
        <v>1452532</v>
      </c>
      <c r="P137" s="2"/>
      <c r="Q137" s="2"/>
      <c r="R137" s="2"/>
      <c r="S137" s="2"/>
      <c r="T137" s="2"/>
      <c r="U137" s="2"/>
      <c r="V137" s="2"/>
    </row>
    <row r="138" spans="1:24" ht="21" customHeight="1">
      <c r="A138" s="198"/>
      <c r="B138" s="199"/>
      <c r="C138" s="201"/>
      <c r="D138" s="297"/>
      <c r="E138" s="173">
        <f>E137+F137</f>
        <v>1735.2723000000001</v>
      </c>
      <c r="F138" s="174"/>
      <c r="G138" s="173">
        <f>G137+H137</f>
        <v>1472.8833000000002</v>
      </c>
      <c r="H138" s="174"/>
      <c r="I138" s="257"/>
      <c r="J138" s="207"/>
      <c r="K138" s="205"/>
      <c r="L138" s="171"/>
      <c r="M138" s="171"/>
      <c r="N138" s="290"/>
      <c r="P138" s="2"/>
      <c r="Q138" s="2"/>
      <c r="R138" s="2"/>
      <c r="S138" s="2"/>
      <c r="T138" s="2"/>
      <c r="U138" s="2"/>
      <c r="V138" s="2"/>
    </row>
    <row r="139" spans="1:24" ht="21" customHeight="1">
      <c r="A139" s="178" t="s">
        <v>75</v>
      </c>
      <c r="B139" s="179"/>
      <c r="C139" s="179"/>
      <c r="D139" s="133">
        <f>D137/C90</f>
        <v>627.33638181818174</v>
      </c>
      <c r="E139" s="107">
        <f>E137/C90</f>
        <v>17.48906666666667</v>
      </c>
      <c r="F139" s="106">
        <f>F137/C90</f>
        <v>8.8029378787878798</v>
      </c>
      <c r="G139" s="108">
        <f>G137/C90</f>
        <v>15.630909090909093</v>
      </c>
      <c r="H139" s="107">
        <f>H137/C90</f>
        <v>6.6855045454545463</v>
      </c>
      <c r="I139" s="184">
        <f>I137/C90</f>
        <v>77.628893181818185</v>
      </c>
      <c r="J139" s="184">
        <f>J137/C90</f>
        <v>156.63316060606061</v>
      </c>
      <c r="K139" s="184">
        <f>K137/C90</f>
        <v>0.60523499999999997</v>
      </c>
      <c r="L139" s="171"/>
      <c r="M139" s="171"/>
      <c r="N139" s="290"/>
      <c r="P139" s="2"/>
      <c r="Q139" s="2"/>
      <c r="R139" s="2"/>
      <c r="S139" s="2"/>
      <c r="T139" s="2"/>
      <c r="U139" s="2"/>
      <c r="V139" s="2"/>
    </row>
    <row r="140" spans="1:24" ht="21" customHeight="1">
      <c r="A140" s="181"/>
      <c r="B140" s="182"/>
      <c r="C140" s="182"/>
      <c r="D140" s="100"/>
      <c r="E140" s="294">
        <f>E139+F139</f>
        <v>26.292004545454549</v>
      </c>
      <c r="F140" s="295"/>
      <c r="G140" s="296">
        <f>G139+H139</f>
        <v>22.316413636363638</v>
      </c>
      <c r="H140" s="295"/>
      <c r="I140" s="185"/>
      <c r="J140" s="185"/>
      <c r="K140" s="185"/>
      <c r="L140" s="171"/>
      <c r="M140" s="171"/>
      <c r="N140" s="290"/>
      <c r="P140" s="308"/>
      <c r="Q140" s="308"/>
      <c r="R140" s="310"/>
      <c r="S140" s="310"/>
      <c r="T140" s="310"/>
      <c r="U140" s="310"/>
      <c r="V140" s="321"/>
      <c r="W140" s="321"/>
      <c r="X140" s="1">
        <f>R140+T140+V140</f>
        <v>0</v>
      </c>
    </row>
    <row r="141" spans="1:24" ht="21" customHeight="1">
      <c r="A141" s="322" t="s">
        <v>76</v>
      </c>
      <c r="B141" s="323"/>
      <c r="C141" s="324"/>
      <c r="D141" s="151" t="s">
        <v>28</v>
      </c>
      <c r="E141" s="334" t="s">
        <v>24</v>
      </c>
      <c r="F141" s="334"/>
      <c r="G141" s="334" t="s">
        <v>25</v>
      </c>
      <c r="H141" s="334"/>
      <c r="I141" s="325" t="s">
        <v>26</v>
      </c>
      <c r="J141" s="151">
        <v>500</v>
      </c>
      <c r="K141" s="151">
        <v>0.59</v>
      </c>
      <c r="L141" s="171"/>
      <c r="M141" s="171"/>
      <c r="N141" s="290"/>
      <c r="O141" s="327"/>
      <c r="P141" s="308"/>
      <c r="Q141" s="328"/>
      <c r="R141" s="310"/>
      <c r="S141" s="310"/>
      <c r="T141" s="310"/>
      <c r="U141" s="310"/>
      <c r="V141" s="310"/>
      <c r="W141" s="310"/>
    </row>
    <row r="142" spans="1:24" ht="21" customHeight="1">
      <c r="A142" s="164" t="s">
        <v>69</v>
      </c>
      <c r="B142" s="168"/>
      <c r="C142" s="165"/>
      <c r="D142" s="19"/>
      <c r="E142" s="169">
        <f>E140*4.1</f>
        <v>107.79721863636364</v>
      </c>
      <c r="F142" s="170"/>
      <c r="G142" s="169">
        <f>G140*9</f>
        <v>200.84772272727275</v>
      </c>
      <c r="H142" s="170"/>
      <c r="I142" s="68">
        <f>I139*4.1</f>
        <v>318.27846204545455</v>
      </c>
      <c r="J142" s="175"/>
      <c r="K142" s="175"/>
      <c r="L142" s="171"/>
      <c r="M142" s="171"/>
      <c r="N142" s="290"/>
      <c r="O142" s="327"/>
      <c r="P142" s="329"/>
      <c r="Q142" s="329"/>
      <c r="R142" s="307"/>
      <c r="S142" s="307"/>
      <c r="T142" s="307"/>
      <c r="U142" s="308"/>
      <c r="V142" s="308"/>
      <c r="W142" s="308"/>
    </row>
    <row r="143" spans="1:24" ht="21" customHeight="1">
      <c r="A143" s="160" t="s">
        <v>77</v>
      </c>
      <c r="B143" s="161"/>
      <c r="C143" s="164" t="s">
        <v>58</v>
      </c>
      <c r="D143" s="165"/>
      <c r="E143" s="166">
        <f>E142*100/D139</f>
        <v>17.183320107139274</v>
      </c>
      <c r="F143" s="167"/>
      <c r="G143" s="166">
        <f>G142*100/D139</f>
        <v>32.015953250657091</v>
      </c>
      <c r="H143" s="167"/>
      <c r="I143" s="86">
        <f>I142*100/D139</f>
        <v>50.734896184882807</v>
      </c>
      <c r="J143" s="176"/>
      <c r="K143" s="176"/>
      <c r="L143" s="171"/>
      <c r="M143" s="171"/>
      <c r="N143" s="290"/>
      <c r="O143" s="327"/>
      <c r="P143" s="308"/>
      <c r="Q143" s="308"/>
      <c r="R143" s="309"/>
      <c r="S143" s="308"/>
      <c r="T143" s="308"/>
      <c r="U143" s="308"/>
      <c r="V143" s="308"/>
      <c r="W143" s="308"/>
    </row>
    <row r="144" spans="1:24" ht="21" customHeight="1">
      <c r="A144" s="162"/>
      <c r="B144" s="163"/>
      <c r="C144" s="164" t="s">
        <v>71</v>
      </c>
      <c r="D144" s="165"/>
      <c r="E144" s="164" t="s">
        <v>72</v>
      </c>
      <c r="F144" s="165"/>
      <c r="G144" s="164" t="s">
        <v>78</v>
      </c>
      <c r="H144" s="165"/>
      <c r="I144" s="325" t="s">
        <v>79</v>
      </c>
      <c r="J144" s="177"/>
      <c r="K144" s="177"/>
      <c r="L144" s="171"/>
      <c r="M144" s="171"/>
      <c r="N144" s="290"/>
      <c r="O144" s="327"/>
      <c r="P144" s="84"/>
    </row>
    <row r="145" spans="1:15" ht="21" customHeight="1">
      <c r="A145" s="70"/>
      <c r="B145" s="71"/>
      <c r="C145" s="70"/>
      <c r="D145" s="70"/>
      <c r="E145" s="70"/>
      <c r="F145" s="70"/>
      <c r="G145" s="70"/>
      <c r="H145" s="70"/>
      <c r="I145" s="70"/>
      <c r="J145" s="70"/>
      <c r="K145" s="70"/>
      <c r="L145" s="72"/>
      <c r="M145" s="72"/>
      <c r="N145" s="73"/>
      <c r="O145" s="327"/>
    </row>
    <row r="146" spans="1:15" ht="21" customHeight="1">
      <c r="A146" s="156" t="s">
        <v>100</v>
      </c>
      <c r="B146" s="156"/>
      <c r="C146" s="156"/>
      <c r="D146" s="156"/>
      <c r="E146" s="156"/>
      <c r="F146" s="156"/>
      <c r="G146" s="156"/>
      <c r="H146" s="156"/>
      <c r="I146" s="156"/>
      <c r="J146" s="156"/>
      <c r="K146" s="156"/>
      <c r="L146" s="156"/>
      <c r="M146" s="156"/>
      <c r="N146" s="156"/>
      <c r="O146" s="327"/>
    </row>
    <row r="147" spans="1:15" ht="21" customHeight="1">
      <c r="A147" s="87" t="s">
        <v>101</v>
      </c>
      <c r="B147" s="157" t="s">
        <v>102</v>
      </c>
      <c r="C147" s="157"/>
      <c r="D147" s="157"/>
      <c r="E147" s="157"/>
      <c r="F147" s="157"/>
      <c r="G147" s="157"/>
      <c r="H147" s="157"/>
      <c r="I147" s="157"/>
      <c r="J147" s="157"/>
      <c r="K147" s="157"/>
      <c r="L147" s="157"/>
      <c r="M147" s="157"/>
      <c r="N147" s="157"/>
      <c r="O147" s="327"/>
    </row>
    <row r="148" spans="1:15" ht="21" customHeight="1">
      <c r="A148" s="88"/>
      <c r="B148" s="158" t="s">
        <v>189</v>
      </c>
      <c r="C148" s="158"/>
      <c r="D148" s="158"/>
      <c r="E148" s="158"/>
      <c r="F148" s="158"/>
      <c r="G148" s="158"/>
      <c r="H148" s="158"/>
      <c r="I148" s="158"/>
      <c r="J148" s="158"/>
      <c r="K148" s="158"/>
      <c r="L148" s="158"/>
      <c r="M148" s="158"/>
      <c r="N148" s="158"/>
      <c r="O148" s="327"/>
    </row>
    <row r="149" spans="1:15" ht="21" customHeight="1">
      <c r="A149" s="88"/>
      <c r="B149" s="158" t="s">
        <v>190</v>
      </c>
      <c r="C149" s="158"/>
      <c r="D149" s="158"/>
      <c r="E149" s="158"/>
      <c r="F149" s="158"/>
      <c r="G149" s="158"/>
      <c r="H149" s="158"/>
      <c r="I149" s="158"/>
      <c r="J149" s="158"/>
      <c r="K149" s="158"/>
      <c r="L149" s="158"/>
      <c r="M149" s="158"/>
      <c r="N149" s="158"/>
      <c r="O149" s="327"/>
    </row>
    <row r="150" spans="1:15" ht="21" customHeight="1">
      <c r="A150" s="88"/>
      <c r="B150" s="158" t="s">
        <v>147</v>
      </c>
      <c r="C150" s="158"/>
      <c r="D150" s="158"/>
      <c r="E150" s="158"/>
      <c r="F150" s="158"/>
      <c r="G150" s="158"/>
      <c r="H150" s="158"/>
      <c r="I150" s="158"/>
      <c r="J150" s="158"/>
      <c r="K150" s="158"/>
      <c r="L150" s="158"/>
      <c r="M150" s="158"/>
      <c r="N150" s="158"/>
      <c r="O150" s="327"/>
    </row>
    <row r="151" spans="1:15" ht="21" customHeight="1">
      <c r="A151" s="70"/>
      <c r="B151" s="159" t="s">
        <v>109</v>
      </c>
      <c r="C151" s="159"/>
      <c r="D151" s="159"/>
      <c r="E151" s="159"/>
      <c r="F151" s="159"/>
      <c r="G151" s="159"/>
      <c r="H151" s="159"/>
      <c r="I151" s="159"/>
      <c r="J151" s="159"/>
      <c r="K151" s="159"/>
      <c r="L151" s="159"/>
      <c r="M151" s="159"/>
      <c r="N151" s="159"/>
      <c r="O151" s="327"/>
    </row>
    <row r="152" spans="1:15" ht="21" customHeight="1">
      <c r="A152" s="70"/>
      <c r="B152" s="70"/>
      <c r="C152" s="70"/>
      <c r="D152" s="70"/>
      <c r="E152" s="70"/>
      <c r="F152" s="70"/>
      <c r="G152" s="70"/>
      <c r="H152" s="70"/>
      <c r="I152" s="70"/>
      <c r="J152" s="70"/>
      <c r="K152" s="70"/>
      <c r="L152" s="89"/>
      <c r="M152" s="89"/>
      <c r="N152" s="90"/>
      <c r="O152" s="327"/>
    </row>
    <row r="153" spans="1:15" ht="21" customHeight="1">
      <c r="A153" s="154" t="s">
        <v>60</v>
      </c>
      <c r="B153" s="154"/>
      <c r="C153" s="154"/>
      <c r="D153" s="154"/>
      <c r="E153" s="330"/>
      <c r="F153" s="330"/>
      <c r="G153" s="330"/>
      <c r="H153" s="330"/>
      <c r="I153" s="330"/>
      <c r="J153" s="331" t="s">
        <v>36</v>
      </c>
      <c r="K153" s="331"/>
      <c r="L153" s="331"/>
      <c r="M153" s="331"/>
      <c r="N153" s="331"/>
      <c r="O153" s="327"/>
    </row>
    <row r="154" spans="1:15" ht="21" customHeight="1">
      <c r="A154" s="152"/>
      <c r="B154" s="152"/>
      <c r="C154" s="152"/>
      <c r="D154" s="330"/>
      <c r="E154" s="330"/>
      <c r="F154" s="330"/>
      <c r="G154" s="330"/>
      <c r="H154" s="332"/>
      <c r="I154" s="332"/>
      <c r="J154" s="332"/>
      <c r="K154" s="332"/>
      <c r="L154" s="332"/>
      <c r="M154" s="332"/>
      <c r="N154" s="332"/>
      <c r="O154" s="327"/>
    </row>
    <row r="155" spans="1:15" ht="21" customHeight="1">
      <c r="A155" s="152"/>
      <c r="B155" s="152"/>
      <c r="C155" s="152"/>
      <c r="D155" s="330"/>
      <c r="E155" s="330"/>
      <c r="F155" s="330"/>
      <c r="G155" s="330"/>
      <c r="H155" s="332"/>
      <c r="I155" s="332"/>
      <c r="J155" s="332"/>
      <c r="K155" s="332"/>
      <c r="L155" s="332"/>
      <c r="M155" s="332"/>
      <c r="N155" s="332"/>
      <c r="O155" s="327"/>
    </row>
    <row r="156" spans="1:15" ht="21" customHeight="1">
      <c r="A156" s="152"/>
      <c r="B156" s="152"/>
      <c r="C156" s="152"/>
      <c r="D156" s="330"/>
      <c r="E156" s="330"/>
      <c r="F156" s="330"/>
      <c r="G156" s="330"/>
      <c r="H156" s="332"/>
      <c r="I156" s="332"/>
      <c r="J156" s="333" t="s">
        <v>103</v>
      </c>
      <c r="K156" s="333"/>
      <c r="L156" s="333"/>
      <c r="M156" s="333"/>
      <c r="N156" s="333"/>
      <c r="O156" s="327"/>
    </row>
    <row r="157" spans="1:15" ht="21" customHeight="1">
      <c r="A157" s="155" t="s">
        <v>84</v>
      </c>
      <c r="B157" s="155"/>
      <c r="C157" s="155"/>
      <c r="D157" s="155"/>
      <c r="E157" s="330"/>
      <c r="F157" s="330"/>
      <c r="G157" s="330"/>
      <c r="H157" s="332"/>
      <c r="I157" s="332"/>
      <c r="J157" s="333"/>
      <c r="K157" s="333"/>
      <c r="L157" s="333"/>
      <c r="M157" s="333"/>
      <c r="N157" s="333"/>
      <c r="O157" s="327"/>
    </row>
    <row r="158" spans="1:15" ht="21" customHeight="1">
      <c r="J158" s="332"/>
      <c r="K158" s="332"/>
      <c r="L158" s="332"/>
      <c r="M158" s="332"/>
      <c r="N158" s="332"/>
    </row>
    <row r="159" spans="1:15" ht="21" customHeight="1">
      <c r="J159" s="333" t="s">
        <v>114</v>
      </c>
      <c r="K159" s="333"/>
      <c r="L159" s="333"/>
      <c r="M159" s="333"/>
      <c r="N159" s="333"/>
    </row>
  </sheetData>
  <mergeCells count="204">
    <mergeCell ref="V140:W140"/>
    <mergeCell ref="A141:C141"/>
    <mergeCell ref="J142:J144"/>
    <mergeCell ref="K142:K144"/>
    <mergeCell ref="A143:B144"/>
    <mergeCell ref="C143:D143"/>
    <mergeCell ref="A146:N146"/>
    <mergeCell ref="J157:N157"/>
    <mergeCell ref="B151:N151"/>
    <mergeCell ref="C144:D144"/>
    <mergeCell ref="B147:N147"/>
    <mergeCell ref="A153:D153"/>
    <mergeCell ref="J153:N153"/>
    <mergeCell ref="J156:N156"/>
    <mergeCell ref="A157:D157"/>
    <mergeCell ref="R141:S141"/>
    <mergeCell ref="T141:U141"/>
    <mergeCell ref="V141:W141"/>
    <mergeCell ref="J159:N159"/>
    <mergeCell ref="R140:S140"/>
    <mergeCell ref="T140:U140"/>
    <mergeCell ref="N129:N132"/>
    <mergeCell ref="E131:E132"/>
    <mergeCell ref="F131:F132"/>
    <mergeCell ref="G131:G132"/>
    <mergeCell ref="H131:H132"/>
    <mergeCell ref="N133:N134"/>
    <mergeCell ref="N137:N144"/>
    <mergeCell ref="B148:N148"/>
    <mergeCell ref="B149:N149"/>
    <mergeCell ref="B150:N150"/>
    <mergeCell ref="E142:F142"/>
    <mergeCell ref="G142:H142"/>
    <mergeCell ref="A135:B136"/>
    <mergeCell ref="A137:B138"/>
    <mergeCell ref="C137:C138"/>
    <mergeCell ref="D137:D138"/>
    <mergeCell ref="I137:I138"/>
    <mergeCell ref="J137:J138"/>
    <mergeCell ref="K137:K138"/>
    <mergeCell ref="L137:L144"/>
    <mergeCell ref="M137:M144"/>
    <mergeCell ref="E138:F138"/>
    <mergeCell ref="G138:H138"/>
    <mergeCell ref="A139:C140"/>
    <mergeCell ref="I139:I140"/>
    <mergeCell ref="J139:J140"/>
    <mergeCell ref="K139:K140"/>
    <mergeCell ref="E140:F140"/>
    <mergeCell ref="G140:H140"/>
    <mergeCell ref="E144:F144"/>
    <mergeCell ref="G144:H144"/>
    <mergeCell ref="A142:C142"/>
    <mergeCell ref="E141:F141"/>
    <mergeCell ref="G141:H141"/>
    <mergeCell ref="E143:F143"/>
    <mergeCell ref="G143:H143"/>
    <mergeCell ref="J87:N87"/>
    <mergeCell ref="A88:D88"/>
    <mergeCell ref="A89:D89"/>
    <mergeCell ref="J88:N88"/>
    <mergeCell ref="J89:N89"/>
    <mergeCell ref="A87:D87"/>
    <mergeCell ref="C129:C132"/>
    <mergeCell ref="D129:D132"/>
    <mergeCell ref="E129:F130"/>
    <mergeCell ref="G129:H130"/>
    <mergeCell ref="I129:I132"/>
    <mergeCell ref="J129:J132"/>
    <mergeCell ref="K129:K132"/>
    <mergeCell ref="L129:L132"/>
    <mergeCell ref="M129:M132"/>
    <mergeCell ref="E93:E94"/>
    <mergeCell ref="F93:F94"/>
    <mergeCell ref="G93:G94"/>
    <mergeCell ref="H93:H94"/>
    <mergeCell ref="A95:N95"/>
    <mergeCell ref="N107:N108"/>
    <mergeCell ref="C91:C94"/>
    <mergeCell ref="D91:D94"/>
    <mergeCell ref="E91:F92"/>
    <mergeCell ref="G91:H92"/>
    <mergeCell ref="I91:I94"/>
    <mergeCell ref="J91:J94"/>
    <mergeCell ref="K91:K94"/>
    <mergeCell ref="L91:L94"/>
    <mergeCell ref="M91:M94"/>
    <mergeCell ref="A109:B110"/>
    <mergeCell ref="A111:B111"/>
    <mergeCell ref="N123:N124"/>
    <mergeCell ref="A91:A94"/>
    <mergeCell ref="B91:B94"/>
    <mergeCell ref="A125:B126"/>
    <mergeCell ref="A127:B127"/>
    <mergeCell ref="A129:A132"/>
    <mergeCell ref="B129:B132"/>
    <mergeCell ref="J51:J52"/>
    <mergeCell ref="K51:K52"/>
    <mergeCell ref="J53:J54"/>
    <mergeCell ref="K53:K54"/>
    <mergeCell ref="G55:H55"/>
    <mergeCell ref="J56:J58"/>
    <mergeCell ref="J70:N70"/>
    <mergeCell ref="J73:N73"/>
    <mergeCell ref="A60:N60"/>
    <mergeCell ref="B64:N64"/>
    <mergeCell ref="B65:N65"/>
    <mergeCell ref="A67:D67"/>
    <mergeCell ref="J67:N67"/>
    <mergeCell ref="A71:D71"/>
    <mergeCell ref="J71:N71"/>
    <mergeCell ref="E86:I86"/>
    <mergeCell ref="J86:N86"/>
    <mergeCell ref="E87:I89"/>
    <mergeCell ref="A90:B90"/>
    <mergeCell ref="C90:D90"/>
    <mergeCell ref="M11:M14"/>
    <mergeCell ref="N29:N30"/>
    <mergeCell ref="M43:M46"/>
    <mergeCell ref="M51:M58"/>
    <mergeCell ref="N51:N58"/>
    <mergeCell ref="A56:C56"/>
    <mergeCell ref="C57:D57"/>
    <mergeCell ref="C58:D58"/>
    <mergeCell ref="E56:F56"/>
    <mergeCell ref="G56:H56"/>
    <mergeCell ref="I53:I54"/>
    <mergeCell ref="E54:F54"/>
    <mergeCell ref="G54:H54"/>
    <mergeCell ref="K56:K58"/>
    <mergeCell ref="D51:D52"/>
    <mergeCell ref="E57:F57"/>
    <mergeCell ref="B61:N61"/>
    <mergeCell ref="B62:N62"/>
    <mergeCell ref="B63:N63"/>
    <mergeCell ref="A85:D86"/>
    <mergeCell ref="E85:N85"/>
    <mergeCell ref="N91:N94"/>
    <mergeCell ref="A7:D7"/>
    <mergeCell ref="A8:D8"/>
    <mergeCell ref="C51:C52"/>
    <mergeCell ref="A9:D9"/>
    <mergeCell ref="A57:B58"/>
    <mergeCell ref="A49:B50"/>
    <mergeCell ref="A55:C55"/>
    <mergeCell ref="L51:L58"/>
    <mergeCell ref="A51:B52"/>
    <mergeCell ref="F45:F46"/>
    <mergeCell ref="G45:G46"/>
    <mergeCell ref="H45:H46"/>
    <mergeCell ref="A43:A46"/>
    <mergeCell ref="L43:L46"/>
    <mergeCell ref="G57:H57"/>
    <mergeCell ref="E58:F58"/>
    <mergeCell ref="G58:H58"/>
    <mergeCell ref="A53:C54"/>
    <mergeCell ref="A5:D5"/>
    <mergeCell ref="E5:N5"/>
    <mergeCell ref="A6:D6"/>
    <mergeCell ref="E6:I9"/>
    <mergeCell ref="J6:N9"/>
    <mergeCell ref="B43:B46"/>
    <mergeCell ref="C43:C46"/>
    <mergeCell ref="D43:D46"/>
    <mergeCell ref="E43:F44"/>
    <mergeCell ref="G43:H44"/>
    <mergeCell ref="I43:I46"/>
    <mergeCell ref="J43:J46"/>
    <mergeCell ref="K43:K46"/>
    <mergeCell ref="N11:N14"/>
    <mergeCell ref="E13:E14"/>
    <mergeCell ref="F13:F14"/>
    <mergeCell ref="G13:G14"/>
    <mergeCell ref="H13:H14"/>
    <mergeCell ref="J11:J14"/>
    <mergeCell ref="K11:K14"/>
    <mergeCell ref="A10:B10"/>
    <mergeCell ref="C10:D10"/>
    <mergeCell ref="N43:N46"/>
    <mergeCell ref="E45:E46"/>
    <mergeCell ref="U54:V54"/>
    <mergeCell ref="U55:V55"/>
    <mergeCell ref="F1:N1"/>
    <mergeCell ref="F83:N83"/>
    <mergeCell ref="Q54:R54"/>
    <mergeCell ref="S54:T54"/>
    <mergeCell ref="Q55:R55"/>
    <mergeCell ref="S55:T55"/>
    <mergeCell ref="A15:N15"/>
    <mergeCell ref="A11:A14"/>
    <mergeCell ref="B11:B14"/>
    <mergeCell ref="C11:C14"/>
    <mergeCell ref="D11:D14"/>
    <mergeCell ref="E11:F12"/>
    <mergeCell ref="G11:H12"/>
    <mergeCell ref="I11:I14"/>
    <mergeCell ref="L11:L14"/>
    <mergeCell ref="I51:I52"/>
    <mergeCell ref="E52:F52"/>
    <mergeCell ref="G52:H52"/>
    <mergeCell ref="A31:B32"/>
    <mergeCell ref="A33:B33"/>
    <mergeCell ref="N47:N48"/>
    <mergeCell ref="E55:F55"/>
  </mergeCells>
  <pageMargins left="0.26666666666666666" right="0.16666666666666666" top="0.44791666666666669" bottom="0.4062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W158"/>
  <sheetViews>
    <sheetView workbookViewId="0">
      <selection activeCell="Q47" sqref="Q47"/>
    </sheetView>
  </sheetViews>
  <sheetFormatPr defaultColWidth="9.109375" defaultRowHeight="21" customHeight="1"/>
  <cols>
    <col min="1" max="1" width="4" style="1" customWidth="1"/>
    <col min="2" max="2" width="13.109375" style="1" customWidth="1"/>
    <col min="3" max="3" width="7.44140625" style="1" customWidth="1"/>
    <col min="4" max="4" width="7.33203125" style="1" customWidth="1"/>
    <col min="5" max="8" width="6.6640625" style="1" customWidth="1"/>
    <col min="9" max="9" width="7.5546875" style="1" customWidth="1"/>
    <col min="10" max="10" width="8.109375" style="1" customWidth="1"/>
    <col min="11" max="11" width="7.33203125" style="1" customWidth="1"/>
    <col min="12" max="12" width="6.5546875" style="1" customWidth="1"/>
    <col min="13" max="13" width="5.44140625" style="1" customWidth="1"/>
    <col min="14" max="14" width="7.6640625" style="1" customWidth="1"/>
    <col min="15" max="15" width="11.88671875" style="1" customWidth="1"/>
    <col min="16" max="16" width="9.109375" style="1"/>
    <col min="17" max="22" width="8.5546875" style="1" customWidth="1"/>
    <col min="23" max="16384" width="9.109375" style="1"/>
  </cols>
  <sheetData>
    <row r="1" spans="1:20" ht="22.2" customHeight="1">
      <c r="A1" s="10" t="s">
        <v>59</v>
      </c>
      <c r="B1" s="7"/>
      <c r="C1" s="7"/>
      <c r="D1" s="7"/>
      <c r="E1" s="7"/>
      <c r="F1" s="244" t="s">
        <v>30</v>
      </c>
      <c r="G1" s="244"/>
      <c r="H1" s="244"/>
      <c r="I1" s="244"/>
      <c r="J1" s="244"/>
      <c r="K1" s="244"/>
      <c r="L1" s="244"/>
      <c r="M1" s="244"/>
      <c r="N1" s="244"/>
      <c r="O1" s="311"/>
      <c r="P1" s="311"/>
      <c r="T1" s="2"/>
    </row>
    <row r="2" spans="1:20" ht="19.8" customHeight="1">
      <c r="A2" s="7" t="s">
        <v>191</v>
      </c>
      <c r="B2" s="7"/>
      <c r="C2" s="7"/>
      <c r="D2" s="7"/>
      <c r="E2" s="7"/>
      <c r="F2" s="149"/>
      <c r="G2" s="149"/>
      <c r="H2" s="149"/>
      <c r="I2" s="149"/>
      <c r="J2" s="149"/>
      <c r="K2" s="149"/>
      <c r="L2" s="149"/>
      <c r="M2" s="149"/>
      <c r="N2" s="149"/>
      <c r="O2" s="311"/>
      <c r="P2" s="311"/>
      <c r="T2" s="2"/>
    </row>
    <row r="3" spans="1:20" s="2" customFormat="1" ht="19.8" customHeight="1">
      <c r="A3" s="245" t="s">
        <v>95</v>
      </c>
      <c r="B3" s="245"/>
      <c r="C3" s="245"/>
      <c r="D3" s="245"/>
      <c r="E3" s="245" t="s">
        <v>93</v>
      </c>
      <c r="F3" s="245"/>
      <c r="G3" s="245"/>
      <c r="H3" s="245"/>
      <c r="I3" s="245"/>
      <c r="J3" s="245"/>
      <c r="K3" s="245"/>
      <c r="L3" s="245"/>
      <c r="M3" s="245"/>
      <c r="N3" s="245"/>
      <c r="O3" s="312"/>
    </row>
    <row r="4" spans="1:20" s="2" customFormat="1" ht="19.8" customHeight="1">
      <c r="A4" s="231" t="s">
        <v>83</v>
      </c>
      <c r="B4" s="231"/>
      <c r="C4" s="231"/>
      <c r="D4" s="231"/>
      <c r="E4" s="232" t="s">
        <v>132</v>
      </c>
      <c r="F4" s="232"/>
      <c r="G4" s="232"/>
      <c r="H4" s="232"/>
      <c r="I4" s="232"/>
      <c r="J4" s="260" t="s">
        <v>120</v>
      </c>
      <c r="K4" s="261"/>
      <c r="L4" s="261"/>
      <c r="M4" s="261"/>
      <c r="N4" s="262"/>
      <c r="O4" s="312"/>
    </row>
    <row r="5" spans="1:20" s="2" customFormat="1" ht="19.8" customHeight="1">
      <c r="A5" s="237" t="s">
        <v>144</v>
      </c>
      <c r="B5" s="238"/>
      <c r="C5" s="238"/>
      <c r="D5" s="239"/>
      <c r="E5" s="232"/>
      <c r="F5" s="232"/>
      <c r="G5" s="232"/>
      <c r="H5" s="232"/>
      <c r="I5" s="232"/>
      <c r="J5" s="263"/>
      <c r="K5" s="264"/>
      <c r="L5" s="264"/>
      <c r="M5" s="264"/>
      <c r="N5" s="265"/>
      <c r="O5" s="312"/>
    </row>
    <row r="6" spans="1:20" s="2" customFormat="1" ht="19.8" customHeight="1">
      <c r="A6" s="236" t="s">
        <v>145</v>
      </c>
      <c r="B6" s="236"/>
      <c r="C6" s="236"/>
      <c r="D6" s="236"/>
      <c r="E6" s="232"/>
      <c r="F6" s="232"/>
      <c r="G6" s="232"/>
      <c r="H6" s="232"/>
      <c r="I6" s="232"/>
      <c r="J6" s="263"/>
      <c r="K6" s="264"/>
      <c r="L6" s="264"/>
      <c r="M6" s="264"/>
      <c r="N6" s="265"/>
      <c r="O6" s="312"/>
    </row>
    <row r="7" spans="1:20" s="2" customFormat="1" ht="19.8" customHeight="1">
      <c r="A7" s="240" t="s">
        <v>164</v>
      </c>
      <c r="B7" s="240"/>
      <c r="C7" s="240"/>
      <c r="D7" s="240"/>
      <c r="E7" s="232"/>
      <c r="F7" s="232"/>
      <c r="G7" s="232"/>
      <c r="H7" s="232"/>
      <c r="I7" s="232"/>
      <c r="J7" s="266"/>
      <c r="K7" s="267"/>
      <c r="L7" s="267"/>
      <c r="M7" s="267"/>
      <c r="N7" s="268"/>
      <c r="O7" s="312"/>
    </row>
    <row r="8" spans="1:20" s="2" customFormat="1" ht="19.8" customHeight="1">
      <c r="A8" s="277" t="s">
        <v>110</v>
      </c>
      <c r="B8" s="277"/>
      <c r="C8" s="279">
        <v>211</v>
      </c>
      <c r="D8" s="279"/>
      <c r="E8" s="74"/>
      <c r="F8" s="74"/>
      <c r="G8" s="74"/>
      <c r="H8" s="74"/>
      <c r="I8" s="74"/>
      <c r="J8" s="74"/>
      <c r="K8" s="74"/>
      <c r="L8" s="74"/>
      <c r="M8" s="74"/>
      <c r="N8" s="75"/>
      <c r="O8" s="312"/>
    </row>
    <row r="9" spans="1:20" ht="19.8" customHeight="1">
      <c r="A9" s="211" t="s">
        <v>0</v>
      </c>
      <c r="B9" s="214" t="s">
        <v>19</v>
      </c>
      <c r="C9" s="217" t="s">
        <v>8</v>
      </c>
      <c r="D9" s="217" t="s">
        <v>9</v>
      </c>
      <c r="E9" s="298" t="s">
        <v>11</v>
      </c>
      <c r="F9" s="299"/>
      <c r="G9" s="298" t="s">
        <v>13</v>
      </c>
      <c r="H9" s="299"/>
      <c r="I9" s="208" t="s">
        <v>16</v>
      </c>
      <c r="J9" s="208" t="s">
        <v>32</v>
      </c>
      <c r="K9" s="208" t="s">
        <v>33</v>
      </c>
      <c r="L9" s="208" t="s">
        <v>55</v>
      </c>
      <c r="M9" s="208" t="s">
        <v>56</v>
      </c>
      <c r="N9" s="211" t="s">
        <v>18</v>
      </c>
      <c r="O9" s="313"/>
    </row>
    <row r="10" spans="1:20" ht="19.8" customHeight="1">
      <c r="A10" s="212"/>
      <c r="B10" s="215"/>
      <c r="C10" s="218"/>
      <c r="D10" s="218"/>
      <c r="E10" s="300"/>
      <c r="F10" s="301"/>
      <c r="G10" s="300"/>
      <c r="H10" s="301"/>
      <c r="I10" s="209"/>
      <c r="J10" s="209"/>
      <c r="K10" s="209"/>
      <c r="L10" s="209"/>
      <c r="M10" s="209"/>
      <c r="N10" s="212"/>
      <c r="O10" s="152"/>
    </row>
    <row r="11" spans="1:20" ht="19.8" customHeight="1">
      <c r="A11" s="212"/>
      <c r="B11" s="215"/>
      <c r="C11" s="218"/>
      <c r="D11" s="218"/>
      <c r="E11" s="208" t="s">
        <v>10</v>
      </c>
      <c r="F11" s="208" t="s">
        <v>12</v>
      </c>
      <c r="G11" s="208" t="s">
        <v>14</v>
      </c>
      <c r="H11" s="208" t="s">
        <v>15</v>
      </c>
      <c r="I11" s="209"/>
      <c r="J11" s="209"/>
      <c r="K11" s="209"/>
      <c r="L11" s="209"/>
      <c r="M11" s="209"/>
      <c r="N11" s="212"/>
      <c r="O11" s="152"/>
    </row>
    <row r="12" spans="1:20" ht="19.8" customHeight="1">
      <c r="A12" s="213"/>
      <c r="B12" s="216"/>
      <c r="C12" s="219"/>
      <c r="D12" s="219"/>
      <c r="E12" s="210"/>
      <c r="F12" s="210"/>
      <c r="G12" s="210"/>
      <c r="H12" s="210"/>
      <c r="I12" s="210"/>
      <c r="J12" s="210"/>
      <c r="K12" s="210"/>
      <c r="L12" s="210"/>
      <c r="M12" s="210"/>
      <c r="N12" s="213"/>
      <c r="O12" s="152"/>
    </row>
    <row r="13" spans="1:20" ht="21" customHeight="1">
      <c r="A13" s="225" t="s">
        <v>35</v>
      </c>
      <c r="B13" s="226"/>
      <c r="C13" s="226"/>
      <c r="D13" s="226"/>
      <c r="E13" s="226"/>
      <c r="F13" s="226"/>
      <c r="G13" s="226"/>
      <c r="H13" s="226"/>
      <c r="I13" s="226"/>
      <c r="J13" s="226"/>
      <c r="K13" s="226"/>
      <c r="L13" s="226"/>
      <c r="M13" s="226"/>
      <c r="N13" s="227"/>
      <c r="O13" s="152"/>
    </row>
    <row r="14" spans="1:20" s="2" customFormat="1" ht="21" customHeight="1">
      <c r="A14" s="37">
        <v>1</v>
      </c>
      <c r="B14" s="38" t="s">
        <v>2</v>
      </c>
      <c r="C14" s="39">
        <f>L14/100*100</f>
        <v>280</v>
      </c>
      <c r="D14" s="40">
        <f>C14/100*60</f>
        <v>168</v>
      </c>
      <c r="E14" s="41">
        <f>C14/100*15</f>
        <v>42</v>
      </c>
      <c r="F14" s="41"/>
      <c r="G14" s="41"/>
      <c r="H14" s="41"/>
      <c r="I14" s="41"/>
      <c r="J14" s="146">
        <f>C14/100*387</f>
        <v>1083.5999999999999</v>
      </c>
      <c r="K14" s="59">
        <f>C14/100*0.09</f>
        <v>0.252</v>
      </c>
      <c r="L14" s="138">
        <v>280</v>
      </c>
      <c r="M14" s="109">
        <v>20</v>
      </c>
      <c r="N14" s="44">
        <f>L14*M14</f>
        <v>5600</v>
      </c>
      <c r="O14" s="314"/>
    </row>
    <row r="15" spans="1:20" s="2" customFormat="1" ht="21" customHeight="1">
      <c r="A15" s="8">
        <v>2</v>
      </c>
      <c r="B15" s="9" t="s">
        <v>121</v>
      </c>
      <c r="C15" s="12">
        <f>L15/100*100</f>
        <v>1230</v>
      </c>
      <c r="D15" s="65">
        <f>C15/100*899</f>
        <v>11057.7</v>
      </c>
      <c r="E15" s="14"/>
      <c r="F15" s="14"/>
      <c r="G15" s="91">
        <f>C15/100*100</f>
        <v>1230</v>
      </c>
      <c r="H15" s="14"/>
      <c r="I15" s="14"/>
      <c r="J15" s="22"/>
      <c r="K15" s="22"/>
      <c r="L15" s="111">
        <v>1230</v>
      </c>
      <c r="M15" s="110">
        <v>68</v>
      </c>
      <c r="N15" s="16">
        <f t="shared" ref="N15:N25" si="0">L15*M15</f>
        <v>83640</v>
      </c>
      <c r="O15" s="314"/>
    </row>
    <row r="16" spans="1:20" s="2" customFormat="1" ht="21" customHeight="1">
      <c r="A16" s="8">
        <v>3</v>
      </c>
      <c r="B16" s="129" t="s">
        <v>126</v>
      </c>
      <c r="C16" s="12">
        <f t="shared" ref="C16" si="1">L16/100*100</f>
        <v>300</v>
      </c>
      <c r="D16" s="65">
        <f>C16/100*900</f>
        <v>2700</v>
      </c>
      <c r="E16" s="14"/>
      <c r="F16" s="14"/>
      <c r="G16" s="91"/>
      <c r="H16" s="14">
        <f>C16/100*100</f>
        <v>300</v>
      </c>
      <c r="I16" s="14"/>
      <c r="J16" s="14"/>
      <c r="K16" s="14"/>
      <c r="L16" s="111">
        <v>300</v>
      </c>
      <c r="M16" s="65">
        <v>63.5</v>
      </c>
      <c r="N16" s="93">
        <f t="shared" si="0"/>
        <v>19050</v>
      </c>
      <c r="O16" s="315"/>
    </row>
    <row r="17" spans="1:20" s="2" customFormat="1" ht="21" customHeight="1">
      <c r="A17" s="8">
        <v>4</v>
      </c>
      <c r="B17" s="5" t="s">
        <v>1</v>
      </c>
      <c r="C17" s="12">
        <f>L17/100*100</f>
        <v>20045</v>
      </c>
      <c r="D17" s="65">
        <f>C17/100*344</f>
        <v>68954.8</v>
      </c>
      <c r="E17" s="14"/>
      <c r="F17" s="91">
        <f>C17/100*7.9</f>
        <v>1583.5550000000001</v>
      </c>
      <c r="G17" s="14"/>
      <c r="H17" s="14">
        <f>C17/100*1</f>
        <v>200.45</v>
      </c>
      <c r="I17" s="91">
        <f>C17/100*72</f>
        <v>14432.4</v>
      </c>
      <c r="J17" s="64">
        <f>C17/100*30</f>
        <v>6013.5</v>
      </c>
      <c r="K17" s="22">
        <f>C17/100*0.1</f>
        <v>20.045000000000002</v>
      </c>
      <c r="L17" s="111">
        <v>20045</v>
      </c>
      <c r="M17" s="109">
        <v>18</v>
      </c>
      <c r="N17" s="44">
        <f t="shared" si="0"/>
        <v>360810</v>
      </c>
      <c r="O17" s="314"/>
    </row>
    <row r="18" spans="1:20" s="2" customFormat="1" ht="21" customHeight="1">
      <c r="A18" s="8">
        <v>5</v>
      </c>
      <c r="B18" s="9" t="s">
        <v>29</v>
      </c>
      <c r="C18" s="12">
        <f>L18/100*100</f>
        <v>170</v>
      </c>
      <c r="D18" s="13">
        <f>C18/100*390</f>
        <v>663</v>
      </c>
      <c r="E18" s="14"/>
      <c r="F18" s="14"/>
      <c r="G18" s="14"/>
      <c r="H18" s="14"/>
      <c r="I18" s="14">
        <f>C18/100*97.4</f>
        <v>165.58</v>
      </c>
      <c r="J18" s="22">
        <f>C18/100*178</f>
        <v>302.59999999999997</v>
      </c>
      <c r="K18" s="22">
        <f>C18/100*0.05</f>
        <v>8.5000000000000006E-2</v>
      </c>
      <c r="L18" s="111">
        <v>170</v>
      </c>
      <c r="M18" s="20">
        <v>25</v>
      </c>
      <c r="N18" s="16">
        <f t="shared" si="0"/>
        <v>4250</v>
      </c>
      <c r="O18" s="337"/>
    </row>
    <row r="19" spans="1:20" s="2" customFormat="1" ht="21" customHeight="1">
      <c r="A19" s="8">
        <v>6</v>
      </c>
      <c r="B19" s="9" t="s">
        <v>146</v>
      </c>
      <c r="C19" s="12">
        <f>L19/100*60</f>
        <v>9498</v>
      </c>
      <c r="D19" s="13">
        <f>C19/100*97</f>
        <v>9213.06</v>
      </c>
      <c r="E19" s="91">
        <f>C19/100*22</f>
        <v>2089.56</v>
      </c>
      <c r="F19" s="14"/>
      <c r="G19" s="14">
        <f>C19/100*2.7</f>
        <v>256.44600000000003</v>
      </c>
      <c r="H19" s="14"/>
      <c r="I19" s="14"/>
      <c r="J19" s="64">
        <f>C19/100*90</f>
        <v>8548.2000000000007</v>
      </c>
      <c r="K19" s="22">
        <f>C19/100*0.04</f>
        <v>3.7992000000000004</v>
      </c>
      <c r="L19" s="111">
        <v>15830</v>
      </c>
      <c r="M19" s="20">
        <v>95</v>
      </c>
      <c r="N19" s="93">
        <f t="shared" si="0"/>
        <v>1503850</v>
      </c>
      <c r="O19" s="314"/>
    </row>
    <row r="20" spans="1:20" s="2" customFormat="1" ht="21" customHeight="1">
      <c r="A20" s="8">
        <v>7</v>
      </c>
      <c r="B20" s="129" t="s">
        <v>66</v>
      </c>
      <c r="C20" s="12">
        <f>L20/100*98</f>
        <v>2067.8000000000002</v>
      </c>
      <c r="D20" s="13">
        <f>C20/100*139</f>
        <v>2874.2420000000002</v>
      </c>
      <c r="E20" s="14">
        <f>C20/100*19</f>
        <v>392.88200000000001</v>
      </c>
      <c r="F20" s="14"/>
      <c r="G20" s="14">
        <f>C20/100*7</f>
        <v>144.74600000000001</v>
      </c>
      <c r="H20" s="14"/>
      <c r="I20" s="14"/>
      <c r="J20" s="22">
        <f>C20/100*7</f>
        <v>144.74600000000001</v>
      </c>
      <c r="K20" s="22">
        <f>C20/100*0.9</f>
        <v>18.610200000000003</v>
      </c>
      <c r="L20" s="111">
        <v>2110</v>
      </c>
      <c r="M20" s="111">
        <v>137</v>
      </c>
      <c r="N20" s="16">
        <f t="shared" si="0"/>
        <v>289070</v>
      </c>
      <c r="O20" s="314"/>
    </row>
    <row r="21" spans="1:20" s="2" customFormat="1" ht="21" customHeight="1">
      <c r="A21" s="8">
        <v>8</v>
      </c>
      <c r="B21" s="5" t="s">
        <v>3</v>
      </c>
      <c r="C21" s="12">
        <f>L21/100*48</f>
        <v>2515.1999999999998</v>
      </c>
      <c r="D21" s="13">
        <f>C21/100*199</f>
        <v>5005.2479999999996</v>
      </c>
      <c r="E21" s="14">
        <f>C21/100*20.3</f>
        <v>510.58559999999994</v>
      </c>
      <c r="F21" s="14"/>
      <c r="G21" s="14">
        <f>C21/100*13.1</f>
        <v>329.49119999999994</v>
      </c>
      <c r="H21" s="14"/>
      <c r="I21" s="14"/>
      <c r="J21" s="22">
        <f>C21/100*12</f>
        <v>301.82399999999996</v>
      </c>
      <c r="K21" s="22">
        <f>C21/100*0.15</f>
        <v>3.7727999999999993</v>
      </c>
      <c r="L21" s="111">
        <v>5240</v>
      </c>
      <c r="M21" s="15">
        <v>84</v>
      </c>
      <c r="N21" s="16">
        <f t="shared" si="0"/>
        <v>440160</v>
      </c>
      <c r="O21" s="314"/>
      <c r="Q21" s="3"/>
      <c r="R21" s="3"/>
      <c r="S21" s="4"/>
    </row>
    <row r="22" spans="1:20" s="2" customFormat="1" ht="21" customHeight="1">
      <c r="A22" s="8">
        <v>9</v>
      </c>
      <c r="B22" s="5" t="s">
        <v>117</v>
      </c>
      <c r="C22" s="12">
        <f>L22/100*100</f>
        <v>210</v>
      </c>
      <c r="D22" s="13">
        <f>C22/100*247</f>
        <v>518.70000000000005</v>
      </c>
      <c r="E22" s="17"/>
      <c r="F22" s="17">
        <f>C22/100*17.5</f>
        <v>36.75</v>
      </c>
      <c r="G22" s="17"/>
      <c r="H22" s="17">
        <f>C22/100*1.6</f>
        <v>3.3600000000000003</v>
      </c>
      <c r="I22" s="17">
        <f>C22/100*39.2</f>
        <v>82.320000000000007</v>
      </c>
      <c r="J22" s="21"/>
      <c r="K22" s="21"/>
      <c r="L22" s="317">
        <v>210</v>
      </c>
      <c r="M22" s="20">
        <v>50</v>
      </c>
      <c r="N22" s="16">
        <f t="shared" si="0"/>
        <v>10500</v>
      </c>
      <c r="O22" s="314"/>
      <c r="Q22" s="3"/>
      <c r="R22" s="3"/>
      <c r="S22" s="4"/>
      <c r="T22" s="3"/>
    </row>
    <row r="23" spans="1:20" s="2" customFormat="1" ht="21" customHeight="1">
      <c r="A23" s="8">
        <v>10</v>
      </c>
      <c r="B23" s="5" t="s">
        <v>140</v>
      </c>
      <c r="C23" s="12">
        <f>L23/100*87</f>
        <v>6429.3</v>
      </c>
      <c r="D23" s="13">
        <f>C23/100*21</f>
        <v>1350.1530000000002</v>
      </c>
      <c r="E23" s="17"/>
      <c r="F23" s="17">
        <f>C23/100*1.5</f>
        <v>96.43950000000001</v>
      </c>
      <c r="G23" s="17"/>
      <c r="H23" s="17">
        <f>C23/100*0.1</f>
        <v>6.4293000000000013</v>
      </c>
      <c r="I23" s="17">
        <f>C23/100*3.6</f>
        <v>231.45480000000003</v>
      </c>
      <c r="J23" s="17">
        <f>C23/100*40</f>
        <v>2571.7200000000003</v>
      </c>
      <c r="K23" s="17">
        <f>C23/100*0.06</f>
        <v>3.8575800000000005</v>
      </c>
      <c r="L23" s="318">
        <v>7390</v>
      </c>
      <c r="M23" s="15">
        <v>18</v>
      </c>
      <c r="N23" s="16">
        <f t="shared" si="0"/>
        <v>133020</v>
      </c>
      <c r="O23" s="314"/>
      <c r="Q23" s="3"/>
      <c r="R23" s="3"/>
      <c r="S23" s="4"/>
    </row>
    <row r="24" spans="1:20" s="2" customFormat="1" ht="21" customHeight="1">
      <c r="A24" s="8">
        <v>11</v>
      </c>
      <c r="B24" s="5" t="s">
        <v>5</v>
      </c>
      <c r="C24" s="12">
        <f>L24/100*98.5</f>
        <v>1044.0999999999999</v>
      </c>
      <c r="D24" s="13">
        <f>C24/100*39</f>
        <v>407.19899999999996</v>
      </c>
      <c r="E24" s="17"/>
      <c r="F24" s="17">
        <f>C24/100*1.5</f>
        <v>15.661499999999998</v>
      </c>
      <c r="G24" s="17"/>
      <c r="H24" s="17">
        <f>C24/100*0.2</f>
        <v>2.0882000000000001</v>
      </c>
      <c r="I24" s="17">
        <f>C24/100*7.8</f>
        <v>81.439799999999991</v>
      </c>
      <c r="J24" s="17">
        <f>C24/100*43</f>
        <v>448.96299999999997</v>
      </c>
      <c r="K24" s="17">
        <f>C24/100*0.06</f>
        <v>0.62645999999999991</v>
      </c>
      <c r="L24" s="318">
        <v>1060</v>
      </c>
      <c r="M24" s="15">
        <v>17</v>
      </c>
      <c r="N24" s="16">
        <f t="shared" si="0"/>
        <v>18020</v>
      </c>
      <c r="O24" s="314"/>
      <c r="Q24" s="3"/>
      <c r="R24" s="3"/>
      <c r="S24" s="4"/>
    </row>
    <row r="25" spans="1:20" s="2" customFormat="1" ht="21" customHeight="1">
      <c r="A25" s="8">
        <v>12</v>
      </c>
      <c r="B25" s="5" t="s">
        <v>136</v>
      </c>
      <c r="C25" s="12">
        <f>L25/100*81</f>
        <v>3758.4</v>
      </c>
      <c r="D25" s="13">
        <f>C25/100*17</f>
        <v>638.92800000000011</v>
      </c>
      <c r="E25" s="17"/>
      <c r="F25" s="17">
        <f>C25/100*0.9</f>
        <v>33.825600000000001</v>
      </c>
      <c r="G25" s="17"/>
      <c r="H25" s="17">
        <f>C25/100*0.2</f>
        <v>7.5168000000000008</v>
      </c>
      <c r="I25" s="17">
        <f>C25/100*2.8</f>
        <v>105.23520000000001</v>
      </c>
      <c r="J25" s="14">
        <f>C25/100*28</f>
        <v>1052.3520000000001</v>
      </c>
      <c r="K25" s="22">
        <f>C25/100*0.04</f>
        <v>1.5033600000000003</v>
      </c>
      <c r="L25" s="318">
        <v>4640</v>
      </c>
      <c r="M25" s="20">
        <v>20</v>
      </c>
      <c r="N25" s="16">
        <f t="shared" si="0"/>
        <v>92800</v>
      </c>
      <c r="O25" s="314"/>
      <c r="P25" s="3"/>
    </row>
    <row r="26" spans="1:20" s="2" customFormat="1" ht="21" customHeight="1">
      <c r="A26" s="8">
        <v>13</v>
      </c>
      <c r="B26" s="9" t="s">
        <v>111</v>
      </c>
      <c r="C26" s="12"/>
      <c r="D26" s="13"/>
      <c r="E26" s="14"/>
      <c r="F26" s="14"/>
      <c r="G26" s="14"/>
      <c r="H26" s="14"/>
      <c r="I26" s="14"/>
      <c r="J26" s="14"/>
      <c r="K26" s="14"/>
      <c r="L26" s="15"/>
      <c r="M26" s="15"/>
      <c r="N26" s="16">
        <v>15750</v>
      </c>
      <c r="O26" s="314"/>
    </row>
    <row r="27" spans="1:20" s="2" customFormat="1" ht="21" customHeight="1">
      <c r="A27" s="23" t="s">
        <v>97</v>
      </c>
      <c r="B27" s="24"/>
      <c r="C27" s="25"/>
      <c r="D27" s="147">
        <f>SUM(D14:D26)</f>
        <v>103551.02999999998</v>
      </c>
      <c r="E27" s="27"/>
      <c r="F27" s="27"/>
      <c r="G27" s="27"/>
      <c r="H27" s="27"/>
      <c r="I27" s="27"/>
      <c r="J27" s="27"/>
      <c r="K27" s="27"/>
      <c r="L27" s="28"/>
      <c r="M27" s="28"/>
      <c r="N27" s="190">
        <f>SUM(N14:N26)</f>
        <v>2976520</v>
      </c>
      <c r="O27" s="314"/>
    </row>
    <row r="28" spans="1:20" s="2" customFormat="1" ht="21" customHeight="1">
      <c r="A28" s="23" t="s">
        <v>6</v>
      </c>
      <c r="B28" s="24"/>
      <c r="C28" s="25"/>
      <c r="D28" s="26">
        <f>D27/C8</f>
        <v>490.76317535545019</v>
      </c>
      <c r="E28" s="27"/>
      <c r="F28" s="27"/>
      <c r="G28" s="27"/>
      <c r="H28" s="27"/>
      <c r="I28" s="27"/>
      <c r="J28" s="27"/>
      <c r="K28" s="27"/>
      <c r="L28" s="28"/>
      <c r="M28" s="28"/>
      <c r="N28" s="191"/>
      <c r="O28" s="314"/>
    </row>
    <row r="29" spans="1:20" s="2" customFormat="1" ht="21" customHeight="1">
      <c r="A29" s="283" t="s">
        <v>50</v>
      </c>
      <c r="B29" s="193"/>
      <c r="C29" s="319" t="s">
        <v>133</v>
      </c>
      <c r="D29" s="29" t="s">
        <v>38</v>
      </c>
      <c r="E29" s="27"/>
      <c r="F29" s="27"/>
      <c r="G29" s="27"/>
      <c r="H29" s="27"/>
      <c r="I29" s="27"/>
      <c r="J29" s="27"/>
      <c r="K29" s="27"/>
      <c r="L29" s="28"/>
      <c r="M29" s="28"/>
      <c r="N29" s="30"/>
      <c r="O29" s="314"/>
    </row>
    <row r="30" spans="1:20" s="2" customFormat="1" ht="21" customHeight="1">
      <c r="A30" s="194"/>
      <c r="B30" s="195"/>
      <c r="C30" s="62" t="s">
        <v>58</v>
      </c>
      <c r="D30" s="29">
        <f>D28*100/1320</f>
        <v>37.179028436018953</v>
      </c>
      <c r="E30" s="27"/>
      <c r="F30" s="27"/>
      <c r="G30" s="27"/>
      <c r="H30" s="27"/>
      <c r="I30" s="27"/>
      <c r="J30" s="27"/>
      <c r="K30" s="27"/>
      <c r="L30" s="28"/>
      <c r="M30" s="28"/>
      <c r="N30" s="30"/>
      <c r="O30" s="314"/>
    </row>
    <row r="31" spans="1:20" s="2" customFormat="1" ht="21" customHeight="1">
      <c r="A31" s="224" t="s">
        <v>39</v>
      </c>
      <c r="B31" s="224"/>
      <c r="C31" s="45"/>
      <c r="D31" s="46"/>
      <c r="E31" s="47"/>
      <c r="F31" s="47"/>
      <c r="G31" s="47"/>
      <c r="H31" s="47"/>
      <c r="I31" s="47"/>
      <c r="J31" s="47"/>
      <c r="K31" s="47"/>
      <c r="L31" s="48"/>
      <c r="M31" s="48"/>
      <c r="N31" s="49"/>
      <c r="O31" s="314"/>
    </row>
    <row r="32" spans="1:20" s="2" customFormat="1" ht="21" customHeight="1">
      <c r="A32" s="37">
        <v>1</v>
      </c>
      <c r="B32" s="38" t="s">
        <v>2</v>
      </c>
      <c r="C32" s="39">
        <f>L32/100*100</f>
        <v>250</v>
      </c>
      <c r="D32" s="40">
        <f>C32/100*60</f>
        <v>150</v>
      </c>
      <c r="E32" s="41">
        <f>C32/100*15</f>
        <v>37.5</v>
      </c>
      <c r="F32" s="41"/>
      <c r="G32" s="41"/>
      <c r="H32" s="41"/>
      <c r="I32" s="41"/>
      <c r="J32" s="146">
        <f>C32/100*387</f>
        <v>967.5</v>
      </c>
      <c r="K32" s="59">
        <f>C32/100*0.09</f>
        <v>0.22499999999999998</v>
      </c>
      <c r="L32" s="138">
        <v>250</v>
      </c>
      <c r="M32" s="43">
        <v>20</v>
      </c>
      <c r="N32" s="44">
        <f>L32*M32</f>
        <v>5000</v>
      </c>
      <c r="O32" s="314"/>
    </row>
    <row r="33" spans="1:23" s="2" customFormat="1" ht="21" customHeight="1">
      <c r="A33" s="8">
        <v>2</v>
      </c>
      <c r="B33" s="9" t="s">
        <v>121</v>
      </c>
      <c r="C33" s="12">
        <f>L33/100*100</f>
        <v>1260</v>
      </c>
      <c r="D33" s="65">
        <f>C33/100*899</f>
        <v>11327.4</v>
      </c>
      <c r="E33" s="14"/>
      <c r="F33" s="14"/>
      <c r="G33" s="91">
        <f>C33/100*100</f>
        <v>1260</v>
      </c>
      <c r="H33" s="14"/>
      <c r="I33" s="14"/>
      <c r="J33" s="22"/>
      <c r="K33" s="22"/>
      <c r="L33" s="111">
        <v>1260</v>
      </c>
      <c r="M33" s="110">
        <v>68</v>
      </c>
      <c r="N33" s="16">
        <f t="shared" ref="N33" si="2">L33*M33</f>
        <v>85680</v>
      </c>
      <c r="O33" s="314"/>
    </row>
    <row r="34" spans="1:23" s="2" customFormat="1" ht="21" customHeight="1">
      <c r="A34" s="8">
        <v>3</v>
      </c>
      <c r="B34" s="5" t="s">
        <v>65</v>
      </c>
      <c r="C34" s="12">
        <f>L34/100*100</f>
        <v>2110</v>
      </c>
      <c r="D34" s="13">
        <f>C34/100*344</f>
        <v>7258.4000000000005</v>
      </c>
      <c r="E34" s="14"/>
      <c r="F34" s="14">
        <f>C34/100*8.6</f>
        <v>181.46</v>
      </c>
      <c r="G34" s="14"/>
      <c r="H34" s="14">
        <f>C34/100*1.5</f>
        <v>31.650000000000002</v>
      </c>
      <c r="I34" s="91">
        <f>C34/100*74.5</f>
        <v>1571.95</v>
      </c>
      <c r="J34" s="14">
        <f>C34/100*32</f>
        <v>675.2</v>
      </c>
      <c r="K34" s="14">
        <f>C34/100*0.14</f>
        <v>2.9540000000000006</v>
      </c>
      <c r="L34" s="111">
        <v>2110</v>
      </c>
      <c r="M34" s="20">
        <v>30</v>
      </c>
      <c r="N34" s="16">
        <f t="shared" ref="N34:N37" si="3">L34*M34</f>
        <v>63300</v>
      </c>
      <c r="O34" s="314"/>
      <c r="P34" s="320"/>
    </row>
    <row r="35" spans="1:23" s="2" customFormat="1" ht="21" customHeight="1">
      <c r="A35" s="8">
        <v>4</v>
      </c>
      <c r="B35" s="5" t="s">
        <v>1</v>
      </c>
      <c r="C35" s="12">
        <f>L35/100*100</f>
        <v>3165</v>
      </c>
      <c r="D35" s="65">
        <f>C35/100*344</f>
        <v>10887.6</v>
      </c>
      <c r="E35" s="14"/>
      <c r="F35" s="14">
        <f>C35/100*7.9</f>
        <v>250.035</v>
      </c>
      <c r="G35" s="14"/>
      <c r="H35" s="14">
        <f>C35/100*1</f>
        <v>31.65</v>
      </c>
      <c r="I35" s="91">
        <f>C35/100*72</f>
        <v>2278.7999999999997</v>
      </c>
      <c r="J35" s="22">
        <f>C35/100*30</f>
        <v>949.5</v>
      </c>
      <c r="K35" s="22">
        <f>C35/100*0.1</f>
        <v>3.165</v>
      </c>
      <c r="L35" s="111">
        <v>3165</v>
      </c>
      <c r="M35" s="20">
        <v>18</v>
      </c>
      <c r="N35" s="16">
        <f t="shared" si="3"/>
        <v>56970</v>
      </c>
      <c r="O35" s="314"/>
    </row>
    <row r="36" spans="1:23" s="2" customFormat="1" ht="21" customHeight="1">
      <c r="A36" s="8">
        <v>5</v>
      </c>
      <c r="B36" s="5" t="s">
        <v>117</v>
      </c>
      <c r="C36" s="12">
        <f>L36/100*100</f>
        <v>130</v>
      </c>
      <c r="D36" s="13">
        <f>C36/100*247</f>
        <v>321.10000000000002</v>
      </c>
      <c r="E36" s="17"/>
      <c r="F36" s="17">
        <f>C36/100*17.5</f>
        <v>22.75</v>
      </c>
      <c r="G36" s="17"/>
      <c r="H36" s="17">
        <f>C36/100*1.6</f>
        <v>2.08</v>
      </c>
      <c r="I36" s="17">
        <f>C36/100*39.2</f>
        <v>50.960000000000008</v>
      </c>
      <c r="J36" s="21"/>
      <c r="K36" s="21"/>
      <c r="L36" s="317">
        <v>130</v>
      </c>
      <c r="M36" s="20">
        <v>50</v>
      </c>
      <c r="N36" s="16">
        <f t="shared" si="3"/>
        <v>6500</v>
      </c>
      <c r="O36" s="314"/>
      <c r="Q36" s="3"/>
      <c r="R36" s="3"/>
      <c r="S36" s="4"/>
      <c r="T36" s="3"/>
    </row>
    <row r="37" spans="1:23" s="2" customFormat="1" ht="21" customHeight="1">
      <c r="A37" s="8">
        <v>6</v>
      </c>
      <c r="B37" s="5" t="s">
        <v>80</v>
      </c>
      <c r="C37" s="12">
        <f>L37/100*82</f>
        <v>3460.4</v>
      </c>
      <c r="D37" s="13">
        <f>C37/100*27</f>
        <v>934.30799999999999</v>
      </c>
      <c r="E37" s="17"/>
      <c r="F37" s="17">
        <f>C37/100*0.3</f>
        <v>10.3812</v>
      </c>
      <c r="G37" s="17"/>
      <c r="H37" s="17">
        <f>C37/100*0.1</f>
        <v>3.4603999999999999</v>
      </c>
      <c r="I37" s="17">
        <f>C37/100*6.1</f>
        <v>211.08439999999999</v>
      </c>
      <c r="J37" s="63">
        <f>C37/100*24</f>
        <v>830.49599999999998</v>
      </c>
      <c r="K37" s="21">
        <f>C37/100*0.03</f>
        <v>1.0381199999999999</v>
      </c>
      <c r="L37" s="317">
        <v>4220</v>
      </c>
      <c r="M37" s="15">
        <v>22</v>
      </c>
      <c r="N37" s="16">
        <f t="shared" si="3"/>
        <v>92840</v>
      </c>
      <c r="O37" s="314"/>
      <c r="Q37" s="3"/>
      <c r="R37" s="3"/>
      <c r="S37" s="4"/>
    </row>
    <row r="38" spans="1:23" s="2" customFormat="1" ht="21" customHeight="1">
      <c r="A38" s="8">
        <v>7</v>
      </c>
      <c r="B38" s="9" t="s">
        <v>92</v>
      </c>
      <c r="C38" s="12">
        <f>L38/100*43</f>
        <v>1281.4000000000001</v>
      </c>
      <c r="D38" s="13">
        <f>C38/100*83</f>
        <v>1063.5619999999999</v>
      </c>
      <c r="E38" s="14">
        <f>C38/100*7.7</f>
        <v>98.6678</v>
      </c>
      <c r="F38" s="14"/>
      <c r="G38" s="14">
        <f>C38/100*5.5</f>
        <v>70.477000000000004</v>
      </c>
      <c r="H38" s="14"/>
      <c r="I38" s="14"/>
      <c r="J38" s="22"/>
      <c r="K38" s="22"/>
      <c r="L38" s="111">
        <v>2980</v>
      </c>
      <c r="M38" s="20">
        <v>137</v>
      </c>
      <c r="N38" s="16">
        <f>L38*M38</f>
        <v>408260</v>
      </c>
      <c r="O38" s="314"/>
    </row>
    <row r="39" spans="1:23" s="2" customFormat="1" ht="21" customHeight="1">
      <c r="A39" s="8">
        <v>8</v>
      </c>
      <c r="B39" s="140" t="s">
        <v>131</v>
      </c>
      <c r="C39" s="12">
        <f>L39/100*100</f>
        <v>3590</v>
      </c>
      <c r="D39" s="65">
        <f>C39/100*487</f>
        <v>17483.3</v>
      </c>
      <c r="E39" s="14"/>
      <c r="F39" s="14">
        <f>C39/100*19.5</f>
        <v>700.05</v>
      </c>
      <c r="G39" s="14"/>
      <c r="H39" s="14">
        <f>C39/100*23.2</f>
        <v>832.88</v>
      </c>
      <c r="I39" s="91">
        <f>C39/100*46</f>
        <v>1651.3999999999999</v>
      </c>
      <c r="J39" s="91">
        <f>C39/100*680</f>
        <v>24412</v>
      </c>
      <c r="K39" s="14">
        <f>C39/100*0.55</f>
        <v>19.745000000000001</v>
      </c>
      <c r="L39" s="15">
        <v>3590</v>
      </c>
      <c r="M39" s="102">
        <v>260</v>
      </c>
      <c r="N39" s="16">
        <f t="shared" ref="N39" si="4">L39*M39</f>
        <v>933400</v>
      </c>
      <c r="O39" s="314"/>
      <c r="P39" s="3"/>
    </row>
    <row r="40" spans="1:23" s="2" customFormat="1" ht="21" customHeight="1">
      <c r="A40" s="77">
        <v>9</v>
      </c>
      <c r="B40" s="78" t="s">
        <v>111</v>
      </c>
      <c r="C40" s="79"/>
      <c r="D40" s="80"/>
      <c r="E40" s="81"/>
      <c r="F40" s="81"/>
      <c r="G40" s="81"/>
      <c r="H40" s="81"/>
      <c r="I40" s="81"/>
      <c r="J40" s="81"/>
      <c r="K40" s="81"/>
      <c r="L40" s="82"/>
      <c r="M40" s="82"/>
      <c r="N40" s="83">
        <v>13550</v>
      </c>
      <c r="O40" s="314"/>
    </row>
    <row r="41" spans="1:23" ht="21" customHeight="1">
      <c r="A41" s="211" t="s">
        <v>0</v>
      </c>
      <c r="B41" s="214" t="s">
        <v>19</v>
      </c>
      <c r="C41" s="217" t="s">
        <v>8</v>
      </c>
      <c r="D41" s="217" t="s">
        <v>9</v>
      </c>
      <c r="E41" s="298" t="s">
        <v>11</v>
      </c>
      <c r="F41" s="299"/>
      <c r="G41" s="298" t="s">
        <v>13</v>
      </c>
      <c r="H41" s="299"/>
      <c r="I41" s="208" t="s">
        <v>16</v>
      </c>
      <c r="J41" s="208" t="s">
        <v>32</v>
      </c>
      <c r="K41" s="208" t="s">
        <v>33</v>
      </c>
      <c r="L41" s="208" t="s">
        <v>55</v>
      </c>
      <c r="M41" s="208" t="s">
        <v>56</v>
      </c>
      <c r="N41" s="211" t="s">
        <v>18</v>
      </c>
      <c r="O41" s="313"/>
    </row>
    <row r="42" spans="1:23" ht="21" customHeight="1">
      <c r="A42" s="212"/>
      <c r="B42" s="215"/>
      <c r="C42" s="218"/>
      <c r="D42" s="218"/>
      <c r="E42" s="300"/>
      <c r="F42" s="301"/>
      <c r="G42" s="300"/>
      <c r="H42" s="301"/>
      <c r="I42" s="209"/>
      <c r="J42" s="209"/>
      <c r="K42" s="209"/>
      <c r="L42" s="209"/>
      <c r="M42" s="209"/>
      <c r="N42" s="212"/>
      <c r="O42" s="152"/>
    </row>
    <row r="43" spans="1:23" ht="21" customHeight="1">
      <c r="A43" s="212"/>
      <c r="B43" s="215"/>
      <c r="C43" s="218"/>
      <c r="D43" s="218"/>
      <c r="E43" s="208" t="s">
        <v>10</v>
      </c>
      <c r="F43" s="208" t="s">
        <v>12</v>
      </c>
      <c r="G43" s="208" t="s">
        <v>14</v>
      </c>
      <c r="H43" s="208" t="s">
        <v>15</v>
      </c>
      <c r="I43" s="209"/>
      <c r="J43" s="209"/>
      <c r="K43" s="209"/>
      <c r="L43" s="209"/>
      <c r="M43" s="209"/>
      <c r="N43" s="212"/>
      <c r="O43" s="152"/>
    </row>
    <row r="44" spans="1:23" ht="21" customHeight="1">
      <c r="A44" s="213"/>
      <c r="B44" s="216"/>
      <c r="C44" s="219"/>
      <c r="D44" s="219"/>
      <c r="E44" s="210"/>
      <c r="F44" s="210"/>
      <c r="G44" s="210"/>
      <c r="H44" s="210"/>
      <c r="I44" s="210"/>
      <c r="J44" s="210"/>
      <c r="K44" s="210"/>
      <c r="L44" s="210"/>
      <c r="M44" s="210"/>
      <c r="N44" s="213"/>
      <c r="O44" s="152"/>
    </row>
    <row r="45" spans="1:23" s="2" customFormat="1" ht="21" customHeight="1">
      <c r="A45" s="23" t="s">
        <v>108</v>
      </c>
      <c r="B45" s="24"/>
      <c r="C45" s="25"/>
      <c r="D45" s="94">
        <f>SUM(D32:D40)</f>
        <v>49425.67</v>
      </c>
      <c r="E45" s="31"/>
      <c r="F45" s="31"/>
      <c r="G45" s="31"/>
      <c r="H45" s="31"/>
      <c r="I45" s="31"/>
      <c r="J45" s="31"/>
      <c r="K45" s="31"/>
      <c r="L45" s="32"/>
      <c r="M45" s="32"/>
      <c r="N45" s="190">
        <f>SUM(N32:N40)</f>
        <v>1665500</v>
      </c>
      <c r="O45" s="314"/>
    </row>
    <row r="46" spans="1:23" ht="21" customHeight="1">
      <c r="A46" s="23" t="s">
        <v>7</v>
      </c>
      <c r="B46" s="24"/>
      <c r="C46" s="33"/>
      <c r="D46" s="34">
        <f>D45/C8</f>
        <v>234.24488151658767</v>
      </c>
      <c r="E46" s="34"/>
      <c r="F46" s="34"/>
      <c r="G46" s="34"/>
      <c r="H46" s="34"/>
      <c r="I46" s="34"/>
      <c r="J46" s="34"/>
      <c r="K46" s="34"/>
      <c r="L46" s="35"/>
      <c r="M46" s="35"/>
      <c r="N46" s="191"/>
      <c r="O46" s="4"/>
      <c r="P46" s="2"/>
      <c r="Q46" s="2"/>
      <c r="R46" s="2"/>
      <c r="S46" s="2"/>
      <c r="T46" s="2"/>
      <c r="U46" s="2"/>
      <c r="V46" s="2"/>
      <c r="W46" s="2"/>
    </row>
    <row r="47" spans="1:23" ht="21" customHeight="1">
      <c r="A47" s="283" t="s">
        <v>51</v>
      </c>
      <c r="B47" s="193"/>
      <c r="C47" s="319" t="s">
        <v>133</v>
      </c>
      <c r="D47" s="29" t="s">
        <v>41</v>
      </c>
      <c r="E47" s="34"/>
      <c r="F47" s="34"/>
      <c r="G47" s="34"/>
      <c r="H47" s="34"/>
      <c r="I47" s="34"/>
      <c r="J47" s="36"/>
      <c r="K47" s="36"/>
      <c r="L47" s="35"/>
      <c r="M47" s="35"/>
      <c r="N47" s="153"/>
      <c r="O47" s="4"/>
      <c r="P47" s="2"/>
      <c r="Q47" s="2"/>
      <c r="R47" s="2"/>
      <c r="S47" s="2"/>
      <c r="T47" s="2"/>
      <c r="U47" s="2"/>
      <c r="V47" s="2"/>
      <c r="W47" s="2"/>
    </row>
    <row r="48" spans="1:23" ht="21" customHeight="1">
      <c r="A48" s="194"/>
      <c r="B48" s="195"/>
      <c r="C48" s="62" t="s">
        <v>58</v>
      </c>
      <c r="D48" s="29">
        <f>D46*100/1320</f>
        <v>17.745824357317247</v>
      </c>
      <c r="E48" s="34"/>
      <c r="F48" s="34"/>
      <c r="G48" s="34"/>
      <c r="H48" s="34"/>
      <c r="I48" s="34"/>
      <c r="J48" s="36"/>
      <c r="K48" s="36"/>
      <c r="L48" s="35"/>
      <c r="M48" s="35"/>
      <c r="N48" s="153"/>
      <c r="O48" s="4"/>
      <c r="P48" s="2"/>
      <c r="Q48" s="2"/>
      <c r="R48" s="2"/>
      <c r="S48" s="2"/>
      <c r="T48" s="2"/>
      <c r="U48" s="2"/>
      <c r="V48" s="2"/>
      <c r="W48" s="2"/>
    </row>
    <row r="49" spans="1:22" ht="21" customHeight="1">
      <c r="A49" s="196" t="s">
        <v>99</v>
      </c>
      <c r="B49" s="197"/>
      <c r="C49" s="200"/>
      <c r="D49" s="254">
        <f>D27+D45</f>
        <v>152976.69999999998</v>
      </c>
      <c r="E49" s="96">
        <f t="shared" ref="E49:K49" si="5">SUM(E14:E40)</f>
        <v>3171.1954000000001</v>
      </c>
      <c r="F49" s="96">
        <f t="shared" si="5"/>
        <v>2930.9078</v>
      </c>
      <c r="G49" s="96">
        <f t="shared" si="5"/>
        <v>3291.1601999999998</v>
      </c>
      <c r="H49" s="96">
        <f t="shared" si="5"/>
        <v>1421.5646999999999</v>
      </c>
      <c r="I49" s="206">
        <f t="shared" si="5"/>
        <v>20862.624199999998</v>
      </c>
      <c r="J49" s="256">
        <f t="shared" si="5"/>
        <v>48302.201000000001</v>
      </c>
      <c r="K49" s="204">
        <f t="shared" si="5"/>
        <v>79.678719999999998</v>
      </c>
      <c r="L49" s="171"/>
      <c r="M49" s="171"/>
      <c r="N49" s="172">
        <f>N27+N45</f>
        <v>4642020</v>
      </c>
      <c r="P49" s="2"/>
      <c r="Q49" s="2"/>
      <c r="R49" s="2"/>
      <c r="S49" s="2"/>
      <c r="T49" s="2"/>
      <c r="U49" s="2"/>
      <c r="V49" s="2"/>
    </row>
    <row r="50" spans="1:22" ht="21" customHeight="1">
      <c r="A50" s="198"/>
      <c r="B50" s="199"/>
      <c r="C50" s="201"/>
      <c r="D50" s="255"/>
      <c r="E50" s="173">
        <f>E49+F49</f>
        <v>6102.1031999999996</v>
      </c>
      <c r="F50" s="174"/>
      <c r="G50" s="173">
        <f>G49+H49</f>
        <v>4712.7248999999993</v>
      </c>
      <c r="H50" s="174"/>
      <c r="I50" s="207"/>
      <c r="J50" s="257"/>
      <c r="K50" s="205"/>
      <c r="L50" s="171"/>
      <c r="M50" s="171"/>
      <c r="N50" s="172"/>
      <c r="U50" s="11"/>
      <c r="V50" s="11"/>
    </row>
    <row r="51" spans="1:22" ht="21" customHeight="1">
      <c r="A51" s="178" t="s">
        <v>75</v>
      </c>
      <c r="B51" s="179"/>
      <c r="C51" s="180"/>
      <c r="D51" s="139">
        <f>D49/C8</f>
        <v>725.00805687203786</v>
      </c>
      <c r="E51" s="108">
        <f>E49/C8</f>
        <v>15.029362085308057</v>
      </c>
      <c r="F51" s="107">
        <f>F49/C8</f>
        <v>13.890558293838863</v>
      </c>
      <c r="G51" s="108">
        <f>G49/C8</f>
        <v>15.597915639810426</v>
      </c>
      <c r="H51" s="107">
        <f>H49/C8</f>
        <v>6.737273459715639</v>
      </c>
      <c r="I51" s="184">
        <f>I49/C8</f>
        <v>98.874996208530803</v>
      </c>
      <c r="J51" s="252">
        <f>J49/C8</f>
        <v>228.92038388625593</v>
      </c>
      <c r="K51" s="184">
        <f>K49/C8</f>
        <v>0.37762426540284361</v>
      </c>
      <c r="L51" s="171"/>
      <c r="M51" s="171"/>
      <c r="N51" s="172"/>
      <c r="O51" s="2"/>
      <c r="P51" s="2"/>
      <c r="Q51" s="2"/>
      <c r="U51" s="11"/>
      <c r="V51" s="11"/>
    </row>
    <row r="52" spans="1:22" ht="21" customHeight="1">
      <c r="A52" s="181"/>
      <c r="B52" s="182"/>
      <c r="C52" s="183"/>
      <c r="D52" s="97"/>
      <c r="E52" s="296">
        <f>E51+F51</f>
        <v>28.919920379146919</v>
      </c>
      <c r="F52" s="295"/>
      <c r="G52" s="296">
        <f>G51+H51</f>
        <v>22.335189099526065</v>
      </c>
      <c r="H52" s="295"/>
      <c r="I52" s="185"/>
      <c r="J52" s="253"/>
      <c r="K52" s="185"/>
      <c r="L52" s="171"/>
      <c r="M52" s="171"/>
      <c r="N52" s="172"/>
      <c r="P52" s="308"/>
      <c r="Q52" s="310"/>
      <c r="R52" s="310"/>
      <c r="S52" s="310"/>
      <c r="T52" s="310"/>
      <c r="U52" s="321"/>
      <c r="V52" s="321"/>
    </row>
    <row r="53" spans="1:22" ht="21" customHeight="1">
      <c r="A53" s="322" t="s">
        <v>76</v>
      </c>
      <c r="B53" s="323"/>
      <c r="C53" s="324"/>
      <c r="D53" s="325" t="s">
        <v>27</v>
      </c>
      <c r="E53" s="245" t="s">
        <v>21</v>
      </c>
      <c r="F53" s="245"/>
      <c r="G53" s="245" t="s">
        <v>22</v>
      </c>
      <c r="H53" s="245"/>
      <c r="I53" s="150" t="s">
        <v>23</v>
      </c>
      <c r="J53" s="343">
        <v>600</v>
      </c>
      <c r="K53" s="343">
        <v>0.74</v>
      </c>
      <c r="L53" s="171"/>
      <c r="M53" s="171"/>
      <c r="N53" s="172"/>
      <c r="O53" s="327"/>
      <c r="P53" s="328"/>
      <c r="Q53" s="310"/>
      <c r="R53" s="310"/>
      <c r="S53" s="310"/>
      <c r="T53" s="310"/>
      <c r="U53" s="310"/>
      <c r="V53" s="310"/>
    </row>
    <row r="54" spans="1:22" ht="21" customHeight="1">
      <c r="A54" s="164" t="s">
        <v>69</v>
      </c>
      <c r="B54" s="168"/>
      <c r="C54" s="165"/>
      <c r="D54" s="19"/>
      <c r="E54" s="169">
        <f>E52*4.1</f>
        <v>118.57167355450235</v>
      </c>
      <c r="F54" s="170"/>
      <c r="G54" s="169">
        <f>G52*9</f>
        <v>201.0167018957346</v>
      </c>
      <c r="H54" s="170"/>
      <c r="I54" s="68">
        <f>I51*4.1</f>
        <v>405.38748445497623</v>
      </c>
      <c r="J54" s="175"/>
      <c r="K54" s="175"/>
      <c r="L54" s="171"/>
      <c r="M54" s="171"/>
      <c r="N54" s="172"/>
      <c r="O54" s="327"/>
      <c r="P54" s="329"/>
      <c r="Q54" s="307"/>
      <c r="R54" s="307"/>
      <c r="S54" s="307"/>
      <c r="T54" s="308"/>
      <c r="U54" s="308"/>
      <c r="V54" s="308"/>
    </row>
    <row r="55" spans="1:22" ht="21" customHeight="1">
      <c r="A55" s="160" t="s">
        <v>70</v>
      </c>
      <c r="B55" s="161"/>
      <c r="C55" s="164" t="s">
        <v>58</v>
      </c>
      <c r="D55" s="165"/>
      <c r="E55" s="166">
        <f>E54*100/D51</f>
        <v>16.354531847006765</v>
      </c>
      <c r="F55" s="167"/>
      <c r="G55" s="166">
        <f>G54*100/D51</f>
        <v>27.726133522294571</v>
      </c>
      <c r="H55" s="167"/>
      <c r="I55" s="86">
        <f>I54*100/D51</f>
        <v>55.914893719108854</v>
      </c>
      <c r="J55" s="176"/>
      <c r="K55" s="176"/>
      <c r="L55" s="171"/>
      <c r="M55" s="171"/>
      <c r="N55" s="172"/>
      <c r="O55" s="327"/>
      <c r="P55" s="308"/>
      <c r="Q55" s="309"/>
      <c r="R55" s="308"/>
      <c r="S55" s="308"/>
      <c r="T55" s="308"/>
      <c r="U55" s="308"/>
      <c r="V55" s="308"/>
    </row>
    <row r="56" spans="1:22" ht="21" customHeight="1">
      <c r="A56" s="162"/>
      <c r="B56" s="163"/>
      <c r="C56" s="164" t="s">
        <v>71</v>
      </c>
      <c r="D56" s="165"/>
      <c r="E56" s="164" t="s">
        <v>72</v>
      </c>
      <c r="F56" s="165"/>
      <c r="G56" s="164" t="s">
        <v>73</v>
      </c>
      <c r="H56" s="165"/>
      <c r="I56" s="325" t="s">
        <v>74</v>
      </c>
      <c r="J56" s="177"/>
      <c r="K56" s="177"/>
      <c r="L56" s="171"/>
      <c r="M56" s="171"/>
      <c r="N56" s="172"/>
      <c r="O56" s="344"/>
      <c r="P56" s="84"/>
    </row>
    <row r="57" spans="1:22" ht="21" customHeight="1">
      <c r="A57" s="70"/>
      <c r="B57" s="71"/>
      <c r="C57" s="70"/>
      <c r="D57" s="70"/>
      <c r="E57" s="70"/>
      <c r="F57" s="70"/>
      <c r="G57" s="70"/>
      <c r="H57" s="70"/>
      <c r="I57" s="70"/>
      <c r="J57" s="70"/>
      <c r="K57" s="70"/>
      <c r="L57" s="72"/>
      <c r="M57" s="72"/>
      <c r="N57" s="73"/>
      <c r="O57" s="327"/>
    </row>
    <row r="58" spans="1:22" ht="21" customHeight="1">
      <c r="A58" s="156" t="s">
        <v>100</v>
      </c>
      <c r="B58" s="156"/>
      <c r="C58" s="156"/>
      <c r="D58" s="156"/>
      <c r="E58" s="156"/>
      <c r="F58" s="156"/>
      <c r="G58" s="156"/>
      <c r="H58" s="156"/>
      <c r="I58" s="156"/>
      <c r="J58" s="156"/>
      <c r="K58" s="156"/>
      <c r="L58" s="156"/>
      <c r="M58" s="156"/>
      <c r="N58" s="156"/>
      <c r="O58" s="327"/>
    </row>
    <row r="59" spans="1:22" ht="21" customHeight="1">
      <c r="A59" s="87" t="s">
        <v>101</v>
      </c>
      <c r="B59" s="157" t="s">
        <v>102</v>
      </c>
      <c r="C59" s="157"/>
      <c r="D59" s="157"/>
      <c r="E59" s="157"/>
      <c r="F59" s="157"/>
      <c r="G59" s="157"/>
      <c r="H59" s="157"/>
      <c r="I59" s="157"/>
      <c r="J59" s="157"/>
      <c r="K59" s="157"/>
      <c r="L59" s="157"/>
      <c r="M59" s="157"/>
      <c r="N59" s="157"/>
      <c r="O59" s="327"/>
    </row>
    <row r="60" spans="1:22" ht="21" customHeight="1">
      <c r="A60" s="88"/>
      <c r="B60" s="158" t="s">
        <v>192</v>
      </c>
      <c r="C60" s="15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  <c r="O60" s="327"/>
    </row>
    <row r="61" spans="1:22" ht="21" customHeight="1">
      <c r="A61" s="88"/>
      <c r="B61" s="158" t="s">
        <v>165</v>
      </c>
      <c r="C61" s="15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  <c r="O61" s="327"/>
    </row>
    <row r="62" spans="1:22" ht="21" customHeight="1">
      <c r="A62" s="88"/>
      <c r="B62" s="158" t="s">
        <v>174</v>
      </c>
      <c r="C62" s="15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  <c r="O62" s="327"/>
    </row>
    <row r="63" spans="1:22" ht="21" customHeight="1">
      <c r="A63" s="70"/>
      <c r="B63" s="159" t="s">
        <v>107</v>
      </c>
      <c r="C63" s="159"/>
      <c r="D63" s="159"/>
      <c r="E63" s="159"/>
      <c r="F63" s="159"/>
      <c r="G63" s="159"/>
      <c r="H63" s="159"/>
      <c r="I63" s="159"/>
      <c r="J63" s="159"/>
      <c r="K63" s="159"/>
      <c r="L63" s="159"/>
      <c r="M63" s="159"/>
      <c r="N63" s="159"/>
      <c r="O63" s="327"/>
    </row>
    <row r="64" spans="1:22" ht="21" customHeight="1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89"/>
      <c r="M64" s="89"/>
      <c r="N64" s="90"/>
      <c r="O64" s="327"/>
    </row>
    <row r="65" spans="1:15" ht="21" customHeight="1">
      <c r="A65" s="154" t="s">
        <v>60</v>
      </c>
      <c r="B65" s="154"/>
      <c r="C65" s="154"/>
      <c r="D65" s="154"/>
      <c r="E65" s="330"/>
      <c r="F65" s="330"/>
      <c r="G65" s="330"/>
      <c r="H65" s="330"/>
      <c r="I65" s="330"/>
      <c r="J65" s="331" t="s">
        <v>36</v>
      </c>
      <c r="K65" s="331"/>
      <c r="L65" s="331"/>
      <c r="M65" s="331"/>
      <c r="N65" s="331"/>
      <c r="O65" s="327"/>
    </row>
    <row r="66" spans="1:15" ht="21" customHeight="1">
      <c r="A66" s="152"/>
      <c r="B66" s="152"/>
      <c r="C66" s="152"/>
      <c r="D66" s="330"/>
      <c r="E66" s="330"/>
      <c r="F66" s="330"/>
      <c r="G66" s="330"/>
      <c r="H66" s="332"/>
      <c r="I66" s="332"/>
      <c r="J66" s="332"/>
      <c r="K66" s="332"/>
      <c r="L66" s="332"/>
      <c r="M66" s="332"/>
      <c r="N66" s="332"/>
      <c r="O66" s="327"/>
    </row>
    <row r="67" spans="1:15" ht="21" customHeight="1">
      <c r="A67" s="152"/>
      <c r="B67" s="152"/>
      <c r="C67" s="152"/>
      <c r="D67" s="330"/>
      <c r="E67" s="330"/>
      <c r="F67" s="330"/>
      <c r="G67" s="330"/>
      <c r="H67" s="332"/>
      <c r="I67" s="332"/>
      <c r="J67" s="332"/>
      <c r="K67" s="332"/>
      <c r="L67" s="332"/>
      <c r="M67" s="332"/>
      <c r="N67" s="332"/>
      <c r="O67" s="327"/>
    </row>
    <row r="68" spans="1:15" ht="21" customHeight="1">
      <c r="A68" s="152"/>
      <c r="B68" s="152"/>
      <c r="C68" s="152"/>
      <c r="D68" s="330"/>
      <c r="E68" s="330"/>
      <c r="F68" s="330"/>
      <c r="G68" s="330"/>
      <c r="H68" s="332"/>
      <c r="I68" s="332"/>
      <c r="J68" s="333" t="s">
        <v>103</v>
      </c>
      <c r="K68" s="333"/>
      <c r="L68" s="333"/>
      <c r="M68" s="333"/>
      <c r="N68" s="333"/>
      <c r="O68" s="327"/>
    </row>
    <row r="69" spans="1:15" ht="21" customHeight="1">
      <c r="A69" s="155" t="s">
        <v>84</v>
      </c>
      <c r="B69" s="155"/>
      <c r="C69" s="155"/>
      <c r="D69" s="155"/>
      <c r="E69" s="330"/>
      <c r="F69" s="330"/>
      <c r="G69" s="330"/>
      <c r="H69" s="332"/>
      <c r="I69" s="332"/>
      <c r="J69" s="333"/>
      <c r="K69" s="333"/>
      <c r="L69" s="333"/>
      <c r="M69" s="333"/>
      <c r="N69" s="333"/>
      <c r="O69" s="327"/>
    </row>
    <row r="70" spans="1:15" ht="21" customHeight="1">
      <c r="A70" s="152"/>
      <c r="B70" s="152"/>
      <c r="C70" s="152"/>
      <c r="D70" s="330"/>
      <c r="E70" s="330"/>
      <c r="F70" s="330"/>
      <c r="G70" s="330"/>
      <c r="H70" s="332"/>
      <c r="I70" s="332"/>
      <c r="J70" s="332"/>
      <c r="K70" s="332"/>
      <c r="L70" s="332"/>
      <c r="M70" s="332"/>
      <c r="N70" s="332"/>
      <c r="O70" s="327"/>
    </row>
    <row r="71" spans="1:15" ht="21" customHeight="1">
      <c r="A71" s="152"/>
      <c r="B71" s="152"/>
      <c r="C71" s="152"/>
      <c r="D71" s="330"/>
      <c r="E71" s="330"/>
      <c r="F71" s="330"/>
      <c r="G71" s="330"/>
      <c r="H71" s="332"/>
      <c r="I71" s="332"/>
      <c r="J71" s="333" t="s">
        <v>114</v>
      </c>
      <c r="K71" s="333"/>
      <c r="L71" s="333"/>
      <c r="M71" s="333"/>
      <c r="N71" s="333"/>
      <c r="O71" s="327"/>
    </row>
    <row r="72" spans="1:15" ht="21" customHeight="1">
      <c r="A72" s="155"/>
      <c r="B72" s="155"/>
      <c r="C72" s="155"/>
      <c r="D72" s="155"/>
      <c r="E72" s="330"/>
      <c r="F72" s="330"/>
      <c r="G72" s="330"/>
      <c r="H72" s="332"/>
      <c r="I72" s="332"/>
      <c r="J72" s="331"/>
      <c r="K72" s="331"/>
      <c r="L72" s="331"/>
      <c r="M72" s="331"/>
      <c r="N72" s="331"/>
      <c r="O72" s="327"/>
    </row>
    <row r="81" spans="1:20" ht="19.8" customHeight="1">
      <c r="A81" s="10" t="s">
        <v>59</v>
      </c>
      <c r="B81" s="7"/>
      <c r="C81" s="7"/>
      <c r="D81" s="7"/>
      <c r="E81" s="7"/>
      <c r="F81" s="244" t="s">
        <v>31</v>
      </c>
      <c r="G81" s="244"/>
      <c r="H81" s="244"/>
      <c r="I81" s="244"/>
      <c r="J81" s="244"/>
      <c r="K81" s="244"/>
      <c r="L81" s="244"/>
      <c r="M81" s="244"/>
      <c r="N81" s="244"/>
      <c r="O81" s="311"/>
      <c r="P81" s="311"/>
      <c r="T81" s="2"/>
    </row>
    <row r="82" spans="1:20" ht="18" customHeight="1">
      <c r="A82" s="7" t="s">
        <v>191</v>
      </c>
      <c r="B82" s="7"/>
      <c r="C82" s="7"/>
      <c r="D82" s="7"/>
      <c r="E82" s="7"/>
      <c r="F82" s="149"/>
      <c r="G82" s="149"/>
      <c r="H82" s="149"/>
      <c r="I82" s="149"/>
      <c r="J82" s="149"/>
      <c r="K82" s="149"/>
      <c r="L82" s="149"/>
      <c r="M82" s="149"/>
      <c r="N82" s="149"/>
      <c r="O82" s="311"/>
      <c r="P82" s="311"/>
      <c r="T82" s="2"/>
    </row>
    <row r="83" spans="1:20" s="2" customFormat="1" ht="18" customHeight="1">
      <c r="A83" s="245" t="s">
        <v>95</v>
      </c>
      <c r="B83" s="245"/>
      <c r="C83" s="245"/>
      <c r="D83" s="245"/>
      <c r="E83" s="245" t="s">
        <v>82</v>
      </c>
      <c r="F83" s="245"/>
      <c r="G83" s="245"/>
      <c r="H83" s="245"/>
      <c r="I83" s="245"/>
      <c r="J83" s="245"/>
      <c r="K83" s="245"/>
      <c r="L83" s="245"/>
      <c r="M83" s="245"/>
      <c r="N83" s="245"/>
      <c r="O83" s="312"/>
    </row>
    <row r="84" spans="1:20" s="2" customFormat="1" ht="18" customHeight="1">
      <c r="A84" s="245"/>
      <c r="B84" s="245"/>
      <c r="C84" s="245"/>
      <c r="D84" s="245"/>
      <c r="E84" s="245" t="s">
        <v>94</v>
      </c>
      <c r="F84" s="245"/>
      <c r="G84" s="245"/>
      <c r="H84" s="245"/>
      <c r="I84" s="245"/>
      <c r="J84" s="245" t="s">
        <v>96</v>
      </c>
      <c r="K84" s="245"/>
      <c r="L84" s="245"/>
      <c r="M84" s="245"/>
      <c r="N84" s="245"/>
      <c r="O84" s="312"/>
    </row>
    <row r="85" spans="1:20" s="2" customFormat="1" ht="18" customHeight="1">
      <c r="A85" s="231" t="s">
        <v>83</v>
      </c>
      <c r="B85" s="231"/>
      <c r="C85" s="231"/>
      <c r="D85" s="231"/>
      <c r="E85" s="232" t="s">
        <v>132</v>
      </c>
      <c r="F85" s="232"/>
      <c r="G85" s="232"/>
      <c r="H85" s="232"/>
      <c r="I85" s="232"/>
      <c r="J85" s="233" t="s">
        <v>83</v>
      </c>
      <c r="K85" s="234"/>
      <c r="L85" s="234"/>
      <c r="M85" s="234"/>
      <c r="N85" s="235"/>
      <c r="O85" s="312"/>
    </row>
    <row r="86" spans="1:20" s="2" customFormat="1" ht="18" customHeight="1">
      <c r="A86" s="237" t="s">
        <v>144</v>
      </c>
      <c r="B86" s="238"/>
      <c r="C86" s="238"/>
      <c r="D86" s="239"/>
      <c r="E86" s="232"/>
      <c r="F86" s="232"/>
      <c r="G86" s="232"/>
      <c r="H86" s="232"/>
      <c r="I86" s="232"/>
      <c r="J86" s="237" t="s">
        <v>90</v>
      </c>
      <c r="K86" s="238"/>
      <c r="L86" s="238"/>
      <c r="M86" s="238"/>
      <c r="N86" s="239"/>
      <c r="O86" s="312"/>
    </row>
    <row r="87" spans="1:20" s="2" customFormat="1" ht="18" customHeight="1">
      <c r="A87" s="236" t="s">
        <v>145</v>
      </c>
      <c r="B87" s="236"/>
      <c r="C87" s="236"/>
      <c r="D87" s="236"/>
      <c r="E87" s="232"/>
      <c r="F87" s="232"/>
      <c r="G87" s="232"/>
      <c r="H87" s="232"/>
      <c r="I87" s="232"/>
      <c r="J87" s="241" t="s">
        <v>124</v>
      </c>
      <c r="K87" s="242"/>
      <c r="L87" s="242"/>
      <c r="M87" s="242"/>
      <c r="N87" s="243"/>
      <c r="O87" s="312"/>
    </row>
    <row r="88" spans="1:20" s="2" customFormat="1" ht="18" customHeight="1">
      <c r="A88" s="240" t="s">
        <v>164</v>
      </c>
      <c r="B88" s="240"/>
      <c r="C88" s="240"/>
      <c r="D88" s="240"/>
      <c r="E88" s="232"/>
      <c r="F88" s="232"/>
      <c r="G88" s="232"/>
      <c r="H88" s="232"/>
      <c r="I88" s="232"/>
      <c r="J88" s="241"/>
      <c r="K88" s="242"/>
      <c r="L88" s="242"/>
      <c r="M88" s="242"/>
      <c r="N88" s="243"/>
      <c r="O88" s="312"/>
    </row>
    <row r="89" spans="1:20" ht="18" customHeight="1">
      <c r="A89" s="277" t="s">
        <v>110</v>
      </c>
      <c r="B89" s="277"/>
      <c r="C89" s="279">
        <v>61</v>
      </c>
      <c r="D89" s="279"/>
      <c r="E89" s="7"/>
      <c r="F89" s="149"/>
      <c r="G89" s="149"/>
      <c r="H89" s="149"/>
      <c r="I89" s="149"/>
      <c r="J89" s="149"/>
      <c r="K89" s="149"/>
      <c r="L89" s="149"/>
      <c r="M89" s="149"/>
      <c r="N89" s="149"/>
      <c r="O89" s="311"/>
      <c r="P89" s="311"/>
      <c r="T89" s="2"/>
    </row>
    <row r="90" spans="1:20" ht="18" customHeight="1">
      <c r="A90" s="211" t="s">
        <v>0</v>
      </c>
      <c r="B90" s="214" t="s">
        <v>19</v>
      </c>
      <c r="C90" s="217" t="s">
        <v>8</v>
      </c>
      <c r="D90" s="217" t="s">
        <v>9</v>
      </c>
      <c r="E90" s="220" t="s">
        <v>11</v>
      </c>
      <c r="F90" s="221"/>
      <c r="G90" s="220" t="s">
        <v>13</v>
      </c>
      <c r="H90" s="221"/>
      <c r="I90" s="208" t="s">
        <v>16</v>
      </c>
      <c r="J90" s="208" t="s">
        <v>32</v>
      </c>
      <c r="K90" s="208" t="s">
        <v>33</v>
      </c>
      <c r="L90" s="208" t="s">
        <v>17</v>
      </c>
      <c r="M90" s="208" t="s">
        <v>34</v>
      </c>
      <c r="N90" s="211" t="s">
        <v>18</v>
      </c>
      <c r="O90" s="313"/>
    </row>
    <row r="91" spans="1:20" ht="18" customHeight="1">
      <c r="A91" s="212"/>
      <c r="B91" s="215"/>
      <c r="C91" s="218"/>
      <c r="D91" s="218"/>
      <c r="E91" s="222"/>
      <c r="F91" s="223"/>
      <c r="G91" s="222"/>
      <c r="H91" s="223"/>
      <c r="I91" s="209"/>
      <c r="J91" s="209"/>
      <c r="K91" s="209"/>
      <c r="L91" s="209"/>
      <c r="M91" s="209"/>
      <c r="N91" s="212"/>
      <c r="O91" s="152"/>
    </row>
    <row r="92" spans="1:20" ht="18" customHeight="1">
      <c r="A92" s="212"/>
      <c r="B92" s="215"/>
      <c r="C92" s="218"/>
      <c r="D92" s="218"/>
      <c r="E92" s="208" t="s">
        <v>10</v>
      </c>
      <c r="F92" s="208" t="s">
        <v>12</v>
      </c>
      <c r="G92" s="208" t="s">
        <v>14</v>
      </c>
      <c r="H92" s="208" t="s">
        <v>15</v>
      </c>
      <c r="I92" s="209"/>
      <c r="J92" s="209"/>
      <c r="K92" s="209"/>
      <c r="L92" s="209"/>
      <c r="M92" s="209"/>
      <c r="N92" s="212"/>
      <c r="O92" s="152"/>
    </row>
    <row r="93" spans="1:20" ht="18" customHeight="1">
      <c r="A93" s="213"/>
      <c r="B93" s="216"/>
      <c r="C93" s="219"/>
      <c r="D93" s="219"/>
      <c r="E93" s="210"/>
      <c r="F93" s="210"/>
      <c r="G93" s="210"/>
      <c r="H93" s="210"/>
      <c r="I93" s="210"/>
      <c r="J93" s="210"/>
      <c r="K93" s="210"/>
      <c r="L93" s="210"/>
      <c r="M93" s="210"/>
      <c r="N93" s="213"/>
      <c r="O93" s="152"/>
    </row>
    <row r="94" spans="1:20" ht="17.399999999999999" customHeight="1">
      <c r="A94" s="225" t="s">
        <v>42</v>
      </c>
      <c r="B94" s="226"/>
      <c r="C94" s="226"/>
      <c r="D94" s="226"/>
      <c r="E94" s="226"/>
      <c r="F94" s="226"/>
      <c r="G94" s="226"/>
      <c r="H94" s="226"/>
      <c r="I94" s="226"/>
      <c r="J94" s="226"/>
      <c r="K94" s="226"/>
      <c r="L94" s="226"/>
      <c r="M94" s="226"/>
      <c r="N94" s="227"/>
      <c r="O94" s="152"/>
    </row>
    <row r="95" spans="1:20" s="2" customFormat="1" ht="17.399999999999999" customHeight="1">
      <c r="A95" s="8">
        <v>1</v>
      </c>
      <c r="B95" s="9" t="s">
        <v>2</v>
      </c>
      <c r="C95" s="12">
        <f>L95/100*100</f>
        <v>80</v>
      </c>
      <c r="D95" s="13">
        <f>C95/100*60</f>
        <v>48</v>
      </c>
      <c r="E95" s="14">
        <f>C95/100*15</f>
        <v>12</v>
      </c>
      <c r="F95" s="14"/>
      <c r="G95" s="14"/>
      <c r="H95" s="14"/>
      <c r="I95" s="14"/>
      <c r="J95" s="22">
        <f>C95/100*387</f>
        <v>309.60000000000002</v>
      </c>
      <c r="K95" s="22">
        <f>C95/100*0.09</f>
        <v>7.1999999999999995E-2</v>
      </c>
      <c r="L95" s="111">
        <v>80</v>
      </c>
      <c r="M95" s="20">
        <v>20</v>
      </c>
      <c r="N95" s="16">
        <f>L95*M95</f>
        <v>1600</v>
      </c>
      <c r="O95" s="314"/>
    </row>
    <row r="96" spans="1:20" s="2" customFormat="1" ht="17.399999999999999" customHeight="1">
      <c r="A96" s="8">
        <v>2</v>
      </c>
      <c r="B96" s="9" t="s">
        <v>121</v>
      </c>
      <c r="C96" s="12">
        <f>L96/100*100</f>
        <v>550</v>
      </c>
      <c r="D96" s="13">
        <f>C96/100*899</f>
        <v>4944.5</v>
      </c>
      <c r="E96" s="14"/>
      <c r="F96" s="14"/>
      <c r="G96" s="14">
        <f>C96/100*100</f>
        <v>550</v>
      </c>
      <c r="H96" s="14"/>
      <c r="I96" s="14"/>
      <c r="J96" s="22"/>
      <c r="K96" s="22"/>
      <c r="L96" s="111">
        <v>550</v>
      </c>
      <c r="M96" s="110">
        <v>68</v>
      </c>
      <c r="N96" s="16">
        <f t="shared" ref="N96" si="6">L96*M96</f>
        <v>37400</v>
      </c>
      <c r="O96" s="314"/>
    </row>
    <row r="97" spans="1:23" s="2" customFormat="1" ht="17.399999999999999" customHeight="1">
      <c r="A97" s="8">
        <v>3</v>
      </c>
      <c r="B97" s="5" t="s">
        <v>1</v>
      </c>
      <c r="C97" s="12">
        <f>L97/100*100</f>
        <v>2623</v>
      </c>
      <c r="D97" s="13">
        <f>C97/100*344</f>
        <v>9023.1200000000008</v>
      </c>
      <c r="E97" s="14"/>
      <c r="F97" s="14">
        <f>C97/100*7.9</f>
        <v>207.21700000000001</v>
      </c>
      <c r="G97" s="14"/>
      <c r="H97" s="14">
        <f>C97/100*1</f>
        <v>26.23</v>
      </c>
      <c r="I97" s="91">
        <f>C97/100*73.6</f>
        <v>1930.5279999999998</v>
      </c>
      <c r="J97" s="22">
        <f>C97/100*30</f>
        <v>786.9</v>
      </c>
      <c r="K97" s="22">
        <f>C97/100*0.1</f>
        <v>2.6230000000000002</v>
      </c>
      <c r="L97" s="111">
        <v>2623</v>
      </c>
      <c r="M97" s="20">
        <v>18</v>
      </c>
      <c r="N97" s="16">
        <f t="shared" ref="N97:N105" si="7">L97*M97</f>
        <v>47214</v>
      </c>
      <c r="O97" s="314"/>
    </row>
    <row r="98" spans="1:23" s="2" customFormat="1" ht="17.399999999999999" customHeight="1">
      <c r="A98" s="8">
        <v>4</v>
      </c>
      <c r="B98" s="9" t="s">
        <v>29</v>
      </c>
      <c r="C98" s="12">
        <f>L98/100*100</f>
        <v>50</v>
      </c>
      <c r="D98" s="13">
        <f>C98/100*390</f>
        <v>195</v>
      </c>
      <c r="E98" s="14"/>
      <c r="F98" s="14"/>
      <c r="G98" s="14"/>
      <c r="H98" s="14"/>
      <c r="I98" s="14">
        <f>C98/100*97.4</f>
        <v>48.7</v>
      </c>
      <c r="J98" s="22">
        <f>C98/100*178</f>
        <v>89</v>
      </c>
      <c r="K98" s="22">
        <f>C98/100*0.05</f>
        <v>2.5000000000000001E-2</v>
      </c>
      <c r="L98" s="111">
        <v>50</v>
      </c>
      <c r="M98" s="20">
        <v>25</v>
      </c>
      <c r="N98" s="16">
        <f t="shared" si="7"/>
        <v>1250</v>
      </c>
      <c r="O98" s="337"/>
    </row>
    <row r="99" spans="1:23" s="2" customFormat="1" ht="17.399999999999999" customHeight="1">
      <c r="A99" s="8">
        <v>5</v>
      </c>
      <c r="B99" s="9" t="s">
        <v>146</v>
      </c>
      <c r="C99" s="12">
        <f>L99/100*60</f>
        <v>2196</v>
      </c>
      <c r="D99" s="13">
        <f>C99/100*97</f>
        <v>2130.12</v>
      </c>
      <c r="E99" s="91">
        <f>C99/100*18.2</f>
        <v>399.67200000000003</v>
      </c>
      <c r="F99" s="14"/>
      <c r="G99" s="14">
        <f>C99/100*2.7</f>
        <v>59.292000000000009</v>
      </c>
      <c r="H99" s="14"/>
      <c r="I99" s="14"/>
      <c r="J99" s="64">
        <f>C99/100*90</f>
        <v>1976.4</v>
      </c>
      <c r="K99" s="22">
        <f>C99/100*0.04</f>
        <v>0.87840000000000007</v>
      </c>
      <c r="L99" s="111">
        <v>3660</v>
      </c>
      <c r="M99" s="20">
        <v>95</v>
      </c>
      <c r="N99" s="16">
        <f t="shared" si="7"/>
        <v>347700</v>
      </c>
      <c r="O99" s="314"/>
    </row>
    <row r="100" spans="1:23" s="2" customFormat="1" ht="17.399999999999999" customHeight="1">
      <c r="A100" s="8">
        <v>6</v>
      </c>
      <c r="B100" s="129" t="s">
        <v>66</v>
      </c>
      <c r="C100" s="12">
        <f>L100/100*98</f>
        <v>597.79999999999995</v>
      </c>
      <c r="D100" s="13">
        <f>C100/100*139</f>
        <v>830.94200000000001</v>
      </c>
      <c r="E100" s="14">
        <f>C100/100*19</f>
        <v>113.58199999999999</v>
      </c>
      <c r="F100" s="14"/>
      <c r="G100" s="14">
        <f>C100/100*7</f>
        <v>41.845999999999997</v>
      </c>
      <c r="H100" s="14"/>
      <c r="I100" s="14"/>
      <c r="J100" s="22">
        <f>C100/100*7</f>
        <v>41.845999999999997</v>
      </c>
      <c r="K100" s="22">
        <f>C100/100*0.9</f>
        <v>5.3802000000000003</v>
      </c>
      <c r="L100" s="111">
        <v>610</v>
      </c>
      <c r="M100" s="111">
        <v>137</v>
      </c>
      <c r="N100" s="16">
        <f t="shared" si="7"/>
        <v>83570</v>
      </c>
      <c r="O100" s="314"/>
    </row>
    <row r="101" spans="1:23" s="2" customFormat="1" ht="17.399999999999999" customHeight="1">
      <c r="A101" s="8">
        <v>7</v>
      </c>
      <c r="B101" s="5" t="s">
        <v>3</v>
      </c>
      <c r="C101" s="12">
        <f>L101/100*48</f>
        <v>465.59999999999997</v>
      </c>
      <c r="D101" s="13">
        <f>C101/100*199</f>
        <v>926.54399999999998</v>
      </c>
      <c r="E101" s="14">
        <f>C101/100*20.3</f>
        <v>94.516800000000003</v>
      </c>
      <c r="F101" s="14"/>
      <c r="G101" s="14">
        <f>C101/100*13.1</f>
        <v>60.993599999999994</v>
      </c>
      <c r="H101" s="14"/>
      <c r="I101" s="14"/>
      <c r="J101" s="22">
        <f>C101/100*12</f>
        <v>55.872</v>
      </c>
      <c r="K101" s="22">
        <f>C101/100*0.15</f>
        <v>0.69839999999999991</v>
      </c>
      <c r="L101" s="111">
        <v>970</v>
      </c>
      <c r="M101" s="15">
        <v>84</v>
      </c>
      <c r="N101" s="16">
        <f t="shared" si="7"/>
        <v>81480</v>
      </c>
      <c r="O101" s="314"/>
      <c r="Q101" s="3"/>
      <c r="R101" s="3"/>
      <c r="S101" s="4"/>
    </row>
    <row r="102" spans="1:23" s="2" customFormat="1" ht="17.399999999999999" customHeight="1">
      <c r="A102" s="8">
        <v>8</v>
      </c>
      <c r="B102" s="5" t="s">
        <v>117</v>
      </c>
      <c r="C102" s="12">
        <f>L102/100*100</f>
        <v>50</v>
      </c>
      <c r="D102" s="13">
        <f>C102/100*247</f>
        <v>123.5</v>
      </c>
      <c r="E102" s="17"/>
      <c r="F102" s="17">
        <f>C102/100*17.5</f>
        <v>8.75</v>
      </c>
      <c r="G102" s="17"/>
      <c r="H102" s="17">
        <f>C102/100*1.6</f>
        <v>0.8</v>
      </c>
      <c r="I102" s="17">
        <f>C102/100*39.2</f>
        <v>19.600000000000001</v>
      </c>
      <c r="J102" s="21"/>
      <c r="K102" s="21"/>
      <c r="L102" s="318">
        <v>50</v>
      </c>
      <c r="M102" s="20">
        <v>50</v>
      </c>
      <c r="N102" s="16">
        <f t="shared" si="7"/>
        <v>2500</v>
      </c>
      <c r="O102" s="314"/>
      <c r="Q102" s="3"/>
      <c r="R102" s="3"/>
      <c r="S102" s="4"/>
      <c r="T102" s="3"/>
    </row>
    <row r="103" spans="1:23" s="2" customFormat="1" ht="17.399999999999999" customHeight="1">
      <c r="A103" s="8">
        <v>9</v>
      </c>
      <c r="B103" s="5" t="s">
        <v>140</v>
      </c>
      <c r="C103" s="12">
        <f>L103/100*87</f>
        <v>1435.5</v>
      </c>
      <c r="D103" s="13">
        <f>C103/100*21</f>
        <v>301.45499999999998</v>
      </c>
      <c r="E103" s="17"/>
      <c r="F103" s="17">
        <f>C103/100*1.5</f>
        <v>21.532499999999999</v>
      </c>
      <c r="G103" s="17"/>
      <c r="H103" s="17">
        <f>C103/100*0.1</f>
        <v>1.4355000000000002</v>
      </c>
      <c r="I103" s="17">
        <f>C103/100*3.6</f>
        <v>51.678000000000004</v>
      </c>
      <c r="J103" s="17">
        <f>C103/100*40</f>
        <v>574.20000000000005</v>
      </c>
      <c r="K103" s="17">
        <f>C103/100*0.06</f>
        <v>0.86129999999999995</v>
      </c>
      <c r="L103" s="318">
        <v>1650</v>
      </c>
      <c r="M103" s="15">
        <v>18</v>
      </c>
      <c r="N103" s="16">
        <f t="shared" si="7"/>
        <v>29700</v>
      </c>
      <c r="O103" s="314"/>
      <c r="Q103" s="3"/>
      <c r="R103" s="3"/>
      <c r="S103" s="4"/>
    </row>
    <row r="104" spans="1:23" s="2" customFormat="1" ht="17.399999999999999" customHeight="1">
      <c r="A104" s="8">
        <v>10</v>
      </c>
      <c r="B104" s="5" t="s">
        <v>5</v>
      </c>
      <c r="C104" s="12">
        <f>L104/100*98.5</f>
        <v>305.35000000000002</v>
      </c>
      <c r="D104" s="13">
        <f>C104/100*39</f>
        <v>119.0865</v>
      </c>
      <c r="E104" s="17"/>
      <c r="F104" s="17">
        <f>C104/100*1.5</f>
        <v>4.5802500000000004</v>
      </c>
      <c r="G104" s="17"/>
      <c r="H104" s="17">
        <f>C104/100*0.2</f>
        <v>0.61070000000000002</v>
      </c>
      <c r="I104" s="17">
        <f>C104/100*7.8</f>
        <v>23.817299999999999</v>
      </c>
      <c r="J104" s="17">
        <f>C104/100*43</f>
        <v>131.3005</v>
      </c>
      <c r="K104" s="17">
        <f>C104/100*0.06</f>
        <v>0.18321000000000001</v>
      </c>
      <c r="L104" s="318">
        <v>310</v>
      </c>
      <c r="M104" s="15">
        <v>17</v>
      </c>
      <c r="N104" s="16">
        <f t="shared" si="7"/>
        <v>5270</v>
      </c>
      <c r="O104" s="314"/>
      <c r="Q104" s="3"/>
      <c r="R104" s="3"/>
      <c r="S104" s="4"/>
    </row>
    <row r="105" spans="1:23" s="2" customFormat="1" ht="17.399999999999999" customHeight="1">
      <c r="A105" s="8">
        <v>11</v>
      </c>
      <c r="B105" s="5" t="s">
        <v>136</v>
      </c>
      <c r="C105" s="12">
        <f>L105/100*81</f>
        <v>1085.4000000000001</v>
      </c>
      <c r="D105" s="13">
        <f>C105/100*17</f>
        <v>184.51800000000003</v>
      </c>
      <c r="E105" s="17"/>
      <c r="F105" s="17">
        <f>C105/100*0.9</f>
        <v>9.7686000000000011</v>
      </c>
      <c r="G105" s="17"/>
      <c r="H105" s="17">
        <f>C105/100*0.2</f>
        <v>2.1708000000000003</v>
      </c>
      <c r="I105" s="17">
        <f>C105/100*2.8</f>
        <v>30.391200000000001</v>
      </c>
      <c r="J105" s="14">
        <f>C105/100*28</f>
        <v>303.91200000000003</v>
      </c>
      <c r="K105" s="22">
        <f>C105/100*0.04</f>
        <v>0.43416000000000005</v>
      </c>
      <c r="L105" s="318">
        <v>1340</v>
      </c>
      <c r="M105" s="20">
        <v>20</v>
      </c>
      <c r="N105" s="16">
        <f t="shared" si="7"/>
        <v>26800</v>
      </c>
      <c r="O105" s="314"/>
      <c r="P105" s="3"/>
    </row>
    <row r="106" spans="1:23" s="2" customFormat="1" ht="17.399999999999999" customHeight="1">
      <c r="A106" s="8">
        <v>12</v>
      </c>
      <c r="B106" s="9" t="s">
        <v>111</v>
      </c>
      <c r="C106" s="12"/>
      <c r="D106" s="13"/>
      <c r="E106" s="14"/>
      <c r="F106" s="14"/>
      <c r="G106" s="14"/>
      <c r="H106" s="14"/>
      <c r="I106" s="14"/>
      <c r="J106" s="14"/>
      <c r="K106" s="14"/>
      <c r="L106" s="15"/>
      <c r="M106" s="15"/>
      <c r="N106" s="16">
        <v>4500</v>
      </c>
      <c r="O106" s="314"/>
    </row>
    <row r="107" spans="1:23" s="2" customFormat="1" ht="17.399999999999999" customHeight="1">
      <c r="A107" s="23" t="s">
        <v>104</v>
      </c>
      <c r="B107" s="24"/>
      <c r="C107" s="25"/>
      <c r="D107" s="94">
        <f>SUM(D96:D106)</f>
        <v>18778.785500000005</v>
      </c>
      <c r="E107" s="31"/>
      <c r="F107" s="31"/>
      <c r="G107" s="31"/>
      <c r="H107" s="31"/>
      <c r="I107" s="31"/>
      <c r="J107" s="31"/>
      <c r="K107" s="31"/>
      <c r="L107" s="32"/>
      <c r="M107" s="32"/>
      <c r="N107" s="292">
        <f>SUM(N95:N106)</f>
        <v>668984</v>
      </c>
      <c r="O107" s="314"/>
    </row>
    <row r="108" spans="1:23" ht="17.399999999999999" customHeight="1">
      <c r="A108" s="23" t="s">
        <v>43</v>
      </c>
      <c r="B108" s="24"/>
      <c r="C108" s="33"/>
      <c r="D108" s="34">
        <f>D107/C89</f>
        <v>307.84894262295091</v>
      </c>
      <c r="E108" s="34"/>
      <c r="F108" s="34"/>
      <c r="G108" s="34"/>
      <c r="H108" s="34"/>
      <c r="I108" s="34"/>
      <c r="J108" s="34"/>
      <c r="K108" s="34"/>
      <c r="L108" s="35"/>
      <c r="M108" s="35"/>
      <c r="N108" s="293"/>
      <c r="O108" s="345"/>
      <c r="P108" s="2"/>
      <c r="Q108" s="2"/>
      <c r="R108" s="2"/>
      <c r="S108" s="2"/>
      <c r="T108" s="2"/>
      <c r="U108" s="2"/>
      <c r="V108" s="2"/>
      <c r="W108" s="2"/>
    </row>
    <row r="109" spans="1:23" ht="17.399999999999999" customHeight="1">
      <c r="A109" s="283" t="s">
        <v>52</v>
      </c>
      <c r="B109" s="193"/>
      <c r="C109" s="319" t="s">
        <v>133</v>
      </c>
      <c r="D109" s="29" t="s">
        <v>38</v>
      </c>
      <c r="E109" s="34"/>
      <c r="F109" s="34"/>
      <c r="G109" s="34"/>
      <c r="H109" s="34"/>
      <c r="I109" s="34"/>
      <c r="J109" s="36"/>
      <c r="K109" s="36"/>
      <c r="L109" s="35"/>
      <c r="M109" s="35"/>
      <c r="N109" s="153"/>
      <c r="O109" s="4"/>
      <c r="P109" s="2"/>
      <c r="Q109" s="2"/>
      <c r="R109" s="2"/>
      <c r="S109" s="2"/>
      <c r="T109" s="2"/>
      <c r="U109" s="2"/>
      <c r="V109" s="2"/>
      <c r="W109" s="2"/>
    </row>
    <row r="110" spans="1:23" ht="17.399999999999999" customHeight="1">
      <c r="A110" s="194"/>
      <c r="B110" s="195"/>
      <c r="C110" s="62" t="s">
        <v>58</v>
      </c>
      <c r="D110" s="29">
        <f>D108*100/930</f>
        <v>33.102036841177522</v>
      </c>
      <c r="E110" s="34"/>
      <c r="F110" s="34"/>
      <c r="G110" s="34"/>
      <c r="H110" s="34"/>
      <c r="I110" s="34"/>
      <c r="J110" s="36"/>
      <c r="K110" s="36"/>
      <c r="L110" s="35"/>
      <c r="M110" s="35"/>
      <c r="N110" s="153"/>
      <c r="O110" s="4"/>
      <c r="P110" s="2"/>
      <c r="Q110" s="2"/>
      <c r="R110" s="2"/>
      <c r="S110" s="2"/>
      <c r="T110" s="2"/>
      <c r="U110" s="2"/>
      <c r="V110" s="2"/>
      <c r="W110" s="2"/>
    </row>
    <row r="111" spans="1:23" s="2" customFormat="1" ht="17.399999999999999" customHeight="1">
      <c r="A111" s="224" t="s">
        <v>45</v>
      </c>
      <c r="B111" s="224"/>
      <c r="C111" s="45"/>
      <c r="D111" s="46"/>
      <c r="E111" s="47"/>
      <c r="F111" s="47"/>
      <c r="G111" s="47"/>
      <c r="H111" s="47"/>
      <c r="I111" s="47"/>
      <c r="J111" s="47"/>
      <c r="K111" s="47"/>
      <c r="L111" s="48"/>
      <c r="M111" s="48"/>
      <c r="N111" s="51"/>
      <c r="O111" s="314"/>
    </row>
    <row r="112" spans="1:23" s="2" customFormat="1" ht="17.399999999999999" customHeight="1">
      <c r="A112" s="8">
        <v>1</v>
      </c>
      <c r="B112" s="9" t="s">
        <v>2</v>
      </c>
      <c r="C112" s="12">
        <f>L112/100*100</f>
        <v>70</v>
      </c>
      <c r="D112" s="13">
        <f>C112/100*60</f>
        <v>42</v>
      </c>
      <c r="E112" s="14">
        <f>C112/100*15</f>
        <v>10.5</v>
      </c>
      <c r="F112" s="14"/>
      <c r="G112" s="14"/>
      <c r="H112" s="14"/>
      <c r="I112" s="14"/>
      <c r="J112" s="22">
        <f>C112/100*387</f>
        <v>270.89999999999998</v>
      </c>
      <c r="K112" s="22">
        <f>C112/100*0.09</f>
        <v>6.3E-2</v>
      </c>
      <c r="L112" s="111">
        <v>70</v>
      </c>
      <c r="M112" s="20">
        <v>20</v>
      </c>
      <c r="N112" s="113">
        <f>L112*M112</f>
        <v>1400</v>
      </c>
      <c r="O112" s="314"/>
    </row>
    <row r="113" spans="1:23" s="2" customFormat="1" ht="17.399999999999999" customHeight="1">
      <c r="A113" s="8">
        <v>2</v>
      </c>
      <c r="B113" s="9" t="s">
        <v>121</v>
      </c>
      <c r="C113" s="12">
        <f>L113/100*100</f>
        <v>190</v>
      </c>
      <c r="D113" s="13">
        <f>C113/100*899</f>
        <v>1708.1</v>
      </c>
      <c r="E113" s="14"/>
      <c r="F113" s="14"/>
      <c r="G113" s="14">
        <f>C113/100*100</f>
        <v>190</v>
      </c>
      <c r="H113" s="14"/>
      <c r="I113" s="14"/>
      <c r="J113" s="22"/>
      <c r="K113" s="22"/>
      <c r="L113" s="111">
        <v>190</v>
      </c>
      <c r="M113" s="110">
        <v>68</v>
      </c>
      <c r="N113" s="113">
        <f t="shared" ref="N113:N114" si="8">L113*M113</f>
        <v>12920</v>
      </c>
      <c r="O113" s="314"/>
    </row>
    <row r="114" spans="1:23" s="2" customFormat="1" ht="17.399999999999999" customHeight="1">
      <c r="A114" s="8">
        <v>3</v>
      </c>
      <c r="B114" s="129" t="s">
        <v>126</v>
      </c>
      <c r="C114" s="12">
        <f t="shared" ref="C114" si="9">L114/100*100</f>
        <v>150</v>
      </c>
      <c r="D114" s="65">
        <f>C114/100*900</f>
        <v>1350</v>
      </c>
      <c r="E114" s="14"/>
      <c r="F114" s="14"/>
      <c r="G114" s="91"/>
      <c r="H114" s="14">
        <f>C114/100*100</f>
        <v>150</v>
      </c>
      <c r="I114" s="14"/>
      <c r="J114" s="14"/>
      <c r="K114" s="14"/>
      <c r="L114" s="111">
        <v>150</v>
      </c>
      <c r="M114" s="65">
        <v>63.5</v>
      </c>
      <c r="N114" s="93">
        <f t="shared" si="8"/>
        <v>9525</v>
      </c>
      <c r="O114" s="315"/>
    </row>
    <row r="115" spans="1:23" s="2" customFormat="1" ht="17.399999999999999" customHeight="1">
      <c r="A115" s="8">
        <v>4</v>
      </c>
      <c r="B115" s="5" t="s">
        <v>1</v>
      </c>
      <c r="C115" s="12">
        <f>L115/100*100</f>
        <v>2562</v>
      </c>
      <c r="D115" s="13">
        <f>C115/100*344</f>
        <v>8813.2800000000007</v>
      </c>
      <c r="E115" s="14"/>
      <c r="F115" s="14">
        <f>C115/100*7.9</f>
        <v>202.39800000000002</v>
      </c>
      <c r="G115" s="14"/>
      <c r="H115" s="14">
        <f>C115/100*1</f>
        <v>25.62</v>
      </c>
      <c r="I115" s="91">
        <f>C115/100*73.6</f>
        <v>1885.6319999999998</v>
      </c>
      <c r="J115" s="22">
        <f>C115/100*30</f>
        <v>768.6</v>
      </c>
      <c r="K115" s="22">
        <f>C115/100*0.1</f>
        <v>2.5620000000000003</v>
      </c>
      <c r="L115" s="111">
        <v>2562</v>
      </c>
      <c r="M115" s="20">
        <v>18</v>
      </c>
      <c r="N115" s="113">
        <f t="shared" ref="N115:N120" si="10">L115*M115</f>
        <v>46116</v>
      </c>
      <c r="O115" s="314"/>
    </row>
    <row r="116" spans="1:23" s="2" customFormat="1" ht="17.399999999999999" customHeight="1">
      <c r="A116" s="8">
        <v>5</v>
      </c>
      <c r="B116" s="9" t="s">
        <v>66</v>
      </c>
      <c r="C116" s="12">
        <f>L116/100*98</f>
        <v>1323</v>
      </c>
      <c r="D116" s="13">
        <f>C116/100*139</f>
        <v>1838.97</v>
      </c>
      <c r="E116" s="14">
        <f>C116/100*19</f>
        <v>251.37</v>
      </c>
      <c r="F116" s="14"/>
      <c r="G116" s="14">
        <f>C116/100*7</f>
        <v>92.61</v>
      </c>
      <c r="H116" s="14"/>
      <c r="I116" s="14"/>
      <c r="J116" s="22">
        <f>C116/100*7</f>
        <v>92.61</v>
      </c>
      <c r="K116" s="22">
        <f>C116/100*0.9</f>
        <v>11.907</v>
      </c>
      <c r="L116" s="111">
        <v>1350</v>
      </c>
      <c r="M116" s="42">
        <v>137</v>
      </c>
      <c r="N116" s="114">
        <f t="shared" si="10"/>
        <v>184950</v>
      </c>
      <c r="O116" s="314"/>
    </row>
    <row r="117" spans="1:23" s="2" customFormat="1" ht="17.399999999999999" customHeight="1">
      <c r="A117" s="8">
        <v>6</v>
      </c>
      <c r="B117" s="5" t="s">
        <v>63</v>
      </c>
      <c r="C117" s="12">
        <f>L117/100*86</f>
        <v>550.4</v>
      </c>
      <c r="D117" s="13">
        <f>C117/100*166</f>
        <v>913.66399999999987</v>
      </c>
      <c r="E117" s="14">
        <f>C117/100*14.8</f>
        <v>81.459199999999996</v>
      </c>
      <c r="F117" s="14"/>
      <c r="G117" s="14">
        <f>C117/100*11.6</f>
        <v>63.846399999999996</v>
      </c>
      <c r="H117" s="14"/>
      <c r="I117" s="14">
        <f>C117/100*0.5</f>
        <v>2.7519999999999998</v>
      </c>
      <c r="J117" s="22">
        <f>C117/100*55</f>
        <v>302.71999999999997</v>
      </c>
      <c r="K117" s="22">
        <f>C117/100*0.16</f>
        <v>0.88063999999999998</v>
      </c>
      <c r="L117" s="111">
        <v>640</v>
      </c>
      <c r="M117" s="20">
        <v>62</v>
      </c>
      <c r="N117" s="113">
        <f t="shared" si="10"/>
        <v>39680</v>
      </c>
      <c r="O117" s="314"/>
      <c r="Q117" s="3"/>
      <c r="R117" s="3"/>
      <c r="S117" s="4"/>
    </row>
    <row r="118" spans="1:23" s="2" customFormat="1" ht="17.399999999999999" customHeight="1">
      <c r="A118" s="8">
        <v>7</v>
      </c>
      <c r="B118" s="5" t="s">
        <v>80</v>
      </c>
      <c r="C118" s="12">
        <f>L118/100*82</f>
        <v>1672.8</v>
      </c>
      <c r="D118" s="13">
        <f>C118/100*27</f>
        <v>451.65599999999995</v>
      </c>
      <c r="E118" s="17"/>
      <c r="F118" s="17">
        <f>C118/100*0.3</f>
        <v>5.0183999999999989</v>
      </c>
      <c r="G118" s="17"/>
      <c r="H118" s="17">
        <f>C118/100*0.1</f>
        <v>1.6727999999999998</v>
      </c>
      <c r="I118" s="17">
        <f>C118/100*6.1</f>
        <v>102.04079999999998</v>
      </c>
      <c r="J118" s="63">
        <f>C118/100*24</f>
        <v>401.47199999999998</v>
      </c>
      <c r="K118" s="21">
        <f>C118/100*0.03</f>
        <v>0.50183999999999995</v>
      </c>
      <c r="L118" s="317">
        <v>2040</v>
      </c>
      <c r="M118" s="15">
        <v>22</v>
      </c>
      <c r="N118" s="113">
        <f t="shared" si="10"/>
        <v>44880</v>
      </c>
      <c r="O118" s="314"/>
      <c r="Q118" s="3"/>
      <c r="R118" s="3"/>
      <c r="S118" s="4"/>
    </row>
    <row r="119" spans="1:23" s="2" customFormat="1" ht="17.399999999999999" customHeight="1">
      <c r="A119" s="8">
        <v>8</v>
      </c>
      <c r="B119" s="9" t="s">
        <v>92</v>
      </c>
      <c r="C119" s="12">
        <f>L119/100*43</f>
        <v>176.29999999999998</v>
      </c>
      <c r="D119" s="13">
        <f>C119/100*83</f>
        <v>146.32899999999998</v>
      </c>
      <c r="E119" s="14">
        <f>C119/100*7.7</f>
        <v>13.575099999999999</v>
      </c>
      <c r="F119" s="14"/>
      <c r="G119" s="14">
        <f>C119/100*5.5</f>
        <v>9.6965000000000003</v>
      </c>
      <c r="H119" s="14"/>
      <c r="I119" s="14"/>
      <c r="J119" s="22"/>
      <c r="K119" s="22"/>
      <c r="L119" s="111">
        <v>410</v>
      </c>
      <c r="M119" s="20">
        <v>137</v>
      </c>
      <c r="N119" s="113">
        <f t="shared" si="10"/>
        <v>56170</v>
      </c>
      <c r="O119" s="314"/>
    </row>
    <row r="120" spans="1:23" s="2" customFormat="1" ht="17.399999999999999" customHeight="1">
      <c r="A120" s="8">
        <v>9</v>
      </c>
      <c r="B120" s="5" t="s">
        <v>117</v>
      </c>
      <c r="C120" s="12">
        <f>L120/100*100</f>
        <v>50</v>
      </c>
      <c r="D120" s="13">
        <f>C120/100*247</f>
        <v>123.5</v>
      </c>
      <c r="E120" s="17"/>
      <c r="F120" s="17">
        <f>C120/100*17.5</f>
        <v>8.75</v>
      </c>
      <c r="G120" s="17"/>
      <c r="H120" s="17">
        <f>C120/100*1.6</f>
        <v>0.8</v>
      </c>
      <c r="I120" s="17">
        <f>C120/100*39.2</f>
        <v>19.600000000000001</v>
      </c>
      <c r="J120" s="21"/>
      <c r="K120" s="21"/>
      <c r="L120" s="317">
        <v>50</v>
      </c>
      <c r="M120" s="20">
        <v>50</v>
      </c>
      <c r="N120" s="113">
        <f t="shared" si="10"/>
        <v>2500</v>
      </c>
      <c r="O120" s="314"/>
      <c r="Q120" s="3"/>
      <c r="R120" s="3"/>
      <c r="S120" s="4"/>
      <c r="T120" s="3"/>
    </row>
    <row r="121" spans="1:23" s="2" customFormat="1" ht="17.399999999999999" customHeight="1">
      <c r="A121" s="8">
        <v>10</v>
      </c>
      <c r="B121" s="9" t="s">
        <v>111</v>
      </c>
      <c r="C121" s="12"/>
      <c r="D121" s="13"/>
      <c r="E121" s="14"/>
      <c r="F121" s="14"/>
      <c r="G121" s="14"/>
      <c r="H121" s="14"/>
      <c r="I121" s="14"/>
      <c r="J121" s="14"/>
      <c r="K121" s="14"/>
      <c r="L121" s="15"/>
      <c r="M121" s="15"/>
      <c r="N121" s="16">
        <v>4500</v>
      </c>
      <c r="O121" s="314"/>
    </row>
    <row r="122" spans="1:23" s="2" customFormat="1" ht="17.399999999999999" customHeight="1">
      <c r="A122" s="23" t="s">
        <v>105</v>
      </c>
      <c r="B122" s="24"/>
      <c r="C122" s="25"/>
      <c r="D122" s="94">
        <f>SUM(D112:D121)</f>
        <v>15387.499000000002</v>
      </c>
      <c r="E122" s="31"/>
      <c r="F122" s="31"/>
      <c r="G122" s="31"/>
      <c r="H122" s="31"/>
      <c r="I122" s="31"/>
      <c r="J122" s="31"/>
      <c r="K122" s="31"/>
      <c r="L122" s="32"/>
      <c r="M122" s="32"/>
      <c r="N122" s="292">
        <f>SUM(N112:N121)</f>
        <v>402641</v>
      </c>
      <c r="O122" s="314"/>
    </row>
    <row r="123" spans="1:23" ht="17.399999999999999" customHeight="1">
      <c r="A123" s="23" t="s">
        <v>46</v>
      </c>
      <c r="B123" s="24"/>
      <c r="C123" s="52"/>
      <c r="D123" s="36">
        <f>D122/C89</f>
        <v>252.25408196721315</v>
      </c>
      <c r="E123" s="36"/>
      <c r="F123" s="36"/>
      <c r="G123" s="36"/>
      <c r="H123" s="36"/>
      <c r="I123" s="36"/>
      <c r="J123" s="36"/>
      <c r="K123" s="36"/>
      <c r="L123" s="53"/>
      <c r="M123" s="35"/>
      <c r="N123" s="293"/>
      <c r="O123" s="345"/>
      <c r="P123" s="2"/>
      <c r="Q123" s="2"/>
      <c r="R123" s="2"/>
      <c r="S123" s="2"/>
      <c r="T123" s="2"/>
      <c r="U123" s="2"/>
      <c r="V123" s="2"/>
      <c r="W123" s="2"/>
    </row>
    <row r="124" spans="1:23" ht="17.399999999999999" customHeight="1">
      <c r="A124" s="283" t="s">
        <v>53</v>
      </c>
      <c r="B124" s="193"/>
      <c r="C124" s="319" t="s">
        <v>133</v>
      </c>
      <c r="D124" s="29" t="s">
        <v>48</v>
      </c>
      <c r="E124" s="34"/>
      <c r="F124" s="34"/>
      <c r="G124" s="34"/>
      <c r="H124" s="34"/>
      <c r="I124" s="34"/>
      <c r="J124" s="36"/>
      <c r="K124" s="36"/>
      <c r="L124" s="35"/>
      <c r="M124" s="35"/>
      <c r="N124" s="153"/>
      <c r="O124" s="345"/>
      <c r="P124" s="2"/>
      <c r="Q124" s="2"/>
      <c r="R124" s="2"/>
      <c r="S124" s="2"/>
      <c r="T124" s="2"/>
      <c r="U124" s="2"/>
      <c r="V124" s="2"/>
      <c r="W124" s="2"/>
    </row>
    <row r="125" spans="1:23" ht="17.399999999999999" customHeight="1">
      <c r="A125" s="194"/>
      <c r="B125" s="195"/>
      <c r="C125" s="62" t="s">
        <v>58</v>
      </c>
      <c r="D125" s="29">
        <f>D123*100/930</f>
        <v>27.124094835184213</v>
      </c>
      <c r="E125" s="34"/>
      <c r="F125" s="34"/>
      <c r="G125" s="34"/>
      <c r="H125" s="34"/>
      <c r="I125" s="34"/>
      <c r="J125" s="36"/>
      <c r="K125" s="36"/>
      <c r="L125" s="35"/>
      <c r="M125" s="35"/>
      <c r="N125" s="153"/>
      <c r="O125" s="345"/>
      <c r="P125" s="2"/>
      <c r="Q125" s="2"/>
      <c r="R125" s="2"/>
      <c r="S125" s="2"/>
      <c r="T125" s="2"/>
      <c r="U125" s="2"/>
      <c r="V125" s="2"/>
      <c r="W125" s="2"/>
    </row>
    <row r="126" spans="1:23" ht="17.399999999999999" customHeight="1">
      <c r="A126" s="224" t="s">
        <v>39</v>
      </c>
      <c r="B126" s="224"/>
      <c r="C126" s="54"/>
      <c r="D126" s="55"/>
      <c r="E126" s="55"/>
      <c r="F126" s="55"/>
      <c r="G126" s="55"/>
      <c r="H126" s="55"/>
      <c r="I126" s="55"/>
      <c r="J126" s="55"/>
      <c r="K126" s="55"/>
      <c r="L126" s="56"/>
      <c r="M126" s="56"/>
      <c r="N126" s="57"/>
      <c r="O126" s="345"/>
      <c r="P126" s="2"/>
      <c r="Q126" s="2"/>
      <c r="R126" s="2"/>
      <c r="S126" s="2"/>
      <c r="T126" s="2"/>
      <c r="U126" s="2"/>
      <c r="V126" s="2"/>
      <c r="W126" s="2"/>
    </row>
    <row r="127" spans="1:23" s="2" customFormat="1" ht="17.399999999999999" customHeight="1">
      <c r="A127" s="119">
        <v>1</v>
      </c>
      <c r="B127" s="141" t="s">
        <v>131</v>
      </c>
      <c r="C127" s="25">
        <f>L127/100*100</f>
        <v>1040</v>
      </c>
      <c r="D127" s="120">
        <f>C127/100*487</f>
        <v>5064.8</v>
      </c>
      <c r="E127" s="27"/>
      <c r="F127" s="27">
        <f>C127/100*19.5</f>
        <v>202.8</v>
      </c>
      <c r="G127" s="27"/>
      <c r="H127" s="27">
        <f>C127/100*23.2</f>
        <v>241.28</v>
      </c>
      <c r="I127" s="27">
        <f>C127/100*46</f>
        <v>478.40000000000003</v>
      </c>
      <c r="J127" s="121">
        <f>C127/100*680</f>
        <v>7072</v>
      </c>
      <c r="K127" s="27">
        <f>C127/100*0.55</f>
        <v>5.7200000000000006</v>
      </c>
      <c r="L127" s="28">
        <v>1040</v>
      </c>
      <c r="M127" s="142">
        <v>260</v>
      </c>
      <c r="N127" s="122">
        <f t="shared" ref="N127" si="11">L127*M127</f>
        <v>270400</v>
      </c>
      <c r="O127" s="314"/>
      <c r="P127" s="3"/>
    </row>
    <row r="128" spans="1:23" ht="19.2" customHeight="1">
      <c r="A128" s="211" t="s">
        <v>0</v>
      </c>
      <c r="B128" s="214" t="s">
        <v>19</v>
      </c>
      <c r="C128" s="217" t="s">
        <v>8</v>
      </c>
      <c r="D128" s="217" t="s">
        <v>9</v>
      </c>
      <c r="E128" s="220" t="s">
        <v>11</v>
      </c>
      <c r="F128" s="221"/>
      <c r="G128" s="220" t="s">
        <v>13</v>
      </c>
      <c r="H128" s="221"/>
      <c r="I128" s="208" t="s">
        <v>16</v>
      </c>
      <c r="J128" s="208" t="s">
        <v>32</v>
      </c>
      <c r="K128" s="208" t="s">
        <v>33</v>
      </c>
      <c r="L128" s="208" t="s">
        <v>17</v>
      </c>
      <c r="M128" s="208" t="s">
        <v>34</v>
      </c>
      <c r="N128" s="211" t="s">
        <v>18</v>
      </c>
      <c r="O128" s="313"/>
    </row>
    <row r="129" spans="1:23" ht="19.2" customHeight="1">
      <c r="A129" s="212"/>
      <c r="B129" s="215"/>
      <c r="C129" s="218"/>
      <c r="D129" s="218"/>
      <c r="E129" s="222"/>
      <c r="F129" s="223"/>
      <c r="G129" s="222"/>
      <c r="H129" s="223"/>
      <c r="I129" s="209"/>
      <c r="J129" s="209"/>
      <c r="K129" s="209"/>
      <c r="L129" s="209"/>
      <c r="M129" s="209"/>
      <c r="N129" s="212"/>
      <c r="O129" s="152"/>
    </row>
    <row r="130" spans="1:23" ht="19.2" customHeight="1">
      <c r="A130" s="212"/>
      <c r="B130" s="215"/>
      <c r="C130" s="218"/>
      <c r="D130" s="218"/>
      <c r="E130" s="208" t="s">
        <v>10</v>
      </c>
      <c r="F130" s="208" t="s">
        <v>12</v>
      </c>
      <c r="G130" s="208" t="s">
        <v>14</v>
      </c>
      <c r="H130" s="208" t="s">
        <v>15</v>
      </c>
      <c r="I130" s="209"/>
      <c r="J130" s="209"/>
      <c r="K130" s="209"/>
      <c r="L130" s="209"/>
      <c r="M130" s="209"/>
      <c r="N130" s="212"/>
      <c r="O130" s="152"/>
    </row>
    <row r="131" spans="1:23" ht="19.2" customHeight="1">
      <c r="A131" s="213"/>
      <c r="B131" s="216"/>
      <c r="C131" s="219"/>
      <c r="D131" s="219"/>
      <c r="E131" s="210"/>
      <c r="F131" s="210"/>
      <c r="G131" s="210"/>
      <c r="H131" s="210"/>
      <c r="I131" s="210"/>
      <c r="J131" s="210"/>
      <c r="K131" s="210"/>
      <c r="L131" s="210"/>
      <c r="M131" s="210"/>
      <c r="N131" s="213"/>
      <c r="O131" s="152"/>
    </row>
    <row r="132" spans="1:23" s="2" customFormat="1" ht="21" customHeight="1">
      <c r="A132" s="23" t="s">
        <v>98</v>
      </c>
      <c r="B132" s="24"/>
      <c r="C132" s="25"/>
      <c r="D132" s="26">
        <f>SUM(D126:D127)</f>
        <v>5064.8</v>
      </c>
      <c r="E132" s="31"/>
      <c r="F132" s="31"/>
      <c r="G132" s="31"/>
      <c r="H132" s="31"/>
      <c r="I132" s="31"/>
      <c r="J132" s="31"/>
      <c r="K132" s="31"/>
      <c r="L132" s="32"/>
      <c r="M132" s="58"/>
      <c r="N132" s="292">
        <f>SUM(N126:N127)</f>
        <v>270400</v>
      </c>
      <c r="O132" s="314"/>
    </row>
    <row r="133" spans="1:23" ht="21" customHeight="1">
      <c r="A133" s="23" t="s">
        <v>7</v>
      </c>
      <c r="B133" s="24"/>
      <c r="C133" s="33"/>
      <c r="D133" s="34">
        <f>D132/C89</f>
        <v>83.029508196721309</v>
      </c>
      <c r="E133" s="34"/>
      <c r="F133" s="34"/>
      <c r="G133" s="34"/>
      <c r="H133" s="34"/>
      <c r="I133" s="34"/>
      <c r="J133" s="34"/>
      <c r="K133" s="34"/>
      <c r="L133" s="35"/>
      <c r="M133" s="18"/>
      <c r="N133" s="293"/>
      <c r="O133" s="345"/>
      <c r="P133" s="2"/>
      <c r="Q133" s="2"/>
      <c r="R133" s="2"/>
      <c r="S133" s="2"/>
      <c r="T133" s="2"/>
      <c r="U133" s="2"/>
      <c r="V133" s="2"/>
      <c r="W133" s="2"/>
    </row>
    <row r="134" spans="1:23" ht="21" customHeight="1">
      <c r="A134" s="283" t="s">
        <v>51</v>
      </c>
      <c r="B134" s="193"/>
      <c r="C134" s="319" t="s">
        <v>133</v>
      </c>
      <c r="D134" s="29" t="s">
        <v>49</v>
      </c>
      <c r="E134" s="34"/>
      <c r="F134" s="34"/>
      <c r="G134" s="34"/>
      <c r="H134" s="34"/>
      <c r="I134" s="34"/>
      <c r="J134" s="36"/>
      <c r="K134" s="36"/>
      <c r="L134" s="35"/>
      <c r="M134" s="35"/>
      <c r="N134" s="153"/>
      <c r="O134" s="4"/>
      <c r="P134" s="2"/>
      <c r="Q134" s="2"/>
      <c r="R134" s="2"/>
      <c r="S134" s="2"/>
      <c r="T134" s="2"/>
      <c r="U134" s="2"/>
      <c r="V134" s="2"/>
      <c r="W134" s="2"/>
    </row>
    <row r="135" spans="1:23" ht="21" customHeight="1">
      <c r="A135" s="194"/>
      <c r="B135" s="195"/>
      <c r="C135" s="62" t="s">
        <v>58</v>
      </c>
      <c r="D135" s="29">
        <f>D133*100/930</f>
        <v>8.927904107174335</v>
      </c>
      <c r="E135" s="34"/>
      <c r="F135" s="34"/>
      <c r="G135" s="34"/>
      <c r="H135" s="34"/>
      <c r="I135" s="34"/>
      <c r="J135" s="36"/>
      <c r="K135" s="36"/>
      <c r="L135" s="35"/>
      <c r="M135" s="35"/>
      <c r="N135" s="153"/>
      <c r="O135" s="4"/>
      <c r="P135" s="2"/>
      <c r="Q135" s="2"/>
      <c r="R135" s="2"/>
      <c r="S135" s="2"/>
      <c r="T135" s="2"/>
      <c r="U135" s="2"/>
      <c r="V135" s="2"/>
      <c r="W135" s="2"/>
    </row>
    <row r="136" spans="1:23" ht="21" customHeight="1">
      <c r="A136" s="196" t="s">
        <v>99</v>
      </c>
      <c r="B136" s="197"/>
      <c r="C136" s="200"/>
      <c r="D136" s="304">
        <f>D107+D122+D132</f>
        <v>39231.084500000012</v>
      </c>
      <c r="E136" s="6">
        <f>SUM(E95:E127)</f>
        <v>976.67510000000004</v>
      </c>
      <c r="F136" s="6">
        <f>SUM(F95:F127)</f>
        <v>670.81475</v>
      </c>
      <c r="G136" s="96">
        <f>SUM(G95:G126)</f>
        <v>1068.2845</v>
      </c>
      <c r="H136" s="6">
        <f>SUM(H95:H127)</f>
        <v>450.61980000000005</v>
      </c>
      <c r="I136" s="256">
        <f>SUM(I95:I127)</f>
        <v>4593.1392999999989</v>
      </c>
      <c r="J136" s="256">
        <f>SUM(J95:J127)</f>
        <v>13177.3325</v>
      </c>
      <c r="K136" s="204">
        <f>SUM(K95:K127)</f>
        <v>32.790150000000004</v>
      </c>
      <c r="L136" s="171"/>
      <c r="M136" s="171"/>
      <c r="N136" s="172">
        <f>N107+N122+N132</f>
        <v>1342025</v>
      </c>
      <c r="P136" s="2"/>
      <c r="Q136" s="2"/>
      <c r="R136" s="2"/>
      <c r="S136" s="2"/>
      <c r="T136" s="2"/>
      <c r="U136" s="2"/>
      <c r="V136" s="2"/>
    </row>
    <row r="137" spans="1:23" ht="21" customHeight="1">
      <c r="A137" s="198"/>
      <c r="B137" s="199"/>
      <c r="C137" s="201"/>
      <c r="D137" s="305"/>
      <c r="E137" s="173">
        <f>E136+F136</f>
        <v>1647.4898499999999</v>
      </c>
      <c r="F137" s="174"/>
      <c r="G137" s="302">
        <f>G136+H136</f>
        <v>1518.9043000000001</v>
      </c>
      <c r="H137" s="303"/>
      <c r="I137" s="257"/>
      <c r="J137" s="257"/>
      <c r="K137" s="205"/>
      <c r="L137" s="171"/>
      <c r="M137" s="171"/>
      <c r="N137" s="172"/>
      <c r="U137" s="11"/>
      <c r="V137" s="11"/>
    </row>
    <row r="138" spans="1:23" ht="21" customHeight="1">
      <c r="A138" s="178" t="s">
        <v>75</v>
      </c>
      <c r="B138" s="179"/>
      <c r="C138" s="180"/>
      <c r="D138" s="103">
        <f>D136/C89</f>
        <v>643.13253278688546</v>
      </c>
      <c r="E138" s="108">
        <f>E136/C89</f>
        <v>16.011067213114753</v>
      </c>
      <c r="F138" s="107">
        <f>F136/C89</f>
        <v>10.996963114754099</v>
      </c>
      <c r="G138" s="108">
        <f>G136/C89</f>
        <v>17.512860655737704</v>
      </c>
      <c r="H138" s="107">
        <f>H136/C89</f>
        <v>7.3872098360655745</v>
      </c>
      <c r="I138" s="184">
        <f>I136/C89</f>
        <v>75.297365573770477</v>
      </c>
      <c r="J138" s="184">
        <f>J136/C89</f>
        <v>216.02184426229508</v>
      </c>
      <c r="K138" s="184">
        <f>K136/C89</f>
        <v>0.53754344262295084</v>
      </c>
      <c r="L138" s="171"/>
      <c r="M138" s="171"/>
      <c r="N138" s="172"/>
      <c r="U138" s="11"/>
      <c r="V138" s="11"/>
    </row>
    <row r="139" spans="1:23" ht="21" customHeight="1">
      <c r="A139" s="181"/>
      <c r="B139" s="182"/>
      <c r="C139" s="183"/>
      <c r="D139" s="97"/>
      <c r="E139" s="296">
        <f>E138+F138</f>
        <v>27.008030327868852</v>
      </c>
      <c r="F139" s="295"/>
      <c r="G139" s="296">
        <f>G138+H138</f>
        <v>24.900070491803277</v>
      </c>
      <c r="H139" s="295"/>
      <c r="I139" s="185"/>
      <c r="J139" s="185"/>
      <c r="K139" s="185"/>
      <c r="L139" s="171"/>
      <c r="M139" s="171"/>
      <c r="N139" s="172"/>
      <c r="P139" s="308"/>
      <c r="Q139" s="310"/>
      <c r="R139" s="310"/>
      <c r="S139" s="310"/>
      <c r="T139" s="310"/>
      <c r="U139" s="321"/>
      <c r="V139" s="321"/>
    </row>
    <row r="140" spans="1:23" ht="21" customHeight="1">
      <c r="A140" s="322" t="s">
        <v>76</v>
      </c>
      <c r="B140" s="323"/>
      <c r="C140" s="324"/>
      <c r="D140" s="325" t="s">
        <v>28</v>
      </c>
      <c r="E140" s="334" t="s">
        <v>24</v>
      </c>
      <c r="F140" s="334"/>
      <c r="G140" s="334" t="s">
        <v>25</v>
      </c>
      <c r="H140" s="334"/>
      <c r="I140" s="325" t="s">
        <v>26</v>
      </c>
      <c r="J140" s="151">
        <v>500</v>
      </c>
      <c r="K140" s="151">
        <v>0.59</v>
      </c>
      <c r="L140" s="171"/>
      <c r="M140" s="171"/>
      <c r="N140" s="172"/>
      <c r="O140" s="327"/>
      <c r="P140" s="328"/>
      <c r="Q140" s="310"/>
      <c r="R140" s="310"/>
      <c r="S140" s="335"/>
      <c r="T140" s="335"/>
      <c r="U140" s="310"/>
      <c r="V140" s="310"/>
    </row>
    <row r="141" spans="1:23" ht="21" customHeight="1">
      <c r="A141" s="164" t="s">
        <v>69</v>
      </c>
      <c r="B141" s="168"/>
      <c r="C141" s="165"/>
      <c r="D141" s="19"/>
      <c r="E141" s="169">
        <f>E139*4.1</f>
        <v>110.73292434426229</v>
      </c>
      <c r="F141" s="170"/>
      <c r="G141" s="169">
        <f>G139*9</f>
        <v>224.10063442622948</v>
      </c>
      <c r="H141" s="170"/>
      <c r="I141" s="68">
        <f>I138*4.1</f>
        <v>308.71919885245893</v>
      </c>
      <c r="J141" s="175"/>
      <c r="K141" s="175"/>
      <c r="L141" s="171"/>
      <c r="M141" s="171"/>
      <c r="N141" s="172"/>
      <c r="O141" s="327"/>
      <c r="P141" s="329"/>
      <c r="Q141" s="307"/>
      <c r="R141" s="307"/>
      <c r="S141" s="307"/>
      <c r="T141" s="308"/>
      <c r="U141" s="308"/>
      <c r="V141" s="308"/>
    </row>
    <row r="142" spans="1:23" ht="21" customHeight="1">
      <c r="A142" s="160" t="s">
        <v>77</v>
      </c>
      <c r="B142" s="161"/>
      <c r="C142" s="164" t="s">
        <v>58</v>
      </c>
      <c r="D142" s="165"/>
      <c r="E142" s="166">
        <f>E141*100/D138</f>
        <v>17.217745752096139</v>
      </c>
      <c r="F142" s="167"/>
      <c r="G142" s="166">
        <f>G141*100/D138</f>
        <v>34.845171562871258</v>
      </c>
      <c r="H142" s="167"/>
      <c r="I142" s="86">
        <f>I141*100/D138</f>
        <v>48.002423002096691</v>
      </c>
      <c r="J142" s="176"/>
      <c r="K142" s="176"/>
      <c r="L142" s="171"/>
      <c r="M142" s="171"/>
      <c r="N142" s="172"/>
      <c r="O142" s="327"/>
      <c r="P142" s="308"/>
      <c r="Q142" s="309"/>
      <c r="R142" s="308"/>
      <c r="S142" s="308"/>
      <c r="T142" s="308"/>
      <c r="U142" s="308"/>
      <c r="V142" s="308"/>
    </row>
    <row r="143" spans="1:23" ht="21" customHeight="1">
      <c r="A143" s="162"/>
      <c r="B143" s="163"/>
      <c r="C143" s="164" t="s">
        <v>71</v>
      </c>
      <c r="D143" s="165"/>
      <c r="E143" s="164" t="s">
        <v>72</v>
      </c>
      <c r="F143" s="165"/>
      <c r="G143" s="164" t="s">
        <v>78</v>
      </c>
      <c r="H143" s="165"/>
      <c r="I143" s="325" t="s">
        <v>79</v>
      </c>
      <c r="J143" s="177"/>
      <c r="K143" s="177"/>
      <c r="L143" s="171"/>
      <c r="M143" s="171"/>
      <c r="N143" s="172"/>
      <c r="O143" s="327"/>
      <c r="P143" s="84"/>
    </row>
    <row r="144" spans="1:23" ht="21" customHeight="1">
      <c r="A144" s="70"/>
      <c r="B144" s="71"/>
      <c r="C144" s="70"/>
      <c r="D144" s="70"/>
      <c r="E144" s="70"/>
      <c r="F144" s="70"/>
      <c r="G144" s="70"/>
      <c r="H144" s="70"/>
      <c r="I144" s="70"/>
      <c r="J144" s="70"/>
      <c r="K144" s="70"/>
      <c r="L144" s="72"/>
      <c r="M144" s="72"/>
      <c r="N144" s="73"/>
      <c r="O144" s="327"/>
    </row>
    <row r="145" spans="1:15" ht="21" customHeight="1">
      <c r="A145" s="156" t="s">
        <v>100</v>
      </c>
      <c r="B145" s="156"/>
      <c r="C145" s="156"/>
      <c r="D145" s="156"/>
      <c r="E145" s="156"/>
      <c r="F145" s="156"/>
      <c r="G145" s="156"/>
      <c r="H145" s="156"/>
      <c r="I145" s="156"/>
      <c r="J145" s="156"/>
      <c r="K145" s="156"/>
      <c r="L145" s="156"/>
      <c r="M145" s="156"/>
      <c r="N145" s="156"/>
      <c r="O145" s="327"/>
    </row>
    <row r="146" spans="1:15" ht="21" customHeight="1">
      <c r="A146" s="87" t="s">
        <v>101</v>
      </c>
      <c r="B146" s="157" t="s">
        <v>102</v>
      </c>
      <c r="C146" s="157"/>
      <c r="D146" s="157"/>
      <c r="E146" s="157"/>
      <c r="F146" s="157"/>
      <c r="G146" s="157"/>
      <c r="H146" s="157"/>
      <c r="I146" s="157"/>
      <c r="J146" s="157"/>
      <c r="K146" s="157"/>
      <c r="L146" s="157"/>
      <c r="M146" s="157"/>
      <c r="N146" s="157"/>
      <c r="O146" s="327"/>
    </row>
    <row r="147" spans="1:15" ht="21" customHeight="1">
      <c r="A147" s="88"/>
      <c r="B147" s="158" t="s">
        <v>193</v>
      </c>
      <c r="C147" s="158"/>
      <c r="D147" s="158"/>
      <c r="E147" s="158"/>
      <c r="F147" s="158"/>
      <c r="G147" s="158"/>
      <c r="H147" s="158"/>
      <c r="I147" s="158"/>
      <c r="J147" s="158"/>
      <c r="K147" s="158"/>
      <c r="L147" s="158"/>
      <c r="M147" s="158"/>
      <c r="N147" s="158"/>
      <c r="O147" s="327"/>
    </row>
    <row r="148" spans="1:15" ht="21" customHeight="1">
      <c r="A148" s="88"/>
      <c r="B148" s="158" t="s">
        <v>194</v>
      </c>
      <c r="C148" s="158"/>
      <c r="D148" s="158"/>
      <c r="E148" s="158"/>
      <c r="F148" s="158"/>
      <c r="G148" s="158"/>
      <c r="H148" s="158"/>
      <c r="I148" s="158"/>
      <c r="J148" s="158"/>
      <c r="K148" s="158"/>
      <c r="L148" s="158"/>
      <c r="M148" s="158"/>
      <c r="N148" s="158"/>
      <c r="O148" s="327"/>
    </row>
    <row r="149" spans="1:15" ht="21" customHeight="1">
      <c r="A149" s="88"/>
      <c r="B149" s="158" t="s">
        <v>134</v>
      </c>
      <c r="C149" s="158"/>
      <c r="D149" s="158"/>
      <c r="E149" s="158"/>
      <c r="F149" s="158"/>
      <c r="G149" s="158"/>
      <c r="H149" s="158"/>
      <c r="I149" s="158"/>
      <c r="J149" s="158"/>
      <c r="K149" s="158"/>
      <c r="L149" s="158"/>
      <c r="M149" s="158"/>
      <c r="N149" s="158"/>
      <c r="O149" s="327"/>
    </row>
    <row r="150" spans="1:15" ht="21" customHeight="1">
      <c r="A150" s="70"/>
      <c r="B150" s="159" t="s">
        <v>113</v>
      </c>
      <c r="C150" s="159"/>
      <c r="D150" s="159"/>
      <c r="E150" s="159"/>
      <c r="F150" s="159"/>
      <c r="G150" s="159"/>
      <c r="H150" s="159"/>
      <c r="I150" s="159"/>
      <c r="J150" s="159"/>
      <c r="K150" s="159"/>
      <c r="L150" s="159"/>
      <c r="M150" s="159"/>
      <c r="N150" s="159"/>
      <c r="O150" s="327"/>
    </row>
    <row r="151" spans="1:15" ht="21" customHeight="1">
      <c r="A151" s="70"/>
      <c r="B151" s="70"/>
      <c r="C151" s="70"/>
      <c r="D151" s="70"/>
      <c r="E151" s="70"/>
      <c r="F151" s="70"/>
      <c r="G151" s="70"/>
      <c r="H151" s="70"/>
      <c r="I151" s="70"/>
      <c r="J151" s="70"/>
      <c r="K151" s="70"/>
      <c r="L151" s="89"/>
      <c r="M151" s="89"/>
      <c r="N151" s="90"/>
      <c r="O151" s="327"/>
    </row>
    <row r="152" spans="1:15" ht="21" customHeight="1">
      <c r="A152" s="154" t="s">
        <v>60</v>
      </c>
      <c r="B152" s="154"/>
      <c r="C152" s="154"/>
      <c r="D152" s="154"/>
      <c r="E152" s="330"/>
      <c r="F152" s="330"/>
      <c r="G152" s="330"/>
      <c r="H152" s="330"/>
      <c r="I152" s="330"/>
      <c r="J152" s="331" t="s">
        <v>36</v>
      </c>
      <c r="K152" s="331"/>
      <c r="L152" s="331"/>
      <c r="M152" s="331"/>
      <c r="N152" s="331"/>
      <c r="O152" s="327"/>
    </row>
    <row r="153" spans="1:15" ht="21" customHeight="1">
      <c r="A153" s="152"/>
      <c r="B153" s="152"/>
      <c r="C153" s="152"/>
      <c r="D153" s="330"/>
      <c r="E153" s="330"/>
      <c r="F153" s="330"/>
      <c r="G153" s="330"/>
      <c r="H153" s="332"/>
      <c r="I153" s="332"/>
      <c r="J153" s="332"/>
      <c r="K153" s="332"/>
      <c r="L153" s="332"/>
      <c r="M153" s="332"/>
      <c r="N153" s="332"/>
      <c r="O153" s="327"/>
    </row>
    <row r="154" spans="1:15" ht="21" customHeight="1">
      <c r="A154" s="152"/>
      <c r="B154" s="152"/>
      <c r="C154" s="152"/>
      <c r="D154" s="330"/>
      <c r="E154" s="330"/>
      <c r="F154" s="330"/>
      <c r="G154" s="330"/>
      <c r="H154" s="332"/>
      <c r="I154" s="332"/>
      <c r="J154" s="332"/>
      <c r="K154" s="332"/>
      <c r="L154" s="332"/>
      <c r="M154" s="332"/>
      <c r="N154" s="332"/>
      <c r="O154" s="327"/>
    </row>
    <row r="155" spans="1:15" ht="21" customHeight="1">
      <c r="A155" s="152"/>
      <c r="B155" s="152"/>
      <c r="C155" s="152"/>
      <c r="D155" s="330"/>
      <c r="E155" s="330"/>
      <c r="F155" s="330"/>
      <c r="G155" s="330"/>
      <c r="H155" s="332"/>
      <c r="I155" s="332"/>
      <c r="J155" s="333" t="s">
        <v>103</v>
      </c>
      <c r="K155" s="333"/>
      <c r="L155" s="333"/>
      <c r="M155" s="333"/>
      <c r="N155" s="333"/>
      <c r="O155" s="327"/>
    </row>
    <row r="156" spans="1:15" ht="21" customHeight="1">
      <c r="A156" s="155" t="s">
        <v>84</v>
      </c>
      <c r="B156" s="155"/>
      <c r="C156" s="155"/>
      <c r="D156" s="155"/>
      <c r="E156" s="330"/>
      <c r="F156" s="330"/>
      <c r="G156" s="330"/>
      <c r="H156" s="332"/>
      <c r="I156" s="332"/>
      <c r="J156" s="333"/>
      <c r="K156" s="333"/>
      <c r="L156" s="333"/>
      <c r="M156" s="333"/>
      <c r="N156" s="333"/>
      <c r="O156" s="327"/>
    </row>
    <row r="157" spans="1:15" ht="21" customHeight="1">
      <c r="J157" s="332"/>
      <c r="K157" s="332"/>
      <c r="L157" s="332"/>
      <c r="M157" s="332"/>
      <c r="N157" s="332"/>
    </row>
    <row r="158" spans="1:15" ht="21" customHeight="1">
      <c r="J158" s="333" t="s">
        <v>114</v>
      </c>
      <c r="K158" s="333"/>
      <c r="L158" s="333"/>
      <c r="M158" s="333"/>
      <c r="N158" s="333"/>
    </row>
  </sheetData>
  <mergeCells count="208">
    <mergeCell ref="J155:N155"/>
    <mergeCell ref="J158:N158"/>
    <mergeCell ref="J90:J93"/>
    <mergeCell ref="K90:K93"/>
    <mergeCell ref="N122:N123"/>
    <mergeCell ref="A124:B125"/>
    <mergeCell ref="A8:B8"/>
    <mergeCell ref="C8:D8"/>
    <mergeCell ref="A89:B89"/>
    <mergeCell ref="C89:D89"/>
    <mergeCell ref="A58:N58"/>
    <mergeCell ref="B59:N59"/>
    <mergeCell ref="B60:N60"/>
    <mergeCell ref="B61:N61"/>
    <mergeCell ref="B62:N62"/>
    <mergeCell ref="B63:N63"/>
    <mergeCell ref="A65:D65"/>
    <mergeCell ref="J65:N65"/>
    <mergeCell ref="A69:D69"/>
    <mergeCell ref="J69:N69"/>
    <mergeCell ref="G92:G93"/>
    <mergeCell ref="B90:B93"/>
    <mergeCell ref="A145:N145"/>
    <mergeCell ref="B146:N146"/>
    <mergeCell ref="B147:N147"/>
    <mergeCell ref="B148:N148"/>
    <mergeCell ref="B149:N149"/>
    <mergeCell ref="N132:N133"/>
    <mergeCell ref="A134:B135"/>
    <mergeCell ref="A136:B137"/>
    <mergeCell ref="C136:C137"/>
    <mergeCell ref="D136:D137"/>
    <mergeCell ref="I136:I137"/>
    <mergeCell ref="J136:J137"/>
    <mergeCell ref="K136:K137"/>
    <mergeCell ref="J141:J143"/>
    <mergeCell ref="K141:K143"/>
    <mergeCell ref="A142:B143"/>
    <mergeCell ref="C142:D142"/>
    <mergeCell ref="E142:F142"/>
    <mergeCell ref="G142:H142"/>
    <mergeCell ref="C143:D143"/>
    <mergeCell ref="E143:F143"/>
    <mergeCell ref="G143:H143"/>
    <mergeCell ref="J128:J131"/>
    <mergeCell ref="S139:T139"/>
    <mergeCell ref="U139:V139"/>
    <mergeCell ref="A140:C140"/>
    <mergeCell ref="E140:F140"/>
    <mergeCell ref="G140:H140"/>
    <mergeCell ref="Q140:R140"/>
    <mergeCell ref="S140:T140"/>
    <mergeCell ref="U140:V140"/>
    <mergeCell ref="L136:L143"/>
    <mergeCell ref="M136:M143"/>
    <mergeCell ref="N136:N143"/>
    <mergeCell ref="E137:F137"/>
    <mergeCell ref="G137:H137"/>
    <mergeCell ref="A138:C139"/>
    <mergeCell ref="I138:I139"/>
    <mergeCell ref="J138:J139"/>
    <mergeCell ref="K138:K139"/>
    <mergeCell ref="E139:F139"/>
    <mergeCell ref="G139:H139"/>
    <mergeCell ref="A141:C141"/>
    <mergeCell ref="E141:F141"/>
    <mergeCell ref="G141:H141"/>
    <mergeCell ref="Q139:R139"/>
    <mergeCell ref="A126:B126"/>
    <mergeCell ref="A128:A131"/>
    <mergeCell ref="B128:B131"/>
    <mergeCell ref="C128:C131"/>
    <mergeCell ref="D128:D131"/>
    <mergeCell ref="E128:F129"/>
    <mergeCell ref="G128:H129"/>
    <mergeCell ref="I128:I131"/>
    <mergeCell ref="E130:E131"/>
    <mergeCell ref="F130:F131"/>
    <mergeCell ref="G130:G131"/>
    <mergeCell ref="H130:H131"/>
    <mergeCell ref="K128:K131"/>
    <mergeCell ref="L128:L131"/>
    <mergeCell ref="M128:M131"/>
    <mergeCell ref="N128:N131"/>
    <mergeCell ref="A109:B110"/>
    <mergeCell ref="A111:B111"/>
    <mergeCell ref="F81:N81"/>
    <mergeCell ref="E84:I84"/>
    <mergeCell ref="J84:N84"/>
    <mergeCell ref="A85:D85"/>
    <mergeCell ref="E85:I88"/>
    <mergeCell ref="J85:N85"/>
    <mergeCell ref="A87:D87"/>
    <mergeCell ref="J87:N87"/>
    <mergeCell ref="A88:D88"/>
    <mergeCell ref="J88:N88"/>
    <mergeCell ref="A83:D84"/>
    <mergeCell ref="E83:N83"/>
    <mergeCell ref="L90:L93"/>
    <mergeCell ref="M90:M93"/>
    <mergeCell ref="N90:N93"/>
    <mergeCell ref="E92:E93"/>
    <mergeCell ref="C90:C93"/>
    <mergeCell ref="D90:D93"/>
    <mergeCell ref="A4:D4"/>
    <mergeCell ref="A5:D5"/>
    <mergeCell ref="A6:D6"/>
    <mergeCell ref="A7:D7"/>
    <mergeCell ref="E4:I7"/>
    <mergeCell ref="J4:N7"/>
    <mergeCell ref="A51:C52"/>
    <mergeCell ref="K49:K50"/>
    <mergeCell ref="J51:J52"/>
    <mergeCell ref="K9:K12"/>
    <mergeCell ref="M9:M12"/>
    <mergeCell ref="I49:I50"/>
    <mergeCell ref="F92:F93"/>
    <mergeCell ref="K51:K52"/>
    <mergeCell ref="H92:H93"/>
    <mergeCell ref="A94:N94"/>
    <mergeCell ref="N107:N108"/>
    <mergeCell ref="A90:A93"/>
    <mergeCell ref="E56:F56"/>
    <mergeCell ref="A53:C53"/>
    <mergeCell ref="A54:C54"/>
    <mergeCell ref="E54:F54"/>
    <mergeCell ref="G54:H54"/>
    <mergeCell ref="J54:J56"/>
    <mergeCell ref="K54:K56"/>
    <mergeCell ref="A55:B56"/>
    <mergeCell ref="C55:D55"/>
    <mergeCell ref="I90:I93"/>
    <mergeCell ref="G56:H56"/>
    <mergeCell ref="E90:F91"/>
    <mergeCell ref="G90:H91"/>
    <mergeCell ref="J68:N68"/>
    <mergeCell ref="J71:N71"/>
    <mergeCell ref="G55:H55"/>
    <mergeCell ref="E55:F55"/>
    <mergeCell ref="A72:D72"/>
    <mergeCell ref="U52:V52"/>
    <mergeCell ref="U53:V53"/>
    <mergeCell ref="A29:B30"/>
    <mergeCell ref="A31:B31"/>
    <mergeCell ref="N45:N46"/>
    <mergeCell ref="A47:B48"/>
    <mergeCell ref="A49:B50"/>
    <mergeCell ref="C49:C50"/>
    <mergeCell ref="D49:D50"/>
    <mergeCell ref="G53:H53"/>
    <mergeCell ref="L49:L56"/>
    <mergeCell ref="M49:M56"/>
    <mergeCell ref="N49:N56"/>
    <mergeCell ref="E50:F50"/>
    <mergeCell ref="G50:H50"/>
    <mergeCell ref="I51:I52"/>
    <mergeCell ref="E52:F52"/>
    <mergeCell ref="G52:H52"/>
    <mergeCell ref="J49:J50"/>
    <mergeCell ref="K41:K44"/>
    <mergeCell ref="J72:N72"/>
    <mergeCell ref="E53:F53"/>
    <mergeCell ref="F1:N1"/>
    <mergeCell ref="Q52:R52"/>
    <mergeCell ref="S52:T52"/>
    <mergeCell ref="Q53:R53"/>
    <mergeCell ref="S53:T53"/>
    <mergeCell ref="A13:N13"/>
    <mergeCell ref="A9:A12"/>
    <mergeCell ref="B9:B12"/>
    <mergeCell ref="C9:C12"/>
    <mergeCell ref="D9:D12"/>
    <mergeCell ref="E9:F10"/>
    <mergeCell ref="G9:H10"/>
    <mergeCell ref="I9:I12"/>
    <mergeCell ref="L9:L12"/>
    <mergeCell ref="N9:N12"/>
    <mergeCell ref="E11:E12"/>
    <mergeCell ref="F11:F12"/>
    <mergeCell ref="G11:G12"/>
    <mergeCell ref="H11:H12"/>
    <mergeCell ref="J9:J12"/>
    <mergeCell ref="A3:D3"/>
    <mergeCell ref="E3:N3"/>
    <mergeCell ref="A86:D86"/>
    <mergeCell ref="J86:N86"/>
    <mergeCell ref="C56:D56"/>
    <mergeCell ref="N27:N28"/>
    <mergeCell ref="B150:N150"/>
    <mergeCell ref="A152:D152"/>
    <mergeCell ref="J152:N152"/>
    <mergeCell ref="A156:D156"/>
    <mergeCell ref="J156:N156"/>
    <mergeCell ref="L41:L44"/>
    <mergeCell ref="M41:M44"/>
    <mergeCell ref="N41:N44"/>
    <mergeCell ref="E43:E44"/>
    <mergeCell ref="F43:F44"/>
    <mergeCell ref="G43:G44"/>
    <mergeCell ref="H43:H44"/>
    <mergeCell ref="A41:A44"/>
    <mergeCell ref="B41:B44"/>
    <mergeCell ref="C41:C44"/>
    <mergeCell ref="D41:D44"/>
    <mergeCell ref="E41:F42"/>
    <mergeCell ref="G41:H42"/>
    <mergeCell ref="I41:I44"/>
    <mergeCell ref="J41:J44"/>
  </mergeCells>
  <pageMargins left="0.25" right="0.17708333333333334" top="0.42708333333333331" bottom="0.36458333333333331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W154"/>
  <sheetViews>
    <sheetView workbookViewId="0">
      <selection activeCell="E44" sqref="E44"/>
    </sheetView>
  </sheetViews>
  <sheetFormatPr defaultColWidth="9.109375" defaultRowHeight="21" customHeight="1"/>
  <cols>
    <col min="1" max="1" width="4" style="1" customWidth="1"/>
    <col min="2" max="2" width="12.88671875" style="1" customWidth="1"/>
    <col min="3" max="3" width="7.44140625" style="1" customWidth="1"/>
    <col min="4" max="4" width="8.109375" style="1" customWidth="1"/>
    <col min="5" max="8" width="7" style="1" customWidth="1"/>
    <col min="9" max="10" width="7.5546875" style="1" customWidth="1"/>
    <col min="11" max="11" width="6.44140625" style="1" customWidth="1"/>
    <col min="12" max="13" width="5.6640625" style="1" customWidth="1"/>
    <col min="14" max="14" width="7.77734375" style="1" customWidth="1"/>
    <col min="15" max="15" width="11.88671875" style="1" customWidth="1"/>
    <col min="16" max="16" width="9.109375" style="1"/>
    <col min="17" max="22" width="8.44140625" style="1" customWidth="1"/>
    <col min="23" max="16384" width="9.109375" style="1"/>
  </cols>
  <sheetData>
    <row r="1" spans="1:20" ht="22.2" customHeight="1">
      <c r="A1" s="10" t="s">
        <v>59</v>
      </c>
      <c r="B1" s="7"/>
      <c r="C1" s="7"/>
      <c r="D1" s="7"/>
      <c r="E1" s="7"/>
      <c r="F1" s="244" t="s">
        <v>30</v>
      </c>
      <c r="G1" s="244"/>
      <c r="H1" s="244"/>
      <c r="I1" s="244"/>
      <c r="J1" s="244"/>
      <c r="K1" s="244"/>
      <c r="L1" s="244"/>
      <c r="M1" s="244"/>
      <c r="N1" s="244"/>
      <c r="O1" s="311"/>
      <c r="P1" s="311"/>
      <c r="T1" s="2"/>
    </row>
    <row r="2" spans="1:20" ht="22.2" customHeight="1">
      <c r="A2" s="7" t="s">
        <v>195</v>
      </c>
      <c r="B2" s="7"/>
      <c r="C2" s="7"/>
      <c r="D2" s="7"/>
      <c r="E2" s="7"/>
      <c r="F2" s="149"/>
      <c r="G2" s="149"/>
      <c r="H2" s="149"/>
      <c r="I2" s="149"/>
      <c r="J2" s="149"/>
      <c r="K2" s="149"/>
      <c r="L2" s="149"/>
      <c r="M2" s="149"/>
      <c r="N2" s="149"/>
      <c r="O2" s="311"/>
      <c r="P2" s="311"/>
      <c r="T2" s="2"/>
    </row>
    <row r="3" spans="1:20" s="2" customFormat="1" ht="22.2" customHeight="1">
      <c r="A3" s="245" t="s">
        <v>95</v>
      </c>
      <c r="B3" s="245"/>
      <c r="C3" s="245"/>
      <c r="D3" s="245"/>
      <c r="E3" s="245" t="s">
        <v>93</v>
      </c>
      <c r="F3" s="245"/>
      <c r="G3" s="245"/>
      <c r="H3" s="245"/>
      <c r="I3" s="245"/>
      <c r="J3" s="245"/>
      <c r="K3" s="245"/>
      <c r="L3" s="245"/>
      <c r="M3" s="245"/>
      <c r="N3" s="245"/>
      <c r="O3" s="312"/>
    </row>
    <row r="4" spans="1:20" s="2" customFormat="1" ht="22.2" customHeight="1">
      <c r="A4" s="231" t="s">
        <v>83</v>
      </c>
      <c r="B4" s="231"/>
      <c r="C4" s="231"/>
      <c r="D4" s="231"/>
      <c r="E4" s="232" t="s">
        <v>132</v>
      </c>
      <c r="F4" s="232"/>
      <c r="G4" s="232"/>
      <c r="H4" s="232"/>
      <c r="I4" s="232"/>
      <c r="J4" s="260" t="s">
        <v>167</v>
      </c>
      <c r="K4" s="261"/>
      <c r="L4" s="261"/>
      <c r="M4" s="261"/>
      <c r="N4" s="262"/>
      <c r="O4" s="312"/>
    </row>
    <row r="5" spans="1:20" s="2" customFormat="1" ht="22.2" customHeight="1">
      <c r="A5" s="269" t="s">
        <v>130</v>
      </c>
      <c r="B5" s="270"/>
      <c r="C5" s="270"/>
      <c r="D5" s="271"/>
      <c r="E5" s="232"/>
      <c r="F5" s="232"/>
      <c r="G5" s="232"/>
      <c r="H5" s="232"/>
      <c r="I5" s="232"/>
      <c r="J5" s="263"/>
      <c r="K5" s="264"/>
      <c r="L5" s="264"/>
      <c r="M5" s="264"/>
      <c r="N5" s="265"/>
      <c r="O5" s="312"/>
    </row>
    <row r="6" spans="1:20" s="2" customFormat="1" ht="22.2" customHeight="1">
      <c r="A6" s="236" t="s">
        <v>148</v>
      </c>
      <c r="B6" s="236"/>
      <c r="C6" s="236"/>
      <c r="D6" s="236"/>
      <c r="E6" s="232"/>
      <c r="F6" s="232"/>
      <c r="G6" s="232"/>
      <c r="H6" s="232"/>
      <c r="I6" s="232"/>
      <c r="J6" s="263"/>
      <c r="K6" s="264"/>
      <c r="L6" s="264"/>
      <c r="M6" s="264"/>
      <c r="N6" s="265"/>
      <c r="O6" s="312"/>
    </row>
    <row r="7" spans="1:20" s="2" customFormat="1" ht="22.2" customHeight="1">
      <c r="A7" s="240" t="s">
        <v>166</v>
      </c>
      <c r="B7" s="240"/>
      <c r="C7" s="240"/>
      <c r="D7" s="240"/>
      <c r="E7" s="232"/>
      <c r="F7" s="232"/>
      <c r="G7" s="232"/>
      <c r="H7" s="232"/>
      <c r="I7" s="232"/>
      <c r="J7" s="266"/>
      <c r="K7" s="267"/>
      <c r="L7" s="267"/>
      <c r="M7" s="267"/>
      <c r="N7" s="268"/>
      <c r="O7" s="312"/>
    </row>
    <row r="8" spans="1:20" ht="22.2" customHeight="1">
      <c r="A8" s="277" t="s">
        <v>110</v>
      </c>
      <c r="B8" s="277"/>
      <c r="C8" s="279">
        <v>204</v>
      </c>
      <c r="D8" s="279"/>
      <c r="E8" s="7"/>
      <c r="F8" s="149"/>
      <c r="G8" s="149"/>
      <c r="H8" s="149"/>
      <c r="I8" s="149"/>
      <c r="J8" s="149"/>
      <c r="K8" s="149"/>
      <c r="L8" s="149"/>
      <c r="M8" s="149"/>
      <c r="N8" s="149"/>
      <c r="O8" s="311"/>
      <c r="P8" s="311"/>
      <c r="T8" s="2"/>
    </row>
    <row r="9" spans="1:20" ht="22.2" customHeight="1">
      <c r="A9" s="211" t="s">
        <v>0</v>
      </c>
      <c r="B9" s="214" t="s">
        <v>19</v>
      </c>
      <c r="C9" s="217" t="s">
        <v>8</v>
      </c>
      <c r="D9" s="217" t="s">
        <v>9</v>
      </c>
      <c r="E9" s="298" t="s">
        <v>11</v>
      </c>
      <c r="F9" s="299"/>
      <c r="G9" s="298" t="s">
        <v>13</v>
      </c>
      <c r="H9" s="299"/>
      <c r="I9" s="208" t="s">
        <v>16</v>
      </c>
      <c r="J9" s="208" t="s">
        <v>32</v>
      </c>
      <c r="K9" s="208" t="s">
        <v>33</v>
      </c>
      <c r="L9" s="208" t="s">
        <v>17</v>
      </c>
      <c r="M9" s="208" t="s">
        <v>34</v>
      </c>
      <c r="N9" s="211" t="s">
        <v>18</v>
      </c>
      <c r="O9" s="313"/>
    </row>
    <row r="10" spans="1:20" ht="22.2" customHeight="1">
      <c r="A10" s="212"/>
      <c r="B10" s="215"/>
      <c r="C10" s="218"/>
      <c r="D10" s="218"/>
      <c r="E10" s="300"/>
      <c r="F10" s="301"/>
      <c r="G10" s="300"/>
      <c r="H10" s="301"/>
      <c r="I10" s="209"/>
      <c r="J10" s="209"/>
      <c r="K10" s="209"/>
      <c r="L10" s="209"/>
      <c r="M10" s="209"/>
      <c r="N10" s="212"/>
      <c r="O10" s="152"/>
    </row>
    <row r="11" spans="1:20" ht="22.2" customHeight="1">
      <c r="A11" s="212"/>
      <c r="B11" s="215"/>
      <c r="C11" s="218"/>
      <c r="D11" s="218"/>
      <c r="E11" s="208" t="s">
        <v>10</v>
      </c>
      <c r="F11" s="208" t="s">
        <v>12</v>
      </c>
      <c r="G11" s="208" t="s">
        <v>14</v>
      </c>
      <c r="H11" s="208" t="s">
        <v>15</v>
      </c>
      <c r="I11" s="209"/>
      <c r="J11" s="209"/>
      <c r="K11" s="209"/>
      <c r="L11" s="209"/>
      <c r="M11" s="209"/>
      <c r="N11" s="212"/>
      <c r="O11" s="152"/>
    </row>
    <row r="12" spans="1:20" ht="22.2" customHeight="1">
      <c r="A12" s="213"/>
      <c r="B12" s="216"/>
      <c r="C12" s="219"/>
      <c r="D12" s="219"/>
      <c r="E12" s="210"/>
      <c r="F12" s="210"/>
      <c r="G12" s="210"/>
      <c r="H12" s="210"/>
      <c r="I12" s="210"/>
      <c r="J12" s="210"/>
      <c r="K12" s="210"/>
      <c r="L12" s="210"/>
      <c r="M12" s="210"/>
      <c r="N12" s="213"/>
      <c r="O12" s="152"/>
    </row>
    <row r="13" spans="1:20" ht="22.2" customHeight="1">
      <c r="A13" s="225" t="s">
        <v>35</v>
      </c>
      <c r="B13" s="226"/>
      <c r="C13" s="226"/>
      <c r="D13" s="226"/>
      <c r="E13" s="226"/>
      <c r="F13" s="226"/>
      <c r="G13" s="226"/>
      <c r="H13" s="226"/>
      <c r="I13" s="226"/>
      <c r="J13" s="226"/>
      <c r="K13" s="226"/>
      <c r="L13" s="226"/>
      <c r="M13" s="226"/>
      <c r="N13" s="227"/>
      <c r="O13" s="152"/>
    </row>
    <row r="14" spans="1:20" s="2" customFormat="1" ht="22.2" customHeight="1">
      <c r="A14" s="8">
        <v>1</v>
      </c>
      <c r="B14" s="9" t="s">
        <v>2</v>
      </c>
      <c r="C14" s="12">
        <f>L14/100*100</f>
        <v>260</v>
      </c>
      <c r="D14" s="13">
        <f>C14/100*60</f>
        <v>156</v>
      </c>
      <c r="E14" s="14">
        <f>C14/100*15</f>
        <v>39</v>
      </c>
      <c r="F14" s="14"/>
      <c r="G14" s="14"/>
      <c r="H14" s="14"/>
      <c r="I14" s="14"/>
      <c r="J14" s="64">
        <f>C14/100*387</f>
        <v>1006.2</v>
      </c>
      <c r="K14" s="22">
        <f>C14/100*0.09</f>
        <v>0.23399999999999999</v>
      </c>
      <c r="L14" s="15">
        <v>260</v>
      </c>
      <c r="M14" s="20">
        <v>20</v>
      </c>
      <c r="N14" s="16">
        <f>L14*M14</f>
        <v>5200</v>
      </c>
      <c r="O14" s="314"/>
    </row>
    <row r="15" spans="1:20" s="2" customFormat="1" ht="18" customHeight="1">
      <c r="A15" s="8">
        <v>2</v>
      </c>
      <c r="B15" s="129" t="s">
        <v>126</v>
      </c>
      <c r="C15" s="12">
        <f t="shared" ref="C15" si="0">L15/100*100</f>
        <v>229.99999999999997</v>
      </c>
      <c r="D15" s="65">
        <f>C15/100*900</f>
        <v>2070</v>
      </c>
      <c r="E15" s="14"/>
      <c r="F15" s="14"/>
      <c r="G15" s="91"/>
      <c r="H15" s="14">
        <f>C15/100*100</f>
        <v>229.99999999999997</v>
      </c>
      <c r="I15" s="14"/>
      <c r="J15" s="14"/>
      <c r="K15" s="14"/>
      <c r="L15" s="111">
        <v>230</v>
      </c>
      <c r="M15" s="65">
        <v>63.5</v>
      </c>
      <c r="N15" s="93">
        <f t="shared" ref="N15" si="1">L15*M15</f>
        <v>14605</v>
      </c>
      <c r="O15" s="315"/>
    </row>
    <row r="16" spans="1:20" s="2" customFormat="1" ht="22.2" customHeight="1">
      <c r="A16" s="8">
        <v>3</v>
      </c>
      <c r="B16" s="5" t="s">
        <v>1</v>
      </c>
      <c r="C16" s="12">
        <f>L16/100*100</f>
        <v>19380</v>
      </c>
      <c r="D16" s="65">
        <f>C16/100*338</f>
        <v>65504.4</v>
      </c>
      <c r="E16" s="14"/>
      <c r="F16" s="91">
        <f>C16/100*7.9</f>
        <v>1531.0200000000002</v>
      </c>
      <c r="G16" s="14"/>
      <c r="H16" s="14">
        <f>C16/100*1</f>
        <v>193.8</v>
      </c>
      <c r="I16" s="91">
        <f>C16/100*78.9</f>
        <v>15290.820000000002</v>
      </c>
      <c r="J16" s="64">
        <f>C16/100*30</f>
        <v>5814</v>
      </c>
      <c r="K16" s="22">
        <f>C16/100*0.1</f>
        <v>19.380000000000003</v>
      </c>
      <c r="L16" s="336">
        <v>19380</v>
      </c>
      <c r="M16" s="20">
        <v>18</v>
      </c>
      <c r="N16" s="16">
        <f t="shared" ref="N16:N24" si="2">L16*M16</f>
        <v>348840</v>
      </c>
      <c r="O16" s="314"/>
    </row>
    <row r="17" spans="1:20" s="2" customFormat="1" ht="20.399999999999999" customHeight="1">
      <c r="A17" s="8">
        <v>4</v>
      </c>
      <c r="B17" s="9" t="s">
        <v>119</v>
      </c>
      <c r="C17" s="12">
        <f>L17/100*100</f>
        <v>1430</v>
      </c>
      <c r="D17" s="13">
        <f>C17/100*53</f>
        <v>757.90000000000009</v>
      </c>
      <c r="E17" s="14"/>
      <c r="F17" s="14">
        <f>C17/100*6.3</f>
        <v>90.09</v>
      </c>
      <c r="G17" s="14"/>
      <c r="H17" s="14">
        <f>C17/100*0.04</f>
        <v>0.57200000000000006</v>
      </c>
      <c r="I17" s="14">
        <f>C17/100*6.8</f>
        <v>97.240000000000009</v>
      </c>
      <c r="J17" s="22">
        <f>C17/100*19</f>
        <v>271.7</v>
      </c>
      <c r="K17" s="22">
        <f>C17/100*0.03</f>
        <v>0.42899999999999999</v>
      </c>
      <c r="L17" s="111">
        <v>1430</v>
      </c>
      <c r="M17" s="20">
        <v>42.5</v>
      </c>
      <c r="N17" s="16">
        <f t="shared" si="2"/>
        <v>60775</v>
      </c>
      <c r="O17" s="337"/>
    </row>
    <row r="18" spans="1:20" s="2" customFormat="1" ht="19.2" customHeight="1">
      <c r="A18" s="8">
        <v>5</v>
      </c>
      <c r="B18" s="9" t="s">
        <v>129</v>
      </c>
      <c r="C18" s="12">
        <f>L18/100*90</f>
        <v>189</v>
      </c>
      <c r="D18" s="13">
        <f>C18/100*281</f>
        <v>531.08999999999992</v>
      </c>
      <c r="E18" s="14"/>
      <c r="F18" s="14">
        <f>C18/100*9.5</f>
        <v>17.954999999999998</v>
      </c>
      <c r="G18" s="14"/>
      <c r="H18" s="14">
        <f>C18/100*0.2</f>
        <v>0.378</v>
      </c>
      <c r="I18" s="14">
        <f>D18/100*58.5</f>
        <v>310.68764999999996</v>
      </c>
      <c r="J18" s="22">
        <f>C18/100*321</f>
        <v>606.68999999999994</v>
      </c>
      <c r="K18" s="22">
        <f>C18/100*0.14</f>
        <v>0.2646</v>
      </c>
      <c r="L18" s="111">
        <v>210</v>
      </c>
      <c r="M18" s="43">
        <v>120</v>
      </c>
      <c r="N18" s="16">
        <f t="shared" si="2"/>
        <v>25200</v>
      </c>
      <c r="O18" s="337"/>
    </row>
    <row r="19" spans="1:20" s="2" customFormat="1" ht="22.2" customHeight="1">
      <c r="A19" s="8">
        <v>6</v>
      </c>
      <c r="B19" s="9" t="s">
        <v>67</v>
      </c>
      <c r="C19" s="12">
        <f>L19/100*98</f>
        <v>9172.7999999999993</v>
      </c>
      <c r="D19" s="65">
        <f>C19/100*139</f>
        <v>12750.191999999999</v>
      </c>
      <c r="E19" s="91">
        <f>C19/100*21</f>
        <v>1926.2879999999998</v>
      </c>
      <c r="F19" s="14"/>
      <c r="G19" s="14">
        <f>C19/100*7</f>
        <v>642.096</v>
      </c>
      <c r="H19" s="14"/>
      <c r="I19" s="14"/>
      <c r="J19" s="22">
        <f>C19/100*7</f>
        <v>642.096</v>
      </c>
      <c r="K19" s="22">
        <f>C19/100*0.9</f>
        <v>82.555199999999999</v>
      </c>
      <c r="L19" s="336">
        <v>9360</v>
      </c>
      <c r="M19" s="42">
        <v>137</v>
      </c>
      <c r="N19" s="92">
        <f t="shared" si="2"/>
        <v>1282320</v>
      </c>
      <c r="O19" s="314"/>
      <c r="P19" s="314"/>
    </row>
    <row r="20" spans="1:20" s="2" customFormat="1" ht="22.2" customHeight="1">
      <c r="A20" s="8">
        <v>7</v>
      </c>
      <c r="B20" s="5" t="s">
        <v>3</v>
      </c>
      <c r="C20" s="12">
        <f>L20/100*48</f>
        <v>4502.3999999999996</v>
      </c>
      <c r="D20" s="13">
        <f>C20/100*199</f>
        <v>8959.775999999998</v>
      </c>
      <c r="E20" s="91">
        <f>C20/100*22.3</f>
        <v>1004.0351999999999</v>
      </c>
      <c r="F20" s="14"/>
      <c r="G20" s="14">
        <f>C20/100*13.1</f>
        <v>589.81439999999986</v>
      </c>
      <c r="H20" s="14"/>
      <c r="I20" s="14"/>
      <c r="J20" s="22">
        <f>C20/100*12</f>
        <v>540.2879999999999</v>
      </c>
      <c r="K20" s="22">
        <f>C20/100*0.15</f>
        <v>6.7535999999999987</v>
      </c>
      <c r="L20" s="336">
        <v>9380</v>
      </c>
      <c r="M20" s="15">
        <v>84</v>
      </c>
      <c r="N20" s="16">
        <f t="shared" si="2"/>
        <v>787920</v>
      </c>
      <c r="O20" s="314"/>
      <c r="P20" s="314"/>
      <c r="Q20" s="3"/>
      <c r="R20" s="3"/>
      <c r="S20" s="4"/>
    </row>
    <row r="21" spans="1:20" s="2" customFormat="1" ht="20.399999999999999" customHeight="1">
      <c r="A21" s="8">
        <v>8</v>
      </c>
      <c r="B21" s="5" t="s">
        <v>117</v>
      </c>
      <c r="C21" s="12">
        <f>L21/100*100</f>
        <v>210</v>
      </c>
      <c r="D21" s="13">
        <f>C21/100*247</f>
        <v>518.70000000000005</v>
      </c>
      <c r="E21" s="17"/>
      <c r="F21" s="17">
        <f>C21/100*17.5</f>
        <v>36.75</v>
      </c>
      <c r="G21" s="17"/>
      <c r="H21" s="17">
        <f>C21/100*1.6</f>
        <v>3.3600000000000003</v>
      </c>
      <c r="I21" s="17">
        <f>C21/100*39.2</f>
        <v>82.320000000000007</v>
      </c>
      <c r="J21" s="21"/>
      <c r="K21" s="21"/>
      <c r="L21" s="317">
        <v>210</v>
      </c>
      <c r="M21" s="20">
        <v>50</v>
      </c>
      <c r="N21" s="113">
        <f t="shared" si="2"/>
        <v>10500</v>
      </c>
      <c r="O21" s="314"/>
      <c r="Q21" s="3"/>
      <c r="R21" s="3"/>
      <c r="S21" s="4"/>
      <c r="T21" s="3"/>
    </row>
    <row r="22" spans="1:20" s="2" customFormat="1" ht="22.2" customHeight="1">
      <c r="A22" s="8">
        <v>9</v>
      </c>
      <c r="B22" s="5" t="s">
        <v>80</v>
      </c>
      <c r="C22" s="12">
        <f>L22/100*78</f>
        <v>3198</v>
      </c>
      <c r="D22" s="13">
        <f>C22/100*37</f>
        <v>1183.26</v>
      </c>
      <c r="E22" s="17"/>
      <c r="F22" s="17">
        <f>C22/100*2.8</f>
        <v>89.543999999999997</v>
      </c>
      <c r="G22" s="17"/>
      <c r="H22" s="17">
        <f>C22/100*0.1</f>
        <v>3.1980000000000004</v>
      </c>
      <c r="I22" s="17">
        <f>C22/100*6.2</f>
        <v>198.27600000000001</v>
      </c>
      <c r="J22" s="63">
        <f>C22/100*46</f>
        <v>1471.08</v>
      </c>
      <c r="K22" s="21">
        <f>C22/100*0.06</f>
        <v>1.9188000000000001</v>
      </c>
      <c r="L22" s="317">
        <v>4100</v>
      </c>
      <c r="M22" s="15">
        <v>22</v>
      </c>
      <c r="N22" s="16">
        <f t="shared" si="2"/>
        <v>90200</v>
      </c>
      <c r="O22" s="314"/>
      <c r="Q22" s="3"/>
      <c r="R22" s="3"/>
      <c r="S22" s="4"/>
    </row>
    <row r="23" spans="1:20" s="2" customFormat="1" ht="22.2" customHeight="1">
      <c r="A23" s="8">
        <v>10</v>
      </c>
      <c r="B23" s="5" t="s">
        <v>168</v>
      </c>
      <c r="C23" s="12">
        <f>L23/100*78</f>
        <v>4773.6000000000004</v>
      </c>
      <c r="D23" s="13">
        <f>C23/100*37</f>
        <v>1766.2320000000002</v>
      </c>
      <c r="E23" s="14"/>
      <c r="F23" s="14">
        <f>C23/100*2.8</f>
        <v>133.66079999999999</v>
      </c>
      <c r="G23" s="14"/>
      <c r="H23" s="14">
        <f>C23/100*0.1</f>
        <v>4.773600000000001</v>
      </c>
      <c r="I23" s="14">
        <f>C23/100*6.2</f>
        <v>295.96320000000003</v>
      </c>
      <c r="J23" s="64">
        <f>C23/100*46</f>
        <v>2195.8560000000002</v>
      </c>
      <c r="K23" s="22">
        <f>C23/100*0.06</f>
        <v>2.86416</v>
      </c>
      <c r="L23" s="15">
        <v>6120</v>
      </c>
      <c r="M23" s="20">
        <v>20</v>
      </c>
      <c r="N23" s="16">
        <f t="shared" si="2"/>
        <v>122400</v>
      </c>
      <c r="O23" s="314"/>
      <c r="Q23" s="3"/>
      <c r="R23" s="3"/>
      <c r="S23" s="4"/>
    </row>
    <row r="24" spans="1:20" s="2" customFormat="1" ht="22.2" customHeight="1">
      <c r="A24" s="8">
        <v>11</v>
      </c>
      <c r="B24" s="5" t="s">
        <v>5</v>
      </c>
      <c r="C24" s="12">
        <f>L24/100*98.5</f>
        <v>2019.25</v>
      </c>
      <c r="D24" s="13">
        <f>C24/100*39</f>
        <v>787.50749999999994</v>
      </c>
      <c r="E24" s="17"/>
      <c r="F24" s="17">
        <f>C24/100*1.5</f>
        <v>30.28875</v>
      </c>
      <c r="G24" s="17"/>
      <c r="H24" s="17">
        <f>C24/100*0.2</f>
        <v>4.0385</v>
      </c>
      <c r="I24" s="17">
        <f>C24/100*7.8</f>
        <v>157.50149999999999</v>
      </c>
      <c r="J24" s="21">
        <f>C24/100*43</f>
        <v>868.27749999999992</v>
      </c>
      <c r="K24" s="21">
        <f>C24/100*0.06</f>
        <v>1.2115499999999999</v>
      </c>
      <c r="L24" s="317">
        <v>2050</v>
      </c>
      <c r="M24" s="15">
        <v>17</v>
      </c>
      <c r="N24" s="16">
        <f t="shared" si="2"/>
        <v>34850</v>
      </c>
      <c r="O24" s="314"/>
      <c r="Q24" s="3"/>
      <c r="R24" s="3"/>
      <c r="S24" s="4"/>
    </row>
    <row r="25" spans="1:20" s="2" customFormat="1" ht="22.2" customHeight="1">
      <c r="A25" s="8">
        <v>12</v>
      </c>
      <c r="B25" s="9" t="s">
        <v>111</v>
      </c>
      <c r="C25" s="12"/>
      <c r="D25" s="13"/>
      <c r="E25" s="14"/>
      <c r="F25" s="14"/>
      <c r="G25" s="14"/>
      <c r="H25" s="14"/>
      <c r="I25" s="14"/>
      <c r="J25" s="14"/>
      <c r="K25" s="14"/>
      <c r="L25" s="15"/>
      <c r="M25" s="15"/>
      <c r="N25" s="16">
        <v>15750</v>
      </c>
      <c r="O25" s="314"/>
    </row>
    <row r="26" spans="1:20" s="2" customFormat="1" ht="22.2" customHeight="1">
      <c r="A26" s="23" t="s">
        <v>97</v>
      </c>
      <c r="B26" s="24"/>
      <c r="C26" s="25"/>
      <c r="D26" s="94">
        <f>SUM(D14:D25)</f>
        <v>94985.057499999981</v>
      </c>
      <c r="E26" s="27"/>
      <c r="F26" s="27"/>
      <c r="G26" s="27"/>
      <c r="H26" s="27"/>
      <c r="I26" s="27"/>
      <c r="J26" s="27"/>
      <c r="K26" s="27"/>
      <c r="L26" s="28"/>
      <c r="M26" s="28"/>
      <c r="N26" s="190">
        <f>SUM(N14:N25)</f>
        <v>2798560</v>
      </c>
      <c r="O26" s="314"/>
    </row>
    <row r="27" spans="1:20" s="2" customFormat="1" ht="22.2" customHeight="1">
      <c r="A27" s="23" t="s">
        <v>6</v>
      </c>
      <c r="B27" s="24"/>
      <c r="C27" s="25"/>
      <c r="D27" s="26">
        <f>D26/C8</f>
        <v>465.61302696078423</v>
      </c>
      <c r="E27" s="27"/>
      <c r="F27" s="27"/>
      <c r="G27" s="27"/>
      <c r="H27" s="27"/>
      <c r="I27" s="27"/>
      <c r="J27" s="27"/>
      <c r="K27" s="27"/>
      <c r="L27" s="28"/>
      <c r="M27" s="28"/>
      <c r="N27" s="191"/>
      <c r="O27" s="314"/>
    </row>
    <row r="28" spans="1:20" s="2" customFormat="1" ht="22.2" customHeight="1">
      <c r="A28" s="283" t="s">
        <v>50</v>
      </c>
      <c r="B28" s="193"/>
      <c r="C28" s="319" t="s">
        <v>133</v>
      </c>
      <c r="D28" s="29" t="s">
        <v>38</v>
      </c>
      <c r="E28" s="27"/>
      <c r="F28" s="27"/>
      <c r="G28" s="27"/>
      <c r="H28" s="27"/>
      <c r="I28" s="27"/>
      <c r="J28" s="27"/>
      <c r="K28" s="27"/>
      <c r="L28" s="28"/>
      <c r="M28" s="28"/>
      <c r="N28" s="30"/>
      <c r="O28" s="314"/>
    </row>
    <row r="29" spans="1:20" s="2" customFormat="1" ht="22.2" customHeight="1">
      <c r="A29" s="194"/>
      <c r="B29" s="195"/>
      <c r="C29" s="62" t="s">
        <v>58</v>
      </c>
      <c r="D29" s="29">
        <f>D27*100/1320</f>
        <v>35.273714163695772</v>
      </c>
      <c r="E29" s="27"/>
      <c r="F29" s="27"/>
      <c r="G29" s="27"/>
      <c r="H29" s="27"/>
      <c r="I29" s="27"/>
      <c r="J29" s="27"/>
      <c r="K29" s="27"/>
      <c r="L29" s="28"/>
      <c r="M29" s="28"/>
      <c r="N29" s="30"/>
      <c r="O29" s="314"/>
    </row>
    <row r="30" spans="1:20" s="2" customFormat="1" ht="22.2" customHeight="1">
      <c r="A30" s="224" t="s">
        <v>39</v>
      </c>
      <c r="B30" s="224"/>
      <c r="C30" s="45"/>
      <c r="D30" s="46"/>
      <c r="E30" s="47"/>
      <c r="F30" s="47"/>
      <c r="G30" s="47"/>
      <c r="H30" s="47"/>
      <c r="I30" s="47"/>
      <c r="J30" s="47"/>
      <c r="K30" s="47"/>
      <c r="L30" s="48"/>
      <c r="M30" s="48"/>
      <c r="N30" s="49"/>
      <c r="O30" s="314"/>
    </row>
    <row r="31" spans="1:20" s="2" customFormat="1" ht="22.2" customHeight="1">
      <c r="A31" s="8">
        <v>1</v>
      </c>
      <c r="B31" s="9" t="s">
        <v>2</v>
      </c>
      <c r="C31" s="12">
        <f>L31/100*100</f>
        <v>250</v>
      </c>
      <c r="D31" s="13">
        <f>C31/100*60</f>
        <v>150</v>
      </c>
      <c r="E31" s="14">
        <f>C31/100*15</f>
        <v>37.5</v>
      </c>
      <c r="F31" s="14"/>
      <c r="G31" s="14"/>
      <c r="H31" s="14"/>
      <c r="I31" s="14"/>
      <c r="J31" s="64">
        <f>C31/100*387</f>
        <v>967.5</v>
      </c>
      <c r="K31" s="22">
        <f>C31/100*0.09</f>
        <v>0.22499999999999998</v>
      </c>
      <c r="L31" s="317">
        <v>250</v>
      </c>
      <c r="M31" s="20">
        <v>20</v>
      </c>
      <c r="N31" s="16">
        <f>L31*M31</f>
        <v>5000</v>
      </c>
      <c r="O31" s="314"/>
    </row>
    <row r="32" spans="1:20" s="2" customFormat="1" ht="19.8" customHeight="1">
      <c r="A32" s="8">
        <v>2</v>
      </c>
      <c r="B32" s="9" t="s">
        <v>121</v>
      </c>
      <c r="C32" s="12">
        <f>L32/100*100</f>
        <v>1710.0000000000002</v>
      </c>
      <c r="D32" s="65">
        <f>C32/100*899</f>
        <v>15372.900000000001</v>
      </c>
      <c r="E32" s="14"/>
      <c r="F32" s="14"/>
      <c r="G32" s="91">
        <f>C32/100*100</f>
        <v>1710.0000000000002</v>
      </c>
      <c r="H32" s="14"/>
      <c r="I32" s="14"/>
      <c r="J32" s="22"/>
      <c r="K32" s="22"/>
      <c r="L32" s="111">
        <v>1710</v>
      </c>
      <c r="M32" s="110">
        <v>68</v>
      </c>
      <c r="N32" s="113">
        <f t="shared" ref="N32" si="3">L32*M32</f>
        <v>116280</v>
      </c>
      <c r="O32" s="314"/>
    </row>
    <row r="33" spans="1:23" s="2" customFormat="1" ht="22.2" customHeight="1">
      <c r="A33" s="8">
        <v>3</v>
      </c>
      <c r="B33" s="5" t="s">
        <v>122</v>
      </c>
      <c r="C33" s="12">
        <f>L33/100*100</f>
        <v>4900</v>
      </c>
      <c r="D33" s="65">
        <f>C33/100*295</f>
        <v>14455</v>
      </c>
      <c r="E33" s="14"/>
      <c r="F33" s="14">
        <f>C33/100*6</f>
        <v>294</v>
      </c>
      <c r="G33" s="14"/>
      <c r="H33" s="14">
        <f>C33/100*0.8</f>
        <v>39.200000000000003</v>
      </c>
      <c r="I33" s="91">
        <f>C33/100*28.8</f>
        <v>1411.2</v>
      </c>
      <c r="J33" s="22"/>
      <c r="K33" s="22"/>
      <c r="L33" s="111">
        <v>4900</v>
      </c>
      <c r="M33" s="43">
        <v>32</v>
      </c>
      <c r="N33" s="16">
        <f>L33*M33</f>
        <v>156800</v>
      </c>
      <c r="O33" s="314"/>
    </row>
    <row r="34" spans="1:23" s="2" customFormat="1" ht="22.2" customHeight="1">
      <c r="A34" s="8">
        <v>4</v>
      </c>
      <c r="B34" s="9" t="s">
        <v>123</v>
      </c>
      <c r="C34" s="12">
        <f>L34/100*31</f>
        <v>759.5</v>
      </c>
      <c r="D34" s="13">
        <f>C34/100*87</f>
        <v>660.76499999999999</v>
      </c>
      <c r="E34" s="14">
        <f>C34/100*12.3</f>
        <v>93.418500000000009</v>
      </c>
      <c r="F34" s="14"/>
      <c r="G34" s="14">
        <f>C34/100*3.3</f>
        <v>25.063499999999998</v>
      </c>
      <c r="H34" s="14"/>
      <c r="I34" s="14">
        <f>C34/100*2</f>
        <v>15.19</v>
      </c>
      <c r="J34" s="22">
        <f>C34/100*120</f>
        <v>911.4</v>
      </c>
      <c r="K34" s="22">
        <f>C34/100*0.01</f>
        <v>7.5950000000000004E-2</v>
      </c>
      <c r="L34" s="15">
        <v>2450</v>
      </c>
      <c r="M34" s="102">
        <v>160</v>
      </c>
      <c r="N34" s="16">
        <f t="shared" ref="N34:N37" si="4">L34*M34</f>
        <v>392000</v>
      </c>
      <c r="O34" s="314"/>
    </row>
    <row r="35" spans="1:23" s="2" customFormat="1" ht="20.399999999999999" customHeight="1">
      <c r="A35" s="8">
        <v>5</v>
      </c>
      <c r="B35" s="5" t="s">
        <v>117</v>
      </c>
      <c r="C35" s="12">
        <f>L35/100*100</f>
        <v>130</v>
      </c>
      <c r="D35" s="13">
        <f>C35/100*247</f>
        <v>321.10000000000002</v>
      </c>
      <c r="E35" s="17"/>
      <c r="F35" s="17">
        <f>C35/100*17.5</f>
        <v>22.75</v>
      </c>
      <c r="G35" s="17"/>
      <c r="H35" s="17">
        <f>C35/100*1.6</f>
        <v>2.08</v>
      </c>
      <c r="I35" s="17">
        <f>C35/100*39.2</f>
        <v>50.960000000000008</v>
      </c>
      <c r="J35" s="21"/>
      <c r="K35" s="21"/>
      <c r="L35" s="317">
        <v>130</v>
      </c>
      <c r="M35" s="20">
        <v>50</v>
      </c>
      <c r="N35" s="113">
        <f t="shared" si="4"/>
        <v>6500</v>
      </c>
      <c r="O35" s="314"/>
      <c r="Q35" s="3"/>
      <c r="R35" s="3"/>
      <c r="S35" s="4"/>
      <c r="T35" s="3"/>
    </row>
    <row r="36" spans="1:23" s="2" customFormat="1" ht="20.399999999999999" customHeight="1">
      <c r="A36" s="8">
        <v>6</v>
      </c>
      <c r="B36" s="5" t="s">
        <v>159</v>
      </c>
      <c r="C36" s="12">
        <f>L36/100*65</f>
        <v>2652</v>
      </c>
      <c r="D36" s="13">
        <f>C36/100*14</f>
        <v>371.28</v>
      </c>
      <c r="E36" s="14"/>
      <c r="F36" s="14">
        <f>C36/100*1.6</f>
        <v>42.432000000000002</v>
      </c>
      <c r="G36" s="14"/>
      <c r="H36" s="14"/>
      <c r="I36" s="14">
        <f>C36/100*1.9</f>
        <v>50.387999999999998</v>
      </c>
      <c r="J36" s="91">
        <f>C36/100*63</f>
        <v>1670.76</v>
      </c>
      <c r="K36" s="14">
        <f>C36/100*0.01</f>
        <v>0.26519999999999999</v>
      </c>
      <c r="L36" s="111">
        <v>4080</v>
      </c>
      <c r="M36" s="20">
        <v>24</v>
      </c>
      <c r="N36" s="16">
        <f t="shared" si="4"/>
        <v>97920</v>
      </c>
      <c r="O36" s="314"/>
    </row>
    <row r="37" spans="1:23" s="2" customFormat="1" ht="21.6" customHeight="1">
      <c r="A37" s="8">
        <v>7</v>
      </c>
      <c r="B37" s="140" t="s">
        <v>131</v>
      </c>
      <c r="C37" s="12">
        <f>L37/100*100</f>
        <v>3470.0000000000005</v>
      </c>
      <c r="D37" s="65">
        <f>C37/100*487</f>
        <v>16898.900000000001</v>
      </c>
      <c r="E37" s="17"/>
      <c r="F37" s="17">
        <f>C37/100*19.5</f>
        <v>676.65000000000009</v>
      </c>
      <c r="G37" s="17"/>
      <c r="H37" s="17">
        <f>C37/100*23.2</f>
        <v>805.04000000000008</v>
      </c>
      <c r="I37" s="124">
        <f>C37/100*46</f>
        <v>1596.2</v>
      </c>
      <c r="J37" s="91">
        <f>C37/100*680</f>
        <v>23596.000000000004</v>
      </c>
      <c r="K37" s="14">
        <f>C37/100*0.55</f>
        <v>19.085000000000004</v>
      </c>
      <c r="L37" s="317">
        <v>3470</v>
      </c>
      <c r="M37" s="102">
        <v>260</v>
      </c>
      <c r="N37" s="16">
        <f t="shared" si="4"/>
        <v>902200</v>
      </c>
      <c r="O37" s="314"/>
      <c r="P37" s="3"/>
    </row>
    <row r="38" spans="1:23" s="2" customFormat="1" ht="22.2" customHeight="1">
      <c r="A38" s="77">
        <v>8</v>
      </c>
      <c r="B38" s="78" t="s">
        <v>111</v>
      </c>
      <c r="C38" s="79"/>
      <c r="D38" s="80"/>
      <c r="E38" s="81"/>
      <c r="F38" s="81"/>
      <c r="G38" s="81"/>
      <c r="H38" s="81"/>
      <c r="I38" s="81"/>
      <c r="J38" s="81"/>
      <c r="K38" s="81"/>
      <c r="L38" s="82"/>
      <c r="M38" s="82"/>
      <c r="N38" s="83">
        <v>13000</v>
      </c>
      <c r="O38" s="314"/>
    </row>
    <row r="39" spans="1:23" ht="21" customHeight="1">
      <c r="A39" s="211" t="s">
        <v>0</v>
      </c>
      <c r="B39" s="214" t="s">
        <v>19</v>
      </c>
      <c r="C39" s="217" t="s">
        <v>8</v>
      </c>
      <c r="D39" s="217" t="s">
        <v>9</v>
      </c>
      <c r="E39" s="298" t="s">
        <v>11</v>
      </c>
      <c r="F39" s="299"/>
      <c r="G39" s="298" t="s">
        <v>13</v>
      </c>
      <c r="H39" s="299"/>
      <c r="I39" s="208" t="s">
        <v>16</v>
      </c>
      <c r="J39" s="208" t="s">
        <v>32</v>
      </c>
      <c r="K39" s="208" t="s">
        <v>33</v>
      </c>
      <c r="L39" s="208" t="s">
        <v>17</v>
      </c>
      <c r="M39" s="208" t="s">
        <v>34</v>
      </c>
      <c r="N39" s="211" t="s">
        <v>18</v>
      </c>
      <c r="O39" s="313"/>
    </row>
    <row r="40" spans="1:23" ht="21" customHeight="1">
      <c r="A40" s="212"/>
      <c r="B40" s="215"/>
      <c r="C40" s="218"/>
      <c r="D40" s="218"/>
      <c r="E40" s="300"/>
      <c r="F40" s="301"/>
      <c r="G40" s="300"/>
      <c r="H40" s="301"/>
      <c r="I40" s="209"/>
      <c r="J40" s="209"/>
      <c r="K40" s="209"/>
      <c r="L40" s="209"/>
      <c r="M40" s="209"/>
      <c r="N40" s="212"/>
      <c r="O40" s="152"/>
    </row>
    <row r="41" spans="1:23" ht="21" customHeight="1">
      <c r="A41" s="212"/>
      <c r="B41" s="215"/>
      <c r="C41" s="218"/>
      <c r="D41" s="218"/>
      <c r="E41" s="208" t="s">
        <v>10</v>
      </c>
      <c r="F41" s="208" t="s">
        <v>12</v>
      </c>
      <c r="G41" s="208" t="s">
        <v>14</v>
      </c>
      <c r="H41" s="208" t="s">
        <v>15</v>
      </c>
      <c r="I41" s="209"/>
      <c r="J41" s="209"/>
      <c r="K41" s="209"/>
      <c r="L41" s="209"/>
      <c r="M41" s="209"/>
      <c r="N41" s="212"/>
      <c r="O41" s="152"/>
    </row>
    <row r="42" spans="1:23" ht="21" customHeight="1">
      <c r="A42" s="213"/>
      <c r="B42" s="216"/>
      <c r="C42" s="219"/>
      <c r="D42" s="219"/>
      <c r="E42" s="210"/>
      <c r="F42" s="210"/>
      <c r="G42" s="210"/>
      <c r="H42" s="210"/>
      <c r="I42" s="210"/>
      <c r="J42" s="210"/>
      <c r="K42" s="210"/>
      <c r="L42" s="210"/>
      <c r="M42" s="210"/>
      <c r="N42" s="213"/>
      <c r="O42" s="152"/>
    </row>
    <row r="43" spans="1:23" s="2" customFormat="1" ht="21" customHeight="1">
      <c r="A43" s="23" t="s">
        <v>98</v>
      </c>
      <c r="B43" s="24"/>
      <c r="C43" s="25"/>
      <c r="D43" s="94">
        <f>SUM(D31:D38)</f>
        <v>48229.945</v>
      </c>
      <c r="E43" s="31"/>
      <c r="F43" s="31"/>
      <c r="G43" s="31"/>
      <c r="H43" s="31"/>
      <c r="I43" s="31"/>
      <c r="J43" s="31"/>
      <c r="K43" s="31"/>
      <c r="L43" s="32"/>
      <c r="M43" s="32"/>
      <c r="N43" s="190">
        <f>SUM(N31:N38)</f>
        <v>1689700</v>
      </c>
      <c r="O43" s="314"/>
    </row>
    <row r="44" spans="1:23" ht="21" customHeight="1">
      <c r="A44" s="23" t="s">
        <v>7</v>
      </c>
      <c r="B44" s="24"/>
      <c r="C44" s="33"/>
      <c r="D44" s="34">
        <f>D43/C8</f>
        <v>236.42129901960783</v>
      </c>
      <c r="E44" s="34"/>
      <c r="F44" s="34"/>
      <c r="G44" s="34"/>
      <c r="H44" s="34"/>
      <c r="I44" s="34"/>
      <c r="J44" s="34"/>
      <c r="K44" s="34"/>
      <c r="L44" s="35"/>
      <c r="M44" s="35"/>
      <c r="N44" s="191"/>
      <c r="O44" s="4"/>
      <c r="P44" s="2"/>
      <c r="Q44" s="2"/>
      <c r="R44" s="2"/>
      <c r="S44" s="2"/>
      <c r="T44" s="2"/>
      <c r="U44" s="2"/>
      <c r="V44" s="2"/>
      <c r="W44" s="2"/>
    </row>
    <row r="45" spans="1:23" ht="21" customHeight="1">
      <c r="A45" s="283" t="s">
        <v>51</v>
      </c>
      <c r="B45" s="193"/>
      <c r="C45" s="319" t="s">
        <v>133</v>
      </c>
      <c r="D45" s="29" t="s">
        <v>41</v>
      </c>
      <c r="E45" s="34"/>
      <c r="F45" s="34"/>
      <c r="G45" s="34"/>
      <c r="H45" s="34"/>
      <c r="I45" s="34"/>
      <c r="J45" s="36"/>
      <c r="K45" s="36"/>
      <c r="L45" s="35"/>
      <c r="M45" s="35"/>
      <c r="N45" s="153"/>
      <c r="O45" s="4"/>
      <c r="P45" s="2"/>
      <c r="Q45" s="2"/>
      <c r="R45" s="2"/>
      <c r="S45" s="2"/>
      <c r="T45" s="2"/>
      <c r="U45" s="2"/>
      <c r="V45" s="2"/>
      <c r="W45" s="2"/>
    </row>
    <row r="46" spans="1:23" ht="21" customHeight="1">
      <c r="A46" s="194"/>
      <c r="B46" s="195"/>
      <c r="C46" s="62" t="s">
        <v>58</v>
      </c>
      <c r="D46" s="29">
        <f>D44*100/1320</f>
        <v>17.910704471182413</v>
      </c>
      <c r="E46" s="34"/>
      <c r="F46" s="34"/>
      <c r="G46" s="34"/>
      <c r="H46" s="34"/>
      <c r="I46" s="34"/>
      <c r="J46" s="36"/>
      <c r="K46" s="36"/>
      <c r="L46" s="35"/>
      <c r="M46" s="35"/>
      <c r="N46" s="153"/>
      <c r="O46" s="4"/>
      <c r="P46" s="2"/>
      <c r="Q46" s="2"/>
      <c r="R46" s="2"/>
      <c r="S46" s="2"/>
      <c r="T46" s="2"/>
      <c r="U46" s="2"/>
      <c r="V46" s="2"/>
      <c r="W46" s="2"/>
    </row>
    <row r="47" spans="1:23" ht="21" customHeight="1">
      <c r="A47" s="196" t="s">
        <v>99</v>
      </c>
      <c r="B47" s="197"/>
      <c r="C47" s="200"/>
      <c r="D47" s="202">
        <f>D26+D43</f>
        <v>143215.00249999997</v>
      </c>
      <c r="E47" s="95">
        <f>SUM(E14:E38)</f>
        <v>3100.2417</v>
      </c>
      <c r="F47" s="95">
        <f t="shared" ref="F47:H47" si="5">SUM(F14:F38)</f>
        <v>2965.1405499999996</v>
      </c>
      <c r="G47" s="95">
        <f t="shared" si="5"/>
        <v>2966.9739</v>
      </c>
      <c r="H47" s="95">
        <f t="shared" si="5"/>
        <v>1286.4401</v>
      </c>
      <c r="I47" s="206">
        <f>SUM(I14:I38)</f>
        <v>19556.746349999998</v>
      </c>
      <c r="J47" s="206">
        <f>SUM(J14:J38)</f>
        <v>40561.847500000003</v>
      </c>
      <c r="K47" s="204">
        <f>SUM(K14:K38)</f>
        <v>135.26205999999999</v>
      </c>
      <c r="L47" s="171"/>
      <c r="M47" s="171"/>
      <c r="N47" s="290">
        <f>N26+N43</f>
        <v>4488260</v>
      </c>
      <c r="P47" s="2"/>
      <c r="Q47" s="2"/>
      <c r="R47" s="2"/>
      <c r="S47" s="2"/>
      <c r="T47" s="2"/>
      <c r="U47" s="2"/>
      <c r="V47" s="2"/>
    </row>
    <row r="48" spans="1:23" ht="21" customHeight="1">
      <c r="A48" s="198"/>
      <c r="B48" s="199"/>
      <c r="C48" s="201"/>
      <c r="D48" s="203"/>
      <c r="E48" s="173">
        <f>E47+F47</f>
        <v>6065.3822499999997</v>
      </c>
      <c r="F48" s="174"/>
      <c r="G48" s="173">
        <f>G47+H47</f>
        <v>4253.4139999999998</v>
      </c>
      <c r="H48" s="174"/>
      <c r="I48" s="207"/>
      <c r="J48" s="207"/>
      <c r="K48" s="205"/>
      <c r="L48" s="171"/>
      <c r="M48" s="171"/>
      <c r="N48" s="290"/>
      <c r="P48" s="2"/>
      <c r="Q48" s="2"/>
      <c r="R48" s="2"/>
      <c r="S48" s="2"/>
      <c r="T48" s="2"/>
      <c r="U48" s="2"/>
      <c r="V48" s="2"/>
    </row>
    <row r="49" spans="1:22" ht="21" customHeight="1">
      <c r="A49" s="246" t="s">
        <v>75</v>
      </c>
      <c r="B49" s="247"/>
      <c r="C49" s="248"/>
      <c r="D49" s="112">
        <f>D47/C8</f>
        <v>702.03432598039205</v>
      </c>
      <c r="E49" s="338">
        <f>E47/C8</f>
        <v>15.197263235294118</v>
      </c>
      <c r="F49" s="339">
        <f>F47/C8</f>
        <v>14.535002696078429</v>
      </c>
      <c r="G49" s="338">
        <f>G47/C8</f>
        <v>14.543989705882353</v>
      </c>
      <c r="H49" s="340">
        <f>H47/C8</f>
        <v>6.3060789215686279</v>
      </c>
      <c r="I49" s="276">
        <f>I47/C8</f>
        <v>95.866403676470583</v>
      </c>
      <c r="J49" s="276">
        <f>J47/C8</f>
        <v>198.83258578431375</v>
      </c>
      <c r="K49" s="184">
        <f>K47/C8</f>
        <v>0.66304931372549014</v>
      </c>
      <c r="L49" s="171"/>
      <c r="M49" s="171"/>
      <c r="N49" s="290"/>
      <c r="U49" s="11"/>
      <c r="V49" s="11"/>
    </row>
    <row r="50" spans="1:22" ht="21" customHeight="1">
      <c r="A50" s="249"/>
      <c r="B50" s="250"/>
      <c r="C50" s="251"/>
      <c r="D50" s="98"/>
      <c r="E50" s="341">
        <f>E49+F49</f>
        <v>29.732265931372545</v>
      </c>
      <c r="F50" s="342"/>
      <c r="G50" s="341">
        <f>G49+H49</f>
        <v>20.85006862745098</v>
      </c>
      <c r="H50" s="342"/>
      <c r="I50" s="187"/>
      <c r="J50" s="187"/>
      <c r="K50" s="185"/>
      <c r="L50" s="171"/>
      <c r="M50" s="171"/>
      <c r="N50" s="290"/>
      <c r="U50" s="11"/>
      <c r="V50" s="11"/>
    </row>
    <row r="51" spans="1:22" ht="21" customHeight="1">
      <c r="A51" s="322" t="s">
        <v>76</v>
      </c>
      <c r="B51" s="323"/>
      <c r="C51" s="324"/>
      <c r="D51" s="325" t="s">
        <v>27</v>
      </c>
      <c r="E51" s="245" t="s">
        <v>21</v>
      </c>
      <c r="F51" s="245"/>
      <c r="G51" s="245" t="s">
        <v>22</v>
      </c>
      <c r="H51" s="245"/>
      <c r="I51" s="150" t="s">
        <v>23</v>
      </c>
      <c r="J51" s="343">
        <v>600</v>
      </c>
      <c r="K51" s="343">
        <v>0.74</v>
      </c>
      <c r="L51" s="171"/>
      <c r="M51" s="171"/>
      <c r="N51" s="290"/>
      <c r="O51" s="327"/>
      <c r="P51" s="308"/>
      <c r="Q51" s="310"/>
      <c r="R51" s="310"/>
      <c r="S51" s="310"/>
      <c r="T51" s="310"/>
      <c r="U51" s="321"/>
      <c r="V51" s="321"/>
    </row>
    <row r="52" spans="1:22" ht="21" customHeight="1">
      <c r="A52" s="164" t="s">
        <v>69</v>
      </c>
      <c r="B52" s="168"/>
      <c r="C52" s="165"/>
      <c r="D52" s="19"/>
      <c r="E52" s="169">
        <f>E50*4.1</f>
        <v>121.90229031862742</v>
      </c>
      <c r="F52" s="170"/>
      <c r="G52" s="169">
        <f>G50*9</f>
        <v>187.65061764705882</v>
      </c>
      <c r="H52" s="170"/>
      <c r="I52" s="68">
        <f>I49*4.1</f>
        <v>393.05225507352935</v>
      </c>
      <c r="J52" s="175"/>
      <c r="K52" s="175"/>
      <c r="L52" s="171"/>
      <c r="M52" s="171"/>
      <c r="N52" s="290"/>
      <c r="O52" s="327"/>
      <c r="P52" s="329"/>
      <c r="Q52" s="307"/>
      <c r="R52" s="307"/>
      <c r="S52" s="307"/>
      <c r="T52" s="308"/>
      <c r="U52" s="308"/>
      <c r="V52" s="308"/>
    </row>
    <row r="53" spans="1:22" ht="21" customHeight="1">
      <c r="A53" s="160" t="s">
        <v>70</v>
      </c>
      <c r="B53" s="161"/>
      <c r="C53" s="164" t="s">
        <v>58</v>
      </c>
      <c r="D53" s="165"/>
      <c r="E53" s="166">
        <f>E52*100/D49</f>
        <v>17.364149558982131</v>
      </c>
      <c r="F53" s="167"/>
      <c r="G53" s="166">
        <f>G52*100/D49</f>
        <v>26.729550208959431</v>
      </c>
      <c r="H53" s="167"/>
      <c r="I53" s="86">
        <f>I52*100/D49</f>
        <v>55.987612076465247</v>
      </c>
      <c r="J53" s="176"/>
      <c r="K53" s="176"/>
      <c r="L53" s="171"/>
      <c r="M53" s="171"/>
      <c r="N53" s="290"/>
      <c r="O53" s="327"/>
      <c r="P53" s="308"/>
      <c r="Q53" s="309"/>
      <c r="R53" s="308"/>
      <c r="S53" s="308"/>
      <c r="T53" s="308"/>
      <c r="U53" s="308"/>
      <c r="V53" s="308"/>
    </row>
    <row r="54" spans="1:22" ht="21" customHeight="1">
      <c r="A54" s="162"/>
      <c r="B54" s="163"/>
      <c r="C54" s="164" t="s">
        <v>71</v>
      </c>
      <c r="D54" s="165"/>
      <c r="E54" s="164" t="s">
        <v>72</v>
      </c>
      <c r="F54" s="165"/>
      <c r="G54" s="164" t="s">
        <v>73</v>
      </c>
      <c r="H54" s="165"/>
      <c r="I54" s="325" t="s">
        <v>74</v>
      </c>
      <c r="J54" s="177"/>
      <c r="K54" s="177"/>
      <c r="L54" s="171"/>
      <c r="M54" s="171"/>
      <c r="N54" s="290"/>
      <c r="O54" s="327"/>
      <c r="P54" s="84"/>
    </row>
    <row r="55" spans="1:22" ht="21" customHeight="1">
      <c r="A55" s="70"/>
      <c r="B55" s="71"/>
      <c r="C55" s="70"/>
      <c r="D55" s="70"/>
      <c r="E55" s="70"/>
      <c r="F55" s="70"/>
      <c r="G55" s="70"/>
      <c r="H55" s="70"/>
      <c r="I55" s="70"/>
      <c r="J55" s="70"/>
      <c r="K55" s="70"/>
      <c r="L55" s="72"/>
      <c r="M55" s="72"/>
      <c r="N55" s="73"/>
      <c r="O55" s="327"/>
    </row>
    <row r="56" spans="1:22" ht="21" customHeight="1">
      <c r="A56" s="156" t="s">
        <v>100</v>
      </c>
      <c r="B56" s="156"/>
      <c r="C56" s="156"/>
      <c r="D56" s="156"/>
      <c r="E56" s="156"/>
      <c r="F56" s="156"/>
      <c r="G56" s="156"/>
      <c r="H56" s="156"/>
      <c r="I56" s="156"/>
      <c r="J56" s="156"/>
      <c r="K56" s="156"/>
      <c r="L56" s="156"/>
      <c r="M56" s="156"/>
      <c r="N56" s="156"/>
      <c r="O56" s="327"/>
    </row>
    <row r="57" spans="1:22" ht="21" customHeight="1">
      <c r="A57" s="87" t="s">
        <v>101</v>
      </c>
      <c r="B57" s="157" t="s">
        <v>102</v>
      </c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7"/>
      <c r="N57" s="157"/>
      <c r="O57" s="327"/>
    </row>
    <row r="58" spans="1:22" ht="21" customHeight="1">
      <c r="A58" s="88"/>
      <c r="B58" s="158" t="s">
        <v>196</v>
      </c>
      <c r="C58" s="158"/>
      <c r="D58" s="158"/>
      <c r="E58" s="158"/>
      <c r="F58" s="158"/>
      <c r="G58" s="158"/>
      <c r="H58" s="158"/>
      <c r="I58" s="158"/>
      <c r="J58" s="158"/>
      <c r="K58" s="158"/>
      <c r="L58" s="158"/>
      <c r="M58" s="158"/>
      <c r="N58" s="158"/>
      <c r="O58" s="327"/>
    </row>
    <row r="59" spans="1:22" ht="21" customHeight="1">
      <c r="A59" s="88"/>
      <c r="B59" s="158" t="s">
        <v>197</v>
      </c>
      <c r="C59" s="158"/>
      <c r="D59" s="158"/>
      <c r="E59" s="158"/>
      <c r="F59" s="158"/>
      <c r="G59" s="158"/>
      <c r="H59" s="158"/>
      <c r="I59" s="158"/>
      <c r="J59" s="158"/>
      <c r="K59" s="158"/>
      <c r="L59" s="158"/>
      <c r="M59" s="158"/>
      <c r="N59" s="158"/>
      <c r="O59" s="327"/>
    </row>
    <row r="60" spans="1:22" ht="21" customHeight="1">
      <c r="A60" s="88"/>
      <c r="B60" s="158" t="s">
        <v>171</v>
      </c>
      <c r="C60" s="15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  <c r="O60" s="327"/>
    </row>
    <row r="61" spans="1:22" ht="21" customHeight="1">
      <c r="A61" s="70"/>
      <c r="B61" s="159" t="s">
        <v>107</v>
      </c>
      <c r="C61" s="159"/>
      <c r="D61" s="159"/>
      <c r="E61" s="159"/>
      <c r="F61" s="159"/>
      <c r="G61" s="159"/>
      <c r="H61" s="159"/>
      <c r="I61" s="159"/>
      <c r="J61" s="159"/>
      <c r="K61" s="159"/>
      <c r="L61" s="159"/>
      <c r="M61" s="159"/>
      <c r="N61" s="159"/>
      <c r="O61" s="327"/>
    </row>
    <row r="62" spans="1:22" ht="21" customHeight="1">
      <c r="A62" s="70"/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89"/>
      <c r="M62" s="89"/>
      <c r="N62" s="90"/>
      <c r="O62" s="327"/>
    </row>
    <row r="63" spans="1:22" ht="21" customHeight="1">
      <c r="A63" s="154" t="s">
        <v>60</v>
      </c>
      <c r="B63" s="154"/>
      <c r="C63" s="154"/>
      <c r="D63" s="154"/>
      <c r="E63" s="330"/>
      <c r="F63" s="330"/>
      <c r="G63" s="330"/>
      <c r="H63" s="330"/>
      <c r="I63" s="330"/>
      <c r="J63" s="331" t="s">
        <v>36</v>
      </c>
      <c r="K63" s="331"/>
      <c r="L63" s="331"/>
      <c r="M63" s="331"/>
      <c r="N63" s="331"/>
      <c r="O63" s="327"/>
    </row>
    <row r="64" spans="1:22" ht="21" customHeight="1">
      <c r="A64" s="152"/>
      <c r="B64" s="152"/>
      <c r="C64" s="152"/>
      <c r="D64" s="330"/>
      <c r="E64" s="330"/>
      <c r="F64" s="330"/>
      <c r="G64" s="330"/>
      <c r="H64" s="332"/>
      <c r="I64" s="332"/>
      <c r="J64" s="332"/>
      <c r="K64" s="332"/>
      <c r="L64" s="332"/>
      <c r="M64" s="332"/>
      <c r="N64" s="332"/>
      <c r="O64" s="327"/>
    </row>
    <row r="65" spans="1:22" ht="21" customHeight="1">
      <c r="A65" s="152"/>
      <c r="B65" s="152"/>
      <c r="C65" s="152"/>
      <c r="D65" s="330"/>
      <c r="E65" s="330"/>
      <c r="F65" s="330"/>
      <c r="G65" s="330"/>
      <c r="H65" s="332"/>
      <c r="I65" s="332"/>
      <c r="J65" s="332"/>
      <c r="K65" s="332"/>
      <c r="L65" s="332"/>
      <c r="M65" s="332"/>
      <c r="N65" s="332"/>
      <c r="O65" s="327"/>
    </row>
    <row r="66" spans="1:22" ht="21" customHeight="1">
      <c r="A66" s="152"/>
      <c r="B66" s="152"/>
      <c r="C66" s="152"/>
      <c r="D66" s="330"/>
      <c r="E66" s="330"/>
      <c r="F66" s="330"/>
      <c r="G66" s="330"/>
      <c r="H66" s="332"/>
      <c r="I66" s="332"/>
      <c r="J66" s="333" t="s">
        <v>103</v>
      </c>
      <c r="K66" s="333"/>
      <c r="L66" s="333"/>
      <c r="M66" s="333"/>
      <c r="N66" s="333"/>
      <c r="O66" s="327"/>
    </row>
    <row r="67" spans="1:22" ht="21" customHeight="1">
      <c r="A67" s="155" t="s">
        <v>84</v>
      </c>
      <c r="B67" s="155"/>
      <c r="C67" s="155"/>
      <c r="D67" s="155"/>
      <c r="E67" s="330"/>
      <c r="F67" s="330"/>
      <c r="G67" s="330"/>
      <c r="H67" s="332"/>
      <c r="I67" s="332"/>
      <c r="O67" s="327"/>
    </row>
    <row r="68" spans="1:22" ht="21" customHeight="1">
      <c r="A68" s="152"/>
      <c r="B68" s="152"/>
      <c r="C68" s="152"/>
      <c r="D68" s="330"/>
      <c r="E68" s="330"/>
      <c r="F68" s="330"/>
      <c r="G68" s="330"/>
      <c r="H68" s="332"/>
      <c r="I68" s="332"/>
      <c r="J68" s="332"/>
      <c r="K68" s="332"/>
      <c r="L68" s="332"/>
      <c r="M68" s="332"/>
      <c r="N68" s="332"/>
      <c r="O68" s="327"/>
      <c r="Q68" s="76"/>
      <c r="R68" s="76"/>
      <c r="S68" s="76"/>
      <c r="T68" s="76"/>
      <c r="U68" s="76"/>
      <c r="V68" s="76"/>
    </row>
    <row r="69" spans="1:22" ht="21" customHeight="1">
      <c r="A69" s="152"/>
      <c r="B69" s="152"/>
      <c r="C69" s="152"/>
      <c r="D69" s="330"/>
      <c r="E69" s="330"/>
      <c r="F69" s="330"/>
      <c r="G69" s="330"/>
      <c r="H69" s="332"/>
      <c r="I69" s="332"/>
      <c r="J69" s="333" t="s">
        <v>114</v>
      </c>
      <c r="K69" s="333"/>
      <c r="L69" s="333"/>
      <c r="M69" s="333"/>
      <c r="N69" s="333"/>
      <c r="O69" s="327"/>
      <c r="Q69" s="76"/>
      <c r="R69" s="76"/>
      <c r="S69" s="76"/>
      <c r="T69" s="76"/>
      <c r="U69" s="76"/>
      <c r="V69" s="76"/>
    </row>
    <row r="70" spans="1:22" ht="21" customHeight="1">
      <c r="A70" s="152"/>
      <c r="B70" s="152"/>
      <c r="C70" s="152"/>
      <c r="D70" s="330"/>
      <c r="E70" s="330"/>
      <c r="F70" s="330"/>
      <c r="G70" s="330"/>
      <c r="H70" s="332"/>
      <c r="I70" s="332"/>
      <c r="J70" s="332"/>
      <c r="K70" s="332"/>
      <c r="L70" s="332"/>
      <c r="M70" s="332"/>
      <c r="N70" s="332"/>
      <c r="O70" s="327"/>
      <c r="Q70" s="76"/>
      <c r="R70" s="76"/>
      <c r="S70" s="76"/>
      <c r="T70" s="76"/>
      <c r="U70" s="76"/>
      <c r="V70" s="76"/>
    </row>
    <row r="71" spans="1:22" ht="21" customHeight="1">
      <c r="A71" s="152"/>
      <c r="B71" s="152"/>
      <c r="C71" s="152"/>
      <c r="D71" s="330"/>
      <c r="E71" s="330"/>
      <c r="F71" s="330"/>
      <c r="G71" s="330"/>
      <c r="H71" s="332"/>
      <c r="I71" s="332"/>
      <c r="J71" s="332"/>
      <c r="K71" s="332"/>
      <c r="L71" s="332"/>
      <c r="M71" s="332"/>
      <c r="N71" s="332"/>
      <c r="O71" s="327"/>
      <c r="Q71" s="76"/>
      <c r="R71" s="76"/>
      <c r="S71" s="76"/>
      <c r="T71" s="76"/>
      <c r="U71" s="76"/>
      <c r="V71" s="76"/>
    </row>
    <row r="72" spans="1:22" ht="21" customHeight="1">
      <c r="A72" s="152"/>
      <c r="B72" s="152"/>
      <c r="C72" s="152"/>
      <c r="D72" s="330"/>
      <c r="E72" s="330"/>
      <c r="F72" s="330"/>
      <c r="G72" s="330"/>
      <c r="H72" s="332"/>
      <c r="I72" s="332"/>
      <c r="J72" s="332"/>
      <c r="K72" s="332"/>
      <c r="L72" s="332"/>
      <c r="M72" s="332"/>
      <c r="N72" s="332"/>
      <c r="O72" s="327"/>
      <c r="Q72" s="76"/>
      <c r="R72" s="76"/>
      <c r="S72" s="76"/>
      <c r="T72" s="76"/>
      <c r="U72" s="76"/>
      <c r="V72" s="76"/>
    </row>
    <row r="73" spans="1:22" ht="21" customHeight="1">
      <c r="A73" s="152"/>
      <c r="B73" s="152"/>
      <c r="C73" s="152"/>
      <c r="D73" s="330"/>
      <c r="E73" s="330"/>
      <c r="F73" s="330"/>
      <c r="G73" s="330"/>
      <c r="H73" s="332"/>
      <c r="I73" s="332"/>
      <c r="J73" s="332"/>
      <c r="K73" s="332"/>
      <c r="L73" s="332"/>
      <c r="M73" s="332"/>
      <c r="N73" s="332"/>
      <c r="O73" s="327"/>
      <c r="Q73" s="76"/>
      <c r="R73" s="76"/>
      <c r="S73" s="76"/>
      <c r="T73" s="76"/>
      <c r="U73" s="76"/>
      <c r="V73" s="76"/>
    </row>
    <row r="74" spans="1:22" ht="21" customHeight="1">
      <c r="A74" s="152"/>
      <c r="B74" s="152"/>
      <c r="C74" s="152"/>
      <c r="D74" s="330"/>
      <c r="E74" s="330"/>
      <c r="F74" s="330"/>
      <c r="G74" s="330"/>
      <c r="H74" s="332"/>
      <c r="I74" s="332"/>
      <c r="J74" s="332"/>
      <c r="K74" s="332"/>
      <c r="L74" s="332"/>
      <c r="M74" s="332"/>
      <c r="N74" s="332"/>
      <c r="O74" s="327"/>
      <c r="Q74" s="76"/>
      <c r="R74" s="76"/>
      <c r="S74" s="76"/>
      <c r="T74" s="76"/>
      <c r="U74" s="76"/>
      <c r="V74" s="76"/>
    </row>
    <row r="75" spans="1:22" ht="21" customHeight="1">
      <c r="A75" s="152"/>
      <c r="B75" s="152"/>
      <c r="C75" s="152"/>
      <c r="D75" s="330"/>
      <c r="E75" s="330"/>
      <c r="F75" s="330"/>
      <c r="G75" s="330"/>
      <c r="H75" s="332"/>
      <c r="I75" s="332"/>
      <c r="J75" s="332"/>
      <c r="K75" s="332"/>
      <c r="L75" s="332"/>
      <c r="M75" s="332"/>
      <c r="N75" s="332"/>
      <c r="O75" s="327"/>
      <c r="Q75" s="76"/>
      <c r="R75" s="76"/>
      <c r="S75" s="76"/>
      <c r="T75" s="76"/>
      <c r="U75" s="76"/>
      <c r="V75" s="76"/>
    </row>
    <row r="76" spans="1:22" ht="21" customHeight="1">
      <c r="A76" s="152"/>
      <c r="B76" s="152"/>
      <c r="C76" s="152"/>
      <c r="D76" s="330"/>
      <c r="E76" s="330"/>
      <c r="F76" s="330"/>
      <c r="G76" s="330"/>
      <c r="H76" s="332"/>
      <c r="I76" s="332"/>
      <c r="J76" s="332"/>
      <c r="K76" s="332"/>
      <c r="L76" s="332"/>
      <c r="M76" s="332"/>
      <c r="N76" s="332"/>
      <c r="O76" s="327"/>
      <c r="Q76" s="76"/>
      <c r="R76" s="76"/>
      <c r="S76" s="76"/>
      <c r="T76" s="76"/>
      <c r="U76" s="76"/>
      <c r="V76" s="76"/>
    </row>
    <row r="77" spans="1:22" ht="21" customHeight="1">
      <c r="A77" s="152"/>
      <c r="B77" s="152"/>
      <c r="C77" s="152"/>
      <c r="D77" s="330"/>
      <c r="E77" s="330"/>
      <c r="F77" s="330"/>
      <c r="G77" s="330"/>
      <c r="H77" s="332"/>
      <c r="I77" s="332"/>
      <c r="J77" s="332"/>
      <c r="K77" s="332"/>
      <c r="L77" s="332"/>
      <c r="M77" s="332"/>
      <c r="N77" s="332"/>
      <c r="O77" s="327"/>
      <c r="Q77" s="76"/>
      <c r="R77" s="76"/>
      <c r="S77" s="76"/>
      <c r="T77" s="76"/>
      <c r="U77" s="76"/>
      <c r="V77" s="76"/>
    </row>
    <row r="78" spans="1:22" ht="19.2" customHeight="1">
      <c r="A78" s="10" t="s">
        <v>59</v>
      </c>
      <c r="B78" s="7"/>
      <c r="C78" s="7"/>
      <c r="D78" s="7"/>
      <c r="E78" s="7"/>
      <c r="F78" s="244" t="s">
        <v>31</v>
      </c>
      <c r="G78" s="244"/>
      <c r="H78" s="244"/>
      <c r="I78" s="244"/>
      <c r="J78" s="244"/>
      <c r="K78" s="244"/>
      <c r="L78" s="244"/>
      <c r="M78" s="244"/>
      <c r="N78" s="244"/>
      <c r="O78" s="311"/>
      <c r="P78" s="311"/>
      <c r="T78" s="2"/>
    </row>
    <row r="79" spans="1:22" ht="19.2" customHeight="1">
      <c r="A79" s="7" t="s">
        <v>195</v>
      </c>
      <c r="B79" s="7"/>
      <c r="C79" s="7"/>
      <c r="D79" s="7"/>
      <c r="E79" s="7"/>
      <c r="F79" s="149"/>
      <c r="G79" s="149"/>
      <c r="H79" s="149"/>
      <c r="I79" s="149"/>
      <c r="J79" s="149"/>
      <c r="K79" s="149"/>
      <c r="L79" s="149"/>
      <c r="M79" s="149"/>
      <c r="N79" s="149"/>
      <c r="O79" s="311"/>
      <c r="P79" s="311"/>
      <c r="T79" s="2"/>
    </row>
    <row r="80" spans="1:22" s="2" customFormat="1" ht="19.2" customHeight="1">
      <c r="A80" s="245" t="s">
        <v>95</v>
      </c>
      <c r="B80" s="245"/>
      <c r="C80" s="245"/>
      <c r="D80" s="245"/>
      <c r="E80" s="245" t="s">
        <v>82</v>
      </c>
      <c r="F80" s="245"/>
      <c r="G80" s="245"/>
      <c r="H80" s="245"/>
      <c r="I80" s="245"/>
      <c r="J80" s="245"/>
      <c r="K80" s="245"/>
      <c r="L80" s="245"/>
      <c r="M80" s="245"/>
      <c r="N80" s="245"/>
      <c r="O80" s="312"/>
    </row>
    <row r="81" spans="1:20" s="2" customFormat="1" ht="19.2" customHeight="1">
      <c r="A81" s="245"/>
      <c r="B81" s="245"/>
      <c r="C81" s="245"/>
      <c r="D81" s="245"/>
      <c r="E81" s="245" t="s">
        <v>94</v>
      </c>
      <c r="F81" s="245"/>
      <c r="G81" s="245"/>
      <c r="H81" s="245"/>
      <c r="I81" s="245"/>
      <c r="J81" s="245" t="s">
        <v>96</v>
      </c>
      <c r="K81" s="245"/>
      <c r="L81" s="245"/>
      <c r="M81" s="245"/>
      <c r="N81" s="245"/>
      <c r="O81" s="312"/>
    </row>
    <row r="82" spans="1:20" s="2" customFormat="1" ht="19.2" customHeight="1">
      <c r="A82" s="231" t="s">
        <v>83</v>
      </c>
      <c r="B82" s="231"/>
      <c r="C82" s="231"/>
      <c r="D82" s="231"/>
      <c r="E82" s="232" t="s">
        <v>132</v>
      </c>
      <c r="F82" s="232"/>
      <c r="G82" s="232"/>
      <c r="H82" s="232"/>
      <c r="I82" s="232"/>
      <c r="J82" s="233" t="s">
        <v>83</v>
      </c>
      <c r="K82" s="234"/>
      <c r="L82" s="234"/>
      <c r="M82" s="234"/>
      <c r="N82" s="235"/>
      <c r="O82" s="312"/>
    </row>
    <row r="83" spans="1:20" s="2" customFormat="1" ht="19.2" customHeight="1">
      <c r="A83" s="269" t="s">
        <v>130</v>
      </c>
      <c r="B83" s="270"/>
      <c r="C83" s="270"/>
      <c r="D83" s="271"/>
      <c r="E83" s="232"/>
      <c r="F83" s="232"/>
      <c r="G83" s="232"/>
      <c r="H83" s="232"/>
      <c r="I83" s="232"/>
      <c r="J83" s="237" t="s">
        <v>149</v>
      </c>
      <c r="K83" s="238"/>
      <c r="L83" s="238"/>
      <c r="M83" s="238"/>
      <c r="N83" s="239"/>
      <c r="O83" s="312"/>
    </row>
    <row r="84" spans="1:20" s="2" customFormat="1" ht="19.2" customHeight="1">
      <c r="A84" s="240" t="s">
        <v>166</v>
      </c>
      <c r="B84" s="240"/>
      <c r="C84" s="240"/>
      <c r="D84" s="240"/>
      <c r="E84" s="232"/>
      <c r="F84" s="232"/>
      <c r="G84" s="232"/>
      <c r="H84" s="232"/>
      <c r="I84" s="232"/>
      <c r="J84" s="241" t="s">
        <v>170</v>
      </c>
      <c r="K84" s="242"/>
      <c r="L84" s="242"/>
      <c r="M84" s="242"/>
      <c r="N84" s="243"/>
      <c r="O84" s="312"/>
    </row>
    <row r="85" spans="1:20" ht="19.2" customHeight="1">
      <c r="A85" s="277" t="s">
        <v>110</v>
      </c>
      <c r="B85" s="277"/>
      <c r="C85" s="279">
        <v>59</v>
      </c>
      <c r="D85" s="279"/>
      <c r="E85" s="7"/>
      <c r="F85" s="149"/>
      <c r="G85" s="149"/>
      <c r="H85" s="149"/>
      <c r="I85" s="149"/>
      <c r="J85" s="149"/>
      <c r="K85" s="149"/>
      <c r="L85" s="149"/>
      <c r="M85" s="149"/>
      <c r="N85" s="149"/>
      <c r="O85" s="311"/>
      <c r="P85" s="311"/>
      <c r="T85" s="2"/>
    </row>
    <row r="86" spans="1:20" ht="19.2" customHeight="1">
      <c r="A86" s="211" t="s">
        <v>0</v>
      </c>
      <c r="B86" s="214" t="s">
        <v>19</v>
      </c>
      <c r="C86" s="217" t="s">
        <v>8</v>
      </c>
      <c r="D86" s="217" t="s">
        <v>9</v>
      </c>
      <c r="E86" s="220" t="s">
        <v>11</v>
      </c>
      <c r="F86" s="221"/>
      <c r="G86" s="220" t="s">
        <v>13</v>
      </c>
      <c r="H86" s="221"/>
      <c r="I86" s="208" t="s">
        <v>16</v>
      </c>
      <c r="J86" s="208" t="s">
        <v>32</v>
      </c>
      <c r="K86" s="208" t="s">
        <v>33</v>
      </c>
      <c r="L86" s="208" t="s">
        <v>17</v>
      </c>
      <c r="M86" s="208" t="s">
        <v>34</v>
      </c>
      <c r="N86" s="211" t="s">
        <v>18</v>
      </c>
      <c r="O86" s="313"/>
    </row>
    <row r="87" spans="1:20" ht="19.2" customHeight="1">
      <c r="A87" s="212"/>
      <c r="B87" s="215"/>
      <c r="C87" s="218"/>
      <c r="D87" s="218"/>
      <c r="E87" s="222"/>
      <c r="F87" s="223"/>
      <c r="G87" s="222"/>
      <c r="H87" s="223"/>
      <c r="I87" s="209"/>
      <c r="J87" s="209"/>
      <c r="K87" s="209"/>
      <c r="L87" s="209"/>
      <c r="M87" s="209"/>
      <c r="N87" s="212"/>
      <c r="O87" s="152"/>
    </row>
    <row r="88" spans="1:20" ht="19.2" customHeight="1">
      <c r="A88" s="212"/>
      <c r="B88" s="215"/>
      <c r="C88" s="218"/>
      <c r="D88" s="218"/>
      <c r="E88" s="208" t="s">
        <v>10</v>
      </c>
      <c r="F88" s="208" t="s">
        <v>12</v>
      </c>
      <c r="G88" s="208" t="s">
        <v>14</v>
      </c>
      <c r="H88" s="208" t="s">
        <v>15</v>
      </c>
      <c r="I88" s="209"/>
      <c r="J88" s="209"/>
      <c r="K88" s="209"/>
      <c r="L88" s="209"/>
      <c r="M88" s="209"/>
      <c r="N88" s="212"/>
      <c r="O88" s="152"/>
    </row>
    <row r="89" spans="1:20" ht="30.6" customHeight="1">
      <c r="A89" s="213"/>
      <c r="B89" s="216"/>
      <c r="C89" s="219"/>
      <c r="D89" s="219"/>
      <c r="E89" s="210"/>
      <c r="F89" s="210"/>
      <c r="G89" s="210"/>
      <c r="H89" s="210"/>
      <c r="I89" s="210"/>
      <c r="J89" s="210"/>
      <c r="K89" s="210"/>
      <c r="L89" s="210"/>
      <c r="M89" s="210"/>
      <c r="N89" s="213"/>
      <c r="O89" s="152"/>
    </row>
    <row r="90" spans="1:20" ht="17.399999999999999" customHeight="1">
      <c r="A90" s="225" t="s">
        <v>42</v>
      </c>
      <c r="B90" s="226"/>
      <c r="C90" s="226"/>
      <c r="D90" s="226"/>
      <c r="E90" s="226"/>
      <c r="F90" s="226"/>
      <c r="G90" s="226"/>
      <c r="H90" s="226"/>
      <c r="I90" s="226"/>
      <c r="J90" s="226"/>
      <c r="K90" s="226"/>
      <c r="L90" s="226"/>
      <c r="M90" s="226"/>
      <c r="N90" s="227"/>
      <c r="O90" s="152"/>
    </row>
    <row r="91" spans="1:20" s="2" customFormat="1" ht="17.399999999999999" customHeight="1">
      <c r="A91" s="8">
        <v>1</v>
      </c>
      <c r="B91" s="9" t="s">
        <v>2</v>
      </c>
      <c r="C91" s="12">
        <f>L91/100*100</f>
        <v>80</v>
      </c>
      <c r="D91" s="13">
        <f>C91/100*60</f>
        <v>48</v>
      </c>
      <c r="E91" s="14">
        <f>C91/100*15</f>
        <v>12</v>
      </c>
      <c r="F91" s="14"/>
      <c r="G91" s="14"/>
      <c r="H91" s="14"/>
      <c r="I91" s="14"/>
      <c r="J91" s="22">
        <f>C91/100*387</f>
        <v>309.60000000000002</v>
      </c>
      <c r="K91" s="22">
        <f>C91/100*0.09</f>
        <v>7.1999999999999995E-2</v>
      </c>
      <c r="L91" s="111">
        <v>80</v>
      </c>
      <c r="M91" s="20">
        <v>20</v>
      </c>
      <c r="N91" s="16">
        <f>L91*M91</f>
        <v>1600</v>
      </c>
      <c r="O91" s="314"/>
    </row>
    <row r="92" spans="1:20" s="2" customFormat="1" ht="17.399999999999999" customHeight="1">
      <c r="A92" s="8">
        <v>2</v>
      </c>
      <c r="B92" s="129" t="s">
        <v>121</v>
      </c>
      <c r="C92" s="12">
        <f>L92/100*100</f>
        <v>300</v>
      </c>
      <c r="D92" s="13">
        <f>C92/100*899</f>
        <v>2697</v>
      </c>
      <c r="E92" s="14"/>
      <c r="F92" s="14"/>
      <c r="G92" s="14">
        <f>C92/100*100</f>
        <v>300</v>
      </c>
      <c r="H92" s="14"/>
      <c r="I92" s="14"/>
      <c r="J92" s="22"/>
      <c r="K92" s="22"/>
      <c r="L92" s="111">
        <v>300</v>
      </c>
      <c r="M92" s="110">
        <v>68</v>
      </c>
      <c r="N92" s="113">
        <f t="shared" ref="N92:N101" si="6">L92*M92</f>
        <v>20400</v>
      </c>
      <c r="O92" s="314"/>
    </row>
    <row r="93" spans="1:20" s="2" customFormat="1" ht="17.399999999999999" customHeight="1">
      <c r="A93" s="8">
        <v>3</v>
      </c>
      <c r="B93" s="129" t="s">
        <v>126</v>
      </c>
      <c r="C93" s="12">
        <f t="shared" ref="C93" si="7">L93/100*100</f>
        <v>140</v>
      </c>
      <c r="D93" s="65">
        <f>C93/100*900</f>
        <v>1260</v>
      </c>
      <c r="E93" s="14"/>
      <c r="F93" s="14"/>
      <c r="G93" s="91"/>
      <c r="H93" s="14">
        <f>C93/100*100</f>
        <v>140</v>
      </c>
      <c r="I93" s="14"/>
      <c r="J93" s="14"/>
      <c r="K93" s="14"/>
      <c r="L93" s="111">
        <v>140</v>
      </c>
      <c r="M93" s="65">
        <v>63.5</v>
      </c>
      <c r="N93" s="93">
        <f t="shared" si="6"/>
        <v>8890</v>
      </c>
      <c r="O93" s="315"/>
    </row>
    <row r="94" spans="1:20" s="2" customFormat="1" ht="17.399999999999999" customHeight="1">
      <c r="A94" s="8">
        <v>4</v>
      </c>
      <c r="B94" s="9" t="s">
        <v>119</v>
      </c>
      <c r="C94" s="12">
        <f>L94/100*100</f>
        <v>350</v>
      </c>
      <c r="D94" s="13">
        <f>C94/100*53</f>
        <v>185.5</v>
      </c>
      <c r="E94" s="14"/>
      <c r="F94" s="14">
        <f>C94/100*6.3</f>
        <v>22.05</v>
      </c>
      <c r="G94" s="14"/>
      <c r="H94" s="14">
        <f>C94/100*0.04</f>
        <v>0.14000000000000001</v>
      </c>
      <c r="I94" s="14">
        <f>C94/100*6.8</f>
        <v>23.8</v>
      </c>
      <c r="J94" s="22">
        <f>C94/100*19</f>
        <v>66.5</v>
      </c>
      <c r="K94" s="22">
        <f>C94/100*0.03</f>
        <v>0.105</v>
      </c>
      <c r="L94" s="111">
        <v>350</v>
      </c>
      <c r="M94" s="20">
        <v>42.5</v>
      </c>
      <c r="N94" s="16">
        <f t="shared" si="6"/>
        <v>14875</v>
      </c>
      <c r="O94" s="337"/>
    </row>
    <row r="95" spans="1:20" s="2" customFormat="1" ht="17.399999999999999" customHeight="1">
      <c r="A95" s="8">
        <v>5</v>
      </c>
      <c r="B95" s="9" t="s">
        <v>129</v>
      </c>
      <c r="C95" s="12">
        <f>L95/100*90</f>
        <v>54</v>
      </c>
      <c r="D95" s="13">
        <f>C95/100*281</f>
        <v>151.74</v>
      </c>
      <c r="E95" s="14"/>
      <c r="F95" s="14">
        <f>C95/100*9.5</f>
        <v>5.1300000000000008</v>
      </c>
      <c r="G95" s="14"/>
      <c r="H95" s="14">
        <f>C95/100*0.2</f>
        <v>0.10800000000000001</v>
      </c>
      <c r="I95" s="14">
        <f>D95/100*58.5</f>
        <v>88.767900000000012</v>
      </c>
      <c r="J95" s="22">
        <f>C95/100*321</f>
        <v>173.34</v>
      </c>
      <c r="K95" s="22">
        <f>C95/100*0.14</f>
        <v>7.5600000000000014E-2</v>
      </c>
      <c r="L95" s="111">
        <v>60</v>
      </c>
      <c r="M95" s="43">
        <v>120</v>
      </c>
      <c r="N95" s="16">
        <f t="shared" si="6"/>
        <v>7200</v>
      </c>
      <c r="O95" s="337"/>
    </row>
    <row r="96" spans="1:20" s="2" customFormat="1" ht="17.399999999999999" customHeight="1">
      <c r="A96" s="8">
        <v>6</v>
      </c>
      <c r="B96" s="5" t="s">
        <v>1</v>
      </c>
      <c r="C96" s="12">
        <f>L96/100*100</f>
        <v>2537</v>
      </c>
      <c r="D96" s="13">
        <f>C96/100*344</f>
        <v>8727.2800000000007</v>
      </c>
      <c r="E96" s="14"/>
      <c r="F96" s="14">
        <f>C96/100*7.9</f>
        <v>200.42300000000003</v>
      </c>
      <c r="G96" s="14"/>
      <c r="H96" s="14">
        <f>C96/100*1</f>
        <v>25.37</v>
      </c>
      <c r="I96" s="91">
        <f>C96/100*72.6</f>
        <v>1841.8619999999999</v>
      </c>
      <c r="J96" s="22">
        <f>C96/100*30</f>
        <v>761.1</v>
      </c>
      <c r="K96" s="22">
        <f>C96/100*0.1</f>
        <v>2.5370000000000004</v>
      </c>
      <c r="L96" s="111">
        <v>2537</v>
      </c>
      <c r="M96" s="20">
        <v>18</v>
      </c>
      <c r="N96" s="16">
        <f t="shared" si="6"/>
        <v>45666</v>
      </c>
      <c r="O96" s="314"/>
    </row>
    <row r="97" spans="1:23" s="2" customFormat="1" ht="17.399999999999999" customHeight="1">
      <c r="A97" s="8">
        <v>7</v>
      </c>
      <c r="B97" s="9" t="s">
        <v>66</v>
      </c>
      <c r="C97" s="12">
        <f>L97/100*98</f>
        <v>2430.4</v>
      </c>
      <c r="D97" s="13">
        <f>C97/100*139</f>
        <v>3378.2560000000003</v>
      </c>
      <c r="E97" s="14">
        <f>C97/100*19</f>
        <v>461.77600000000007</v>
      </c>
      <c r="F97" s="14"/>
      <c r="G97" s="14">
        <f>C97/100*7</f>
        <v>170.12800000000001</v>
      </c>
      <c r="H97" s="14"/>
      <c r="I97" s="14"/>
      <c r="J97" s="22">
        <f>C97/100*7</f>
        <v>170.12800000000001</v>
      </c>
      <c r="K97" s="22">
        <f>C97/100*0.9</f>
        <v>21.873600000000003</v>
      </c>
      <c r="L97" s="111">
        <v>2480</v>
      </c>
      <c r="M97" s="42">
        <v>137</v>
      </c>
      <c r="N97" s="44">
        <f t="shared" si="6"/>
        <v>339760</v>
      </c>
      <c r="O97" s="314"/>
    </row>
    <row r="98" spans="1:23" s="2" customFormat="1" ht="17.399999999999999" customHeight="1">
      <c r="A98" s="8">
        <v>8</v>
      </c>
      <c r="B98" s="5" t="s">
        <v>3</v>
      </c>
      <c r="C98" s="12">
        <f>L98/100*48</f>
        <v>792</v>
      </c>
      <c r="D98" s="13">
        <f>C98/100*199</f>
        <v>1576.08</v>
      </c>
      <c r="E98" s="14">
        <f>C98/100*20.3</f>
        <v>160.77600000000001</v>
      </c>
      <c r="F98" s="14"/>
      <c r="G98" s="14">
        <f>C98/100*13.1</f>
        <v>103.752</v>
      </c>
      <c r="H98" s="14"/>
      <c r="I98" s="14"/>
      <c r="J98" s="22">
        <f>C98/100*12</f>
        <v>95.039999999999992</v>
      </c>
      <c r="K98" s="22">
        <f>C98/100*0.15</f>
        <v>1.1879999999999999</v>
      </c>
      <c r="L98" s="111">
        <v>1650</v>
      </c>
      <c r="M98" s="15">
        <v>84</v>
      </c>
      <c r="N98" s="16">
        <f t="shared" si="6"/>
        <v>138600</v>
      </c>
      <c r="O98" s="314"/>
      <c r="Q98" s="3"/>
      <c r="R98" s="3"/>
      <c r="S98" s="4"/>
    </row>
    <row r="99" spans="1:23" s="2" customFormat="1" ht="18" customHeight="1">
      <c r="A99" s="8">
        <v>9</v>
      </c>
      <c r="B99" s="5" t="s">
        <v>168</v>
      </c>
      <c r="C99" s="12">
        <f>L99/100*78</f>
        <v>1287</v>
      </c>
      <c r="D99" s="13">
        <f>C99/100*37</f>
        <v>476.19</v>
      </c>
      <c r="E99" s="14"/>
      <c r="F99" s="14">
        <f>C99/100*2.8</f>
        <v>36.035999999999994</v>
      </c>
      <c r="G99" s="14"/>
      <c r="H99" s="14">
        <f>C99/100*0.1</f>
        <v>1.2869999999999999</v>
      </c>
      <c r="I99" s="14">
        <f>C99/100*6.2</f>
        <v>79.793999999999997</v>
      </c>
      <c r="J99" s="22">
        <f>C99/100*46</f>
        <v>592.02</v>
      </c>
      <c r="K99" s="22">
        <f>C99/100*0.06</f>
        <v>0.77219999999999989</v>
      </c>
      <c r="L99" s="15">
        <v>1650</v>
      </c>
      <c r="M99" s="20">
        <v>20</v>
      </c>
      <c r="N99" s="16">
        <f t="shared" si="6"/>
        <v>33000</v>
      </c>
      <c r="O99" s="314"/>
      <c r="Q99" s="3"/>
      <c r="R99" s="3"/>
      <c r="S99" s="4"/>
    </row>
    <row r="100" spans="1:23" s="2" customFormat="1" ht="17.399999999999999" customHeight="1">
      <c r="A100" s="8">
        <v>10</v>
      </c>
      <c r="B100" s="5" t="s">
        <v>5</v>
      </c>
      <c r="C100" s="12">
        <f>L100/100*98.5</f>
        <v>462.95000000000005</v>
      </c>
      <c r="D100" s="13">
        <f>C100/100*39</f>
        <v>180.5505</v>
      </c>
      <c r="E100" s="17"/>
      <c r="F100" s="17">
        <f>C100/100*1.5</f>
        <v>6.9442500000000003</v>
      </c>
      <c r="G100" s="17"/>
      <c r="H100" s="17">
        <f>C100/100*0.2</f>
        <v>0.92590000000000006</v>
      </c>
      <c r="I100" s="17">
        <f>C100/100*7.8</f>
        <v>36.110100000000003</v>
      </c>
      <c r="J100" s="21">
        <f>C100/100*43</f>
        <v>199.0685</v>
      </c>
      <c r="K100" s="21">
        <f>C100/100*0.06</f>
        <v>0.27777000000000002</v>
      </c>
      <c r="L100" s="318">
        <v>470</v>
      </c>
      <c r="M100" s="15">
        <v>17</v>
      </c>
      <c r="N100" s="16">
        <f t="shared" si="6"/>
        <v>7990</v>
      </c>
      <c r="O100" s="314"/>
      <c r="Q100" s="3"/>
      <c r="R100" s="3"/>
      <c r="S100" s="4"/>
    </row>
    <row r="101" spans="1:23" s="2" customFormat="1" ht="17.399999999999999" customHeight="1">
      <c r="A101" s="8">
        <v>11</v>
      </c>
      <c r="B101" s="5" t="s">
        <v>117</v>
      </c>
      <c r="C101" s="12">
        <f>L101/100*100</f>
        <v>50</v>
      </c>
      <c r="D101" s="13">
        <f>C101/100*247</f>
        <v>123.5</v>
      </c>
      <c r="E101" s="17"/>
      <c r="F101" s="17">
        <f>C101/100*17.5</f>
        <v>8.75</v>
      </c>
      <c r="G101" s="17"/>
      <c r="H101" s="17">
        <f>C101/100*1.6</f>
        <v>0.8</v>
      </c>
      <c r="I101" s="17">
        <f>C101/100*39.2</f>
        <v>19.600000000000001</v>
      </c>
      <c r="J101" s="21"/>
      <c r="K101" s="21"/>
      <c r="L101" s="318">
        <v>50</v>
      </c>
      <c r="M101" s="20">
        <v>50</v>
      </c>
      <c r="N101" s="113">
        <f t="shared" si="6"/>
        <v>2500</v>
      </c>
      <c r="O101" s="314"/>
      <c r="Q101" s="3"/>
      <c r="R101" s="3"/>
      <c r="S101" s="4"/>
      <c r="T101" s="3"/>
    </row>
    <row r="102" spans="1:23" s="2" customFormat="1" ht="17.399999999999999" customHeight="1">
      <c r="A102" s="8">
        <v>12</v>
      </c>
      <c r="B102" s="9" t="s">
        <v>111</v>
      </c>
      <c r="C102" s="12"/>
      <c r="D102" s="13"/>
      <c r="E102" s="14"/>
      <c r="F102" s="14"/>
      <c r="G102" s="14"/>
      <c r="H102" s="14"/>
      <c r="I102" s="14"/>
      <c r="J102" s="14"/>
      <c r="K102" s="14"/>
      <c r="L102" s="15"/>
      <c r="M102" s="15"/>
      <c r="N102" s="16">
        <v>3950</v>
      </c>
      <c r="O102" s="314"/>
    </row>
    <row r="103" spans="1:23" s="2" customFormat="1" ht="17.399999999999999" customHeight="1">
      <c r="A103" s="23" t="s">
        <v>104</v>
      </c>
      <c r="B103" s="24"/>
      <c r="C103" s="25"/>
      <c r="D103" s="94">
        <f>SUM(D91:D102)</f>
        <v>18804.0965</v>
      </c>
      <c r="E103" s="31"/>
      <c r="F103" s="31"/>
      <c r="G103" s="31"/>
      <c r="H103" s="31"/>
      <c r="I103" s="31"/>
      <c r="J103" s="31"/>
      <c r="K103" s="31"/>
      <c r="L103" s="32"/>
      <c r="M103" s="32"/>
      <c r="N103" s="292">
        <f>SUM(N91:N102)</f>
        <v>624431</v>
      </c>
      <c r="O103" s="314"/>
    </row>
    <row r="104" spans="1:23" ht="17.399999999999999" customHeight="1">
      <c r="A104" s="23" t="s">
        <v>43</v>
      </c>
      <c r="B104" s="24"/>
      <c r="C104" s="33"/>
      <c r="D104" s="34">
        <f>D103/C85</f>
        <v>318.71350000000001</v>
      </c>
      <c r="E104" s="34"/>
      <c r="F104" s="34"/>
      <c r="G104" s="34"/>
      <c r="H104" s="34"/>
      <c r="I104" s="34"/>
      <c r="J104" s="34"/>
      <c r="K104" s="34"/>
      <c r="L104" s="35"/>
      <c r="M104" s="35"/>
      <c r="N104" s="293"/>
      <c r="O104" s="4"/>
      <c r="P104" s="2"/>
      <c r="Q104" s="2"/>
      <c r="R104" s="2"/>
      <c r="S104" s="2"/>
      <c r="T104" s="2"/>
      <c r="U104" s="2"/>
      <c r="V104" s="2"/>
      <c r="W104" s="2"/>
    </row>
    <row r="105" spans="1:23" ht="17.399999999999999" customHeight="1">
      <c r="A105" s="283" t="s">
        <v>52</v>
      </c>
      <c r="B105" s="193"/>
      <c r="C105" s="319" t="s">
        <v>133</v>
      </c>
      <c r="D105" s="29" t="s">
        <v>38</v>
      </c>
      <c r="E105" s="34"/>
      <c r="F105" s="34"/>
      <c r="G105" s="34"/>
      <c r="H105" s="34"/>
      <c r="I105" s="34"/>
      <c r="J105" s="36"/>
      <c r="K105" s="36"/>
      <c r="L105" s="35"/>
      <c r="M105" s="35"/>
      <c r="N105" s="153"/>
      <c r="O105" s="4"/>
      <c r="P105" s="2"/>
      <c r="Q105" s="2"/>
      <c r="R105" s="2"/>
      <c r="S105" s="2"/>
      <c r="T105" s="2"/>
      <c r="U105" s="2"/>
      <c r="V105" s="2"/>
      <c r="W105" s="2"/>
    </row>
    <row r="106" spans="1:23" ht="17.399999999999999" customHeight="1">
      <c r="A106" s="194"/>
      <c r="B106" s="195"/>
      <c r="C106" s="62" t="s">
        <v>58</v>
      </c>
      <c r="D106" s="29">
        <f>D104*100/930</f>
        <v>34.270268817204304</v>
      </c>
      <c r="E106" s="34"/>
      <c r="F106" s="34"/>
      <c r="G106" s="34"/>
      <c r="H106" s="34"/>
      <c r="I106" s="34"/>
      <c r="J106" s="36"/>
      <c r="K106" s="36"/>
      <c r="L106" s="35"/>
      <c r="M106" s="35"/>
      <c r="N106" s="153"/>
      <c r="O106" s="4"/>
      <c r="P106" s="2"/>
      <c r="Q106" s="2"/>
      <c r="R106" s="2"/>
      <c r="S106" s="2"/>
      <c r="T106" s="2"/>
      <c r="U106" s="2"/>
      <c r="V106" s="2"/>
      <c r="W106" s="2"/>
    </row>
    <row r="107" spans="1:23" s="2" customFormat="1" ht="17.399999999999999" customHeight="1">
      <c r="A107" s="291" t="s">
        <v>45</v>
      </c>
      <c r="B107" s="224"/>
      <c r="C107" s="45"/>
      <c r="D107" s="46"/>
      <c r="E107" s="47"/>
      <c r="F107" s="47"/>
      <c r="G107" s="47"/>
      <c r="H107" s="47"/>
      <c r="I107" s="47"/>
      <c r="J107" s="47"/>
      <c r="K107" s="47"/>
      <c r="L107" s="48"/>
      <c r="M107" s="48"/>
      <c r="N107" s="49"/>
      <c r="O107" s="314"/>
    </row>
    <row r="108" spans="1:23" s="2" customFormat="1" ht="17.399999999999999" customHeight="1">
      <c r="A108" s="8">
        <v>1</v>
      </c>
      <c r="B108" s="9" t="s">
        <v>2</v>
      </c>
      <c r="C108" s="12">
        <f>L108/100*100</f>
        <v>70</v>
      </c>
      <c r="D108" s="13">
        <f>C108/100*60</f>
        <v>42</v>
      </c>
      <c r="E108" s="14">
        <f>C108/100*15</f>
        <v>10.5</v>
      </c>
      <c r="F108" s="14"/>
      <c r="G108" s="14"/>
      <c r="H108" s="14"/>
      <c r="I108" s="14"/>
      <c r="J108" s="22">
        <f>C108/100*387</f>
        <v>270.89999999999998</v>
      </c>
      <c r="K108" s="22">
        <f>C108/100*0.09</f>
        <v>6.3E-2</v>
      </c>
      <c r="L108" s="111">
        <v>70</v>
      </c>
      <c r="M108" s="20">
        <v>20</v>
      </c>
      <c r="N108" s="16">
        <f>L108*M108</f>
        <v>1400</v>
      </c>
      <c r="O108" s="314"/>
    </row>
    <row r="109" spans="1:23" s="2" customFormat="1" ht="17.399999999999999" customHeight="1">
      <c r="A109" s="8">
        <v>2</v>
      </c>
      <c r="B109" s="9" t="s">
        <v>121</v>
      </c>
      <c r="C109" s="12">
        <f>L109/100*100</f>
        <v>200</v>
      </c>
      <c r="D109" s="13">
        <f>C109/100*899</f>
        <v>1798</v>
      </c>
      <c r="E109" s="14"/>
      <c r="F109" s="14"/>
      <c r="G109" s="14">
        <f>C109/100*100</f>
        <v>200</v>
      </c>
      <c r="H109" s="14"/>
      <c r="I109" s="14"/>
      <c r="J109" s="22"/>
      <c r="K109" s="22"/>
      <c r="L109" s="111">
        <v>200</v>
      </c>
      <c r="M109" s="110">
        <v>68</v>
      </c>
      <c r="N109" s="113">
        <f t="shared" ref="N109:N116" si="8">L109*M109</f>
        <v>13600</v>
      </c>
      <c r="O109" s="314"/>
    </row>
    <row r="110" spans="1:23" s="2" customFormat="1" ht="17.399999999999999" customHeight="1">
      <c r="A110" s="8">
        <v>3</v>
      </c>
      <c r="B110" s="5" t="s">
        <v>1</v>
      </c>
      <c r="C110" s="12">
        <f>L110/100*100</f>
        <v>2478</v>
      </c>
      <c r="D110" s="13">
        <f>C110/100*344</f>
        <v>8524.32</v>
      </c>
      <c r="E110" s="14"/>
      <c r="F110" s="14">
        <f>C110/100*7.9</f>
        <v>195.76200000000003</v>
      </c>
      <c r="G110" s="14"/>
      <c r="H110" s="14">
        <f>C110/100*1</f>
        <v>24.78</v>
      </c>
      <c r="I110" s="91">
        <f>C110/100*72.6</f>
        <v>1799.028</v>
      </c>
      <c r="J110" s="22">
        <f>C110/100*30</f>
        <v>743.40000000000009</v>
      </c>
      <c r="K110" s="22">
        <f>C110/100*0.1</f>
        <v>2.4780000000000002</v>
      </c>
      <c r="L110" s="111">
        <v>2478</v>
      </c>
      <c r="M110" s="20">
        <v>18</v>
      </c>
      <c r="N110" s="16">
        <f t="shared" si="8"/>
        <v>44604</v>
      </c>
      <c r="O110" s="314"/>
    </row>
    <row r="111" spans="1:23" s="2" customFormat="1" ht="17.399999999999999" customHeight="1">
      <c r="A111" s="8">
        <v>4</v>
      </c>
      <c r="B111" s="9" t="s">
        <v>123</v>
      </c>
      <c r="C111" s="12">
        <f>L111/100*31</f>
        <v>182.9</v>
      </c>
      <c r="D111" s="13">
        <f>C111/100*87</f>
        <v>159.12299999999999</v>
      </c>
      <c r="E111" s="14">
        <f>C111/100*12.3</f>
        <v>22.496700000000001</v>
      </c>
      <c r="F111" s="14"/>
      <c r="G111" s="14">
        <f>C111/100*3.3</f>
        <v>6.0356999999999994</v>
      </c>
      <c r="H111" s="14"/>
      <c r="I111" s="14">
        <f>C111/100*2</f>
        <v>3.6579999999999999</v>
      </c>
      <c r="J111" s="22">
        <f>C111/100*120</f>
        <v>219.48</v>
      </c>
      <c r="K111" s="22">
        <f>C111/100*0.01</f>
        <v>1.8290000000000001E-2</v>
      </c>
      <c r="L111" s="111">
        <v>590</v>
      </c>
      <c r="M111" s="102">
        <v>160</v>
      </c>
      <c r="N111" s="16">
        <f t="shared" si="8"/>
        <v>94400</v>
      </c>
      <c r="O111" s="314"/>
    </row>
    <row r="112" spans="1:23" s="2" customFormat="1" ht="17.399999999999999" customHeight="1">
      <c r="A112" s="8">
        <v>5</v>
      </c>
      <c r="B112" s="9" t="s">
        <v>63</v>
      </c>
      <c r="C112" s="12">
        <f>L112/100*86</f>
        <v>1530.8</v>
      </c>
      <c r="D112" s="13">
        <f>C112/100*166</f>
        <v>2541.1280000000002</v>
      </c>
      <c r="E112" s="14">
        <f>C112/100*14.8</f>
        <v>226.55840000000001</v>
      </c>
      <c r="F112" s="14"/>
      <c r="G112" s="14">
        <f>C112/100*11.6</f>
        <v>177.5728</v>
      </c>
      <c r="H112" s="14"/>
      <c r="I112" s="14">
        <f>C112/100*0.5</f>
        <v>7.6539999999999999</v>
      </c>
      <c r="J112" s="14">
        <f>C112/100*55</f>
        <v>841.93999999999994</v>
      </c>
      <c r="K112" s="14">
        <f>C112/100*0.16</f>
        <v>2.4492799999999999</v>
      </c>
      <c r="L112" s="111">
        <v>1780</v>
      </c>
      <c r="M112" s="43">
        <v>62</v>
      </c>
      <c r="N112" s="16">
        <f t="shared" si="8"/>
        <v>110360</v>
      </c>
      <c r="O112" s="314"/>
      <c r="Q112" s="3"/>
      <c r="R112" s="3"/>
      <c r="S112" s="4"/>
      <c r="T112" s="3"/>
    </row>
    <row r="113" spans="1:23" s="2" customFormat="1" ht="17.399999999999999" customHeight="1">
      <c r="A113" s="8">
        <v>6</v>
      </c>
      <c r="B113" s="9" t="s">
        <v>66</v>
      </c>
      <c r="C113" s="12">
        <f>L113/100*98</f>
        <v>578.20000000000005</v>
      </c>
      <c r="D113" s="13">
        <f>C113/100*139</f>
        <v>803.69799999999998</v>
      </c>
      <c r="E113" s="14">
        <f>C113/100*19</f>
        <v>109.858</v>
      </c>
      <c r="F113" s="14"/>
      <c r="G113" s="14">
        <f>C113/100*7</f>
        <v>40.474000000000004</v>
      </c>
      <c r="H113" s="14"/>
      <c r="I113" s="14"/>
      <c r="J113" s="22">
        <f>C113/100*7</f>
        <v>40.474000000000004</v>
      </c>
      <c r="K113" s="22">
        <f>C113/100*0.9</f>
        <v>5.2038000000000002</v>
      </c>
      <c r="L113" s="111">
        <v>590</v>
      </c>
      <c r="M113" s="42">
        <v>137</v>
      </c>
      <c r="N113" s="44">
        <f t="shared" si="8"/>
        <v>80830</v>
      </c>
      <c r="O113" s="314"/>
    </row>
    <row r="114" spans="1:23" s="2" customFormat="1" ht="17.399999999999999" customHeight="1">
      <c r="A114" s="8">
        <v>7</v>
      </c>
      <c r="B114" s="5" t="s">
        <v>117</v>
      </c>
      <c r="C114" s="12">
        <f>L114/100*100</f>
        <v>50</v>
      </c>
      <c r="D114" s="13">
        <f>C114/100*247</f>
        <v>123.5</v>
      </c>
      <c r="E114" s="17"/>
      <c r="F114" s="17">
        <f>C114/100*17.5</f>
        <v>8.75</v>
      </c>
      <c r="G114" s="17"/>
      <c r="H114" s="17">
        <f>C114/100*1.6</f>
        <v>0.8</v>
      </c>
      <c r="I114" s="17">
        <f>C114/100*39.2</f>
        <v>19.600000000000001</v>
      </c>
      <c r="J114" s="21"/>
      <c r="K114" s="21"/>
      <c r="L114" s="317">
        <v>50</v>
      </c>
      <c r="M114" s="20">
        <v>50</v>
      </c>
      <c r="N114" s="113">
        <f t="shared" si="8"/>
        <v>2500</v>
      </c>
      <c r="O114" s="314"/>
      <c r="Q114" s="3"/>
      <c r="R114" s="3"/>
      <c r="S114" s="4"/>
      <c r="T114" s="3"/>
    </row>
    <row r="115" spans="1:23" s="2" customFormat="1" ht="16.8" customHeight="1">
      <c r="A115" s="8">
        <v>8</v>
      </c>
      <c r="B115" s="5" t="s">
        <v>159</v>
      </c>
      <c r="C115" s="12">
        <f>L115/100*65</f>
        <v>1072.5</v>
      </c>
      <c r="D115" s="13">
        <f>C115/100*14</f>
        <v>150.15</v>
      </c>
      <c r="E115" s="14"/>
      <c r="F115" s="14">
        <f>C115/100*1.6</f>
        <v>17.16</v>
      </c>
      <c r="G115" s="14"/>
      <c r="H115" s="14"/>
      <c r="I115" s="14">
        <f>C115/100*1.9</f>
        <v>20.377499999999998</v>
      </c>
      <c r="J115" s="14">
        <f>C115/100*63</f>
        <v>675.67499999999995</v>
      </c>
      <c r="K115" s="14">
        <f>C115/100*0.01</f>
        <v>0.10725</v>
      </c>
      <c r="L115" s="111">
        <v>1650</v>
      </c>
      <c r="M115" s="20">
        <v>24</v>
      </c>
      <c r="N115" s="16">
        <f t="shared" si="8"/>
        <v>39600</v>
      </c>
      <c r="O115" s="314"/>
    </row>
    <row r="116" spans="1:23" s="2" customFormat="1" ht="17.399999999999999" customHeight="1">
      <c r="A116" s="8">
        <v>9</v>
      </c>
      <c r="B116" s="5" t="s">
        <v>20</v>
      </c>
      <c r="C116" s="12">
        <f>L116/100*95</f>
        <v>845.5</v>
      </c>
      <c r="D116" s="13">
        <f>C116/100*20</f>
        <v>169.1</v>
      </c>
      <c r="E116" s="14"/>
      <c r="F116" s="14">
        <f>C116/100*0.6</f>
        <v>5.0729999999999995</v>
      </c>
      <c r="G116" s="14"/>
      <c r="H116" s="14">
        <f>C116/100*0.2</f>
        <v>1.6910000000000001</v>
      </c>
      <c r="I116" s="14">
        <f>C116/100*4</f>
        <v>33.82</v>
      </c>
      <c r="J116" s="21">
        <f>C116/100*12</f>
        <v>101.46000000000001</v>
      </c>
      <c r="K116" s="21">
        <f>C116/100*0.04</f>
        <v>0.3382</v>
      </c>
      <c r="L116" s="317">
        <v>890</v>
      </c>
      <c r="M116" s="15">
        <v>22</v>
      </c>
      <c r="N116" s="16">
        <f t="shared" si="8"/>
        <v>19580</v>
      </c>
      <c r="O116" s="314"/>
      <c r="Q116" s="3"/>
      <c r="R116" s="3"/>
    </row>
    <row r="117" spans="1:23" s="2" customFormat="1" ht="17.399999999999999" customHeight="1">
      <c r="A117" s="8">
        <v>10</v>
      </c>
      <c r="B117" s="9" t="s">
        <v>111</v>
      </c>
      <c r="C117" s="12"/>
      <c r="D117" s="13"/>
      <c r="E117" s="14"/>
      <c r="F117" s="14"/>
      <c r="G117" s="14"/>
      <c r="H117" s="14"/>
      <c r="I117" s="14"/>
      <c r="J117" s="14"/>
      <c r="K117" s="14"/>
      <c r="L117" s="15"/>
      <c r="M117" s="15"/>
      <c r="N117" s="16">
        <v>3950</v>
      </c>
      <c r="O117" s="314"/>
    </row>
    <row r="118" spans="1:23" s="2" customFormat="1" ht="17.399999999999999" customHeight="1">
      <c r="A118" s="23" t="s">
        <v>105</v>
      </c>
      <c r="B118" s="24"/>
      <c r="C118" s="25"/>
      <c r="D118" s="94">
        <f>SUM(D108:D117)</f>
        <v>14311.019</v>
      </c>
      <c r="E118" s="31"/>
      <c r="F118" s="31"/>
      <c r="G118" s="31"/>
      <c r="H118" s="31"/>
      <c r="I118" s="31"/>
      <c r="J118" s="31"/>
      <c r="K118" s="31"/>
      <c r="L118" s="32"/>
      <c r="M118" s="32"/>
      <c r="N118" s="292">
        <f>SUM(N108:N117)</f>
        <v>410824</v>
      </c>
      <c r="O118" s="314"/>
    </row>
    <row r="119" spans="1:23" ht="17.399999999999999" customHeight="1">
      <c r="A119" s="23" t="s">
        <v>46</v>
      </c>
      <c r="B119" s="24"/>
      <c r="C119" s="52"/>
      <c r="D119" s="36">
        <f>D118/C85</f>
        <v>242.55964406779663</v>
      </c>
      <c r="E119" s="36"/>
      <c r="F119" s="36"/>
      <c r="G119" s="36"/>
      <c r="H119" s="36"/>
      <c r="I119" s="36"/>
      <c r="J119" s="36"/>
      <c r="K119" s="36"/>
      <c r="L119" s="53"/>
      <c r="M119" s="35"/>
      <c r="N119" s="293"/>
      <c r="O119" s="4"/>
      <c r="P119" s="2"/>
      <c r="Q119" s="2"/>
      <c r="R119" s="2"/>
      <c r="S119" s="2"/>
      <c r="T119" s="2"/>
      <c r="U119" s="2"/>
      <c r="V119" s="2"/>
      <c r="W119" s="2"/>
    </row>
    <row r="120" spans="1:23" ht="17.399999999999999" customHeight="1">
      <c r="A120" s="283" t="s">
        <v>53</v>
      </c>
      <c r="B120" s="193"/>
      <c r="C120" s="319" t="s">
        <v>133</v>
      </c>
      <c r="D120" s="29" t="s">
        <v>48</v>
      </c>
      <c r="E120" s="34"/>
      <c r="F120" s="34"/>
      <c r="G120" s="34"/>
      <c r="H120" s="34"/>
      <c r="I120" s="34"/>
      <c r="J120" s="36"/>
      <c r="K120" s="36"/>
      <c r="L120" s="35"/>
      <c r="M120" s="35"/>
      <c r="N120" s="153"/>
      <c r="O120" s="4"/>
      <c r="P120" s="2"/>
      <c r="Q120" s="2"/>
      <c r="R120" s="2"/>
      <c r="S120" s="2"/>
      <c r="T120" s="2"/>
      <c r="U120" s="2"/>
      <c r="V120" s="2"/>
      <c r="W120" s="2"/>
    </row>
    <row r="121" spans="1:23" ht="17.399999999999999" customHeight="1">
      <c r="A121" s="194"/>
      <c r="B121" s="195"/>
      <c r="C121" s="62" t="s">
        <v>58</v>
      </c>
      <c r="D121" s="29">
        <f>D119*100/930</f>
        <v>26.081682157827593</v>
      </c>
      <c r="E121" s="34"/>
      <c r="F121" s="34"/>
      <c r="G121" s="34"/>
      <c r="H121" s="34"/>
      <c r="I121" s="34"/>
      <c r="J121" s="36"/>
      <c r="K121" s="36"/>
      <c r="L121" s="35"/>
      <c r="M121" s="35"/>
      <c r="N121" s="153"/>
      <c r="O121" s="4"/>
      <c r="P121" s="2"/>
      <c r="Q121" s="2"/>
      <c r="R121" s="2"/>
      <c r="S121" s="2"/>
      <c r="T121" s="2"/>
      <c r="U121" s="2"/>
      <c r="V121" s="2"/>
      <c r="W121" s="2"/>
    </row>
    <row r="122" spans="1:23" ht="17.399999999999999" customHeight="1">
      <c r="A122" s="224" t="s">
        <v>39</v>
      </c>
      <c r="B122" s="224"/>
      <c r="C122" s="54"/>
      <c r="D122" s="55"/>
      <c r="E122" s="55"/>
      <c r="F122" s="55"/>
      <c r="G122" s="55"/>
      <c r="H122" s="55"/>
      <c r="I122" s="55"/>
      <c r="J122" s="55"/>
      <c r="K122" s="55"/>
      <c r="L122" s="56"/>
      <c r="M122" s="56"/>
      <c r="N122" s="57"/>
      <c r="O122" s="4"/>
      <c r="P122" s="2"/>
      <c r="Q122" s="2"/>
      <c r="R122" s="2"/>
      <c r="S122" s="2"/>
      <c r="T122" s="2"/>
      <c r="U122" s="2"/>
      <c r="V122" s="2"/>
      <c r="W122" s="2"/>
    </row>
    <row r="123" spans="1:23" s="2" customFormat="1" ht="17.399999999999999" customHeight="1">
      <c r="A123" s="119">
        <v>1</v>
      </c>
      <c r="B123" s="141" t="s">
        <v>131</v>
      </c>
      <c r="C123" s="25">
        <f>L123/100*100</f>
        <v>1010</v>
      </c>
      <c r="D123" s="120">
        <f>C123/100*487</f>
        <v>4918.7</v>
      </c>
      <c r="E123" s="27"/>
      <c r="F123" s="27">
        <f>C123/100*19.5</f>
        <v>196.95</v>
      </c>
      <c r="G123" s="27"/>
      <c r="H123" s="27">
        <f>C123/100*23.2</f>
        <v>234.32</v>
      </c>
      <c r="I123" s="27">
        <f>C123/100*46</f>
        <v>464.59999999999997</v>
      </c>
      <c r="J123" s="121">
        <f>C123/100*680</f>
        <v>6868</v>
      </c>
      <c r="K123" s="27">
        <f>C123/100*0.55</f>
        <v>5.5550000000000006</v>
      </c>
      <c r="L123" s="28">
        <v>1010</v>
      </c>
      <c r="M123" s="142">
        <v>260</v>
      </c>
      <c r="N123" s="122">
        <f t="shared" ref="N123" si="9">L123*M123</f>
        <v>262600</v>
      </c>
      <c r="O123" s="314"/>
      <c r="P123" s="3"/>
    </row>
    <row r="124" spans="1:23" ht="19.2" customHeight="1">
      <c r="A124" s="211" t="s">
        <v>0</v>
      </c>
      <c r="B124" s="214" t="s">
        <v>19</v>
      </c>
      <c r="C124" s="217" t="s">
        <v>8</v>
      </c>
      <c r="D124" s="217" t="s">
        <v>9</v>
      </c>
      <c r="E124" s="220" t="s">
        <v>11</v>
      </c>
      <c r="F124" s="221"/>
      <c r="G124" s="220" t="s">
        <v>13</v>
      </c>
      <c r="H124" s="221"/>
      <c r="I124" s="208" t="s">
        <v>16</v>
      </c>
      <c r="J124" s="208" t="s">
        <v>32</v>
      </c>
      <c r="K124" s="208" t="s">
        <v>33</v>
      </c>
      <c r="L124" s="208" t="s">
        <v>17</v>
      </c>
      <c r="M124" s="208" t="s">
        <v>34</v>
      </c>
      <c r="N124" s="211" t="s">
        <v>18</v>
      </c>
      <c r="O124" s="313"/>
    </row>
    <row r="125" spans="1:23" ht="19.2" customHeight="1">
      <c r="A125" s="212"/>
      <c r="B125" s="215"/>
      <c r="C125" s="218"/>
      <c r="D125" s="218"/>
      <c r="E125" s="222"/>
      <c r="F125" s="223"/>
      <c r="G125" s="222"/>
      <c r="H125" s="223"/>
      <c r="I125" s="209"/>
      <c r="J125" s="209"/>
      <c r="K125" s="209"/>
      <c r="L125" s="209"/>
      <c r="M125" s="209"/>
      <c r="N125" s="212"/>
      <c r="O125" s="152"/>
    </row>
    <row r="126" spans="1:23" ht="19.2" customHeight="1">
      <c r="A126" s="212"/>
      <c r="B126" s="215"/>
      <c r="C126" s="218"/>
      <c r="D126" s="218"/>
      <c r="E126" s="208" t="s">
        <v>10</v>
      </c>
      <c r="F126" s="208" t="s">
        <v>12</v>
      </c>
      <c r="G126" s="208" t="s">
        <v>14</v>
      </c>
      <c r="H126" s="208" t="s">
        <v>15</v>
      </c>
      <c r="I126" s="209"/>
      <c r="J126" s="209"/>
      <c r="K126" s="209"/>
      <c r="L126" s="209"/>
      <c r="M126" s="209"/>
      <c r="N126" s="212"/>
      <c r="O126" s="152"/>
    </row>
    <row r="127" spans="1:23" ht="28.8" customHeight="1">
      <c r="A127" s="213"/>
      <c r="B127" s="216"/>
      <c r="C127" s="219"/>
      <c r="D127" s="219"/>
      <c r="E127" s="210"/>
      <c r="F127" s="210"/>
      <c r="G127" s="210"/>
      <c r="H127" s="210"/>
      <c r="I127" s="210"/>
      <c r="J127" s="210"/>
      <c r="K127" s="210"/>
      <c r="L127" s="210"/>
      <c r="M127" s="210"/>
      <c r="N127" s="213"/>
      <c r="O127" s="152"/>
    </row>
    <row r="128" spans="1:23" s="2" customFormat="1" ht="21" customHeight="1">
      <c r="A128" s="23" t="s">
        <v>98</v>
      </c>
      <c r="B128" s="24"/>
      <c r="C128" s="25"/>
      <c r="D128" s="26">
        <f>SUM(D122:D123)</f>
        <v>4918.7</v>
      </c>
      <c r="E128" s="31"/>
      <c r="F128" s="31"/>
      <c r="G128" s="31"/>
      <c r="H128" s="31"/>
      <c r="I128" s="31"/>
      <c r="J128" s="31"/>
      <c r="K128" s="31"/>
      <c r="L128" s="32"/>
      <c r="M128" s="58"/>
      <c r="N128" s="292">
        <f>SUM(N122:N123)</f>
        <v>262600</v>
      </c>
      <c r="O128" s="314"/>
    </row>
    <row r="129" spans="1:23" ht="21" customHeight="1">
      <c r="A129" s="23" t="s">
        <v>7</v>
      </c>
      <c r="B129" s="24"/>
      <c r="C129" s="33"/>
      <c r="D129" s="34">
        <f>D128/C85</f>
        <v>83.367796610169492</v>
      </c>
      <c r="E129" s="34"/>
      <c r="F129" s="34"/>
      <c r="G129" s="34"/>
      <c r="H129" s="34"/>
      <c r="I129" s="34"/>
      <c r="J129" s="34"/>
      <c r="K129" s="34"/>
      <c r="L129" s="35"/>
      <c r="M129" s="18"/>
      <c r="N129" s="293"/>
      <c r="O129" s="4"/>
      <c r="P129" s="2"/>
      <c r="Q129" s="2"/>
      <c r="R129" s="2"/>
      <c r="S129" s="2"/>
      <c r="T129" s="2"/>
      <c r="U129" s="2"/>
      <c r="V129" s="2"/>
      <c r="W129" s="2"/>
    </row>
    <row r="130" spans="1:23" ht="21" customHeight="1">
      <c r="A130" s="283" t="s">
        <v>51</v>
      </c>
      <c r="B130" s="193"/>
      <c r="C130" s="61" t="s">
        <v>57</v>
      </c>
      <c r="D130" s="29" t="s">
        <v>49</v>
      </c>
      <c r="E130" s="34"/>
      <c r="F130" s="34"/>
      <c r="G130" s="34"/>
      <c r="H130" s="34"/>
      <c r="I130" s="34"/>
      <c r="J130" s="36"/>
      <c r="K130" s="36"/>
      <c r="L130" s="35"/>
      <c r="M130" s="35"/>
      <c r="N130" s="153"/>
      <c r="O130" s="4"/>
      <c r="P130" s="2"/>
      <c r="Q130" s="2"/>
      <c r="R130" s="2"/>
      <c r="S130" s="2"/>
      <c r="T130" s="2"/>
      <c r="U130" s="2"/>
      <c r="V130" s="2"/>
      <c r="W130" s="2"/>
    </row>
    <row r="131" spans="1:23" ht="21" customHeight="1">
      <c r="A131" s="194"/>
      <c r="B131" s="195"/>
      <c r="C131" s="62" t="s">
        <v>58</v>
      </c>
      <c r="D131" s="29">
        <f>D129*100/930</f>
        <v>8.9642792053945701</v>
      </c>
      <c r="E131" s="34"/>
      <c r="F131" s="34"/>
      <c r="G131" s="34"/>
      <c r="H131" s="34"/>
      <c r="I131" s="34"/>
      <c r="J131" s="36"/>
      <c r="K131" s="36"/>
      <c r="L131" s="35"/>
      <c r="M131" s="35"/>
      <c r="N131" s="153"/>
      <c r="O131" s="4"/>
      <c r="P131" s="2"/>
      <c r="Q131" s="2"/>
      <c r="R131" s="2"/>
      <c r="S131" s="2"/>
      <c r="T131" s="2"/>
      <c r="U131" s="2"/>
      <c r="V131" s="2"/>
      <c r="W131" s="2"/>
    </row>
    <row r="132" spans="1:23" ht="21" customHeight="1">
      <c r="A132" s="196" t="s">
        <v>99</v>
      </c>
      <c r="B132" s="197"/>
      <c r="C132" s="200"/>
      <c r="D132" s="202">
        <f>D103+D118+D128</f>
        <v>38033.815499999997</v>
      </c>
      <c r="E132" s="95">
        <f t="shared" ref="E132:I132" si="10">SUM(E91:E123)</f>
        <v>1003.9651000000001</v>
      </c>
      <c r="F132" s="6">
        <f t="shared" si="10"/>
        <v>703.02825000000007</v>
      </c>
      <c r="G132" s="6">
        <f t="shared" si="10"/>
        <v>997.96250000000009</v>
      </c>
      <c r="H132" s="6">
        <f t="shared" si="10"/>
        <v>430.22190000000001</v>
      </c>
      <c r="I132" s="256">
        <f t="shared" si="10"/>
        <v>4438.6714999999995</v>
      </c>
      <c r="J132" s="206">
        <f>SUM(J91:J123)</f>
        <v>12128.1255</v>
      </c>
      <c r="K132" s="204">
        <f>SUM(K91:K123)</f>
        <v>43.113990000000008</v>
      </c>
      <c r="L132" s="171"/>
      <c r="M132" s="171"/>
      <c r="N132" s="290">
        <f>N103+N118+N128</f>
        <v>1297855</v>
      </c>
      <c r="P132" s="2"/>
      <c r="Q132" s="2"/>
      <c r="R132" s="2"/>
      <c r="S132" s="2"/>
      <c r="T132" s="2"/>
      <c r="U132" s="2"/>
      <c r="V132" s="2"/>
    </row>
    <row r="133" spans="1:23" ht="21" customHeight="1">
      <c r="A133" s="198"/>
      <c r="B133" s="199"/>
      <c r="C133" s="201"/>
      <c r="D133" s="203"/>
      <c r="E133" s="173">
        <f>E132+F132</f>
        <v>1706.9933500000002</v>
      </c>
      <c r="F133" s="174"/>
      <c r="G133" s="173">
        <f>G132+H132</f>
        <v>1428.1844000000001</v>
      </c>
      <c r="H133" s="174"/>
      <c r="I133" s="257"/>
      <c r="J133" s="207"/>
      <c r="K133" s="205"/>
      <c r="L133" s="171"/>
      <c r="M133" s="171"/>
      <c r="N133" s="290"/>
      <c r="U133" s="11"/>
      <c r="V133" s="11"/>
    </row>
    <row r="134" spans="1:23" ht="21" customHeight="1">
      <c r="A134" s="178" t="s">
        <v>75</v>
      </c>
      <c r="B134" s="179"/>
      <c r="C134" s="180"/>
      <c r="D134" s="103">
        <f>D132/C85</f>
        <v>644.640940677966</v>
      </c>
      <c r="E134" s="108">
        <f>E132/C85</f>
        <v>17.016357627118648</v>
      </c>
      <c r="F134" s="107">
        <f>F132/C85</f>
        <v>11.915733050847459</v>
      </c>
      <c r="G134" s="108">
        <f>G132/C85</f>
        <v>16.914618644067797</v>
      </c>
      <c r="H134" s="107">
        <f>H132/C85</f>
        <v>7.2918966101694913</v>
      </c>
      <c r="I134" s="184">
        <f>I132/C85</f>
        <v>75.231720338983038</v>
      </c>
      <c r="J134" s="184">
        <f>J132/C85</f>
        <v>205.56144915254237</v>
      </c>
      <c r="K134" s="184">
        <f>K132/C85</f>
        <v>0.73074559322033916</v>
      </c>
      <c r="L134" s="171"/>
      <c r="M134" s="171"/>
      <c r="N134" s="290"/>
      <c r="U134" s="11"/>
      <c r="V134" s="11"/>
    </row>
    <row r="135" spans="1:23" ht="21" customHeight="1">
      <c r="A135" s="181"/>
      <c r="B135" s="182"/>
      <c r="C135" s="183"/>
      <c r="D135" s="98"/>
      <c r="E135" s="296">
        <f>E134+F134</f>
        <v>28.932090677966109</v>
      </c>
      <c r="F135" s="295"/>
      <c r="G135" s="296">
        <f>G134+H134</f>
        <v>24.206515254237289</v>
      </c>
      <c r="H135" s="295"/>
      <c r="I135" s="185"/>
      <c r="J135" s="185"/>
      <c r="K135" s="185"/>
      <c r="L135" s="171"/>
      <c r="M135" s="171"/>
      <c r="N135" s="290"/>
      <c r="P135" s="308"/>
      <c r="Q135" s="310"/>
      <c r="R135" s="310"/>
      <c r="S135" s="310"/>
      <c r="T135" s="310"/>
      <c r="U135" s="321"/>
      <c r="V135" s="321"/>
    </row>
    <row r="136" spans="1:23" ht="21" customHeight="1">
      <c r="A136" s="322" t="s">
        <v>76</v>
      </c>
      <c r="B136" s="323"/>
      <c r="C136" s="324"/>
      <c r="D136" s="325" t="s">
        <v>28</v>
      </c>
      <c r="E136" s="334" t="s">
        <v>24</v>
      </c>
      <c r="F136" s="334"/>
      <c r="G136" s="334" t="s">
        <v>25</v>
      </c>
      <c r="H136" s="334"/>
      <c r="I136" s="325" t="s">
        <v>26</v>
      </c>
      <c r="J136" s="151">
        <v>500</v>
      </c>
      <c r="K136" s="151">
        <v>0.59</v>
      </c>
      <c r="L136" s="171"/>
      <c r="M136" s="171"/>
      <c r="N136" s="290"/>
      <c r="O136" s="327"/>
      <c r="P136" s="328"/>
      <c r="Q136" s="310"/>
      <c r="R136" s="310"/>
      <c r="S136" s="310"/>
      <c r="T136" s="310"/>
      <c r="U136" s="310"/>
      <c r="V136" s="310"/>
    </row>
    <row r="137" spans="1:23" ht="21" customHeight="1">
      <c r="A137" s="164" t="s">
        <v>69</v>
      </c>
      <c r="B137" s="168"/>
      <c r="C137" s="165"/>
      <c r="D137" s="19"/>
      <c r="E137" s="169">
        <f>E135*4.1</f>
        <v>118.62157177966104</v>
      </c>
      <c r="F137" s="170"/>
      <c r="G137" s="169">
        <f>G135*9</f>
        <v>217.85863728813558</v>
      </c>
      <c r="H137" s="170"/>
      <c r="I137" s="68">
        <f>I134*4.1</f>
        <v>308.45005338983043</v>
      </c>
      <c r="J137" s="175"/>
      <c r="K137" s="175"/>
      <c r="L137" s="171"/>
      <c r="M137" s="171"/>
      <c r="N137" s="290"/>
      <c r="O137" s="327"/>
      <c r="P137" s="329"/>
      <c r="Q137" s="307"/>
      <c r="R137" s="307"/>
      <c r="S137" s="307"/>
      <c r="T137" s="308"/>
      <c r="U137" s="308"/>
      <c r="V137" s="308"/>
    </row>
    <row r="138" spans="1:23" ht="21" customHeight="1">
      <c r="A138" s="160" t="s">
        <v>77</v>
      </c>
      <c r="B138" s="161"/>
      <c r="C138" s="164" t="s">
        <v>58</v>
      </c>
      <c r="D138" s="165"/>
      <c r="E138" s="166">
        <f>E137*100/D134</f>
        <v>18.401184953426519</v>
      </c>
      <c r="F138" s="167"/>
      <c r="G138" s="166">
        <f>G137*100/D134</f>
        <v>33.795346144012299</v>
      </c>
      <c r="H138" s="167"/>
      <c r="I138" s="86">
        <f>I137*100/D134</f>
        <v>47.848349976877806</v>
      </c>
      <c r="J138" s="176"/>
      <c r="K138" s="176"/>
      <c r="L138" s="171"/>
      <c r="M138" s="171"/>
      <c r="N138" s="290"/>
      <c r="O138" s="327"/>
      <c r="P138" s="308"/>
      <c r="Q138" s="309"/>
      <c r="R138" s="308"/>
      <c r="S138" s="308"/>
      <c r="T138" s="308"/>
      <c r="U138" s="308"/>
      <c r="V138" s="308"/>
    </row>
    <row r="139" spans="1:23" ht="21" customHeight="1">
      <c r="A139" s="162"/>
      <c r="B139" s="163"/>
      <c r="C139" s="164" t="s">
        <v>71</v>
      </c>
      <c r="D139" s="165"/>
      <c r="E139" s="164" t="s">
        <v>72</v>
      </c>
      <c r="F139" s="165"/>
      <c r="G139" s="164" t="s">
        <v>78</v>
      </c>
      <c r="H139" s="165"/>
      <c r="I139" s="325" t="s">
        <v>79</v>
      </c>
      <c r="J139" s="177"/>
      <c r="K139" s="177"/>
      <c r="L139" s="171"/>
      <c r="M139" s="171"/>
      <c r="N139" s="290"/>
      <c r="O139" s="327"/>
    </row>
    <row r="140" spans="1:23" ht="21" customHeight="1">
      <c r="A140" s="70"/>
      <c r="B140" s="71"/>
      <c r="C140" s="70"/>
      <c r="D140" s="70"/>
      <c r="E140" s="70"/>
      <c r="F140" s="70"/>
      <c r="G140" s="70"/>
      <c r="H140" s="70"/>
      <c r="I140" s="70"/>
      <c r="J140" s="70"/>
      <c r="K140" s="70"/>
      <c r="L140" s="72"/>
      <c r="M140" s="72"/>
      <c r="N140" s="73"/>
      <c r="O140" s="327"/>
      <c r="P140" s="84"/>
    </row>
    <row r="141" spans="1:23" ht="21" customHeight="1">
      <c r="A141" s="156" t="s">
        <v>100</v>
      </c>
      <c r="B141" s="156"/>
      <c r="C141" s="156"/>
      <c r="D141" s="156"/>
      <c r="E141" s="156"/>
      <c r="F141" s="156"/>
      <c r="G141" s="156"/>
      <c r="H141" s="156"/>
      <c r="I141" s="156"/>
      <c r="J141" s="156"/>
      <c r="K141" s="156"/>
      <c r="L141" s="156"/>
      <c r="M141" s="156"/>
      <c r="N141" s="156"/>
      <c r="O141" s="327"/>
    </row>
    <row r="142" spans="1:23" ht="21" customHeight="1">
      <c r="A142" s="87" t="s">
        <v>101</v>
      </c>
      <c r="B142" s="157" t="s">
        <v>102</v>
      </c>
      <c r="C142" s="157"/>
      <c r="D142" s="157"/>
      <c r="E142" s="157"/>
      <c r="F142" s="157"/>
      <c r="G142" s="157"/>
      <c r="H142" s="157"/>
      <c r="I142" s="157"/>
      <c r="J142" s="157"/>
      <c r="K142" s="157"/>
      <c r="L142" s="157"/>
      <c r="M142" s="157"/>
      <c r="N142" s="157"/>
      <c r="O142" s="327"/>
    </row>
    <row r="143" spans="1:23" ht="21" customHeight="1">
      <c r="A143" s="88"/>
      <c r="B143" s="158" t="s">
        <v>198</v>
      </c>
      <c r="C143" s="158"/>
      <c r="D143" s="158"/>
      <c r="E143" s="158"/>
      <c r="F143" s="158"/>
      <c r="G143" s="158"/>
      <c r="H143" s="158"/>
      <c r="I143" s="158"/>
      <c r="J143" s="158"/>
      <c r="K143" s="158"/>
      <c r="L143" s="158"/>
      <c r="M143" s="158"/>
      <c r="N143" s="158"/>
      <c r="O143" s="327"/>
    </row>
    <row r="144" spans="1:23" ht="21" customHeight="1">
      <c r="A144" s="88"/>
      <c r="B144" s="158" t="s">
        <v>199</v>
      </c>
      <c r="C144" s="158"/>
      <c r="D144" s="158"/>
      <c r="E144" s="158"/>
      <c r="F144" s="158"/>
      <c r="G144" s="158"/>
      <c r="H144" s="158"/>
      <c r="I144" s="158"/>
      <c r="J144" s="158"/>
      <c r="K144" s="158"/>
      <c r="L144" s="158"/>
      <c r="M144" s="158"/>
      <c r="N144" s="158"/>
      <c r="O144" s="327"/>
    </row>
    <row r="145" spans="1:15" ht="21" customHeight="1">
      <c r="A145" s="88"/>
      <c r="B145" s="158" t="s">
        <v>169</v>
      </c>
      <c r="C145" s="158"/>
      <c r="D145" s="158"/>
      <c r="E145" s="158"/>
      <c r="F145" s="158"/>
      <c r="G145" s="158"/>
      <c r="H145" s="158"/>
      <c r="I145" s="158"/>
      <c r="J145" s="158"/>
      <c r="K145" s="158"/>
      <c r="L145" s="158"/>
      <c r="M145" s="158"/>
      <c r="N145" s="158"/>
      <c r="O145" s="327"/>
    </row>
    <row r="146" spans="1:15" ht="21" customHeight="1">
      <c r="A146" s="70"/>
      <c r="B146" s="159" t="s">
        <v>107</v>
      </c>
      <c r="C146" s="159"/>
      <c r="D146" s="159"/>
      <c r="E146" s="159"/>
      <c r="F146" s="159"/>
      <c r="G146" s="159"/>
      <c r="H146" s="159"/>
      <c r="I146" s="159"/>
      <c r="J146" s="159"/>
      <c r="K146" s="159"/>
      <c r="L146" s="159"/>
      <c r="M146" s="159"/>
      <c r="N146" s="159"/>
      <c r="O146" s="327"/>
    </row>
    <row r="147" spans="1:15" ht="21" customHeight="1">
      <c r="A147" s="70"/>
      <c r="B147" s="70"/>
      <c r="C147" s="70"/>
      <c r="D147" s="70"/>
      <c r="E147" s="70"/>
      <c r="F147" s="70"/>
      <c r="G147" s="70"/>
      <c r="H147" s="70"/>
      <c r="I147" s="70"/>
      <c r="J147" s="70"/>
      <c r="K147" s="70"/>
      <c r="L147" s="89"/>
      <c r="M147" s="89"/>
      <c r="N147" s="90"/>
      <c r="O147" s="327"/>
    </row>
    <row r="148" spans="1:15" ht="21" customHeight="1">
      <c r="A148" s="154" t="s">
        <v>60</v>
      </c>
      <c r="B148" s="154"/>
      <c r="C148" s="154"/>
      <c r="D148" s="154"/>
      <c r="E148" s="330"/>
      <c r="F148" s="330"/>
      <c r="G148" s="330"/>
      <c r="H148" s="330"/>
      <c r="I148" s="330"/>
      <c r="J148" s="331" t="s">
        <v>36</v>
      </c>
      <c r="K148" s="331"/>
      <c r="L148" s="331"/>
      <c r="M148" s="331"/>
      <c r="N148" s="331"/>
      <c r="O148" s="327"/>
    </row>
    <row r="149" spans="1:15" ht="21" customHeight="1">
      <c r="A149" s="152"/>
      <c r="B149" s="152"/>
      <c r="C149" s="152"/>
      <c r="D149" s="330"/>
      <c r="E149" s="330"/>
      <c r="F149" s="330"/>
      <c r="G149" s="330"/>
      <c r="H149" s="332"/>
      <c r="I149" s="332"/>
      <c r="J149" s="332"/>
      <c r="K149" s="332"/>
      <c r="L149" s="332"/>
      <c r="M149" s="332"/>
      <c r="N149" s="332"/>
      <c r="O149" s="327"/>
    </row>
    <row r="150" spans="1:15" ht="21" customHeight="1">
      <c r="A150" s="152"/>
      <c r="B150" s="152"/>
      <c r="C150" s="152"/>
      <c r="D150" s="330"/>
      <c r="E150" s="330"/>
      <c r="F150" s="330"/>
      <c r="G150" s="330"/>
      <c r="H150" s="332"/>
      <c r="I150" s="332"/>
      <c r="J150" s="332"/>
      <c r="K150" s="332"/>
      <c r="L150" s="332"/>
      <c r="M150" s="332"/>
      <c r="N150" s="332"/>
      <c r="O150" s="327"/>
    </row>
    <row r="151" spans="1:15" ht="21" customHeight="1">
      <c r="A151" s="152"/>
      <c r="B151" s="152"/>
      <c r="C151" s="152"/>
      <c r="D151" s="330"/>
      <c r="E151" s="330"/>
      <c r="F151" s="330"/>
      <c r="G151" s="330"/>
      <c r="H151" s="332"/>
      <c r="I151" s="332"/>
      <c r="J151" s="333" t="s">
        <v>103</v>
      </c>
      <c r="K151" s="333"/>
      <c r="L151" s="333"/>
      <c r="M151" s="333"/>
      <c r="N151" s="333"/>
      <c r="O151" s="327"/>
    </row>
    <row r="152" spans="1:15" ht="21" customHeight="1">
      <c r="A152" s="155" t="s">
        <v>84</v>
      </c>
      <c r="B152" s="155"/>
      <c r="C152" s="155"/>
      <c r="D152" s="155"/>
      <c r="E152" s="330"/>
      <c r="F152" s="330"/>
      <c r="G152" s="330"/>
      <c r="H152" s="332"/>
      <c r="I152" s="332"/>
      <c r="O152" s="327"/>
    </row>
    <row r="153" spans="1:15" ht="21" customHeight="1">
      <c r="J153" s="332"/>
      <c r="K153" s="332"/>
      <c r="L153" s="332"/>
      <c r="M153" s="332"/>
      <c r="N153" s="332"/>
    </row>
    <row r="154" spans="1:15" ht="21" customHeight="1">
      <c r="J154" s="333" t="s">
        <v>114</v>
      </c>
      <c r="K154" s="333"/>
      <c r="L154" s="333"/>
      <c r="M154" s="333"/>
      <c r="N154" s="333"/>
    </row>
  </sheetData>
  <mergeCells count="199">
    <mergeCell ref="F78:N78"/>
    <mergeCell ref="A80:D81"/>
    <mergeCell ref="E80:N80"/>
    <mergeCell ref="A67:D67"/>
    <mergeCell ref="J66:N66"/>
    <mergeCell ref="J69:N69"/>
    <mergeCell ref="A56:N56"/>
    <mergeCell ref="B57:N57"/>
    <mergeCell ref="B58:N58"/>
    <mergeCell ref="B59:N59"/>
    <mergeCell ref="B60:N60"/>
    <mergeCell ref="B61:N61"/>
    <mergeCell ref="A63:D63"/>
    <mergeCell ref="J63:N63"/>
    <mergeCell ref="E81:I81"/>
    <mergeCell ref="J81:N81"/>
    <mergeCell ref="C54:D54"/>
    <mergeCell ref="E54:F54"/>
    <mergeCell ref="G54:H54"/>
    <mergeCell ref="C47:C48"/>
    <mergeCell ref="J52:J54"/>
    <mergeCell ref="K52:K54"/>
    <mergeCell ref="F1:N1"/>
    <mergeCell ref="A5:D5"/>
    <mergeCell ref="A6:D6"/>
    <mergeCell ref="A7:D7"/>
    <mergeCell ref="A3:D3"/>
    <mergeCell ref="E3:N3"/>
    <mergeCell ref="A4:D4"/>
    <mergeCell ref="E4:I7"/>
    <mergeCell ref="J4:N7"/>
    <mergeCell ref="D47:D48"/>
    <mergeCell ref="E51:F51"/>
    <mergeCell ref="G51:H51"/>
    <mergeCell ref="A52:C52"/>
    <mergeCell ref="E52:F52"/>
    <mergeCell ref="G52:H52"/>
    <mergeCell ref="A8:B8"/>
    <mergeCell ref="C8:D8"/>
    <mergeCell ref="A47:B48"/>
    <mergeCell ref="Q51:R51"/>
    <mergeCell ref="S51:T51"/>
    <mergeCell ref="F11:F12"/>
    <mergeCell ref="G11:G12"/>
    <mergeCell ref="M39:M42"/>
    <mergeCell ref="N39:N42"/>
    <mergeCell ref="F41:F42"/>
    <mergeCell ref="G41:G42"/>
    <mergeCell ref="H41:H42"/>
    <mergeCell ref="J47:J48"/>
    <mergeCell ref="K47:K48"/>
    <mergeCell ref="J49:J50"/>
    <mergeCell ref="K49:K50"/>
    <mergeCell ref="I47:I48"/>
    <mergeCell ref="G39:H40"/>
    <mergeCell ref="I39:I42"/>
    <mergeCell ref="J39:J42"/>
    <mergeCell ref="K39:K42"/>
    <mergeCell ref="L39:L42"/>
    <mergeCell ref="N26:N27"/>
    <mergeCell ref="A13:N13"/>
    <mergeCell ref="A9:A12"/>
    <mergeCell ref="B9:B12"/>
    <mergeCell ref="C9:C12"/>
    <mergeCell ref="U51:V51"/>
    <mergeCell ref="A28:B29"/>
    <mergeCell ref="A30:B30"/>
    <mergeCell ref="N43:N44"/>
    <mergeCell ref="A45:B46"/>
    <mergeCell ref="E48:F48"/>
    <mergeCell ref="G48:H48"/>
    <mergeCell ref="I49:I50"/>
    <mergeCell ref="E50:F50"/>
    <mergeCell ref="G50:H50"/>
    <mergeCell ref="M47:M54"/>
    <mergeCell ref="N47:N54"/>
    <mergeCell ref="E53:F53"/>
    <mergeCell ref="G53:H53"/>
    <mergeCell ref="L47:L54"/>
    <mergeCell ref="A49:C50"/>
    <mergeCell ref="A51:C51"/>
    <mergeCell ref="A53:B54"/>
    <mergeCell ref="C53:D53"/>
    <mergeCell ref="E41:E42"/>
    <mergeCell ref="B39:B42"/>
    <mergeCell ref="C39:C42"/>
    <mergeCell ref="A39:A42"/>
    <mergeCell ref="D39:D42"/>
    <mergeCell ref="D9:D12"/>
    <mergeCell ref="E9:F10"/>
    <mergeCell ref="G9:H10"/>
    <mergeCell ref="I9:I12"/>
    <mergeCell ref="L9:L12"/>
    <mergeCell ref="N9:N12"/>
    <mergeCell ref="E11:E12"/>
    <mergeCell ref="E39:F40"/>
    <mergeCell ref="K9:K12"/>
    <mergeCell ref="M9:M12"/>
    <mergeCell ref="H11:H12"/>
    <mergeCell ref="J9:J12"/>
    <mergeCell ref="A82:D82"/>
    <mergeCell ref="E82:I84"/>
    <mergeCell ref="J82:N82"/>
    <mergeCell ref="A83:D83"/>
    <mergeCell ref="J83:N83"/>
    <mergeCell ref="A84:D84"/>
    <mergeCell ref="J84:N84"/>
    <mergeCell ref="A85:B85"/>
    <mergeCell ref="C85:D85"/>
    <mergeCell ref="L86:L89"/>
    <mergeCell ref="M86:M89"/>
    <mergeCell ref="N86:N89"/>
    <mergeCell ref="E88:E89"/>
    <mergeCell ref="F88:F89"/>
    <mergeCell ref="G88:G89"/>
    <mergeCell ref="H88:H89"/>
    <mergeCell ref="A90:N90"/>
    <mergeCell ref="N103:N104"/>
    <mergeCell ref="A86:A89"/>
    <mergeCell ref="B86:B89"/>
    <mergeCell ref="C86:C89"/>
    <mergeCell ref="D86:D89"/>
    <mergeCell ref="E86:F87"/>
    <mergeCell ref="G86:H87"/>
    <mergeCell ref="I86:I89"/>
    <mergeCell ref="J86:J89"/>
    <mergeCell ref="K86:K89"/>
    <mergeCell ref="A105:B106"/>
    <mergeCell ref="A107:B107"/>
    <mergeCell ref="N118:N119"/>
    <mergeCell ref="A120:B121"/>
    <mergeCell ref="A122:B122"/>
    <mergeCell ref="A124:A127"/>
    <mergeCell ref="B124:B127"/>
    <mergeCell ref="C124:C127"/>
    <mergeCell ref="D124:D127"/>
    <mergeCell ref="E124:F125"/>
    <mergeCell ref="G124:H125"/>
    <mergeCell ref="I124:I127"/>
    <mergeCell ref="J124:J127"/>
    <mergeCell ref="K124:K127"/>
    <mergeCell ref="L124:L127"/>
    <mergeCell ref="M124:M127"/>
    <mergeCell ref="N124:N127"/>
    <mergeCell ref="E126:E127"/>
    <mergeCell ref="F126:F127"/>
    <mergeCell ref="G126:G127"/>
    <mergeCell ref="H126:H127"/>
    <mergeCell ref="N128:N129"/>
    <mergeCell ref="A130:B131"/>
    <mergeCell ref="A132:B133"/>
    <mergeCell ref="C132:C133"/>
    <mergeCell ref="D132:D133"/>
    <mergeCell ref="I132:I133"/>
    <mergeCell ref="J132:J133"/>
    <mergeCell ref="K132:K133"/>
    <mergeCell ref="L132:L139"/>
    <mergeCell ref="M132:M139"/>
    <mergeCell ref="N132:N139"/>
    <mergeCell ref="E133:F133"/>
    <mergeCell ref="G133:H133"/>
    <mergeCell ref="A134:C135"/>
    <mergeCell ref="I134:I135"/>
    <mergeCell ref="J134:J135"/>
    <mergeCell ref="K134:K135"/>
    <mergeCell ref="E135:F135"/>
    <mergeCell ref="G135:H135"/>
    <mergeCell ref="A137:C137"/>
    <mergeCell ref="E137:F137"/>
    <mergeCell ref="G137:H137"/>
    <mergeCell ref="J137:J139"/>
    <mergeCell ref="K137:K139"/>
    <mergeCell ref="Q135:R135"/>
    <mergeCell ref="S135:T135"/>
    <mergeCell ref="U135:V135"/>
    <mergeCell ref="A136:C136"/>
    <mergeCell ref="E136:F136"/>
    <mergeCell ref="G136:H136"/>
    <mergeCell ref="Q136:R136"/>
    <mergeCell ref="S136:T136"/>
    <mergeCell ref="U136:V136"/>
    <mergeCell ref="A138:B139"/>
    <mergeCell ref="C138:D138"/>
    <mergeCell ref="E138:F138"/>
    <mergeCell ref="G138:H138"/>
    <mergeCell ref="C139:D139"/>
    <mergeCell ref="E139:F139"/>
    <mergeCell ref="G139:H139"/>
    <mergeCell ref="A141:N141"/>
    <mergeCell ref="B142:N142"/>
    <mergeCell ref="B143:N143"/>
    <mergeCell ref="B144:N144"/>
    <mergeCell ref="B145:N145"/>
    <mergeCell ref="B146:N146"/>
    <mergeCell ref="A148:D148"/>
    <mergeCell ref="J148:N148"/>
    <mergeCell ref="J151:N151"/>
    <mergeCell ref="A152:D152"/>
    <mergeCell ref="J154:N154"/>
  </mergeCells>
  <pageMargins left="0.25833333333333336" right="0.14583333333333334" top="0.42708333333333331" bottom="0.41666666666666669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W156"/>
  <sheetViews>
    <sheetView workbookViewId="0">
      <selection activeCell="H18" sqref="H18"/>
    </sheetView>
  </sheetViews>
  <sheetFormatPr defaultColWidth="9.109375" defaultRowHeight="21" customHeight="1"/>
  <cols>
    <col min="1" max="1" width="4" style="1" customWidth="1"/>
    <col min="2" max="2" width="11.88671875" style="1" customWidth="1"/>
    <col min="3" max="4" width="7.33203125" style="1" customWidth="1"/>
    <col min="5" max="8" width="6.88671875" style="1" customWidth="1"/>
    <col min="9" max="9" width="7.6640625" style="1" customWidth="1"/>
    <col min="10" max="10" width="7.44140625" style="1" customWidth="1"/>
    <col min="11" max="11" width="6.88671875" style="1" customWidth="1"/>
    <col min="12" max="12" width="6.6640625" style="1" customWidth="1"/>
    <col min="13" max="13" width="6.44140625" style="1" customWidth="1"/>
    <col min="14" max="14" width="8" style="1" customWidth="1"/>
    <col min="15" max="15" width="11.88671875" style="1" customWidth="1"/>
    <col min="16" max="16" width="9.109375" style="1"/>
    <col min="17" max="22" width="8.33203125" style="1" customWidth="1"/>
    <col min="23" max="16384" width="9.109375" style="1"/>
  </cols>
  <sheetData>
    <row r="1" spans="1:20" ht="21.6" customHeight="1">
      <c r="A1" s="10" t="s">
        <v>59</v>
      </c>
      <c r="B1" s="7"/>
      <c r="C1" s="7"/>
      <c r="D1" s="7"/>
      <c r="E1" s="7"/>
      <c r="F1" s="244" t="s">
        <v>30</v>
      </c>
      <c r="G1" s="244"/>
      <c r="H1" s="244"/>
      <c r="I1" s="244"/>
      <c r="J1" s="244"/>
      <c r="K1" s="244"/>
      <c r="L1" s="244"/>
      <c r="M1" s="244"/>
      <c r="N1" s="244"/>
      <c r="O1" s="311"/>
      <c r="P1" s="311"/>
      <c r="T1" s="2"/>
    </row>
    <row r="2" spans="1:20" ht="11.4" customHeight="1">
      <c r="A2" s="10"/>
      <c r="B2" s="7"/>
      <c r="C2" s="7"/>
      <c r="D2" s="7"/>
      <c r="E2" s="7"/>
      <c r="F2" s="149"/>
      <c r="G2" s="149"/>
      <c r="H2" s="149"/>
      <c r="I2" s="149"/>
      <c r="J2" s="149"/>
      <c r="K2" s="149"/>
      <c r="L2" s="149"/>
      <c r="M2" s="149"/>
      <c r="N2" s="149"/>
      <c r="O2" s="311"/>
      <c r="P2" s="311"/>
      <c r="T2" s="2"/>
    </row>
    <row r="3" spans="1:20" ht="21.6" customHeight="1">
      <c r="A3" s="7" t="s">
        <v>200</v>
      </c>
      <c r="B3" s="7"/>
      <c r="C3" s="7"/>
      <c r="D3" s="7"/>
      <c r="E3" s="7"/>
      <c r="F3" s="149"/>
      <c r="G3" s="149"/>
      <c r="H3" s="149"/>
      <c r="I3" s="149"/>
      <c r="J3" s="149"/>
      <c r="K3" s="149"/>
      <c r="L3" s="149"/>
      <c r="M3" s="149"/>
      <c r="N3" s="149"/>
      <c r="O3" s="311"/>
      <c r="P3" s="311"/>
      <c r="T3" s="2"/>
    </row>
    <row r="4" spans="1:20" ht="12.6" customHeight="1">
      <c r="A4" s="7"/>
      <c r="B4" s="7"/>
      <c r="C4" s="7"/>
      <c r="D4" s="7"/>
      <c r="E4" s="7"/>
      <c r="F4" s="149"/>
      <c r="G4" s="149"/>
      <c r="H4" s="149"/>
      <c r="I4" s="149"/>
      <c r="J4" s="149"/>
      <c r="K4" s="149"/>
      <c r="L4" s="149"/>
      <c r="M4" s="149"/>
      <c r="N4" s="149"/>
      <c r="O4" s="311"/>
      <c r="P4" s="311"/>
      <c r="T4" s="2"/>
    </row>
    <row r="5" spans="1:20" s="2" customFormat="1" ht="21.6" customHeight="1">
      <c r="A5" s="245" t="s">
        <v>95</v>
      </c>
      <c r="B5" s="245"/>
      <c r="C5" s="245"/>
      <c r="D5" s="245"/>
      <c r="E5" s="245" t="s">
        <v>93</v>
      </c>
      <c r="F5" s="245"/>
      <c r="G5" s="245"/>
      <c r="H5" s="245"/>
      <c r="I5" s="245"/>
      <c r="J5" s="245"/>
      <c r="K5" s="245"/>
      <c r="L5" s="245"/>
      <c r="M5" s="245"/>
      <c r="N5" s="245"/>
      <c r="O5" s="312"/>
    </row>
    <row r="6" spans="1:20" s="2" customFormat="1" ht="21.6" customHeight="1">
      <c r="A6" s="231" t="s">
        <v>83</v>
      </c>
      <c r="B6" s="231"/>
      <c r="C6" s="231"/>
      <c r="D6" s="231"/>
      <c r="E6" s="232" t="s">
        <v>132</v>
      </c>
      <c r="F6" s="232"/>
      <c r="G6" s="232"/>
      <c r="H6" s="232"/>
      <c r="I6" s="232"/>
      <c r="J6" s="260" t="s">
        <v>153</v>
      </c>
      <c r="K6" s="261"/>
      <c r="L6" s="261"/>
      <c r="M6" s="261"/>
      <c r="N6" s="262"/>
      <c r="O6" s="312"/>
    </row>
    <row r="7" spans="1:20" s="2" customFormat="1" ht="21.6" customHeight="1">
      <c r="A7" s="278" t="s">
        <v>151</v>
      </c>
      <c r="B7" s="278"/>
      <c r="C7" s="278"/>
      <c r="D7" s="278"/>
      <c r="E7" s="232"/>
      <c r="F7" s="232"/>
      <c r="G7" s="232"/>
      <c r="H7" s="232"/>
      <c r="I7" s="232"/>
      <c r="J7" s="263"/>
      <c r="K7" s="264"/>
      <c r="L7" s="264"/>
      <c r="M7" s="264"/>
      <c r="N7" s="265"/>
      <c r="O7" s="312"/>
    </row>
    <row r="8" spans="1:20" s="2" customFormat="1" ht="21.6" customHeight="1">
      <c r="A8" s="237" t="s">
        <v>154</v>
      </c>
      <c r="B8" s="238"/>
      <c r="C8" s="238"/>
      <c r="D8" s="239"/>
      <c r="E8" s="232"/>
      <c r="F8" s="232"/>
      <c r="G8" s="232"/>
      <c r="H8" s="232"/>
      <c r="I8" s="232"/>
      <c r="J8" s="263"/>
      <c r="K8" s="264"/>
      <c r="L8" s="264"/>
      <c r="M8" s="264"/>
      <c r="N8" s="265"/>
      <c r="O8" s="312"/>
    </row>
    <row r="9" spans="1:20" s="2" customFormat="1" ht="21.6" customHeight="1">
      <c r="A9" s="240" t="s">
        <v>150</v>
      </c>
      <c r="B9" s="240"/>
      <c r="C9" s="240"/>
      <c r="D9" s="240"/>
      <c r="E9" s="232"/>
      <c r="F9" s="232"/>
      <c r="G9" s="232"/>
      <c r="H9" s="232"/>
      <c r="I9" s="232"/>
      <c r="J9" s="266"/>
      <c r="K9" s="267"/>
      <c r="L9" s="267"/>
      <c r="M9" s="267"/>
      <c r="N9" s="268"/>
      <c r="O9" s="312"/>
    </row>
    <row r="10" spans="1:20" s="2" customFormat="1" ht="21.6" customHeight="1">
      <c r="A10" s="277" t="s">
        <v>110</v>
      </c>
      <c r="B10" s="277"/>
      <c r="C10" s="279">
        <v>102</v>
      </c>
      <c r="D10" s="27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312"/>
    </row>
    <row r="11" spans="1:20" ht="21.6" customHeight="1">
      <c r="A11" s="211" t="s">
        <v>0</v>
      </c>
      <c r="B11" s="214" t="s">
        <v>19</v>
      </c>
      <c r="C11" s="217" t="s">
        <v>8</v>
      </c>
      <c r="D11" s="217" t="s">
        <v>9</v>
      </c>
      <c r="E11" s="220" t="s">
        <v>11</v>
      </c>
      <c r="F11" s="221"/>
      <c r="G11" s="220" t="s">
        <v>13</v>
      </c>
      <c r="H11" s="221"/>
      <c r="I11" s="208" t="s">
        <v>16</v>
      </c>
      <c r="J11" s="208" t="s">
        <v>32</v>
      </c>
      <c r="K11" s="208" t="s">
        <v>33</v>
      </c>
      <c r="L11" s="208" t="s">
        <v>17</v>
      </c>
      <c r="M11" s="208" t="s">
        <v>34</v>
      </c>
      <c r="N11" s="211" t="s">
        <v>18</v>
      </c>
      <c r="O11" s="313"/>
    </row>
    <row r="12" spans="1:20" ht="21.6" customHeight="1">
      <c r="A12" s="212"/>
      <c r="B12" s="215"/>
      <c r="C12" s="218"/>
      <c r="D12" s="218"/>
      <c r="E12" s="222"/>
      <c r="F12" s="223"/>
      <c r="G12" s="222"/>
      <c r="H12" s="223"/>
      <c r="I12" s="209"/>
      <c r="J12" s="209"/>
      <c r="K12" s="209"/>
      <c r="L12" s="209"/>
      <c r="M12" s="209"/>
      <c r="N12" s="212"/>
      <c r="O12" s="152"/>
    </row>
    <row r="13" spans="1:20" ht="21.6" customHeight="1">
      <c r="A13" s="212"/>
      <c r="B13" s="215"/>
      <c r="C13" s="218"/>
      <c r="D13" s="218"/>
      <c r="E13" s="208" t="s">
        <v>10</v>
      </c>
      <c r="F13" s="208" t="s">
        <v>12</v>
      </c>
      <c r="G13" s="208" t="s">
        <v>14</v>
      </c>
      <c r="H13" s="208" t="s">
        <v>15</v>
      </c>
      <c r="I13" s="209"/>
      <c r="J13" s="209"/>
      <c r="K13" s="209"/>
      <c r="L13" s="209"/>
      <c r="M13" s="209"/>
      <c r="N13" s="212"/>
      <c r="O13" s="152"/>
    </row>
    <row r="14" spans="1:20" ht="21.6" customHeight="1">
      <c r="A14" s="213"/>
      <c r="B14" s="216"/>
      <c r="C14" s="219"/>
      <c r="D14" s="219"/>
      <c r="E14" s="210"/>
      <c r="F14" s="210"/>
      <c r="G14" s="210"/>
      <c r="H14" s="210"/>
      <c r="I14" s="210"/>
      <c r="J14" s="210"/>
      <c r="K14" s="210"/>
      <c r="L14" s="210"/>
      <c r="M14" s="210"/>
      <c r="N14" s="213"/>
      <c r="O14" s="152"/>
    </row>
    <row r="15" spans="1:20" ht="20.399999999999999" customHeight="1">
      <c r="A15" s="225" t="s">
        <v>35</v>
      </c>
      <c r="B15" s="226"/>
      <c r="C15" s="226"/>
      <c r="D15" s="226"/>
      <c r="E15" s="226"/>
      <c r="F15" s="226"/>
      <c r="G15" s="226"/>
      <c r="H15" s="226"/>
      <c r="I15" s="226"/>
      <c r="J15" s="226"/>
      <c r="K15" s="226"/>
      <c r="L15" s="226"/>
      <c r="M15" s="226"/>
      <c r="N15" s="227"/>
      <c r="O15" s="152"/>
    </row>
    <row r="16" spans="1:20" s="2" customFormat="1" ht="19.8" customHeight="1">
      <c r="A16" s="8">
        <v>1</v>
      </c>
      <c r="B16" s="9" t="s">
        <v>2</v>
      </c>
      <c r="C16" s="12">
        <f>L16/100*100</f>
        <v>130</v>
      </c>
      <c r="D16" s="13">
        <f>C16/100*60</f>
        <v>78</v>
      </c>
      <c r="E16" s="14">
        <f>C16/100*15</f>
        <v>19.5</v>
      </c>
      <c r="F16" s="14"/>
      <c r="G16" s="14"/>
      <c r="H16" s="14"/>
      <c r="I16" s="14"/>
      <c r="J16" s="22">
        <f>C16/100*387</f>
        <v>503.1</v>
      </c>
      <c r="K16" s="22">
        <f>C16/100*0.09</f>
        <v>0.11699999999999999</v>
      </c>
      <c r="L16" s="111">
        <v>130</v>
      </c>
      <c r="M16" s="20">
        <v>20</v>
      </c>
      <c r="N16" s="16">
        <f>L16*M16</f>
        <v>2600</v>
      </c>
      <c r="O16" s="314"/>
    </row>
    <row r="17" spans="1:20" s="2" customFormat="1" ht="19.8" customHeight="1">
      <c r="A17" s="8">
        <v>2</v>
      </c>
      <c r="B17" s="129" t="s">
        <v>126</v>
      </c>
      <c r="C17" s="12">
        <f t="shared" ref="C17" si="0">L17/100*100</f>
        <v>100</v>
      </c>
      <c r="D17" s="65">
        <f>C17/100*900</f>
        <v>900</v>
      </c>
      <c r="E17" s="14"/>
      <c r="F17" s="14"/>
      <c r="G17" s="91"/>
      <c r="H17" s="14">
        <f>C17/100*100</f>
        <v>100</v>
      </c>
      <c r="I17" s="14"/>
      <c r="J17" s="14"/>
      <c r="K17" s="14"/>
      <c r="L17" s="111">
        <v>100</v>
      </c>
      <c r="M17" s="65">
        <v>63.5</v>
      </c>
      <c r="N17" s="93">
        <f t="shared" ref="N17" si="1">L17*M17</f>
        <v>6350</v>
      </c>
      <c r="O17" s="315"/>
    </row>
    <row r="18" spans="1:20" s="2" customFormat="1" ht="19.8" customHeight="1">
      <c r="A18" s="8">
        <v>3</v>
      </c>
      <c r="B18" s="5" t="s">
        <v>1</v>
      </c>
      <c r="C18" s="12">
        <f>L18/100*100</f>
        <v>9690</v>
      </c>
      <c r="D18" s="65">
        <f>C18/100*338</f>
        <v>32752.2</v>
      </c>
      <c r="E18" s="14"/>
      <c r="F18" s="14">
        <f>C18/100*7.9</f>
        <v>765.5100000000001</v>
      </c>
      <c r="G18" s="14"/>
      <c r="H18" s="14">
        <f>C18/100*1</f>
        <v>96.9</v>
      </c>
      <c r="I18" s="14">
        <f>C18/100*72</f>
        <v>6976.8</v>
      </c>
      <c r="J18" s="64">
        <f>C18/100*30</f>
        <v>2907</v>
      </c>
      <c r="K18" s="22">
        <f>C18/100*0.1</f>
        <v>9.6900000000000013</v>
      </c>
      <c r="L18" s="111">
        <v>9690</v>
      </c>
      <c r="M18" s="20">
        <v>18</v>
      </c>
      <c r="N18" s="16">
        <f t="shared" ref="N18:N26" si="2">L18*M18</f>
        <v>174420</v>
      </c>
      <c r="O18" s="314"/>
    </row>
    <row r="19" spans="1:20" s="2" customFormat="1" ht="19.8" customHeight="1">
      <c r="A19" s="8">
        <v>4</v>
      </c>
      <c r="B19" s="5" t="s">
        <v>91</v>
      </c>
      <c r="C19" s="12">
        <f>L19/100*88</f>
        <v>3590.3999999999996</v>
      </c>
      <c r="D19" s="13">
        <f>C19/100*184</f>
        <v>6606.3359999999993</v>
      </c>
      <c r="E19" s="14">
        <f>C19/100*13</f>
        <v>466.75199999999995</v>
      </c>
      <c r="F19" s="14"/>
      <c r="G19" s="14">
        <f>C19/100*14.2</f>
        <v>509.83679999999993</v>
      </c>
      <c r="H19" s="14"/>
      <c r="I19" s="14">
        <f>C19/100*1</f>
        <v>35.903999999999996</v>
      </c>
      <c r="J19" s="64">
        <f>C19/100*71</f>
        <v>2549.1839999999997</v>
      </c>
      <c r="K19" s="22">
        <f>C19/100*0.15</f>
        <v>5.3855999999999993</v>
      </c>
      <c r="L19" s="111">
        <v>4080</v>
      </c>
      <c r="M19" s="20">
        <v>62</v>
      </c>
      <c r="N19" s="16">
        <f t="shared" si="2"/>
        <v>252960</v>
      </c>
      <c r="O19" s="314"/>
      <c r="Q19" s="3"/>
      <c r="R19" s="3"/>
      <c r="S19" s="4"/>
    </row>
    <row r="20" spans="1:20" s="118" customFormat="1" ht="19.8" customHeight="1">
      <c r="A20" s="134">
        <v>5</v>
      </c>
      <c r="B20" s="129" t="s">
        <v>67</v>
      </c>
      <c r="C20" s="135">
        <f>L20/100*98</f>
        <v>2802.8</v>
      </c>
      <c r="D20" s="136">
        <f>C20/100*139</f>
        <v>3895.8920000000003</v>
      </c>
      <c r="E20" s="104">
        <f>C20/100*19</f>
        <v>532.53200000000004</v>
      </c>
      <c r="F20" s="104"/>
      <c r="G20" s="104">
        <f>C20/100*7</f>
        <v>196.19600000000003</v>
      </c>
      <c r="H20" s="104"/>
      <c r="I20" s="104"/>
      <c r="J20" s="137">
        <f>C20/100*7</f>
        <v>196.19600000000003</v>
      </c>
      <c r="K20" s="137">
        <f>C20/100*0.9</f>
        <v>25.225200000000001</v>
      </c>
      <c r="L20" s="111">
        <v>2860</v>
      </c>
      <c r="M20" s="138">
        <v>137</v>
      </c>
      <c r="N20" s="114">
        <f t="shared" si="2"/>
        <v>391820</v>
      </c>
      <c r="O20" s="316"/>
    </row>
    <row r="21" spans="1:20" s="2" customFormat="1" ht="19.8" customHeight="1">
      <c r="A21" s="8">
        <v>6</v>
      </c>
      <c r="B21" s="5" t="s">
        <v>4</v>
      </c>
      <c r="C21" s="12">
        <f>L21/100*98</f>
        <v>999.59999999999991</v>
      </c>
      <c r="D21" s="13">
        <f>C21/100*118</f>
        <v>1179.5279999999998</v>
      </c>
      <c r="E21" s="14">
        <f>C21/100*21</f>
        <v>209.91599999999997</v>
      </c>
      <c r="F21" s="14"/>
      <c r="G21" s="14">
        <f>C21/100*3.8</f>
        <v>37.984799999999993</v>
      </c>
      <c r="H21" s="14"/>
      <c r="I21" s="14"/>
      <c r="J21" s="22">
        <f>C21/100*12</f>
        <v>119.95199999999998</v>
      </c>
      <c r="K21" s="22">
        <f>C21/100*0.1</f>
        <v>0.99959999999999993</v>
      </c>
      <c r="L21" s="111">
        <v>1020</v>
      </c>
      <c r="M21" s="15">
        <v>260</v>
      </c>
      <c r="N21" s="93">
        <f t="shared" si="2"/>
        <v>265200</v>
      </c>
      <c r="O21" s="316"/>
      <c r="Q21" s="3"/>
      <c r="R21" s="3"/>
      <c r="S21" s="4"/>
    </row>
    <row r="22" spans="1:20" s="2" customFormat="1" ht="19.8" customHeight="1">
      <c r="A22" s="8">
        <v>7</v>
      </c>
      <c r="B22" s="5" t="s">
        <v>20</v>
      </c>
      <c r="C22" s="12">
        <f>L22/100*95</f>
        <v>1463</v>
      </c>
      <c r="D22" s="13">
        <f>C22/100*20</f>
        <v>292.60000000000002</v>
      </c>
      <c r="E22" s="14"/>
      <c r="F22" s="14">
        <f>C22/100*0.6</f>
        <v>8.7780000000000005</v>
      </c>
      <c r="G22" s="14"/>
      <c r="H22" s="14">
        <f>C22/100*0.2</f>
        <v>2.9260000000000002</v>
      </c>
      <c r="I22" s="14">
        <f>C22/100*4</f>
        <v>58.52</v>
      </c>
      <c r="J22" s="21">
        <f>C22/100*12</f>
        <v>175.56</v>
      </c>
      <c r="K22" s="21">
        <f>C22/100*0.04</f>
        <v>0.58520000000000005</v>
      </c>
      <c r="L22" s="317">
        <v>1540</v>
      </c>
      <c r="M22" s="15">
        <v>22</v>
      </c>
      <c r="N22" s="16">
        <f t="shared" si="2"/>
        <v>33880</v>
      </c>
      <c r="O22" s="314"/>
      <c r="Q22" s="3"/>
      <c r="R22" s="3"/>
    </row>
    <row r="23" spans="1:20" s="2" customFormat="1" ht="19.8" customHeight="1">
      <c r="A23" s="8">
        <v>8</v>
      </c>
      <c r="B23" s="5" t="s">
        <v>80</v>
      </c>
      <c r="C23" s="12">
        <f>L23/100*78</f>
        <v>1591.1999999999998</v>
      </c>
      <c r="D23" s="13">
        <f>C23/100*37</f>
        <v>588.74399999999991</v>
      </c>
      <c r="E23" s="17"/>
      <c r="F23" s="17">
        <f>C23/100*2.8</f>
        <v>44.553599999999996</v>
      </c>
      <c r="G23" s="17"/>
      <c r="H23" s="17">
        <f>C23/100*0.1</f>
        <v>1.5911999999999999</v>
      </c>
      <c r="I23" s="17">
        <f>C23/100*6.2</f>
        <v>98.654399999999995</v>
      </c>
      <c r="J23" s="21">
        <f>C23/100*46</f>
        <v>731.952</v>
      </c>
      <c r="K23" s="21">
        <f>C23/100*0.06</f>
        <v>0.9547199999999999</v>
      </c>
      <c r="L23" s="317">
        <v>2040</v>
      </c>
      <c r="M23" s="15">
        <v>22</v>
      </c>
      <c r="N23" s="16">
        <f t="shared" si="2"/>
        <v>44880</v>
      </c>
      <c r="O23" s="314"/>
      <c r="Q23" s="3"/>
      <c r="R23" s="3"/>
      <c r="S23" s="4"/>
    </row>
    <row r="24" spans="1:20" s="2" customFormat="1" ht="19.8" customHeight="1">
      <c r="A24" s="134">
        <v>9</v>
      </c>
      <c r="B24" s="5" t="s">
        <v>117</v>
      </c>
      <c r="C24" s="12">
        <f>L24/100*100</f>
        <v>100</v>
      </c>
      <c r="D24" s="13">
        <f>C24/100*247</f>
        <v>247</v>
      </c>
      <c r="E24" s="17"/>
      <c r="F24" s="17">
        <f>C24/100*17.5</f>
        <v>17.5</v>
      </c>
      <c r="G24" s="17"/>
      <c r="H24" s="17">
        <f>C24/100*1.6</f>
        <v>1.6</v>
      </c>
      <c r="I24" s="17">
        <f>C24/100*39.2</f>
        <v>39.200000000000003</v>
      </c>
      <c r="J24" s="21"/>
      <c r="K24" s="21"/>
      <c r="L24" s="317">
        <v>100</v>
      </c>
      <c r="M24" s="20">
        <v>50</v>
      </c>
      <c r="N24" s="113">
        <f t="shared" si="2"/>
        <v>5000</v>
      </c>
      <c r="O24" s="314"/>
      <c r="Q24" s="3"/>
      <c r="R24" s="3"/>
      <c r="S24" s="4"/>
      <c r="T24" s="3"/>
    </row>
    <row r="25" spans="1:20" s="2" customFormat="1" ht="19.8" customHeight="1">
      <c r="A25" s="8">
        <v>10</v>
      </c>
      <c r="B25" s="5" t="s">
        <v>140</v>
      </c>
      <c r="C25" s="12">
        <f>L25/100*87</f>
        <v>2662.2000000000003</v>
      </c>
      <c r="D25" s="13">
        <f>C25/100*21</f>
        <v>559.06200000000013</v>
      </c>
      <c r="E25" s="17"/>
      <c r="F25" s="17">
        <f>C25/100*1.5</f>
        <v>39.933000000000007</v>
      </c>
      <c r="G25" s="17"/>
      <c r="H25" s="17">
        <f>C25/100*0.1</f>
        <v>2.6622000000000003</v>
      </c>
      <c r="I25" s="17">
        <f>C25/100*3.6</f>
        <v>95.839200000000019</v>
      </c>
      <c r="J25" s="124">
        <f>C25/100*40</f>
        <v>1064.8800000000001</v>
      </c>
      <c r="K25" s="17">
        <f>C25/100*0.06</f>
        <v>1.5973200000000001</v>
      </c>
      <c r="L25" s="318">
        <v>3060</v>
      </c>
      <c r="M25" s="15">
        <v>18</v>
      </c>
      <c r="N25" s="16">
        <f t="shared" si="2"/>
        <v>55080</v>
      </c>
      <c r="O25" s="314"/>
      <c r="Q25" s="3"/>
      <c r="R25" s="3"/>
      <c r="S25" s="4"/>
    </row>
    <row r="26" spans="1:20" s="2" customFormat="1" ht="19.8" customHeight="1">
      <c r="A26" s="8">
        <v>11</v>
      </c>
      <c r="B26" s="5" t="s">
        <v>5</v>
      </c>
      <c r="C26" s="12">
        <f>L26/100*98.5</f>
        <v>1014.5500000000001</v>
      </c>
      <c r="D26" s="13">
        <f>C26/100*39</f>
        <v>395.67450000000002</v>
      </c>
      <c r="E26" s="17"/>
      <c r="F26" s="17">
        <f>C26/100*1.5</f>
        <v>15.218250000000001</v>
      </c>
      <c r="G26" s="17"/>
      <c r="H26" s="17">
        <f>C26/100*0.2</f>
        <v>2.0291000000000001</v>
      </c>
      <c r="I26" s="17">
        <f>C26/100*7.8</f>
        <v>79.134900000000002</v>
      </c>
      <c r="J26" s="21">
        <f>C26/100*43</f>
        <v>436.25650000000002</v>
      </c>
      <c r="K26" s="21">
        <f>C26/100*0.06</f>
        <v>0.60872999999999999</v>
      </c>
      <c r="L26" s="318">
        <v>1030</v>
      </c>
      <c r="M26" s="15">
        <v>17</v>
      </c>
      <c r="N26" s="16">
        <f t="shared" si="2"/>
        <v>17510</v>
      </c>
      <c r="O26" s="314"/>
      <c r="Q26" s="3"/>
      <c r="R26" s="3"/>
      <c r="S26" s="4"/>
    </row>
    <row r="27" spans="1:20" s="2" customFormat="1" ht="19.8" customHeight="1">
      <c r="A27" s="8">
        <v>12</v>
      </c>
      <c r="B27" s="9" t="s">
        <v>111</v>
      </c>
      <c r="C27" s="12"/>
      <c r="D27" s="13"/>
      <c r="E27" s="14"/>
      <c r="F27" s="14"/>
      <c r="G27" s="14"/>
      <c r="H27" s="14"/>
      <c r="I27" s="14"/>
      <c r="J27" s="14"/>
      <c r="K27" s="14"/>
      <c r="L27" s="15"/>
      <c r="M27" s="15"/>
      <c r="N27" s="16">
        <v>7500</v>
      </c>
      <c r="O27" s="314"/>
    </row>
    <row r="28" spans="1:20" s="2" customFormat="1" ht="19.8" customHeight="1">
      <c r="A28" s="23" t="s">
        <v>97</v>
      </c>
      <c r="B28" s="24"/>
      <c r="C28" s="25"/>
      <c r="D28" s="94">
        <f>SUM(D16:D27)</f>
        <v>47495.036499999987</v>
      </c>
      <c r="E28" s="27"/>
      <c r="F28" s="27"/>
      <c r="G28" s="27"/>
      <c r="H28" s="27"/>
      <c r="I28" s="27"/>
      <c r="J28" s="27"/>
      <c r="K28" s="27"/>
      <c r="L28" s="28"/>
      <c r="M28" s="28"/>
      <c r="N28" s="190">
        <f>SUM(N16:N27)</f>
        <v>1257200</v>
      </c>
      <c r="O28" s="314"/>
    </row>
    <row r="29" spans="1:20" s="2" customFormat="1" ht="19.8" customHeight="1">
      <c r="A29" s="23" t="s">
        <v>6</v>
      </c>
      <c r="B29" s="24"/>
      <c r="C29" s="25"/>
      <c r="D29" s="26">
        <f>D28/C10</f>
        <v>465.6376127450979</v>
      </c>
      <c r="E29" s="27"/>
      <c r="F29" s="27"/>
      <c r="G29" s="27"/>
      <c r="H29" s="27"/>
      <c r="I29" s="27"/>
      <c r="J29" s="27"/>
      <c r="K29" s="27"/>
      <c r="L29" s="28"/>
      <c r="M29" s="28"/>
      <c r="N29" s="191"/>
      <c r="O29" s="314"/>
    </row>
    <row r="30" spans="1:20" s="2" customFormat="1" ht="19.8" customHeight="1">
      <c r="A30" s="283" t="s">
        <v>50</v>
      </c>
      <c r="B30" s="193"/>
      <c r="C30" s="319" t="s">
        <v>133</v>
      </c>
      <c r="D30" s="29" t="s">
        <v>38</v>
      </c>
      <c r="E30" s="27"/>
      <c r="F30" s="27"/>
      <c r="G30" s="27"/>
      <c r="H30" s="27"/>
      <c r="I30" s="27"/>
      <c r="J30" s="27"/>
      <c r="K30" s="27"/>
      <c r="L30" s="28"/>
      <c r="M30" s="28"/>
      <c r="N30" s="30"/>
      <c r="O30" s="314"/>
    </row>
    <row r="31" spans="1:20" s="2" customFormat="1" ht="19.8" customHeight="1">
      <c r="A31" s="194"/>
      <c r="B31" s="195"/>
      <c r="C31" s="62" t="s">
        <v>58</v>
      </c>
      <c r="D31" s="29">
        <f>D29*100/1320</f>
        <v>35.275576723113474</v>
      </c>
      <c r="E31" s="27"/>
      <c r="F31" s="27"/>
      <c r="G31" s="27"/>
      <c r="H31" s="27"/>
      <c r="I31" s="27"/>
      <c r="J31" s="27"/>
      <c r="K31" s="27"/>
      <c r="L31" s="28"/>
      <c r="M31" s="28"/>
      <c r="N31" s="30"/>
      <c r="O31" s="314"/>
    </row>
    <row r="32" spans="1:20" s="2" customFormat="1" ht="19.8" customHeight="1">
      <c r="A32" s="224" t="s">
        <v>39</v>
      </c>
      <c r="B32" s="224"/>
      <c r="C32" s="45"/>
      <c r="D32" s="46"/>
      <c r="E32" s="47"/>
      <c r="F32" s="47"/>
      <c r="G32" s="47"/>
      <c r="H32" s="47"/>
      <c r="I32" s="47"/>
      <c r="J32" s="47"/>
      <c r="K32" s="47"/>
      <c r="L32" s="48"/>
      <c r="M32" s="48"/>
      <c r="N32" s="49"/>
      <c r="O32" s="314"/>
    </row>
    <row r="33" spans="1:23" s="2" customFormat="1" ht="19.8" customHeight="1">
      <c r="A33" s="8">
        <v>1</v>
      </c>
      <c r="B33" s="9" t="s">
        <v>2</v>
      </c>
      <c r="C33" s="12">
        <f>L33/100*100</f>
        <v>120</v>
      </c>
      <c r="D33" s="13">
        <f>C33/100*60</f>
        <v>72</v>
      </c>
      <c r="E33" s="14">
        <f>C33/100*15</f>
        <v>18</v>
      </c>
      <c r="F33" s="14"/>
      <c r="G33" s="14"/>
      <c r="H33" s="14"/>
      <c r="I33" s="14"/>
      <c r="J33" s="22">
        <f>C33/100*387</f>
        <v>464.4</v>
      </c>
      <c r="K33" s="22">
        <f>C33/100*0.09</f>
        <v>0.108</v>
      </c>
      <c r="L33" s="111">
        <v>120</v>
      </c>
      <c r="M33" s="20">
        <v>20</v>
      </c>
      <c r="N33" s="16">
        <f>L33*M33</f>
        <v>2400</v>
      </c>
      <c r="O33" s="314"/>
    </row>
    <row r="34" spans="1:23" s="2" customFormat="1" ht="19.8" customHeight="1">
      <c r="A34" s="8">
        <v>2</v>
      </c>
      <c r="B34" s="5" t="s">
        <v>1</v>
      </c>
      <c r="C34" s="12">
        <f>L34/100*100</f>
        <v>1530</v>
      </c>
      <c r="D34" s="13">
        <f>C34/100*338</f>
        <v>5171.4000000000005</v>
      </c>
      <c r="E34" s="14"/>
      <c r="F34" s="14">
        <f>C34/100*7.9</f>
        <v>120.87</v>
      </c>
      <c r="G34" s="14"/>
      <c r="H34" s="14">
        <f>C34/100*1</f>
        <v>15.3</v>
      </c>
      <c r="I34" s="14">
        <f>C34/100*72</f>
        <v>1101.6000000000001</v>
      </c>
      <c r="J34" s="22">
        <f>C34/100*30</f>
        <v>459</v>
      </c>
      <c r="K34" s="22">
        <f>C34/100*0.1</f>
        <v>1.5300000000000002</v>
      </c>
      <c r="L34" s="111">
        <v>1530</v>
      </c>
      <c r="M34" s="20">
        <v>18</v>
      </c>
      <c r="N34" s="16">
        <f t="shared" ref="N34:N36" si="3">L34*M34</f>
        <v>27540</v>
      </c>
      <c r="O34" s="314"/>
    </row>
    <row r="35" spans="1:23" s="2" customFormat="1" ht="19.8" customHeight="1">
      <c r="A35" s="8">
        <v>3</v>
      </c>
      <c r="B35" s="5" t="s">
        <v>65</v>
      </c>
      <c r="C35" s="12">
        <f>L35/100*100</f>
        <v>1019.9999999999999</v>
      </c>
      <c r="D35" s="13">
        <f>C35/100*344</f>
        <v>3508.7999999999997</v>
      </c>
      <c r="E35" s="14"/>
      <c r="F35" s="14">
        <f>C35/100*8.6</f>
        <v>87.719999999999985</v>
      </c>
      <c r="G35" s="14"/>
      <c r="H35" s="14">
        <f>C35/100*1.5</f>
        <v>15.299999999999999</v>
      </c>
      <c r="I35" s="14">
        <f>C35/100*74.5</f>
        <v>759.9</v>
      </c>
      <c r="J35" s="14">
        <f>C35/100*32</f>
        <v>326.39999999999998</v>
      </c>
      <c r="K35" s="14">
        <f>C35/100*0.14</f>
        <v>1.4279999999999999</v>
      </c>
      <c r="L35" s="111">
        <v>1020</v>
      </c>
      <c r="M35" s="20">
        <v>30</v>
      </c>
      <c r="N35" s="16">
        <f t="shared" si="3"/>
        <v>30600</v>
      </c>
      <c r="O35" s="314"/>
      <c r="P35" s="320"/>
    </row>
    <row r="36" spans="1:23" s="2" customFormat="1" ht="19.8" customHeight="1">
      <c r="A36" s="8">
        <v>4</v>
      </c>
      <c r="B36" s="131" t="s">
        <v>121</v>
      </c>
      <c r="C36" s="12">
        <f>L36/100*100</f>
        <v>620</v>
      </c>
      <c r="D36" s="13">
        <f>C36/100*899</f>
        <v>5573.8</v>
      </c>
      <c r="E36" s="14"/>
      <c r="F36" s="14"/>
      <c r="G36" s="14">
        <f>C36/100*100</f>
        <v>620</v>
      </c>
      <c r="H36" s="14"/>
      <c r="I36" s="14"/>
      <c r="J36" s="22"/>
      <c r="K36" s="22"/>
      <c r="L36" s="111">
        <v>620</v>
      </c>
      <c r="M36" s="110">
        <v>68</v>
      </c>
      <c r="N36" s="113">
        <f t="shared" si="3"/>
        <v>42160</v>
      </c>
      <c r="O36" s="314"/>
    </row>
    <row r="37" spans="1:23" s="2" customFormat="1" ht="19.8" customHeight="1">
      <c r="A37" s="8">
        <v>5</v>
      </c>
      <c r="B37" s="130" t="s">
        <v>80</v>
      </c>
      <c r="C37" s="12">
        <f>L37/100*82</f>
        <v>1672.8</v>
      </c>
      <c r="D37" s="13">
        <f>C37/100*27</f>
        <v>451.65599999999995</v>
      </c>
      <c r="E37" s="17"/>
      <c r="F37" s="17">
        <f>C37/100*0.3</f>
        <v>5.0183999999999989</v>
      </c>
      <c r="G37" s="17"/>
      <c r="H37" s="17">
        <f>C37/100*0.1</f>
        <v>1.6727999999999998</v>
      </c>
      <c r="I37" s="17">
        <f>C37/100*6.1</f>
        <v>102.04079999999998</v>
      </c>
      <c r="J37" s="21">
        <f>C37/100*24</f>
        <v>401.47199999999998</v>
      </c>
      <c r="K37" s="21">
        <f>C37/100*0.03</f>
        <v>0.50183999999999995</v>
      </c>
      <c r="L37" s="318">
        <v>2040</v>
      </c>
      <c r="M37" s="15">
        <v>22</v>
      </c>
      <c r="N37" s="16">
        <f t="shared" ref="N37:N41" si="4">L37*M37</f>
        <v>44880</v>
      </c>
      <c r="O37" s="314"/>
      <c r="Q37" s="3"/>
      <c r="R37" s="3"/>
      <c r="S37" s="4"/>
    </row>
    <row r="38" spans="1:23" s="2" customFormat="1" ht="19.8" customHeight="1">
      <c r="A38" s="8">
        <v>6</v>
      </c>
      <c r="B38" s="5" t="s">
        <v>4</v>
      </c>
      <c r="C38" s="12">
        <f>L38/100*98</f>
        <v>999.59999999999991</v>
      </c>
      <c r="D38" s="13">
        <f>C38/100*118</f>
        <v>1179.5279999999998</v>
      </c>
      <c r="E38" s="14">
        <f>C38/100*21</f>
        <v>209.91599999999997</v>
      </c>
      <c r="F38" s="14"/>
      <c r="G38" s="14">
        <f>C38/100*3.8</f>
        <v>37.984799999999993</v>
      </c>
      <c r="H38" s="14"/>
      <c r="I38" s="14"/>
      <c r="J38" s="22">
        <f>C38/100*12</f>
        <v>119.95199999999998</v>
      </c>
      <c r="K38" s="22">
        <f>C38/100*0.1</f>
        <v>0.99959999999999993</v>
      </c>
      <c r="L38" s="111">
        <v>1020</v>
      </c>
      <c r="M38" s="15">
        <v>260</v>
      </c>
      <c r="N38" s="93">
        <f t="shared" si="4"/>
        <v>265200</v>
      </c>
      <c r="O38" s="316"/>
      <c r="Q38" s="3"/>
      <c r="R38" s="3"/>
      <c r="S38" s="4"/>
    </row>
    <row r="39" spans="1:23" s="2" customFormat="1" ht="17.399999999999999" customHeight="1">
      <c r="A39" s="8">
        <v>7</v>
      </c>
      <c r="B39" s="5" t="s">
        <v>3</v>
      </c>
      <c r="C39" s="12">
        <f>L39/100*48</f>
        <v>633.59999999999991</v>
      </c>
      <c r="D39" s="13">
        <f>C39/100*199</f>
        <v>1260.8639999999998</v>
      </c>
      <c r="E39" s="14">
        <f>C39/100*20.3</f>
        <v>128.6208</v>
      </c>
      <c r="F39" s="14"/>
      <c r="G39" s="14">
        <f>C39/100*13.1</f>
        <v>83.001599999999996</v>
      </c>
      <c r="H39" s="14"/>
      <c r="I39" s="14"/>
      <c r="J39" s="22">
        <f>C39/100*12</f>
        <v>76.031999999999996</v>
      </c>
      <c r="K39" s="22">
        <f>C39/100*0.15</f>
        <v>0.95039999999999991</v>
      </c>
      <c r="L39" s="111">
        <v>1320</v>
      </c>
      <c r="M39" s="15">
        <v>84</v>
      </c>
      <c r="N39" s="16">
        <f t="shared" si="4"/>
        <v>110880</v>
      </c>
      <c r="O39" s="314"/>
      <c r="Q39" s="3"/>
      <c r="R39" s="3"/>
      <c r="S39" s="4"/>
    </row>
    <row r="40" spans="1:23" s="2" customFormat="1" ht="19.8" customHeight="1">
      <c r="A40" s="8">
        <v>8</v>
      </c>
      <c r="B40" s="5" t="s">
        <v>117</v>
      </c>
      <c r="C40" s="12">
        <f>L40/100*100</f>
        <v>70</v>
      </c>
      <c r="D40" s="13">
        <f>C40/100*247</f>
        <v>172.89999999999998</v>
      </c>
      <c r="E40" s="17"/>
      <c r="F40" s="17">
        <f>C40/100*17.5</f>
        <v>12.25</v>
      </c>
      <c r="G40" s="17"/>
      <c r="H40" s="17">
        <f>C40/100*1.6</f>
        <v>1.1199999999999999</v>
      </c>
      <c r="I40" s="17">
        <f>C40/100*39.2</f>
        <v>27.44</v>
      </c>
      <c r="J40" s="21"/>
      <c r="K40" s="21"/>
      <c r="L40" s="317">
        <v>70</v>
      </c>
      <c r="M40" s="20">
        <v>50</v>
      </c>
      <c r="N40" s="113">
        <f t="shared" si="4"/>
        <v>3500</v>
      </c>
      <c r="O40" s="314"/>
      <c r="Q40" s="3"/>
      <c r="R40" s="3"/>
      <c r="S40" s="4"/>
      <c r="T40" s="3"/>
    </row>
    <row r="41" spans="1:23" s="2" customFormat="1" ht="19.8" customHeight="1">
      <c r="A41" s="8">
        <v>9</v>
      </c>
      <c r="B41" s="140" t="s">
        <v>131</v>
      </c>
      <c r="C41" s="12">
        <f>L41/100*100</f>
        <v>1739.9999999999998</v>
      </c>
      <c r="D41" s="13">
        <f>C41/100*487</f>
        <v>8473.7999999999993</v>
      </c>
      <c r="E41" s="17"/>
      <c r="F41" s="17">
        <f>C41/100*19.5</f>
        <v>339.29999999999995</v>
      </c>
      <c r="G41" s="17"/>
      <c r="H41" s="17">
        <f>C41/100*23.2</f>
        <v>403.67999999999995</v>
      </c>
      <c r="I41" s="17">
        <f>C41/100*46</f>
        <v>800.4</v>
      </c>
      <c r="J41" s="91">
        <f>C41/100*680</f>
        <v>11831.999999999998</v>
      </c>
      <c r="K41" s="14">
        <f>C41/100*0.55</f>
        <v>9.57</v>
      </c>
      <c r="L41" s="317">
        <v>1740</v>
      </c>
      <c r="M41" s="102">
        <v>260</v>
      </c>
      <c r="N41" s="16">
        <f t="shared" si="4"/>
        <v>452400</v>
      </c>
      <c r="O41" s="314"/>
      <c r="P41" s="3"/>
    </row>
    <row r="42" spans="1:23" s="2" customFormat="1" ht="19.8" customHeight="1">
      <c r="A42" s="77">
        <v>10</v>
      </c>
      <c r="B42" s="78" t="s">
        <v>111</v>
      </c>
      <c r="C42" s="79"/>
      <c r="D42" s="80"/>
      <c r="E42" s="81"/>
      <c r="F42" s="81"/>
      <c r="G42" s="81"/>
      <c r="H42" s="81"/>
      <c r="I42" s="81"/>
      <c r="J42" s="81"/>
      <c r="K42" s="81"/>
      <c r="L42" s="82"/>
      <c r="M42" s="82"/>
      <c r="N42" s="83">
        <v>6400</v>
      </c>
      <c r="O42" s="314"/>
    </row>
    <row r="43" spans="1:23" ht="22.2" customHeight="1">
      <c r="A43" s="211" t="s">
        <v>0</v>
      </c>
      <c r="B43" s="214" t="s">
        <v>19</v>
      </c>
      <c r="C43" s="217" t="s">
        <v>8</v>
      </c>
      <c r="D43" s="217" t="s">
        <v>9</v>
      </c>
      <c r="E43" s="220" t="s">
        <v>11</v>
      </c>
      <c r="F43" s="221"/>
      <c r="G43" s="220" t="s">
        <v>13</v>
      </c>
      <c r="H43" s="221"/>
      <c r="I43" s="208" t="s">
        <v>16</v>
      </c>
      <c r="J43" s="208" t="s">
        <v>32</v>
      </c>
      <c r="K43" s="208" t="s">
        <v>33</v>
      </c>
      <c r="L43" s="208" t="s">
        <v>17</v>
      </c>
      <c r="M43" s="208" t="s">
        <v>34</v>
      </c>
      <c r="N43" s="211" t="s">
        <v>18</v>
      </c>
      <c r="O43" s="313"/>
    </row>
    <row r="44" spans="1:23" ht="22.2" customHeight="1">
      <c r="A44" s="212"/>
      <c r="B44" s="215"/>
      <c r="C44" s="218"/>
      <c r="D44" s="218"/>
      <c r="E44" s="222"/>
      <c r="F44" s="223"/>
      <c r="G44" s="222"/>
      <c r="H44" s="223"/>
      <c r="I44" s="209"/>
      <c r="J44" s="209"/>
      <c r="K44" s="209"/>
      <c r="L44" s="209"/>
      <c r="M44" s="209"/>
      <c r="N44" s="212"/>
      <c r="O44" s="152"/>
    </row>
    <row r="45" spans="1:23" ht="22.2" customHeight="1">
      <c r="A45" s="212"/>
      <c r="B45" s="215"/>
      <c r="C45" s="218"/>
      <c r="D45" s="218"/>
      <c r="E45" s="208" t="s">
        <v>10</v>
      </c>
      <c r="F45" s="208" t="s">
        <v>12</v>
      </c>
      <c r="G45" s="208" t="s">
        <v>14</v>
      </c>
      <c r="H45" s="208" t="s">
        <v>15</v>
      </c>
      <c r="I45" s="209"/>
      <c r="J45" s="209"/>
      <c r="K45" s="209"/>
      <c r="L45" s="209"/>
      <c r="M45" s="209"/>
      <c r="N45" s="212"/>
      <c r="O45" s="152"/>
    </row>
    <row r="46" spans="1:23" ht="22.2" customHeight="1">
      <c r="A46" s="213"/>
      <c r="B46" s="216"/>
      <c r="C46" s="219"/>
      <c r="D46" s="219"/>
      <c r="E46" s="210"/>
      <c r="F46" s="210"/>
      <c r="G46" s="210"/>
      <c r="H46" s="210"/>
      <c r="I46" s="210"/>
      <c r="J46" s="210"/>
      <c r="K46" s="210"/>
      <c r="L46" s="210"/>
      <c r="M46" s="210"/>
      <c r="N46" s="213"/>
      <c r="O46" s="152"/>
    </row>
    <row r="47" spans="1:23" s="2" customFormat="1" ht="21" customHeight="1">
      <c r="A47" s="23" t="s">
        <v>98</v>
      </c>
      <c r="B47" s="24"/>
      <c r="C47" s="25"/>
      <c r="D47" s="94">
        <f>SUM(D33:D42)</f>
        <v>25864.748</v>
      </c>
      <c r="E47" s="31"/>
      <c r="F47" s="31"/>
      <c r="G47" s="31"/>
      <c r="H47" s="31"/>
      <c r="I47" s="31"/>
      <c r="J47" s="31"/>
      <c r="K47" s="31"/>
      <c r="L47" s="32"/>
      <c r="M47" s="32"/>
      <c r="N47" s="292">
        <f>SUM(N33:N42)</f>
        <v>985960</v>
      </c>
      <c r="O47" s="314"/>
    </row>
    <row r="48" spans="1:23" ht="21" customHeight="1">
      <c r="A48" s="23" t="s">
        <v>7</v>
      </c>
      <c r="B48" s="24"/>
      <c r="C48" s="33"/>
      <c r="D48" s="34">
        <f>D47/C10</f>
        <v>253.57596078431371</v>
      </c>
      <c r="E48" s="34"/>
      <c r="F48" s="34"/>
      <c r="G48" s="34"/>
      <c r="H48" s="34"/>
      <c r="I48" s="34"/>
      <c r="J48" s="34"/>
      <c r="K48" s="34"/>
      <c r="L48" s="35"/>
      <c r="M48" s="35"/>
      <c r="N48" s="293"/>
      <c r="O48" s="4"/>
      <c r="P48" s="2"/>
      <c r="Q48" s="2"/>
      <c r="R48" s="2"/>
      <c r="S48" s="2"/>
      <c r="T48" s="2"/>
      <c r="U48" s="2"/>
      <c r="V48" s="2"/>
      <c r="W48" s="2"/>
    </row>
    <row r="49" spans="1:23" ht="21" customHeight="1">
      <c r="A49" s="283" t="s">
        <v>51</v>
      </c>
      <c r="B49" s="193"/>
      <c r="C49" s="319" t="s">
        <v>133</v>
      </c>
      <c r="D49" s="29" t="s">
        <v>41</v>
      </c>
      <c r="E49" s="34"/>
      <c r="F49" s="34"/>
      <c r="G49" s="34"/>
      <c r="H49" s="34"/>
      <c r="I49" s="34"/>
      <c r="J49" s="36"/>
      <c r="K49" s="36"/>
      <c r="L49" s="35"/>
      <c r="M49" s="35"/>
      <c r="N49" s="153"/>
      <c r="O49" s="4"/>
      <c r="P49" s="2"/>
      <c r="Q49" s="2"/>
      <c r="R49" s="2"/>
      <c r="S49" s="2"/>
      <c r="T49" s="2"/>
      <c r="U49" s="2"/>
      <c r="V49" s="2"/>
      <c r="W49" s="2"/>
    </row>
    <row r="50" spans="1:23" ht="21" customHeight="1">
      <c r="A50" s="194"/>
      <c r="B50" s="195"/>
      <c r="C50" s="62" t="s">
        <v>58</v>
      </c>
      <c r="D50" s="29">
        <f>D48*100/1320</f>
        <v>19.210300059417705</v>
      </c>
      <c r="E50" s="34"/>
      <c r="F50" s="34"/>
      <c r="G50" s="34"/>
      <c r="H50" s="34"/>
      <c r="I50" s="34"/>
      <c r="J50" s="36"/>
      <c r="K50" s="36"/>
      <c r="L50" s="35"/>
      <c r="M50" s="35"/>
      <c r="N50" s="153"/>
      <c r="O50" s="4"/>
      <c r="P50" s="2"/>
      <c r="Q50" s="2"/>
      <c r="R50" s="2"/>
      <c r="S50" s="2"/>
      <c r="T50" s="2"/>
      <c r="U50" s="2"/>
      <c r="V50" s="2"/>
      <c r="W50" s="2"/>
    </row>
    <row r="51" spans="1:23" ht="21" customHeight="1">
      <c r="A51" s="196" t="s">
        <v>99</v>
      </c>
      <c r="B51" s="197"/>
      <c r="C51" s="200"/>
      <c r="D51" s="202">
        <f>D28+D47</f>
        <v>73359.78449999998</v>
      </c>
      <c r="E51" s="95">
        <f>SUM(E16:E42)</f>
        <v>1585.2367999999999</v>
      </c>
      <c r="F51" s="95">
        <f t="shared" ref="F51:H51" si="5">SUM(F16:F42)</f>
        <v>1456.6512499999999</v>
      </c>
      <c r="G51" s="95">
        <f t="shared" si="5"/>
        <v>1485.0039999999999</v>
      </c>
      <c r="H51" s="6">
        <f t="shared" si="5"/>
        <v>644.78129999999999</v>
      </c>
      <c r="I51" s="256">
        <f>SUM(I16:I42)</f>
        <v>10175.433300000001</v>
      </c>
      <c r="J51" s="206">
        <f>SUM(J16:J42)</f>
        <v>22363.336499999998</v>
      </c>
      <c r="K51" s="204">
        <f>SUM(K16:K42)</f>
        <v>60.251210000000007</v>
      </c>
      <c r="L51" s="171"/>
      <c r="M51" s="171"/>
      <c r="N51" s="290">
        <f>N28+N47</f>
        <v>2243160</v>
      </c>
      <c r="P51" s="2"/>
      <c r="Q51" s="2"/>
      <c r="R51" s="2"/>
      <c r="S51" s="2"/>
      <c r="T51" s="2"/>
      <c r="U51" s="2"/>
      <c r="V51" s="2"/>
    </row>
    <row r="52" spans="1:23" ht="21" customHeight="1">
      <c r="A52" s="198"/>
      <c r="B52" s="199"/>
      <c r="C52" s="201"/>
      <c r="D52" s="203"/>
      <c r="E52" s="173">
        <f>E51+F51</f>
        <v>3041.8880499999996</v>
      </c>
      <c r="F52" s="174"/>
      <c r="G52" s="173">
        <f>G51+H51</f>
        <v>2129.7853</v>
      </c>
      <c r="H52" s="174"/>
      <c r="I52" s="257"/>
      <c r="J52" s="207"/>
      <c r="K52" s="205"/>
      <c r="L52" s="171"/>
      <c r="M52" s="171"/>
      <c r="N52" s="290"/>
      <c r="U52" s="11"/>
      <c r="V52" s="11"/>
    </row>
    <row r="53" spans="1:23" ht="21" customHeight="1">
      <c r="A53" s="246" t="s">
        <v>75</v>
      </c>
      <c r="B53" s="247"/>
      <c r="C53" s="248"/>
      <c r="D53" s="101">
        <f>D51/C10</f>
        <v>719.21357352941152</v>
      </c>
      <c r="E53" s="108">
        <f>E51/C10</f>
        <v>15.541537254901959</v>
      </c>
      <c r="F53" s="107">
        <f>F51/C10</f>
        <v>14.280894607843136</v>
      </c>
      <c r="G53" s="108">
        <f>G51/C10</f>
        <v>14.558862745098038</v>
      </c>
      <c r="H53" s="107">
        <f>H51/C10</f>
        <v>6.3213852941176469</v>
      </c>
      <c r="I53" s="184">
        <f>I51/C10</f>
        <v>99.759150000000005</v>
      </c>
      <c r="J53" s="276">
        <f>J51/C10</f>
        <v>219.24839705882351</v>
      </c>
      <c r="K53" s="184">
        <f>K51/C10</f>
        <v>0.59069813725490206</v>
      </c>
      <c r="L53" s="171"/>
      <c r="M53" s="171"/>
      <c r="N53" s="290"/>
      <c r="U53" s="11"/>
      <c r="V53" s="11"/>
    </row>
    <row r="54" spans="1:23" ht="21" customHeight="1">
      <c r="A54" s="249"/>
      <c r="B54" s="250"/>
      <c r="C54" s="251"/>
      <c r="D54" s="98"/>
      <c r="E54" s="296">
        <f>E53+F53</f>
        <v>29.822431862745095</v>
      </c>
      <c r="F54" s="295"/>
      <c r="G54" s="296">
        <f>G53+H53</f>
        <v>20.880248039215687</v>
      </c>
      <c r="H54" s="295"/>
      <c r="I54" s="185"/>
      <c r="J54" s="187"/>
      <c r="K54" s="185"/>
      <c r="L54" s="171"/>
      <c r="M54" s="171"/>
      <c r="N54" s="290"/>
      <c r="P54" s="308"/>
      <c r="Q54" s="310"/>
      <c r="R54" s="310"/>
      <c r="S54" s="310"/>
      <c r="T54" s="310"/>
      <c r="U54" s="321"/>
      <c r="V54" s="321"/>
    </row>
    <row r="55" spans="1:23" ht="21" customHeight="1">
      <c r="A55" s="322" t="s">
        <v>76</v>
      </c>
      <c r="B55" s="323"/>
      <c r="C55" s="324"/>
      <c r="D55" s="325" t="s">
        <v>27</v>
      </c>
      <c r="E55" s="245" t="s">
        <v>21</v>
      </c>
      <c r="F55" s="245"/>
      <c r="G55" s="245" t="s">
        <v>22</v>
      </c>
      <c r="H55" s="245"/>
      <c r="I55" s="150" t="s">
        <v>23</v>
      </c>
      <c r="J55" s="326">
        <v>600</v>
      </c>
      <c r="K55" s="326">
        <v>0.74</v>
      </c>
      <c r="L55" s="171"/>
      <c r="M55" s="171"/>
      <c r="N55" s="290"/>
      <c r="O55" s="327"/>
      <c r="P55" s="328"/>
      <c r="Q55" s="310"/>
      <c r="R55" s="310"/>
      <c r="S55" s="310"/>
      <c r="T55" s="310"/>
      <c r="U55" s="310"/>
      <c r="V55" s="310"/>
    </row>
    <row r="56" spans="1:23" ht="21" customHeight="1">
      <c r="A56" s="164" t="s">
        <v>69</v>
      </c>
      <c r="B56" s="168"/>
      <c r="C56" s="165"/>
      <c r="D56" s="19"/>
      <c r="E56" s="169">
        <f>E54*4.1</f>
        <v>122.27197063725488</v>
      </c>
      <c r="F56" s="170"/>
      <c r="G56" s="169">
        <f>G54*9</f>
        <v>187.92223235294119</v>
      </c>
      <c r="H56" s="170"/>
      <c r="I56" s="68">
        <f>I53*4.1</f>
        <v>409.01251500000001</v>
      </c>
      <c r="J56" s="175"/>
      <c r="K56" s="175"/>
      <c r="L56" s="171"/>
      <c r="M56" s="171"/>
      <c r="N56" s="290"/>
      <c r="O56" s="327"/>
      <c r="P56" s="329"/>
      <c r="Q56" s="307"/>
      <c r="R56" s="307"/>
      <c r="S56" s="307"/>
      <c r="T56" s="308"/>
      <c r="U56" s="308"/>
      <c r="V56" s="308"/>
    </row>
    <row r="57" spans="1:23" ht="21" customHeight="1">
      <c r="A57" s="160" t="s">
        <v>70</v>
      </c>
      <c r="B57" s="161"/>
      <c r="C57" s="164" t="s">
        <v>58</v>
      </c>
      <c r="D57" s="165"/>
      <c r="E57" s="280">
        <f>E56*100/D53</f>
        <v>17.000787406893217</v>
      </c>
      <c r="F57" s="281"/>
      <c r="G57" s="280">
        <f>G56*100/D53</f>
        <v>26.128849519725634</v>
      </c>
      <c r="H57" s="281"/>
      <c r="I57" s="85">
        <f>I56*100/D53</f>
        <v>56.869409874016206</v>
      </c>
      <c r="J57" s="176"/>
      <c r="K57" s="176"/>
      <c r="L57" s="171"/>
      <c r="M57" s="171"/>
      <c r="N57" s="290"/>
      <c r="O57" s="327"/>
      <c r="P57" s="308"/>
      <c r="Q57" s="309"/>
      <c r="R57" s="308"/>
      <c r="S57" s="308"/>
      <c r="T57" s="308"/>
      <c r="U57" s="308"/>
      <c r="V57" s="308"/>
    </row>
    <row r="58" spans="1:23" ht="21" customHeight="1">
      <c r="A58" s="162"/>
      <c r="B58" s="163"/>
      <c r="C58" s="164" t="s">
        <v>71</v>
      </c>
      <c r="D58" s="165"/>
      <c r="E58" s="164" t="s">
        <v>72</v>
      </c>
      <c r="F58" s="165"/>
      <c r="G58" s="164" t="s">
        <v>73</v>
      </c>
      <c r="H58" s="165"/>
      <c r="I58" s="325" t="s">
        <v>74</v>
      </c>
      <c r="J58" s="177"/>
      <c r="K58" s="177"/>
      <c r="L58" s="171"/>
      <c r="M58" s="171"/>
      <c r="N58" s="290"/>
      <c r="O58" s="327"/>
      <c r="P58" s="84"/>
    </row>
    <row r="59" spans="1:23" ht="21" customHeight="1">
      <c r="A59" s="306"/>
      <c r="B59" s="306"/>
      <c r="C59" s="306"/>
      <c r="D59" s="306"/>
      <c r="E59" s="306"/>
      <c r="F59" s="306"/>
      <c r="G59" s="306"/>
      <c r="H59" s="306"/>
      <c r="I59" s="306"/>
      <c r="J59" s="306"/>
      <c r="K59" s="306"/>
      <c r="L59" s="306"/>
      <c r="M59" s="306"/>
      <c r="N59" s="306"/>
      <c r="O59" s="327"/>
    </row>
    <row r="60" spans="1:23" ht="21" customHeight="1">
      <c r="A60" s="70"/>
      <c r="B60" s="71"/>
      <c r="C60" s="70"/>
      <c r="D60" s="70"/>
      <c r="E60" s="70"/>
      <c r="F60" s="70"/>
      <c r="G60" s="70"/>
      <c r="H60" s="70"/>
      <c r="I60" s="70"/>
      <c r="J60" s="70"/>
      <c r="K60" s="70"/>
      <c r="L60" s="72"/>
      <c r="M60" s="72"/>
      <c r="N60" s="73"/>
      <c r="O60" s="327"/>
    </row>
    <row r="61" spans="1:23" ht="21" customHeight="1">
      <c r="A61" s="156" t="s">
        <v>100</v>
      </c>
      <c r="B61" s="156"/>
      <c r="C61" s="156"/>
      <c r="D61" s="156"/>
      <c r="E61" s="156"/>
      <c r="F61" s="156"/>
      <c r="G61" s="156"/>
      <c r="H61" s="156"/>
      <c r="I61" s="156"/>
      <c r="J61" s="156"/>
      <c r="K61" s="156"/>
      <c r="L61" s="156"/>
      <c r="M61" s="156"/>
      <c r="N61" s="156"/>
      <c r="O61" s="327"/>
    </row>
    <row r="62" spans="1:23" ht="21" customHeight="1">
      <c r="A62" s="87" t="s">
        <v>101</v>
      </c>
      <c r="B62" s="157" t="s">
        <v>102</v>
      </c>
      <c r="C62" s="157"/>
      <c r="D62" s="157"/>
      <c r="E62" s="157"/>
      <c r="F62" s="157"/>
      <c r="G62" s="157"/>
      <c r="H62" s="157"/>
      <c r="I62" s="157"/>
      <c r="J62" s="157"/>
      <c r="K62" s="157"/>
      <c r="L62" s="157"/>
      <c r="M62" s="157"/>
      <c r="N62" s="157"/>
      <c r="O62" s="327"/>
    </row>
    <row r="63" spans="1:23" ht="21" customHeight="1">
      <c r="A63" s="88"/>
      <c r="B63" s="158" t="s">
        <v>201</v>
      </c>
      <c r="C63" s="15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  <c r="O63" s="327"/>
    </row>
    <row r="64" spans="1:23" ht="21" customHeight="1">
      <c r="A64" s="88"/>
      <c r="B64" s="158" t="s">
        <v>202</v>
      </c>
      <c r="C64" s="15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  <c r="O64" s="327"/>
    </row>
    <row r="65" spans="1:15" ht="21" customHeight="1">
      <c r="A65" s="88"/>
      <c r="B65" s="158" t="s">
        <v>171</v>
      </c>
      <c r="C65" s="15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  <c r="O65" s="327"/>
    </row>
    <row r="66" spans="1:15" ht="21" customHeight="1">
      <c r="A66" s="70"/>
      <c r="B66" s="159" t="s">
        <v>109</v>
      </c>
      <c r="C66" s="159"/>
      <c r="D66" s="159"/>
      <c r="E66" s="159"/>
      <c r="F66" s="159"/>
      <c r="G66" s="159"/>
      <c r="H66" s="159"/>
      <c r="I66" s="159"/>
      <c r="J66" s="159"/>
      <c r="K66" s="159"/>
      <c r="L66" s="159"/>
      <c r="M66" s="159"/>
      <c r="N66" s="159"/>
      <c r="O66" s="327"/>
    </row>
    <row r="67" spans="1:15" ht="21" customHeight="1">
      <c r="A67" s="70"/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89"/>
      <c r="M67" s="89"/>
      <c r="N67" s="90"/>
      <c r="O67" s="327"/>
    </row>
    <row r="68" spans="1:15" ht="21" customHeight="1">
      <c r="A68" s="154" t="s">
        <v>60</v>
      </c>
      <c r="B68" s="154"/>
      <c r="C68" s="154"/>
      <c r="D68" s="154"/>
      <c r="E68" s="330"/>
      <c r="F68" s="330"/>
      <c r="G68" s="330"/>
      <c r="H68" s="330"/>
      <c r="I68" s="330"/>
      <c r="J68" s="331" t="s">
        <v>36</v>
      </c>
      <c r="K68" s="331"/>
      <c r="L68" s="331"/>
      <c r="M68" s="331"/>
      <c r="N68" s="331"/>
      <c r="O68" s="327"/>
    </row>
    <row r="69" spans="1:15" ht="21" customHeight="1">
      <c r="A69" s="152"/>
      <c r="B69" s="152"/>
      <c r="C69" s="152"/>
      <c r="D69" s="330"/>
      <c r="E69" s="330"/>
      <c r="F69" s="330"/>
      <c r="G69" s="330"/>
      <c r="H69" s="332"/>
      <c r="I69" s="332"/>
      <c r="J69" s="332"/>
      <c r="K69" s="332"/>
      <c r="L69" s="332"/>
      <c r="M69" s="332"/>
      <c r="N69" s="332"/>
      <c r="O69" s="327"/>
    </row>
    <row r="70" spans="1:15" ht="21" customHeight="1">
      <c r="A70" s="152"/>
      <c r="B70" s="152"/>
      <c r="C70" s="152"/>
      <c r="D70" s="330"/>
      <c r="E70" s="330"/>
      <c r="F70" s="330"/>
      <c r="G70" s="330"/>
      <c r="H70" s="332"/>
      <c r="I70" s="332"/>
      <c r="J70" s="332"/>
      <c r="K70" s="332"/>
      <c r="L70" s="332"/>
      <c r="M70" s="332"/>
      <c r="N70" s="332"/>
      <c r="O70" s="327"/>
    </row>
    <row r="71" spans="1:15" ht="21" customHeight="1">
      <c r="A71" s="152"/>
      <c r="B71" s="152"/>
      <c r="C71" s="152"/>
      <c r="D71" s="330"/>
      <c r="E71" s="330"/>
      <c r="F71" s="330"/>
      <c r="G71" s="330"/>
      <c r="H71" s="332"/>
      <c r="I71" s="332"/>
      <c r="J71" s="333" t="s">
        <v>103</v>
      </c>
      <c r="K71" s="333"/>
      <c r="L71" s="333"/>
      <c r="M71" s="333"/>
      <c r="N71" s="333"/>
      <c r="O71" s="327"/>
    </row>
    <row r="72" spans="1:15" ht="21" customHeight="1">
      <c r="A72" s="155" t="s">
        <v>84</v>
      </c>
      <c r="B72" s="155"/>
      <c r="C72" s="155"/>
      <c r="D72" s="155"/>
      <c r="E72" s="330"/>
      <c r="F72" s="330"/>
      <c r="G72" s="330"/>
      <c r="H72" s="332"/>
      <c r="I72" s="332"/>
      <c r="O72" s="327"/>
    </row>
    <row r="73" spans="1:15" ht="21" customHeight="1">
      <c r="A73" s="152"/>
      <c r="B73" s="152"/>
      <c r="C73" s="152"/>
      <c r="D73" s="330"/>
      <c r="E73" s="330"/>
      <c r="F73" s="330"/>
      <c r="G73" s="330"/>
      <c r="H73" s="332"/>
      <c r="I73" s="332"/>
      <c r="J73" s="332"/>
      <c r="K73" s="332"/>
      <c r="L73" s="332"/>
      <c r="M73" s="332"/>
      <c r="N73" s="332"/>
      <c r="O73" s="327"/>
    </row>
    <row r="74" spans="1:15" ht="21" customHeight="1">
      <c r="A74" s="152"/>
      <c r="B74" s="152"/>
      <c r="C74" s="152"/>
      <c r="D74" s="330"/>
      <c r="E74" s="330"/>
      <c r="F74" s="330"/>
      <c r="G74" s="330"/>
      <c r="H74" s="332"/>
      <c r="I74" s="332"/>
      <c r="J74" s="333" t="s">
        <v>114</v>
      </c>
      <c r="K74" s="333"/>
      <c r="L74" s="333"/>
      <c r="M74" s="333"/>
      <c r="N74" s="333"/>
      <c r="O74" s="327"/>
    </row>
    <row r="75" spans="1:15" ht="21" customHeight="1">
      <c r="A75" s="152"/>
      <c r="B75" s="152"/>
      <c r="C75" s="152"/>
      <c r="D75" s="330"/>
      <c r="E75" s="330"/>
      <c r="F75" s="330"/>
      <c r="G75" s="330"/>
      <c r="H75" s="332"/>
      <c r="I75" s="332"/>
      <c r="J75" s="332"/>
      <c r="K75" s="332"/>
      <c r="L75" s="332"/>
      <c r="M75" s="332"/>
      <c r="N75" s="332"/>
      <c r="O75" s="327"/>
    </row>
    <row r="76" spans="1:15" ht="21" customHeight="1">
      <c r="A76" s="152"/>
      <c r="B76" s="152"/>
      <c r="C76" s="152"/>
      <c r="D76" s="330"/>
      <c r="E76" s="330"/>
      <c r="F76" s="330"/>
      <c r="G76" s="330"/>
      <c r="H76" s="332"/>
      <c r="I76" s="332"/>
      <c r="J76" s="332"/>
      <c r="K76" s="332"/>
      <c r="L76" s="332"/>
      <c r="M76" s="332"/>
      <c r="N76" s="332"/>
      <c r="O76" s="327"/>
    </row>
    <row r="77" spans="1:15" ht="21" customHeight="1">
      <c r="A77" s="152"/>
      <c r="B77" s="152"/>
      <c r="C77" s="152"/>
      <c r="D77" s="330"/>
      <c r="E77" s="330"/>
      <c r="F77" s="330"/>
      <c r="G77" s="330"/>
      <c r="H77" s="332"/>
      <c r="I77" s="332"/>
      <c r="J77" s="332"/>
      <c r="K77" s="332"/>
      <c r="L77" s="332"/>
      <c r="M77" s="332"/>
      <c r="N77" s="332"/>
      <c r="O77" s="327"/>
    </row>
    <row r="78" spans="1:15" ht="21" customHeight="1">
      <c r="A78" s="152"/>
      <c r="B78" s="152"/>
      <c r="C78" s="152"/>
      <c r="D78" s="330"/>
      <c r="E78" s="330"/>
      <c r="F78" s="330"/>
      <c r="G78" s="330"/>
      <c r="H78" s="332"/>
      <c r="I78" s="332"/>
      <c r="J78" s="332"/>
      <c r="K78" s="332"/>
      <c r="L78" s="332"/>
      <c r="M78" s="332"/>
      <c r="N78" s="332"/>
      <c r="O78" s="327"/>
    </row>
    <row r="79" spans="1:15" ht="21" customHeight="1">
      <c r="A79" s="152"/>
      <c r="B79" s="152"/>
      <c r="C79" s="152"/>
      <c r="D79" s="330"/>
      <c r="E79" s="330"/>
      <c r="F79" s="330"/>
      <c r="G79" s="330"/>
      <c r="H79" s="332"/>
      <c r="I79" s="332"/>
      <c r="J79" s="332"/>
      <c r="K79" s="332"/>
      <c r="L79" s="332"/>
      <c r="M79" s="332"/>
      <c r="N79" s="332"/>
      <c r="O79" s="327"/>
    </row>
    <row r="80" spans="1:15" ht="21" customHeight="1">
      <c r="A80" s="152"/>
      <c r="B80" s="152"/>
      <c r="C80" s="152"/>
      <c r="D80" s="330"/>
      <c r="E80" s="330"/>
      <c r="F80" s="330"/>
      <c r="G80" s="330"/>
      <c r="H80" s="332"/>
      <c r="I80" s="332"/>
      <c r="J80" s="332"/>
      <c r="K80" s="332"/>
      <c r="L80" s="332"/>
      <c r="M80" s="332"/>
      <c r="N80" s="332"/>
      <c r="O80" s="327"/>
    </row>
    <row r="81" spans="1:20" ht="21" customHeight="1">
      <c r="A81" s="152"/>
      <c r="B81" s="152"/>
      <c r="C81" s="152"/>
      <c r="D81" s="330"/>
      <c r="E81" s="330"/>
      <c r="F81" s="330"/>
      <c r="G81" s="330"/>
      <c r="H81" s="332"/>
      <c r="I81" s="332"/>
      <c r="J81" s="332"/>
      <c r="K81" s="332"/>
      <c r="L81" s="332"/>
      <c r="M81" s="332"/>
      <c r="N81" s="332"/>
      <c r="O81" s="327"/>
    </row>
    <row r="82" spans="1:20" ht="19.8" customHeight="1">
      <c r="A82" s="10" t="s">
        <v>59</v>
      </c>
      <c r="B82" s="7"/>
      <c r="C82" s="7"/>
      <c r="D82" s="7"/>
      <c r="E82" s="7"/>
      <c r="F82" s="244" t="s">
        <v>31</v>
      </c>
      <c r="G82" s="244"/>
      <c r="H82" s="244"/>
      <c r="I82" s="244"/>
      <c r="J82" s="244"/>
      <c r="K82" s="244"/>
      <c r="L82" s="244"/>
      <c r="M82" s="244"/>
      <c r="N82" s="244"/>
      <c r="O82" s="311"/>
      <c r="P82" s="311"/>
      <c r="T82" s="2"/>
    </row>
    <row r="83" spans="1:20" ht="19.8" customHeight="1">
      <c r="A83" s="7" t="s">
        <v>200</v>
      </c>
      <c r="B83" s="7"/>
      <c r="C83" s="7"/>
      <c r="D83" s="7"/>
      <c r="E83" s="7"/>
      <c r="F83" s="149"/>
      <c r="G83" s="149"/>
      <c r="H83" s="149"/>
      <c r="I83" s="149"/>
      <c r="J83" s="149"/>
      <c r="K83" s="149"/>
      <c r="L83" s="149"/>
      <c r="M83" s="149"/>
      <c r="N83" s="149"/>
      <c r="O83" s="311"/>
      <c r="P83" s="311"/>
      <c r="T83" s="2"/>
    </row>
    <row r="84" spans="1:20" s="2" customFormat="1" ht="19.8" customHeight="1">
      <c r="A84" s="245" t="s">
        <v>95</v>
      </c>
      <c r="B84" s="245"/>
      <c r="C84" s="245"/>
      <c r="D84" s="245"/>
      <c r="E84" s="245" t="s">
        <v>82</v>
      </c>
      <c r="F84" s="245"/>
      <c r="G84" s="245"/>
      <c r="H84" s="245"/>
      <c r="I84" s="245"/>
      <c r="J84" s="245"/>
      <c r="K84" s="245"/>
      <c r="L84" s="245"/>
      <c r="M84" s="245"/>
      <c r="N84" s="245"/>
      <c r="O84" s="312"/>
    </row>
    <row r="85" spans="1:20" s="2" customFormat="1" ht="19.8" customHeight="1">
      <c r="A85" s="245"/>
      <c r="B85" s="245"/>
      <c r="C85" s="245"/>
      <c r="D85" s="245"/>
      <c r="E85" s="245" t="s">
        <v>94</v>
      </c>
      <c r="F85" s="245"/>
      <c r="G85" s="245"/>
      <c r="H85" s="245"/>
      <c r="I85" s="245"/>
      <c r="J85" s="245" t="s">
        <v>96</v>
      </c>
      <c r="K85" s="245"/>
      <c r="L85" s="245"/>
      <c r="M85" s="245"/>
      <c r="N85" s="245"/>
      <c r="O85" s="312"/>
    </row>
    <row r="86" spans="1:20" s="2" customFormat="1" ht="19.8" customHeight="1">
      <c r="A86" s="231" t="s">
        <v>83</v>
      </c>
      <c r="B86" s="231"/>
      <c r="C86" s="231"/>
      <c r="D86" s="231"/>
      <c r="E86" s="232" t="s">
        <v>132</v>
      </c>
      <c r="F86" s="232"/>
      <c r="G86" s="232"/>
      <c r="H86" s="232"/>
      <c r="I86" s="232"/>
      <c r="J86" s="260" t="s">
        <v>153</v>
      </c>
      <c r="K86" s="261"/>
      <c r="L86" s="261"/>
      <c r="M86" s="261"/>
      <c r="N86" s="262"/>
      <c r="O86" s="312"/>
    </row>
    <row r="87" spans="1:20" s="2" customFormat="1" ht="19.8" customHeight="1">
      <c r="A87" s="278" t="s">
        <v>151</v>
      </c>
      <c r="B87" s="278"/>
      <c r="C87" s="278"/>
      <c r="D87" s="278"/>
      <c r="E87" s="232"/>
      <c r="F87" s="232"/>
      <c r="G87" s="232"/>
      <c r="H87" s="232"/>
      <c r="I87" s="232"/>
      <c r="J87" s="263"/>
      <c r="K87" s="264"/>
      <c r="L87" s="264"/>
      <c r="M87" s="264"/>
      <c r="N87" s="265"/>
      <c r="O87" s="312"/>
    </row>
    <row r="88" spans="1:20" s="2" customFormat="1" ht="19.8" customHeight="1">
      <c r="A88" s="240" t="s">
        <v>150</v>
      </c>
      <c r="B88" s="240"/>
      <c r="C88" s="240"/>
      <c r="D88" s="240"/>
      <c r="E88" s="232"/>
      <c r="F88" s="232"/>
      <c r="G88" s="232"/>
      <c r="H88" s="232"/>
      <c r="I88" s="232"/>
      <c r="J88" s="266"/>
      <c r="K88" s="267"/>
      <c r="L88" s="267"/>
      <c r="M88" s="267"/>
      <c r="N88" s="268"/>
      <c r="O88" s="312"/>
    </row>
    <row r="89" spans="1:20" ht="19.8" customHeight="1">
      <c r="A89" s="277" t="s">
        <v>110</v>
      </c>
      <c r="B89" s="277"/>
      <c r="C89" s="279">
        <v>43</v>
      </c>
      <c r="D89" s="279"/>
      <c r="E89" s="7"/>
      <c r="F89" s="149"/>
      <c r="G89" s="149"/>
      <c r="H89" s="149"/>
      <c r="I89" s="149"/>
      <c r="J89" s="149"/>
      <c r="K89" s="149"/>
      <c r="L89" s="149"/>
      <c r="M89" s="149"/>
      <c r="N89" s="149"/>
      <c r="O89" s="311"/>
      <c r="P89" s="311"/>
      <c r="T89" s="2"/>
    </row>
    <row r="90" spans="1:20" ht="19.8" customHeight="1">
      <c r="A90" s="211" t="s">
        <v>0</v>
      </c>
      <c r="B90" s="214" t="s">
        <v>19</v>
      </c>
      <c r="C90" s="217" t="s">
        <v>8</v>
      </c>
      <c r="D90" s="217" t="s">
        <v>9</v>
      </c>
      <c r="E90" s="220" t="s">
        <v>11</v>
      </c>
      <c r="F90" s="221"/>
      <c r="G90" s="220" t="s">
        <v>13</v>
      </c>
      <c r="H90" s="221"/>
      <c r="I90" s="208" t="s">
        <v>16</v>
      </c>
      <c r="J90" s="208" t="s">
        <v>32</v>
      </c>
      <c r="K90" s="208" t="s">
        <v>33</v>
      </c>
      <c r="L90" s="208" t="s">
        <v>17</v>
      </c>
      <c r="M90" s="208" t="s">
        <v>34</v>
      </c>
      <c r="N90" s="211" t="s">
        <v>18</v>
      </c>
      <c r="O90" s="313"/>
    </row>
    <row r="91" spans="1:20" ht="19.8" customHeight="1">
      <c r="A91" s="212"/>
      <c r="B91" s="215"/>
      <c r="C91" s="218"/>
      <c r="D91" s="218"/>
      <c r="E91" s="222"/>
      <c r="F91" s="223"/>
      <c r="G91" s="222"/>
      <c r="H91" s="223"/>
      <c r="I91" s="209"/>
      <c r="J91" s="209"/>
      <c r="K91" s="209"/>
      <c r="L91" s="209"/>
      <c r="M91" s="209"/>
      <c r="N91" s="212"/>
      <c r="O91" s="152"/>
    </row>
    <row r="92" spans="1:20" ht="19.8" customHeight="1">
      <c r="A92" s="212"/>
      <c r="B92" s="215"/>
      <c r="C92" s="218"/>
      <c r="D92" s="218"/>
      <c r="E92" s="208" t="s">
        <v>10</v>
      </c>
      <c r="F92" s="208" t="s">
        <v>12</v>
      </c>
      <c r="G92" s="208" t="s">
        <v>14</v>
      </c>
      <c r="H92" s="208" t="s">
        <v>15</v>
      </c>
      <c r="I92" s="209"/>
      <c r="J92" s="209"/>
      <c r="K92" s="209"/>
      <c r="L92" s="209"/>
      <c r="M92" s="209"/>
      <c r="N92" s="212"/>
      <c r="O92" s="152"/>
    </row>
    <row r="93" spans="1:20" ht="19.8" customHeight="1">
      <c r="A93" s="213"/>
      <c r="B93" s="216"/>
      <c r="C93" s="219"/>
      <c r="D93" s="219"/>
      <c r="E93" s="210"/>
      <c r="F93" s="210"/>
      <c r="G93" s="210"/>
      <c r="H93" s="210"/>
      <c r="I93" s="210"/>
      <c r="J93" s="210"/>
      <c r="K93" s="210"/>
      <c r="L93" s="210"/>
      <c r="M93" s="210"/>
      <c r="N93" s="213"/>
      <c r="O93" s="152"/>
    </row>
    <row r="94" spans="1:20" ht="19.2" customHeight="1">
      <c r="A94" s="225" t="s">
        <v>42</v>
      </c>
      <c r="B94" s="226"/>
      <c r="C94" s="226"/>
      <c r="D94" s="226"/>
      <c r="E94" s="226"/>
      <c r="F94" s="226"/>
      <c r="G94" s="226"/>
      <c r="H94" s="226"/>
      <c r="I94" s="226"/>
      <c r="J94" s="226"/>
      <c r="K94" s="226"/>
      <c r="L94" s="226"/>
      <c r="M94" s="226"/>
      <c r="N94" s="227"/>
      <c r="O94" s="152"/>
    </row>
    <row r="95" spans="1:20" s="2" customFormat="1" ht="18.600000000000001" customHeight="1">
      <c r="A95" s="8">
        <v>1</v>
      </c>
      <c r="B95" s="9" t="s">
        <v>2</v>
      </c>
      <c r="C95" s="12">
        <f>L95/100*100</f>
        <v>60</v>
      </c>
      <c r="D95" s="13">
        <f>C95/100*60</f>
        <v>36</v>
      </c>
      <c r="E95" s="14">
        <f>C95/100*15</f>
        <v>9</v>
      </c>
      <c r="F95" s="14"/>
      <c r="G95" s="14"/>
      <c r="H95" s="14"/>
      <c r="I95" s="14"/>
      <c r="J95" s="22">
        <f>C95/100*387</f>
        <v>232.2</v>
      </c>
      <c r="K95" s="22">
        <f>C95/100*0.09</f>
        <v>5.3999999999999999E-2</v>
      </c>
      <c r="L95" s="111">
        <v>60</v>
      </c>
      <c r="M95" s="20">
        <v>20</v>
      </c>
      <c r="N95" s="16">
        <f>L95*M95</f>
        <v>1200</v>
      </c>
      <c r="O95" s="314"/>
    </row>
    <row r="96" spans="1:20" s="2" customFormat="1" ht="18.600000000000001" customHeight="1">
      <c r="A96" s="8">
        <v>2</v>
      </c>
      <c r="B96" s="131" t="s">
        <v>121</v>
      </c>
      <c r="C96" s="12">
        <f>L96/100*100</f>
        <v>90</v>
      </c>
      <c r="D96" s="13">
        <f>C96/100*899</f>
        <v>809.1</v>
      </c>
      <c r="E96" s="14"/>
      <c r="F96" s="14"/>
      <c r="G96" s="14">
        <f>C96/100*100</f>
        <v>90</v>
      </c>
      <c r="H96" s="14"/>
      <c r="I96" s="14"/>
      <c r="J96" s="22"/>
      <c r="K96" s="22"/>
      <c r="L96" s="111">
        <v>90</v>
      </c>
      <c r="M96" s="110">
        <v>68</v>
      </c>
      <c r="N96" s="113">
        <f t="shared" ref="N96:N97" si="6">L96*M96</f>
        <v>6120</v>
      </c>
      <c r="O96" s="314"/>
    </row>
    <row r="97" spans="1:23" s="2" customFormat="1" ht="18.600000000000001" customHeight="1">
      <c r="A97" s="8">
        <v>3</v>
      </c>
      <c r="B97" s="129" t="s">
        <v>126</v>
      </c>
      <c r="C97" s="12">
        <f t="shared" ref="C97" si="7">L97/100*100</f>
        <v>100</v>
      </c>
      <c r="D97" s="65">
        <f>C97/100*900</f>
        <v>900</v>
      </c>
      <c r="E97" s="14"/>
      <c r="F97" s="14"/>
      <c r="G97" s="91"/>
      <c r="H97" s="14">
        <f>C97/100*100</f>
        <v>100</v>
      </c>
      <c r="I97" s="14"/>
      <c r="J97" s="14"/>
      <c r="K97" s="14"/>
      <c r="L97" s="111">
        <v>100</v>
      </c>
      <c r="M97" s="65">
        <v>63.5</v>
      </c>
      <c r="N97" s="93">
        <f t="shared" si="6"/>
        <v>6350</v>
      </c>
      <c r="O97" s="315"/>
    </row>
    <row r="98" spans="1:23" s="2" customFormat="1" ht="18.600000000000001" customHeight="1">
      <c r="A98" s="8">
        <v>4</v>
      </c>
      <c r="B98" s="5" t="s">
        <v>1</v>
      </c>
      <c r="C98" s="12">
        <f>L98/100*100</f>
        <v>1848.9999999999998</v>
      </c>
      <c r="D98" s="13">
        <f>C98/100*355.6</f>
        <v>6575.0439999999999</v>
      </c>
      <c r="E98" s="14"/>
      <c r="F98" s="14">
        <f>C98/100*7.9</f>
        <v>146.071</v>
      </c>
      <c r="G98" s="14"/>
      <c r="H98" s="14">
        <f>C98/100*1</f>
        <v>18.489999999999998</v>
      </c>
      <c r="I98" s="14">
        <f>C98/100*75.9</f>
        <v>1403.3910000000001</v>
      </c>
      <c r="J98" s="22">
        <f>C98/100*30</f>
        <v>554.69999999999993</v>
      </c>
      <c r="K98" s="22">
        <f>C98/100*0.1</f>
        <v>1.849</v>
      </c>
      <c r="L98" s="111">
        <v>1849</v>
      </c>
      <c r="M98" s="20">
        <v>18</v>
      </c>
      <c r="N98" s="16">
        <f t="shared" ref="N98:N104" si="8">L98*M98</f>
        <v>33282</v>
      </c>
      <c r="O98" s="314"/>
    </row>
    <row r="99" spans="1:23" s="2" customFormat="1" ht="18.600000000000001" customHeight="1">
      <c r="A99" s="8">
        <v>5</v>
      </c>
      <c r="B99" s="5" t="s">
        <v>91</v>
      </c>
      <c r="C99" s="12">
        <f>L99/100*88</f>
        <v>1513.6</v>
      </c>
      <c r="D99" s="13">
        <f>C99/100*184</f>
        <v>2785.0239999999999</v>
      </c>
      <c r="E99" s="14">
        <f>C99/100*13</f>
        <v>196.768</v>
      </c>
      <c r="F99" s="14"/>
      <c r="G99" s="14">
        <f>C99/100*14.2</f>
        <v>214.93119999999999</v>
      </c>
      <c r="H99" s="14"/>
      <c r="I99" s="14">
        <f>C99/100*1</f>
        <v>15.135999999999999</v>
      </c>
      <c r="J99" s="64">
        <f>C99/100*71</f>
        <v>1074.6559999999999</v>
      </c>
      <c r="K99" s="22">
        <f>C99/100*0.15</f>
        <v>2.2704</v>
      </c>
      <c r="L99" s="111">
        <v>1720</v>
      </c>
      <c r="M99" s="20">
        <v>62</v>
      </c>
      <c r="N99" s="16">
        <f t="shared" si="8"/>
        <v>106640</v>
      </c>
      <c r="O99" s="314"/>
      <c r="Q99" s="3"/>
      <c r="R99" s="3"/>
      <c r="S99" s="4"/>
    </row>
    <row r="100" spans="1:23" s="118" customFormat="1" ht="18.600000000000001" customHeight="1">
      <c r="A100" s="134">
        <v>6</v>
      </c>
      <c r="B100" s="129" t="s">
        <v>67</v>
      </c>
      <c r="C100" s="135">
        <f>L100/100*98</f>
        <v>1176</v>
      </c>
      <c r="D100" s="136">
        <f>C100/100*139</f>
        <v>1634.6399999999999</v>
      </c>
      <c r="E100" s="104">
        <f>C100/100*19</f>
        <v>223.44</v>
      </c>
      <c r="F100" s="104"/>
      <c r="G100" s="104">
        <f>C100/100*7</f>
        <v>82.32</v>
      </c>
      <c r="H100" s="104"/>
      <c r="I100" s="104"/>
      <c r="J100" s="137">
        <f>C100/100*7</f>
        <v>82.32</v>
      </c>
      <c r="K100" s="137">
        <f>C100/100*0.9</f>
        <v>10.584</v>
      </c>
      <c r="L100" s="111">
        <v>1200</v>
      </c>
      <c r="M100" s="138">
        <v>137</v>
      </c>
      <c r="N100" s="114">
        <f t="shared" si="8"/>
        <v>164400</v>
      </c>
      <c r="O100" s="316"/>
    </row>
    <row r="101" spans="1:23" s="2" customFormat="1" ht="18.600000000000001" customHeight="1">
      <c r="A101" s="8">
        <v>7</v>
      </c>
      <c r="B101" s="5" t="s">
        <v>20</v>
      </c>
      <c r="C101" s="12">
        <f>L101/100*95</f>
        <v>617.5</v>
      </c>
      <c r="D101" s="13">
        <f>C101/100*20</f>
        <v>123.5</v>
      </c>
      <c r="E101" s="14"/>
      <c r="F101" s="14">
        <f>C101/100*0.6</f>
        <v>3.7049999999999996</v>
      </c>
      <c r="G101" s="14"/>
      <c r="H101" s="14">
        <f>C101/100*0.2</f>
        <v>1.2350000000000001</v>
      </c>
      <c r="I101" s="14">
        <f>C101/100*4</f>
        <v>24.7</v>
      </c>
      <c r="J101" s="21">
        <f>C101/100*12</f>
        <v>74.099999999999994</v>
      </c>
      <c r="K101" s="21">
        <f>C101/100*0.04</f>
        <v>0.247</v>
      </c>
      <c r="L101" s="317">
        <v>650</v>
      </c>
      <c r="M101" s="15">
        <v>22</v>
      </c>
      <c r="N101" s="16">
        <f t="shared" si="8"/>
        <v>14300</v>
      </c>
      <c r="O101" s="314"/>
      <c r="Q101" s="3"/>
      <c r="R101" s="3"/>
    </row>
    <row r="102" spans="1:23" s="2" customFormat="1" ht="18.600000000000001" customHeight="1">
      <c r="A102" s="8">
        <v>8</v>
      </c>
      <c r="B102" s="5" t="s">
        <v>117</v>
      </c>
      <c r="C102" s="12">
        <f>L102/100*100</f>
        <v>30</v>
      </c>
      <c r="D102" s="13">
        <f>C102/100*247</f>
        <v>74.099999999999994</v>
      </c>
      <c r="E102" s="17"/>
      <c r="F102" s="17">
        <f>C102/100*17.5</f>
        <v>5.25</v>
      </c>
      <c r="G102" s="17"/>
      <c r="H102" s="17">
        <f>C102/100*1.6</f>
        <v>0.48</v>
      </c>
      <c r="I102" s="17">
        <f>C102/100*39.2</f>
        <v>11.76</v>
      </c>
      <c r="J102" s="21"/>
      <c r="K102" s="21"/>
      <c r="L102" s="317">
        <v>30</v>
      </c>
      <c r="M102" s="20">
        <v>50</v>
      </c>
      <c r="N102" s="113">
        <f t="shared" si="8"/>
        <v>1500</v>
      </c>
      <c r="O102" s="314"/>
      <c r="Q102" s="3"/>
      <c r="R102" s="3"/>
      <c r="S102" s="4"/>
      <c r="T102" s="3"/>
    </row>
    <row r="103" spans="1:23" s="2" customFormat="1" ht="18.600000000000001" customHeight="1">
      <c r="A103" s="8">
        <v>9</v>
      </c>
      <c r="B103" s="5" t="s">
        <v>140</v>
      </c>
      <c r="C103" s="12">
        <f>L103/100*87</f>
        <v>904.80000000000007</v>
      </c>
      <c r="D103" s="13">
        <f>C103/100*21</f>
        <v>190.00800000000001</v>
      </c>
      <c r="E103" s="17"/>
      <c r="F103" s="17">
        <f>C103/100*1.5</f>
        <v>13.571999999999999</v>
      </c>
      <c r="G103" s="17"/>
      <c r="H103" s="17">
        <f>C103/100*0.1</f>
        <v>0.90480000000000005</v>
      </c>
      <c r="I103" s="17">
        <f>C103/100*3.6</f>
        <v>32.572800000000001</v>
      </c>
      <c r="J103" s="17">
        <f>C103/100*40</f>
        <v>361.92</v>
      </c>
      <c r="K103" s="17">
        <f>C103/100*0.06</f>
        <v>0.54288000000000003</v>
      </c>
      <c r="L103" s="318">
        <v>1040</v>
      </c>
      <c r="M103" s="15">
        <v>18</v>
      </c>
      <c r="N103" s="16">
        <f t="shared" si="8"/>
        <v>18720</v>
      </c>
      <c r="O103" s="314"/>
      <c r="Q103" s="3"/>
      <c r="R103" s="3"/>
      <c r="S103" s="4"/>
    </row>
    <row r="104" spans="1:23" s="2" customFormat="1" ht="18.600000000000001" customHeight="1">
      <c r="A104" s="8">
        <v>10</v>
      </c>
      <c r="B104" s="5" t="s">
        <v>5</v>
      </c>
      <c r="C104" s="12">
        <f>L104/100*98.5</f>
        <v>265.95000000000005</v>
      </c>
      <c r="D104" s="13">
        <f>C104/100*39</f>
        <v>103.72050000000002</v>
      </c>
      <c r="E104" s="17"/>
      <c r="F104" s="17">
        <f>C104/100*1.5</f>
        <v>3.9892500000000006</v>
      </c>
      <c r="G104" s="17"/>
      <c r="H104" s="17">
        <f>C104/100*0.2</f>
        <v>0.53190000000000015</v>
      </c>
      <c r="I104" s="17">
        <f>C104/100*7.8</f>
        <v>20.744100000000003</v>
      </c>
      <c r="J104" s="21">
        <f>C104/100*43</f>
        <v>114.35850000000002</v>
      </c>
      <c r="K104" s="21">
        <f>C104/100*0.06</f>
        <v>0.15957000000000002</v>
      </c>
      <c r="L104" s="318">
        <v>270</v>
      </c>
      <c r="M104" s="15">
        <v>17</v>
      </c>
      <c r="N104" s="16">
        <f t="shared" si="8"/>
        <v>4590</v>
      </c>
      <c r="O104" s="314"/>
      <c r="Q104" s="3"/>
      <c r="R104" s="3"/>
      <c r="S104" s="4"/>
    </row>
    <row r="105" spans="1:23" s="2" customFormat="1" ht="18.600000000000001" customHeight="1">
      <c r="A105" s="8">
        <v>11</v>
      </c>
      <c r="B105" s="9" t="s">
        <v>111</v>
      </c>
      <c r="C105" s="12"/>
      <c r="D105" s="13"/>
      <c r="E105" s="14"/>
      <c r="F105" s="14"/>
      <c r="G105" s="14"/>
      <c r="H105" s="14"/>
      <c r="I105" s="14"/>
      <c r="J105" s="14"/>
      <c r="K105" s="14"/>
      <c r="L105" s="15"/>
      <c r="M105" s="15"/>
      <c r="N105" s="16">
        <v>3000</v>
      </c>
      <c r="O105" s="314"/>
      <c r="Q105" s="3"/>
      <c r="R105" s="3"/>
      <c r="S105" s="4"/>
      <c r="T105" s="3"/>
    </row>
    <row r="106" spans="1:23" s="2" customFormat="1" ht="18.600000000000001" customHeight="1">
      <c r="A106" s="23" t="s">
        <v>104</v>
      </c>
      <c r="B106" s="24"/>
      <c r="C106" s="25"/>
      <c r="D106" s="94">
        <f>SUM(D95:D105)</f>
        <v>13231.136499999999</v>
      </c>
      <c r="E106" s="31"/>
      <c r="F106" s="31"/>
      <c r="G106" s="31"/>
      <c r="H106" s="31"/>
      <c r="I106" s="31"/>
      <c r="J106" s="31"/>
      <c r="K106" s="31"/>
      <c r="L106" s="32"/>
      <c r="M106" s="32"/>
      <c r="N106" s="292">
        <f>SUM(N95:N105)</f>
        <v>360102</v>
      </c>
      <c r="O106" s="314"/>
    </row>
    <row r="107" spans="1:23" ht="18.600000000000001" customHeight="1">
      <c r="A107" s="23" t="s">
        <v>43</v>
      </c>
      <c r="B107" s="24"/>
      <c r="C107" s="33"/>
      <c r="D107" s="34">
        <f>D106/C89</f>
        <v>307.70084883720926</v>
      </c>
      <c r="E107" s="34"/>
      <c r="F107" s="34"/>
      <c r="G107" s="34"/>
      <c r="H107" s="34"/>
      <c r="I107" s="34"/>
      <c r="J107" s="34"/>
      <c r="K107" s="34"/>
      <c r="L107" s="35"/>
      <c r="M107" s="35"/>
      <c r="N107" s="293"/>
      <c r="O107" s="4"/>
      <c r="P107" s="2"/>
      <c r="Q107" s="2"/>
      <c r="R107" s="2"/>
      <c r="S107" s="2"/>
      <c r="T107" s="2"/>
      <c r="U107" s="2"/>
      <c r="V107" s="2"/>
      <c r="W107" s="2"/>
    </row>
    <row r="108" spans="1:23" ht="18.600000000000001" customHeight="1">
      <c r="A108" s="283" t="s">
        <v>52</v>
      </c>
      <c r="B108" s="193"/>
      <c r="C108" s="319" t="s">
        <v>133</v>
      </c>
      <c r="D108" s="29" t="s">
        <v>38</v>
      </c>
      <c r="E108" s="34"/>
      <c r="F108" s="34"/>
      <c r="G108" s="34"/>
      <c r="H108" s="34"/>
      <c r="I108" s="34"/>
      <c r="J108" s="36"/>
      <c r="K108" s="36"/>
      <c r="L108" s="35"/>
      <c r="M108" s="35"/>
      <c r="N108" s="153"/>
      <c r="O108" s="4"/>
      <c r="P108" s="2"/>
      <c r="Q108" s="2"/>
      <c r="R108" s="2"/>
      <c r="S108" s="2"/>
      <c r="T108" s="2"/>
      <c r="U108" s="2"/>
      <c r="V108" s="2"/>
      <c r="W108" s="2"/>
    </row>
    <row r="109" spans="1:23" ht="18.600000000000001" customHeight="1">
      <c r="A109" s="194"/>
      <c r="B109" s="195"/>
      <c r="C109" s="62" t="s">
        <v>58</v>
      </c>
      <c r="D109" s="29">
        <f>D107*100/930</f>
        <v>33.086112778194547</v>
      </c>
      <c r="E109" s="34"/>
      <c r="F109" s="34"/>
      <c r="G109" s="34"/>
      <c r="H109" s="34"/>
      <c r="I109" s="34"/>
      <c r="J109" s="36"/>
      <c r="K109" s="36"/>
      <c r="L109" s="35"/>
      <c r="M109" s="35"/>
      <c r="N109" s="153"/>
      <c r="O109" s="4"/>
      <c r="P109" s="2"/>
      <c r="Q109" s="2"/>
      <c r="R109" s="2"/>
      <c r="S109" s="2"/>
      <c r="T109" s="2"/>
      <c r="U109" s="2"/>
      <c r="V109" s="2"/>
      <c r="W109" s="2"/>
    </row>
    <row r="110" spans="1:23" s="2" customFormat="1" ht="18.600000000000001" customHeight="1">
      <c r="A110" s="224" t="s">
        <v>45</v>
      </c>
      <c r="B110" s="224"/>
      <c r="C110" s="45"/>
      <c r="D110" s="46"/>
      <c r="E110" s="47"/>
      <c r="F110" s="47"/>
      <c r="G110" s="47"/>
      <c r="H110" s="47"/>
      <c r="I110" s="47"/>
      <c r="J110" s="47"/>
      <c r="K110" s="47"/>
      <c r="L110" s="48"/>
      <c r="M110" s="48"/>
      <c r="N110" s="51"/>
      <c r="O110" s="314"/>
    </row>
    <row r="111" spans="1:23" s="2" customFormat="1" ht="18.600000000000001" customHeight="1">
      <c r="A111" s="8">
        <v>1</v>
      </c>
      <c r="B111" s="9" t="s">
        <v>2</v>
      </c>
      <c r="C111" s="12">
        <f>L111/100*100</f>
        <v>60</v>
      </c>
      <c r="D111" s="13">
        <f>C111/100*60</f>
        <v>36</v>
      </c>
      <c r="E111" s="14">
        <f>C111/100*15</f>
        <v>9</v>
      </c>
      <c r="F111" s="14"/>
      <c r="G111" s="14"/>
      <c r="H111" s="14"/>
      <c r="I111" s="14"/>
      <c r="J111" s="22">
        <f>C111/100*387</f>
        <v>232.2</v>
      </c>
      <c r="K111" s="22">
        <f>C111/100*0.09</f>
        <v>5.3999999999999999E-2</v>
      </c>
      <c r="L111" s="15">
        <v>60</v>
      </c>
      <c r="M111" s="20">
        <v>20</v>
      </c>
      <c r="N111" s="16">
        <f>L111*M111</f>
        <v>1200</v>
      </c>
      <c r="O111" s="314"/>
    </row>
    <row r="112" spans="1:23" s="2" customFormat="1" ht="18.600000000000001" customHeight="1">
      <c r="A112" s="8">
        <v>2</v>
      </c>
      <c r="B112" s="131" t="s">
        <v>121</v>
      </c>
      <c r="C112" s="12">
        <f>L112/100*100</f>
        <v>250</v>
      </c>
      <c r="D112" s="13">
        <f>C112/100*899</f>
        <v>2247.5</v>
      </c>
      <c r="E112" s="14"/>
      <c r="F112" s="14"/>
      <c r="G112" s="14">
        <f>C112/100*100</f>
        <v>250</v>
      </c>
      <c r="H112" s="14"/>
      <c r="I112" s="14"/>
      <c r="J112" s="22"/>
      <c r="K112" s="22"/>
      <c r="L112" s="111">
        <v>250</v>
      </c>
      <c r="M112" s="110">
        <v>68</v>
      </c>
      <c r="N112" s="113">
        <f t="shared" ref="N112" si="9">L112*M112</f>
        <v>17000</v>
      </c>
      <c r="O112" s="314"/>
    </row>
    <row r="113" spans="1:23" s="2" customFormat="1" ht="18.600000000000001" customHeight="1">
      <c r="A113" s="8">
        <v>3</v>
      </c>
      <c r="B113" s="5" t="s">
        <v>1</v>
      </c>
      <c r="C113" s="12">
        <f>L113/100*100</f>
        <v>1075</v>
      </c>
      <c r="D113" s="13">
        <f>C113/100*355.6</f>
        <v>3822.7000000000003</v>
      </c>
      <c r="E113" s="14"/>
      <c r="F113" s="14">
        <f>C113/100*7.9</f>
        <v>84.924999999999997</v>
      </c>
      <c r="G113" s="14"/>
      <c r="H113" s="14">
        <f>C113/100*1</f>
        <v>10.75</v>
      </c>
      <c r="I113" s="14">
        <f>C113/100*75.9</f>
        <v>815.92500000000007</v>
      </c>
      <c r="J113" s="22">
        <f>C113/100*30</f>
        <v>322.5</v>
      </c>
      <c r="K113" s="22">
        <f>C113/100*0.1</f>
        <v>1.075</v>
      </c>
      <c r="L113" s="15">
        <v>1075</v>
      </c>
      <c r="M113" s="20">
        <v>18</v>
      </c>
      <c r="N113" s="16">
        <f t="shared" ref="N113:N118" si="10">L113*M113</f>
        <v>19350</v>
      </c>
      <c r="O113" s="314"/>
    </row>
    <row r="114" spans="1:23" s="2" customFormat="1" ht="18.600000000000001" customHeight="1">
      <c r="A114" s="8">
        <v>4</v>
      </c>
      <c r="B114" s="5" t="s">
        <v>65</v>
      </c>
      <c r="C114" s="12">
        <f>L114/100*100</f>
        <v>650</v>
      </c>
      <c r="D114" s="13">
        <f>C114/100*344</f>
        <v>2236</v>
      </c>
      <c r="E114" s="14"/>
      <c r="F114" s="14">
        <f>C114/100*8.6</f>
        <v>55.9</v>
      </c>
      <c r="G114" s="14"/>
      <c r="H114" s="14">
        <f>C114/100*1.5</f>
        <v>9.75</v>
      </c>
      <c r="I114" s="14">
        <f>C114/100*74.5</f>
        <v>484.25</v>
      </c>
      <c r="J114" s="14">
        <f>C114/100*32</f>
        <v>208</v>
      </c>
      <c r="K114" s="22">
        <f>C114/100*0.14</f>
        <v>0.91000000000000014</v>
      </c>
      <c r="L114" s="15">
        <v>650</v>
      </c>
      <c r="M114" s="20">
        <v>30</v>
      </c>
      <c r="N114" s="16">
        <f t="shared" si="10"/>
        <v>19500</v>
      </c>
      <c r="O114" s="314"/>
      <c r="P114" s="320"/>
    </row>
    <row r="115" spans="1:23" s="2" customFormat="1" ht="18.600000000000001" customHeight="1">
      <c r="A115" s="8">
        <v>5</v>
      </c>
      <c r="B115" s="5" t="s">
        <v>4</v>
      </c>
      <c r="C115" s="12">
        <f>L115/100*98</f>
        <v>784</v>
      </c>
      <c r="D115" s="13">
        <f>C115/100*118</f>
        <v>925.12</v>
      </c>
      <c r="E115" s="14">
        <f>C115/100*21</f>
        <v>164.64</v>
      </c>
      <c r="F115" s="14"/>
      <c r="G115" s="14">
        <f>C115/100*3.8</f>
        <v>29.791999999999998</v>
      </c>
      <c r="H115" s="14"/>
      <c r="I115" s="14"/>
      <c r="J115" s="22">
        <f>C115/100*12</f>
        <v>94.08</v>
      </c>
      <c r="K115" s="22">
        <f>C115/100*0.1</f>
        <v>0.78400000000000003</v>
      </c>
      <c r="L115" s="111">
        <v>800</v>
      </c>
      <c r="M115" s="15">
        <v>260</v>
      </c>
      <c r="N115" s="93">
        <f t="shared" si="10"/>
        <v>208000</v>
      </c>
      <c r="O115" s="316"/>
      <c r="Q115" s="3"/>
      <c r="R115" s="3"/>
      <c r="S115" s="4"/>
    </row>
    <row r="116" spans="1:23" s="2" customFormat="1" ht="17.399999999999999" customHeight="1">
      <c r="A116" s="8">
        <v>6</v>
      </c>
      <c r="B116" s="5" t="s">
        <v>3</v>
      </c>
      <c r="C116" s="12">
        <f>L116/100*48</f>
        <v>619.20000000000005</v>
      </c>
      <c r="D116" s="13">
        <f>C116/100*199</f>
        <v>1232.2080000000001</v>
      </c>
      <c r="E116" s="14">
        <f>C116/100*20.3</f>
        <v>125.69760000000001</v>
      </c>
      <c r="F116" s="14"/>
      <c r="G116" s="14">
        <f>C116/100*13.1</f>
        <v>81.115200000000002</v>
      </c>
      <c r="H116" s="14"/>
      <c r="I116" s="14"/>
      <c r="J116" s="22">
        <f>C116/100*12</f>
        <v>74.304000000000002</v>
      </c>
      <c r="K116" s="22">
        <f>C116/100*0.15</f>
        <v>0.92879999999999996</v>
      </c>
      <c r="L116" s="111">
        <v>1290</v>
      </c>
      <c r="M116" s="15">
        <v>84</v>
      </c>
      <c r="N116" s="16">
        <f t="shared" si="10"/>
        <v>108360</v>
      </c>
      <c r="O116" s="314"/>
      <c r="Q116" s="3"/>
      <c r="R116" s="3"/>
      <c r="S116" s="4"/>
    </row>
    <row r="117" spans="1:23" s="2" customFormat="1" ht="18.600000000000001" customHeight="1">
      <c r="A117" s="8">
        <v>7</v>
      </c>
      <c r="B117" s="5" t="s">
        <v>80</v>
      </c>
      <c r="C117" s="12">
        <f>L117/100*82</f>
        <v>705.19999999999993</v>
      </c>
      <c r="D117" s="13">
        <f>C117/100*27</f>
        <v>190.404</v>
      </c>
      <c r="E117" s="17"/>
      <c r="F117" s="17">
        <f>C117/100*0.3</f>
        <v>2.1155999999999997</v>
      </c>
      <c r="G117" s="17"/>
      <c r="H117" s="17">
        <f>C117/100*0.1</f>
        <v>0.70520000000000005</v>
      </c>
      <c r="I117" s="17">
        <f>C117/100*6.1</f>
        <v>43.017199999999995</v>
      </c>
      <c r="J117" s="21">
        <f>C117/100*24</f>
        <v>169.24799999999999</v>
      </c>
      <c r="K117" s="21">
        <f>C117/100*0.03</f>
        <v>0.21155999999999997</v>
      </c>
      <c r="L117" s="318">
        <v>860</v>
      </c>
      <c r="M117" s="15">
        <v>22</v>
      </c>
      <c r="N117" s="16">
        <f t="shared" si="10"/>
        <v>18920</v>
      </c>
      <c r="O117" s="314"/>
      <c r="Q117" s="3"/>
      <c r="R117" s="3"/>
      <c r="S117" s="4"/>
    </row>
    <row r="118" spans="1:23" s="2" customFormat="1" ht="18.600000000000001" customHeight="1">
      <c r="A118" s="8">
        <v>8</v>
      </c>
      <c r="B118" s="5" t="s">
        <v>117</v>
      </c>
      <c r="C118" s="12">
        <f>L118/100*100</f>
        <v>30</v>
      </c>
      <c r="D118" s="13">
        <f>C118/100*247</f>
        <v>74.099999999999994</v>
      </c>
      <c r="E118" s="17"/>
      <c r="F118" s="17">
        <f>C118/100*17.5</f>
        <v>5.25</v>
      </c>
      <c r="G118" s="17"/>
      <c r="H118" s="17">
        <f>C118/100*1.6</f>
        <v>0.48</v>
      </c>
      <c r="I118" s="17">
        <f>C118/100*39.2</f>
        <v>11.76</v>
      </c>
      <c r="J118" s="21"/>
      <c r="K118" s="21"/>
      <c r="L118" s="317">
        <v>30</v>
      </c>
      <c r="M118" s="20">
        <v>50</v>
      </c>
      <c r="N118" s="113">
        <f t="shared" si="10"/>
        <v>1500</v>
      </c>
      <c r="O118" s="314"/>
      <c r="Q118" s="3"/>
      <c r="R118" s="3"/>
      <c r="S118" s="4"/>
      <c r="T118" s="3"/>
    </row>
    <row r="119" spans="1:23" s="2" customFormat="1" ht="18.600000000000001" customHeight="1">
      <c r="A119" s="8">
        <v>9</v>
      </c>
      <c r="B119" s="9" t="s">
        <v>111</v>
      </c>
      <c r="C119" s="12"/>
      <c r="D119" s="13"/>
      <c r="E119" s="14"/>
      <c r="F119" s="14"/>
      <c r="G119" s="14"/>
      <c r="H119" s="14"/>
      <c r="I119" s="14"/>
      <c r="J119" s="14"/>
      <c r="K119" s="14"/>
      <c r="L119" s="15"/>
      <c r="M119" s="15"/>
      <c r="N119" s="16">
        <v>3000</v>
      </c>
      <c r="O119" s="314"/>
      <c r="Q119" s="3"/>
      <c r="R119" s="3"/>
      <c r="S119" s="4"/>
      <c r="T119" s="3"/>
    </row>
    <row r="120" spans="1:23" s="2" customFormat="1" ht="18.600000000000001" customHeight="1">
      <c r="A120" s="23" t="s">
        <v>105</v>
      </c>
      <c r="B120" s="24"/>
      <c r="C120" s="25"/>
      <c r="D120" s="26">
        <f>SUM(D111:D119)</f>
        <v>10764.032000000003</v>
      </c>
      <c r="E120" s="31"/>
      <c r="F120" s="31"/>
      <c r="G120" s="31"/>
      <c r="H120" s="31"/>
      <c r="I120" s="31"/>
      <c r="J120" s="31"/>
      <c r="K120" s="31"/>
      <c r="L120" s="32"/>
      <c r="M120" s="32"/>
      <c r="N120" s="292">
        <f>SUM(N111:N119)</f>
        <v>396830</v>
      </c>
      <c r="O120" s="314"/>
    </row>
    <row r="121" spans="1:23" ht="18.600000000000001" customHeight="1">
      <c r="A121" s="23" t="s">
        <v>46</v>
      </c>
      <c r="B121" s="24"/>
      <c r="C121" s="52"/>
      <c r="D121" s="36">
        <f>D120/C89</f>
        <v>250.32632558139542</v>
      </c>
      <c r="E121" s="36"/>
      <c r="F121" s="36"/>
      <c r="G121" s="36"/>
      <c r="H121" s="36"/>
      <c r="I121" s="36"/>
      <c r="J121" s="36"/>
      <c r="K121" s="36"/>
      <c r="L121" s="53"/>
      <c r="M121" s="35"/>
      <c r="N121" s="293"/>
      <c r="O121" s="4"/>
      <c r="P121" s="2"/>
      <c r="Q121" s="2"/>
      <c r="R121" s="2"/>
      <c r="S121" s="2"/>
      <c r="T121" s="2"/>
      <c r="U121" s="2"/>
      <c r="V121" s="2"/>
      <c r="W121" s="2"/>
    </row>
    <row r="122" spans="1:23" ht="18.600000000000001" customHeight="1">
      <c r="A122" s="283" t="s">
        <v>53</v>
      </c>
      <c r="B122" s="193"/>
      <c r="C122" s="319" t="s">
        <v>133</v>
      </c>
      <c r="D122" s="29" t="s">
        <v>48</v>
      </c>
      <c r="E122" s="34"/>
      <c r="F122" s="34"/>
      <c r="G122" s="34"/>
      <c r="H122" s="34"/>
      <c r="I122" s="34"/>
      <c r="J122" s="36"/>
      <c r="K122" s="36"/>
      <c r="L122" s="35"/>
      <c r="M122" s="35"/>
      <c r="N122" s="153"/>
      <c r="O122" s="4"/>
      <c r="P122" s="2"/>
      <c r="Q122" s="2"/>
      <c r="R122" s="2"/>
      <c r="S122" s="2"/>
      <c r="T122" s="2"/>
      <c r="U122" s="2"/>
      <c r="V122" s="2"/>
      <c r="W122" s="2"/>
    </row>
    <row r="123" spans="1:23" ht="18.600000000000001" customHeight="1">
      <c r="A123" s="194"/>
      <c r="B123" s="195"/>
      <c r="C123" s="62" t="s">
        <v>58</v>
      </c>
      <c r="D123" s="29">
        <f>D121*100/930</f>
        <v>26.916809202300584</v>
      </c>
      <c r="E123" s="34"/>
      <c r="F123" s="34"/>
      <c r="G123" s="34"/>
      <c r="H123" s="34"/>
      <c r="I123" s="34"/>
      <c r="J123" s="36"/>
      <c r="K123" s="36"/>
      <c r="L123" s="35"/>
      <c r="M123" s="35"/>
      <c r="N123" s="153"/>
      <c r="O123" s="4"/>
      <c r="P123" s="2"/>
      <c r="Q123" s="2"/>
      <c r="R123" s="2"/>
      <c r="S123" s="2"/>
      <c r="T123" s="2"/>
      <c r="U123" s="2"/>
      <c r="V123" s="2"/>
      <c r="W123" s="2"/>
    </row>
    <row r="124" spans="1:23" ht="18.600000000000001" customHeight="1">
      <c r="A124" s="224" t="s">
        <v>39</v>
      </c>
      <c r="B124" s="224"/>
      <c r="C124" s="54"/>
      <c r="D124" s="55"/>
      <c r="E124" s="55"/>
      <c r="F124" s="55"/>
      <c r="G124" s="55"/>
      <c r="H124" s="55"/>
      <c r="I124" s="55"/>
      <c r="J124" s="55"/>
      <c r="K124" s="55"/>
      <c r="L124" s="56"/>
      <c r="M124" s="56"/>
      <c r="N124" s="57"/>
      <c r="O124" s="4"/>
      <c r="P124" s="2"/>
      <c r="Q124" s="2"/>
      <c r="R124" s="2"/>
      <c r="S124" s="2"/>
      <c r="T124" s="2"/>
      <c r="U124" s="2"/>
      <c r="V124" s="2"/>
      <c r="W124" s="2"/>
    </row>
    <row r="125" spans="1:23" s="2" customFormat="1" ht="18.600000000000001" customHeight="1">
      <c r="A125" s="119">
        <v>1</v>
      </c>
      <c r="B125" s="141" t="s">
        <v>131</v>
      </c>
      <c r="C125" s="25">
        <f>L125/100*100</f>
        <v>730</v>
      </c>
      <c r="D125" s="120">
        <f>C125/100*487</f>
        <v>3555.1</v>
      </c>
      <c r="E125" s="27"/>
      <c r="F125" s="27">
        <f>C125/100*19.5</f>
        <v>142.35</v>
      </c>
      <c r="G125" s="27"/>
      <c r="H125" s="27">
        <f>C125/100*23.2</f>
        <v>169.35999999999999</v>
      </c>
      <c r="I125" s="27">
        <f>C125/100*46</f>
        <v>335.8</v>
      </c>
      <c r="J125" s="121">
        <f>C125/100*680</f>
        <v>4964</v>
      </c>
      <c r="K125" s="27">
        <f>C125/100*0.55</f>
        <v>4.0150000000000006</v>
      </c>
      <c r="L125" s="28">
        <v>730</v>
      </c>
      <c r="M125" s="142">
        <v>260</v>
      </c>
      <c r="N125" s="122">
        <f t="shared" ref="N125" si="11">L125*M125</f>
        <v>189800</v>
      </c>
      <c r="O125" s="314"/>
      <c r="P125" s="3"/>
    </row>
    <row r="126" spans="1:23" ht="20.399999999999999" customHeight="1">
      <c r="A126" s="211" t="s">
        <v>0</v>
      </c>
      <c r="B126" s="214" t="s">
        <v>19</v>
      </c>
      <c r="C126" s="217" t="s">
        <v>8</v>
      </c>
      <c r="D126" s="217" t="s">
        <v>9</v>
      </c>
      <c r="E126" s="220" t="s">
        <v>11</v>
      </c>
      <c r="F126" s="221"/>
      <c r="G126" s="220" t="s">
        <v>13</v>
      </c>
      <c r="H126" s="221"/>
      <c r="I126" s="208" t="s">
        <v>16</v>
      </c>
      <c r="J126" s="208" t="s">
        <v>32</v>
      </c>
      <c r="K126" s="208" t="s">
        <v>33</v>
      </c>
      <c r="L126" s="208" t="s">
        <v>17</v>
      </c>
      <c r="M126" s="208" t="s">
        <v>34</v>
      </c>
      <c r="N126" s="211" t="s">
        <v>18</v>
      </c>
      <c r="O126" s="313"/>
    </row>
    <row r="127" spans="1:23" ht="20.399999999999999" customHeight="1">
      <c r="A127" s="212"/>
      <c r="B127" s="215"/>
      <c r="C127" s="218"/>
      <c r="D127" s="218"/>
      <c r="E127" s="222"/>
      <c r="F127" s="223"/>
      <c r="G127" s="222"/>
      <c r="H127" s="223"/>
      <c r="I127" s="209"/>
      <c r="J127" s="209"/>
      <c r="K127" s="209"/>
      <c r="L127" s="209"/>
      <c r="M127" s="209"/>
      <c r="N127" s="212"/>
      <c r="O127" s="152"/>
    </row>
    <row r="128" spans="1:23" ht="20.399999999999999" customHeight="1">
      <c r="A128" s="212"/>
      <c r="B128" s="215"/>
      <c r="C128" s="218"/>
      <c r="D128" s="218"/>
      <c r="E128" s="208" t="s">
        <v>10</v>
      </c>
      <c r="F128" s="208" t="s">
        <v>12</v>
      </c>
      <c r="G128" s="208" t="s">
        <v>14</v>
      </c>
      <c r="H128" s="208" t="s">
        <v>15</v>
      </c>
      <c r="I128" s="209"/>
      <c r="J128" s="209"/>
      <c r="K128" s="209"/>
      <c r="L128" s="209"/>
      <c r="M128" s="209"/>
      <c r="N128" s="212"/>
      <c r="O128" s="152"/>
    </row>
    <row r="129" spans="1:23" ht="20.399999999999999" customHeight="1">
      <c r="A129" s="213"/>
      <c r="B129" s="216"/>
      <c r="C129" s="219"/>
      <c r="D129" s="219"/>
      <c r="E129" s="210"/>
      <c r="F129" s="210"/>
      <c r="G129" s="210"/>
      <c r="H129" s="210"/>
      <c r="I129" s="210"/>
      <c r="J129" s="210"/>
      <c r="K129" s="210"/>
      <c r="L129" s="210"/>
      <c r="M129" s="210"/>
      <c r="N129" s="213"/>
      <c r="O129" s="152"/>
    </row>
    <row r="130" spans="1:23" s="2" customFormat="1" ht="21" customHeight="1">
      <c r="A130" s="23" t="s">
        <v>98</v>
      </c>
      <c r="B130" s="24"/>
      <c r="C130" s="25"/>
      <c r="D130" s="26">
        <f>SUM(D124:D125)</f>
        <v>3555.1</v>
      </c>
      <c r="E130" s="31"/>
      <c r="F130" s="31"/>
      <c r="G130" s="31"/>
      <c r="H130" s="31"/>
      <c r="I130" s="31"/>
      <c r="J130" s="31"/>
      <c r="K130" s="31"/>
      <c r="L130" s="32"/>
      <c r="M130" s="58"/>
      <c r="N130" s="292">
        <f>SUM(N124:N125)</f>
        <v>189800</v>
      </c>
      <c r="O130" s="314"/>
    </row>
    <row r="131" spans="1:23" ht="21" customHeight="1">
      <c r="A131" s="23" t="s">
        <v>7</v>
      </c>
      <c r="B131" s="24"/>
      <c r="C131" s="33"/>
      <c r="D131" s="34">
        <f>D130/C89</f>
        <v>82.676744186046506</v>
      </c>
      <c r="E131" s="34"/>
      <c r="F131" s="34"/>
      <c r="G131" s="34"/>
      <c r="H131" s="34"/>
      <c r="I131" s="34"/>
      <c r="J131" s="34"/>
      <c r="K131" s="34"/>
      <c r="L131" s="35"/>
      <c r="M131" s="18"/>
      <c r="N131" s="293"/>
      <c r="O131" s="4"/>
      <c r="P131" s="2"/>
      <c r="Q131" s="2"/>
      <c r="R131" s="2"/>
      <c r="S131" s="2"/>
      <c r="T131" s="2"/>
      <c r="U131" s="2"/>
      <c r="V131" s="2"/>
      <c r="W131" s="2"/>
    </row>
    <row r="132" spans="1:23" ht="21" customHeight="1">
      <c r="A132" s="283" t="s">
        <v>51</v>
      </c>
      <c r="B132" s="193"/>
      <c r="C132" s="61" t="s">
        <v>57</v>
      </c>
      <c r="D132" s="29" t="s">
        <v>49</v>
      </c>
      <c r="E132" s="34"/>
      <c r="F132" s="34"/>
      <c r="G132" s="34"/>
      <c r="H132" s="34"/>
      <c r="I132" s="34"/>
      <c r="J132" s="36"/>
      <c r="K132" s="36"/>
      <c r="L132" s="35"/>
      <c r="M132" s="35"/>
      <c r="N132" s="153"/>
      <c r="O132" s="4"/>
      <c r="P132" s="2"/>
      <c r="Q132" s="2"/>
      <c r="R132" s="2"/>
      <c r="S132" s="2"/>
      <c r="T132" s="2"/>
      <c r="U132" s="2"/>
      <c r="V132" s="2"/>
      <c r="W132" s="2"/>
    </row>
    <row r="133" spans="1:23" ht="21" customHeight="1">
      <c r="A133" s="194"/>
      <c r="B133" s="195"/>
      <c r="C133" s="62" t="s">
        <v>58</v>
      </c>
      <c r="D133" s="29">
        <f>D131*100/930</f>
        <v>8.8899724931232811</v>
      </c>
      <c r="E133" s="34"/>
      <c r="F133" s="34"/>
      <c r="G133" s="34"/>
      <c r="H133" s="34"/>
      <c r="I133" s="34"/>
      <c r="J133" s="36"/>
      <c r="K133" s="36"/>
      <c r="L133" s="35"/>
      <c r="M133" s="35"/>
      <c r="N133" s="153"/>
      <c r="O133" s="4"/>
      <c r="P133" s="2"/>
      <c r="Q133" s="2"/>
      <c r="R133" s="2"/>
      <c r="S133" s="2"/>
      <c r="T133" s="2"/>
      <c r="U133" s="2"/>
      <c r="V133" s="2"/>
      <c r="W133" s="2"/>
    </row>
    <row r="134" spans="1:23" ht="21" customHeight="1">
      <c r="A134" s="196" t="s">
        <v>99</v>
      </c>
      <c r="B134" s="197"/>
      <c r="C134" s="200"/>
      <c r="D134" s="202">
        <f>D106+D120+D130</f>
        <v>27550.268499999998</v>
      </c>
      <c r="E134" s="6">
        <f t="shared" ref="E134:I134" si="12">SUM(E95:E125)</f>
        <v>728.54559999999992</v>
      </c>
      <c r="F134" s="6">
        <f t="shared" si="12"/>
        <v>463.12784999999997</v>
      </c>
      <c r="G134" s="6">
        <f t="shared" si="12"/>
        <v>748.15839999999992</v>
      </c>
      <c r="H134" s="6">
        <f t="shared" si="12"/>
        <v>312.68689999999992</v>
      </c>
      <c r="I134" s="204">
        <f t="shared" si="12"/>
        <v>3199.0561000000002</v>
      </c>
      <c r="J134" s="256">
        <f>SUM(J95:J125)</f>
        <v>8558.5864999999994</v>
      </c>
      <c r="K134" s="204">
        <f>SUM(K95:K125)</f>
        <v>23.685209999999998</v>
      </c>
      <c r="L134" s="171"/>
      <c r="M134" s="171"/>
      <c r="N134" s="290">
        <f>N106+N120+N125</f>
        <v>946732</v>
      </c>
      <c r="P134" s="2"/>
      <c r="Q134" s="2"/>
      <c r="R134" s="2"/>
      <c r="S134" s="2"/>
      <c r="T134" s="2"/>
      <c r="U134" s="2"/>
      <c r="V134" s="2"/>
    </row>
    <row r="135" spans="1:23" ht="21" customHeight="1">
      <c r="A135" s="198"/>
      <c r="B135" s="199"/>
      <c r="C135" s="201"/>
      <c r="D135" s="203"/>
      <c r="E135" s="173">
        <f>E134+F134</f>
        <v>1191.6734499999998</v>
      </c>
      <c r="F135" s="174"/>
      <c r="G135" s="173">
        <f>G134+H134</f>
        <v>1060.8453</v>
      </c>
      <c r="H135" s="174"/>
      <c r="I135" s="205"/>
      <c r="J135" s="257"/>
      <c r="K135" s="205"/>
      <c r="L135" s="171"/>
      <c r="M135" s="171"/>
      <c r="N135" s="290"/>
      <c r="U135" s="11"/>
      <c r="V135" s="11"/>
    </row>
    <row r="136" spans="1:23" ht="21" customHeight="1">
      <c r="A136" s="178" t="s">
        <v>75</v>
      </c>
      <c r="B136" s="179"/>
      <c r="C136" s="180"/>
      <c r="D136" s="101">
        <f>D134/C89</f>
        <v>640.70391860465111</v>
      </c>
      <c r="E136" s="108">
        <f>E134/C89</f>
        <v>16.942920930232557</v>
      </c>
      <c r="F136" s="107">
        <f>F134/C89</f>
        <v>10.77041511627907</v>
      </c>
      <c r="G136" s="108">
        <f>G134/C89</f>
        <v>17.399032558139535</v>
      </c>
      <c r="H136" s="107">
        <f>H134/C89</f>
        <v>7.2717883720930212</v>
      </c>
      <c r="I136" s="184">
        <f>I134/C89</f>
        <v>74.396653488372095</v>
      </c>
      <c r="J136" s="184">
        <f>J134/C89</f>
        <v>199.03689534883719</v>
      </c>
      <c r="K136" s="184">
        <f>K134/C89</f>
        <v>0.55081883720930225</v>
      </c>
      <c r="L136" s="171"/>
      <c r="M136" s="171"/>
      <c r="N136" s="290"/>
      <c r="U136" s="11"/>
      <c r="V136" s="11"/>
    </row>
    <row r="137" spans="1:23" ht="21" customHeight="1">
      <c r="A137" s="181"/>
      <c r="B137" s="182"/>
      <c r="C137" s="183"/>
      <c r="D137" s="98"/>
      <c r="E137" s="296">
        <f>E136+F136</f>
        <v>27.713336046511628</v>
      </c>
      <c r="F137" s="295"/>
      <c r="G137" s="296">
        <f>G136+H136</f>
        <v>24.670820930232555</v>
      </c>
      <c r="H137" s="295"/>
      <c r="I137" s="185"/>
      <c r="J137" s="185"/>
      <c r="K137" s="185"/>
      <c r="L137" s="171"/>
      <c r="M137" s="171"/>
      <c r="N137" s="290"/>
      <c r="P137" s="308"/>
      <c r="Q137" s="310"/>
      <c r="R137" s="310"/>
      <c r="S137" s="310"/>
      <c r="T137" s="310"/>
      <c r="U137" s="321"/>
      <c r="V137" s="321"/>
    </row>
    <row r="138" spans="1:23" ht="21" customHeight="1">
      <c r="A138" s="322" t="s">
        <v>76</v>
      </c>
      <c r="B138" s="323"/>
      <c r="C138" s="324"/>
      <c r="D138" s="325" t="s">
        <v>28</v>
      </c>
      <c r="E138" s="334" t="s">
        <v>24</v>
      </c>
      <c r="F138" s="334"/>
      <c r="G138" s="334" t="s">
        <v>25</v>
      </c>
      <c r="H138" s="334"/>
      <c r="I138" s="325" t="s">
        <v>26</v>
      </c>
      <c r="J138" s="151">
        <v>500</v>
      </c>
      <c r="K138" s="151">
        <v>0.59</v>
      </c>
      <c r="L138" s="171"/>
      <c r="M138" s="171"/>
      <c r="N138" s="290"/>
      <c r="O138" s="327"/>
      <c r="P138" s="328"/>
      <c r="Q138" s="310"/>
      <c r="R138" s="310"/>
      <c r="S138" s="335"/>
      <c r="T138" s="335"/>
      <c r="U138" s="310"/>
      <c r="V138" s="310"/>
    </row>
    <row r="139" spans="1:23" ht="21" customHeight="1">
      <c r="A139" s="164" t="s">
        <v>69</v>
      </c>
      <c r="B139" s="168"/>
      <c r="C139" s="165"/>
      <c r="D139" s="19"/>
      <c r="E139" s="169">
        <f>E137*4.1</f>
        <v>113.62467779069766</v>
      </c>
      <c r="F139" s="170"/>
      <c r="G139" s="169">
        <f>G137*9</f>
        <v>222.03738837209301</v>
      </c>
      <c r="H139" s="170"/>
      <c r="I139" s="68">
        <f>I136*4.1</f>
        <v>305.02627930232558</v>
      </c>
      <c r="J139" s="175"/>
      <c r="K139" s="175"/>
      <c r="L139" s="171"/>
      <c r="M139" s="171"/>
      <c r="N139" s="290"/>
      <c r="O139" s="327"/>
      <c r="P139" s="329"/>
      <c r="Q139" s="307"/>
      <c r="R139" s="307"/>
      <c r="S139" s="307"/>
      <c r="T139" s="308"/>
      <c r="U139" s="308"/>
      <c r="V139" s="308"/>
    </row>
    <row r="140" spans="1:23" ht="21" customHeight="1">
      <c r="A140" s="160" t="s">
        <v>77</v>
      </c>
      <c r="B140" s="161"/>
      <c r="C140" s="164" t="s">
        <v>58</v>
      </c>
      <c r="D140" s="165"/>
      <c r="E140" s="280">
        <f>E139*100/D136</f>
        <v>17.73435037484299</v>
      </c>
      <c r="F140" s="281"/>
      <c r="G140" s="280">
        <f>G139*100/D136</f>
        <v>34.655225592447493</v>
      </c>
      <c r="H140" s="281"/>
      <c r="I140" s="85">
        <f>I139*100/D136</f>
        <v>47.607993403040702</v>
      </c>
      <c r="J140" s="176"/>
      <c r="K140" s="176"/>
      <c r="L140" s="171"/>
      <c r="M140" s="171"/>
      <c r="N140" s="290"/>
      <c r="O140" s="327"/>
      <c r="P140" s="308"/>
      <c r="Q140" s="309"/>
      <c r="R140" s="308"/>
      <c r="S140" s="308"/>
      <c r="T140" s="308"/>
      <c r="U140" s="308"/>
      <c r="V140" s="308"/>
    </row>
    <row r="141" spans="1:23" ht="21" customHeight="1">
      <c r="A141" s="162"/>
      <c r="B141" s="163"/>
      <c r="C141" s="164" t="s">
        <v>71</v>
      </c>
      <c r="D141" s="165"/>
      <c r="E141" s="164" t="s">
        <v>72</v>
      </c>
      <c r="F141" s="165"/>
      <c r="G141" s="164" t="s">
        <v>78</v>
      </c>
      <c r="H141" s="165"/>
      <c r="I141" s="325" t="s">
        <v>79</v>
      </c>
      <c r="J141" s="177"/>
      <c r="K141" s="177"/>
      <c r="L141" s="171"/>
      <c r="M141" s="171"/>
      <c r="N141" s="290"/>
      <c r="O141" s="327"/>
      <c r="P141" s="84"/>
    </row>
    <row r="142" spans="1:23" ht="21" customHeight="1">
      <c r="A142" s="70"/>
      <c r="B142" s="71"/>
      <c r="C142" s="70"/>
      <c r="D142" s="70"/>
      <c r="E142" s="70"/>
      <c r="F142" s="70"/>
      <c r="G142" s="70"/>
      <c r="H142" s="70"/>
      <c r="I142" s="70"/>
      <c r="J142" s="70"/>
      <c r="K142" s="70"/>
      <c r="L142" s="72"/>
      <c r="M142" s="72"/>
      <c r="N142" s="73"/>
      <c r="O142" s="327"/>
    </row>
    <row r="143" spans="1:23" ht="21" customHeight="1">
      <c r="A143" s="156" t="s">
        <v>100</v>
      </c>
      <c r="B143" s="156"/>
      <c r="C143" s="156"/>
      <c r="D143" s="156"/>
      <c r="E143" s="156"/>
      <c r="F143" s="156"/>
      <c r="G143" s="156"/>
      <c r="H143" s="156"/>
      <c r="I143" s="156"/>
      <c r="J143" s="156"/>
      <c r="K143" s="156"/>
      <c r="L143" s="156"/>
      <c r="M143" s="156"/>
      <c r="N143" s="156"/>
      <c r="O143" s="327"/>
    </row>
    <row r="144" spans="1:23" ht="21" customHeight="1">
      <c r="A144" s="87" t="s">
        <v>101</v>
      </c>
      <c r="B144" s="157" t="s">
        <v>102</v>
      </c>
      <c r="C144" s="157"/>
      <c r="D144" s="157"/>
      <c r="E144" s="157"/>
      <c r="F144" s="157"/>
      <c r="G144" s="157"/>
      <c r="H144" s="157"/>
      <c r="I144" s="157"/>
      <c r="J144" s="157"/>
      <c r="K144" s="157"/>
      <c r="L144" s="157"/>
      <c r="M144" s="157"/>
      <c r="N144" s="157"/>
      <c r="O144" s="327"/>
    </row>
    <row r="145" spans="1:15" ht="21" customHeight="1">
      <c r="A145" s="88"/>
      <c r="B145" s="158" t="s">
        <v>203</v>
      </c>
      <c r="C145" s="158"/>
      <c r="D145" s="158"/>
      <c r="E145" s="158"/>
      <c r="F145" s="158"/>
      <c r="G145" s="158"/>
      <c r="H145" s="158"/>
      <c r="I145" s="158"/>
      <c r="J145" s="158"/>
      <c r="K145" s="158"/>
      <c r="L145" s="158"/>
      <c r="M145" s="158"/>
      <c r="N145" s="158"/>
      <c r="O145" s="327"/>
    </row>
    <row r="146" spans="1:15" ht="21" customHeight="1">
      <c r="A146" s="88"/>
      <c r="B146" s="158" t="s">
        <v>204</v>
      </c>
      <c r="C146" s="158"/>
      <c r="D146" s="158"/>
      <c r="E146" s="158"/>
      <c r="F146" s="158"/>
      <c r="G146" s="158"/>
      <c r="H146" s="158"/>
      <c r="I146" s="158"/>
      <c r="J146" s="158"/>
      <c r="K146" s="158"/>
      <c r="L146" s="158"/>
      <c r="M146" s="158"/>
      <c r="N146" s="158"/>
      <c r="O146" s="327"/>
    </row>
    <row r="147" spans="1:15" ht="21" customHeight="1">
      <c r="A147" s="88"/>
      <c r="B147" s="158" t="s">
        <v>205</v>
      </c>
      <c r="C147" s="158"/>
      <c r="D147" s="158"/>
      <c r="E147" s="158"/>
      <c r="F147" s="158"/>
      <c r="G147" s="158"/>
      <c r="H147" s="158"/>
      <c r="I147" s="158"/>
      <c r="J147" s="158"/>
      <c r="K147" s="158"/>
      <c r="L147" s="158"/>
      <c r="M147" s="158"/>
      <c r="N147" s="158"/>
      <c r="O147" s="327"/>
    </row>
    <row r="148" spans="1:15" ht="21" customHeight="1">
      <c r="A148" s="70"/>
      <c r="B148" s="159" t="s">
        <v>109</v>
      </c>
      <c r="C148" s="159"/>
      <c r="D148" s="159"/>
      <c r="E148" s="159"/>
      <c r="F148" s="159"/>
      <c r="G148" s="159"/>
      <c r="H148" s="159"/>
      <c r="I148" s="159"/>
      <c r="J148" s="159"/>
      <c r="K148" s="159"/>
      <c r="L148" s="159"/>
      <c r="M148" s="159"/>
      <c r="N148" s="159"/>
      <c r="O148" s="327"/>
    </row>
    <row r="149" spans="1:15" ht="21" customHeight="1">
      <c r="A149" s="70"/>
      <c r="B149" s="70"/>
      <c r="C149" s="70"/>
      <c r="D149" s="70"/>
      <c r="E149" s="70"/>
      <c r="F149" s="70"/>
      <c r="G149" s="70"/>
      <c r="H149" s="70"/>
      <c r="I149" s="70"/>
      <c r="J149" s="70"/>
      <c r="K149" s="70"/>
      <c r="L149" s="89"/>
      <c r="M149" s="89"/>
      <c r="N149" s="90"/>
      <c r="O149" s="327"/>
    </row>
    <row r="150" spans="1:15" ht="21" customHeight="1">
      <c r="A150" s="154" t="s">
        <v>60</v>
      </c>
      <c r="B150" s="154"/>
      <c r="C150" s="154"/>
      <c r="D150" s="154"/>
      <c r="E150" s="330"/>
      <c r="F150" s="330"/>
      <c r="G150" s="330"/>
      <c r="H150" s="330"/>
      <c r="I150" s="330"/>
      <c r="J150" s="331" t="s">
        <v>36</v>
      </c>
      <c r="K150" s="331"/>
      <c r="L150" s="331"/>
      <c r="M150" s="331"/>
      <c r="N150" s="331"/>
      <c r="O150" s="327"/>
    </row>
    <row r="151" spans="1:15" ht="21" customHeight="1">
      <c r="A151" s="152"/>
      <c r="B151" s="152"/>
      <c r="C151" s="152"/>
      <c r="D151" s="330"/>
      <c r="E151" s="330"/>
      <c r="F151" s="330"/>
      <c r="G151" s="330"/>
      <c r="H151" s="332"/>
      <c r="I151" s="332"/>
      <c r="J151" s="332"/>
      <c r="K151" s="332"/>
      <c r="L151" s="332"/>
      <c r="M151" s="332"/>
      <c r="N151" s="332"/>
      <c r="O151" s="327"/>
    </row>
    <row r="152" spans="1:15" ht="21" customHeight="1">
      <c r="A152" s="152"/>
      <c r="B152" s="152"/>
      <c r="C152" s="152"/>
      <c r="D152" s="330"/>
      <c r="E152" s="330"/>
      <c r="F152" s="330"/>
      <c r="G152" s="330"/>
      <c r="H152" s="332"/>
      <c r="I152" s="332"/>
      <c r="J152" s="332"/>
      <c r="K152" s="332"/>
      <c r="L152" s="332"/>
      <c r="M152" s="332"/>
      <c r="N152" s="332"/>
      <c r="O152" s="327"/>
    </row>
    <row r="153" spans="1:15" ht="21" customHeight="1">
      <c r="A153" s="152"/>
      <c r="B153" s="152"/>
      <c r="C153" s="152"/>
      <c r="D153" s="330"/>
      <c r="E153" s="330"/>
      <c r="F153" s="330"/>
      <c r="G153" s="330"/>
      <c r="H153" s="332"/>
      <c r="I153" s="332"/>
      <c r="J153" s="333" t="s">
        <v>103</v>
      </c>
      <c r="K153" s="333"/>
      <c r="L153" s="333"/>
      <c r="M153" s="333"/>
      <c r="N153" s="333"/>
      <c r="O153" s="327"/>
    </row>
    <row r="154" spans="1:15" ht="21" customHeight="1">
      <c r="A154" s="155" t="s">
        <v>84</v>
      </c>
      <c r="B154" s="155"/>
      <c r="C154" s="155"/>
      <c r="D154" s="155"/>
      <c r="E154" s="330"/>
      <c r="F154" s="330"/>
      <c r="G154" s="330"/>
      <c r="H154" s="332"/>
      <c r="I154" s="332"/>
      <c r="O154" s="327"/>
    </row>
    <row r="155" spans="1:15" ht="21" customHeight="1">
      <c r="J155" s="332"/>
      <c r="K155" s="332"/>
      <c r="L155" s="332"/>
      <c r="M155" s="332"/>
      <c r="N155" s="332"/>
    </row>
    <row r="156" spans="1:15" ht="21" customHeight="1">
      <c r="J156" s="333" t="s">
        <v>114</v>
      </c>
      <c r="K156" s="333"/>
      <c r="L156" s="333"/>
      <c r="M156" s="333"/>
      <c r="N156" s="333"/>
    </row>
  </sheetData>
  <mergeCells count="201">
    <mergeCell ref="A57:B58"/>
    <mergeCell ref="G43:H44"/>
    <mergeCell ref="I43:I46"/>
    <mergeCell ref="J43:J46"/>
    <mergeCell ref="K43:K46"/>
    <mergeCell ref="E85:I85"/>
    <mergeCell ref="J85:N85"/>
    <mergeCell ref="I53:I54"/>
    <mergeCell ref="E57:F57"/>
    <mergeCell ref="G57:H57"/>
    <mergeCell ref="M43:M46"/>
    <mergeCell ref="L43:L46"/>
    <mergeCell ref="K51:K52"/>
    <mergeCell ref="E58:F58"/>
    <mergeCell ref="G58:H58"/>
    <mergeCell ref="H45:H46"/>
    <mergeCell ref="J56:J58"/>
    <mergeCell ref="K56:K58"/>
    <mergeCell ref="N47:N48"/>
    <mergeCell ref="E54:F54"/>
    <mergeCell ref="G54:H54"/>
    <mergeCell ref="A51:B52"/>
    <mergeCell ref="C51:C52"/>
    <mergeCell ref="D51:D52"/>
    <mergeCell ref="I90:I93"/>
    <mergeCell ref="L90:L93"/>
    <mergeCell ref="L134:L141"/>
    <mergeCell ref="I11:I14"/>
    <mergeCell ref="J51:J52"/>
    <mergeCell ref="A89:B89"/>
    <mergeCell ref="C89:D89"/>
    <mergeCell ref="N28:N29"/>
    <mergeCell ref="A30:B31"/>
    <mergeCell ref="A32:B32"/>
    <mergeCell ref="I51:I52"/>
    <mergeCell ref="E52:F52"/>
    <mergeCell ref="G52:H52"/>
    <mergeCell ref="L51:L58"/>
    <mergeCell ref="M51:M58"/>
    <mergeCell ref="N51:N58"/>
    <mergeCell ref="A61:N61"/>
    <mergeCell ref="B62:N62"/>
    <mergeCell ref="C57:D57"/>
    <mergeCell ref="E56:F56"/>
    <mergeCell ref="G56:H56"/>
    <mergeCell ref="A43:A46"/>
    <mergeCell ref="C43:C46"/>
    <mergeCell ref="A88:D88"/>
    <mergeCell ref="B43:B46"/>
    <mergeCell ref="D43:D46"/>
    <mergeCell ref="E43:F44"/>
    <mergeCell ref="A49:B50"/>
    <mergeCell ref="S137:T137"/>
    <mergeCell ref="Q138:R138"/>
    <mergeCell ref="S138:T138"/>
    <mergeCell ref="A136:C137"/>
    <mergeCell ref="A138:C138"/>
    <mergeCell ref="C134:C135"/>
    <mergeCell ref="D134:D135"/>
    <mergeCell ref="B90:B93"/>
    <mergeCell ref="C90:C93"/>
    <mergeCell ref="A108:B109"/>
    <mergeCell ref="A132:B133"/>
    <mergeCell ref="A90:A93"/>
    <mergeCell ref="I134:I135"/>
    <mergeCell ref="E138:F138"/>
    <mergeCell ref="G138:H138"/>
    <mergeCell ref="A94:N94"/>
    <mergeCell ref="Q137:R137"/>
    <mergeCell ref="J134:J135"/>
    <mergeCell ref="E135:F135"/>
    <mergeCell ref="G135:H135"/>
    <mergeCell ref="E5:N5"/>
    <mergeCell ref="A6:D6"/>
    <mergeCell ref="E6:I9"/>
    <mergeCell ref="E11:F12"/>
    <mergeCell ref="G11:H12"/>
    <mergeCell ref="A11:A14"/>
    <mergeCell ref="B11:B14"/>
    <mergeCell ref="C11:C14"/>
    <mergeCell ref="D11:D14"/>
    <mergeCell ref="F1:N1"/>
    <mergeCell ref="F82:N82"/>
    <mergeCell ref="A56:C56"/>
    <mergeCell ref="J6:N9"/>
    <mergeCell ref="A7:D7"/>
    <mergeCell ref="A9:D9"/>
    <mergeCell ref="E13:E14"/>
    <mergeCell ref="F13:F14"/>
    <mergeCell ref="G13:G14"/>
    <mergeCell ref="H13:H14"/>
    <mergeCell ref="J11:J14"/>
    <mergeCell ref="K11:K14"/>
    <mergeCell ref="M11:M14"/>
    <mergeCell ref="A10:B10"/>
    <mergeCell ref="C10:D10"/>
    <mergeCell ref="A15:N15"/>
    <mergeCell ref="A8:D8"/>
    <mergeCell ref="L11:L14"/>
    <mergeCell ref="N11:N14"/>
    <mergeCell ref="N43:N46"/>
    <mergeCell ref="E45:E46"/>
    <mergeCell ref="F45:F46"/>
    <mergeCell ref="G45:G46"/>
    <mergeCell ref="A5:D5"/>
    <mergeCell ref="U54:V54"/>
    <mergeCell ref="U55:V55"/>
    <mergeCell ref="N130:N131"/>
    <mergeCell ref="B63:N63"/>
    <mergeCell ref="B64:N64"/>
    <mergeCell ref="B65:N65"/>
    <mergeCell ref="B66:N66"/>
    <mergeCell ref="A124:B124"/>
    <mergeCell ref="A126:A129"/>
    <mergeCell ref="B126:B129"/>
    <mergeCell ref="E55:F55"/>
    <mergeCell ref="G55:H55"/>
    <mergeCell ref="J53:J54"/>
    <mergeCell ref="A53:C54"/>
    <mergeCell ref="A55:C55"/>
    <mergeCell ref="A68:D68"/>
    <mergeCell ref="A86:D86"/>
    <mergeCell ref="Q54:R54"/>
    <mergeCell ref="S54:T54"/>
    <mergeCell ref="E128:E129"/>
    <mergeCell ref="F128:F129"/>
    <mergeCell ref="G128:G129"/>
    <mergeCell ref="H128:H129"/>
    <mergeCell ref="E126:F127"/>
    <mergeCell ref="U137:V137"/>
    <mergeCell ref="U138:V138"/>
    <mergeCell ref="A59:N59"/>
    <mergeCell ref="K53:K54"/>
    <mergeCell ref="N90:N93"/>
    <mergeCell ref="E92:E93"/>
    <mergeCell ref="F92:F93"/>
    <mergeCell ref="G92:G93"/>
    <mergeCell ref="H92:H93"/>
    <mergeCell ref="J90:J93"/>
    <mergeCell ref="K90:K93"/>
    <mergeCell ref="M90:M93"/>
    <mergeCell ref="D90:D93"/>
    <mergeCell ref="E90:F91"/>
    <mergeCell ref="G90:H91"/>
    <mergeCell ref="A110:B110"/>
    <mergeCell ref="M134:M141"/>
    <mergeCell ref="I136:I137"/>
    <mergeCell ref="E137:F137"/>
    <mergeCell ref="L126:L129"/>
    <mergeCell ref="M126:M129"/>
    <mergeCell ref="K134:K135"/>
    <mergeCell ref="J136:J137"/>
    <mergeCell ref="K136:K137"/>
    <mergeCell ref="J153:N153"/>
    <mergeCell ref="J156:N156"/>
    <mergeCell ref="A150:D150"/>
    <mergeCell ref="J150:N150"/>
    <mergeCell ref="A154:D154"/>
    <mergeCell ref="Q55:R55"/>
    <mergeCell ref="S55:T55"/>
    <mergeCell ref="C58:D58"/>
    <mergeCell ref="C126:C129"/>
    <mergeCell ref="D126:D129"/>
    <mergeCell ref="G126:H127"/>
    <mergeCell ref="I126:I129"/>
    <mergeCell ref="J126:J129"/>
    <mergeCell ref="K126:K129"/>
    <mergeCell ref="A140:B141"/>
    <mergeCell ref="C140:D140"/>
    <mergeCell ref="E140:F140"/>
    <mergeCell ref="G140:H140"/>
    <mergeCell ref="C141:D141"/>
    <mergeCell ref="E141:F141"/>
    <mergeCell ref="G137:H137"/>
    <mergeCell ref="N134:N141"/>
    <mergeCell ref="K139:K141"/>
    <mergeCell ref="N126:N129"/>
    <mergeCell ref="J68:N68"/>
    <mergeCell ref="A72:D72"/>
    <mergeCell ref="J74:N74"/>
    <mergeCell ref="A143:N143"/>
    <mergeCell ref="B144:N144"/>
    <mergeCell ref="B145:N145"/>
    <mergeCell ref="B146:N146"/>
    <mergeCell ref="B147:N147"/>
    <mergeCell ref="B148:N148"/>
    <mergeCell ref="N106:N107"/>
    <mergeCell ref="A139:C139"/>
    <mergeCell ref="E139:F139"/>
    <mergeCell ref="G139:H139"/>
    <mergeCell ref="J139:J141"/>
    <mergeCell ref="G141:H141"/>
    <mergeCell ref="N120:N121"/>
    <mergeCell ref="A122:B123"/>
    <mergeCell ref="J86:N88"/>
    <mergeCell ref="A87:D87"/>
    <mergeCell ref="J71:N71"/>
    <mergeCell ref="A134:B135"/>
    <mergeCell ref="E86:I88"/>
    <mergeCell ref="A84:D85"/>
    <mergeCell ref="E84:N84"/>
  </mergeCells>
  <pageMargins left="0.23333333333333334" right="0.17708333333333334" top="0.4375" bottom="0.36458333333333331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T2-T2</vt:lpstr>
      <vt:lpstr>T3-T2</vt:lpstr>
      <vt:lpstr>T4-T2</vt:lpstr>
      <vt:lpstr>T5-T2</vt:lpstr>
      <vt:lpstr>T6-T2</vt:lpstr>
      <vt:lpstr>T7-T2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HTC</dc:creator>
  <cp:lastModifiedBy>IEC</cp:lastModifiedBy>
  <cp:lastPrinted>2026-03-27T02:52:34Z</cp:lastPrinted>
  <dcterms:created xsi:type="dcterms:W3CDTF">2015-10-28T22:11:29Z</dcterms:created>
  <dcterms:modified xsi:type="dcterms:W3CDTF">2026-03-28T12:38:40Z</dcterms:modified>
</cp:coreProperties>
</file>