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15192" windowHeight="8700"/>
  </bookViews>
  <sheets>
    <sheet name="T2-T3" sheetId="12" r:id="rId1"/>
    <sheet name="T3-T3" sheetId="15" r:id="rId2"/>
    <sheet name="T4-T3" sheetId="16" r:id="rId3"/>
    <sheet name="T5-T3" sheetId="17" r:id="rId4"/>
    <sheet name="T6-T3" sheetId="18" r:id="rId5"/>
    <sheet name="T7-T3" sheetId="19" r:id="rId6"/>
    <sheet name="Sheet1" sheetId="20" r:id="rId7"/>
  </sheets>
  <calcPr calcId="124519"/>
</workbook>
</file>

<file path=xl/calcChain.xml><?xml version="1.0" encoding="utf-8"?>
<calcChain xmlns="http://schemas.openxmlformats.org/spreadsheetml/2006/main">
  <c r="I99" i="17"/>
  <c r="I116"/>
  <c r="D112" i="16"/>
  <c r="D96"/>
  <c r="I114" i="15" l="1"/>
  <c r="I101"/>
  <c r="H35" i="17"/>
  <c r="C35"/>
  <c r="I35" s="1"/>
  <c r="N35"/>
  <c r="F35" l="1"/>
  <c r="K35"/>
  <c r="J35"/>
  <c r="D35"/>
  <c r="N101" i="12"/>
  <c r="J101"/>
  <c r="I101"/>
  <c r="C101"/>
  <c r="K101" s="1"/>
  <c r="N19"/>
  <c r="C19"/>
  <c r="J19" s="1"/>
  <c r="D101" l="1"/>
  <c r="I19"/>
  <c r="D19"/>
  <c r="K19"/>
  <c r="C21" i="18"/>
  <c r="I21" s="1"/>
  <c r="N24"/>
  <c r="C24"/>
  <c r="I24" s="1"/>
  <c r="N102" i="16"/>
  <c r="C102"/>
  <c r="F102" s="1"/>
  <c r="C25"/>
  <c r="D25" s="1"/>
  <c r="N124" i="12"/>
  <c r="C124"/>
  <c r="H124" s="1"/>
  <c r="N107"/>
  <c r="C107"/>
  <c r="H107" s="1"/>
  <c r="C39"/>
  <c r="D39" s="1"/>
  <c r="C23"/>
  <c r="D23" s="1"/>
  <c r="C130" i="18"/>
  <c r="J130" s="1"/>
  <c r="N130"/>
  <c r="C131"/>
  <c r="I131" s="1"/>
  <c r="N131"/>
  <c r="C132"/>
  <c r="F132" s="1"/>
  <c r="N132"/>
  <c r="C133"/>
  <c r="E133" s="1"/>
  <c r="N133"/>
  <c r="C134"/>
  <c r="I134" s="1"/>
  <c r="N134"/>
  <c r="N117" i="19"/>
  <c r="C117"/>
  <c r="D117" s="1"/>
  <c r="N116"/>
  <c r="C116"/>
  <c r="D116" s="1"/>
  <c r="N115"/>
  <c r="C115"/>
  <c r="D115" s="1"/>
  <c r="N101"/>
  <c r="C101"/>
  <c r="F101" s="1"/>
  <c r="N37"/>
  <c r="C37"/>
  <c r="F37" s="1"/>
  <c r="N39"/>
  <c r="C39"/>
  <c r="D39" s="1"/>
  <c r="N38"/>
  <c r="C38"/>
  <c r="D38" s="1"/>
  <c r="C22"/>
  <c r="K22" s="1"/>
  <c r="N21"/>
  <c r="C21"/>
  <c r="F21" s="1"/>
  <c r="F115" l="1"/>
  <c r="H115"/>
  <c r="E116"/>
  <c r="D21" i="18"/>
  <c r="J21"/>
  <c r="H21"/>
  <c r="F21"/>
  <c r="F124" i="12"/>
  <c r="F24" i="18"/>
  <c r="D24"/>
  <c r="K24"/>
  <c r="D102" i="16"/>
  <c r="K107" i="12"/>
  <c r="I23"/>
  <c r="F23"/>
  <c r="J23"/>
  <c r="J24" i="18"/>
  <c r="K102" i="16"/>
  <c r="J102"/>
  <c r="I102"/>
  <c r="H102"/>
  <c r="K25"/>
  <c r="J25"/>
  <c r="I25"/>
  <c r="H25"/>
  <c r="F25"/>
  <c r="J107" i="12"/>
  <c r="J124"/>
  <c r="I124"/>
  <c r="D124"/>
  <c r="K124"/>
  <c r="I107"/>
  <c r="F107"/>
  <c r="D107"/>
  <c r="K39"/>
  <c r="J39"/>
  <c r="H39"/>
  <c r="I39"/>
  <c r="F39"/>
  <c r="H130" i="18"/>
  <c r="K130"/>
  <c r="D130"/>
  <c r="F130"/>
  <c r="I130"/>
  <c r="G133"/>
  <c r="I132"/>
  <c r="J133"/>
  <c r="K133"/>
  <c r="J132"/>
  <c r="K132"/>
  <c r="H132"/>
  <c r="F131"/>
  <c r="D131"/>
  <c r="D134"/>
  <c r="F134"/>
  <c r="D133"/>
  <c r="D132"/>
  <c r="G116" i="19"/>
  <c r="J115"/>
  <c r="K115"/>
  <c r="I115"/>
  <c r="K117"/>
  <c r="J117"/>
  <c r="G117"/>
  <c r="K116"/>
  <c r="J116"/>
  <c r="E117"/>
  <c r="D101"/>
  <c r="J101"/>
  <c r="H101"/>
  <c r="K101"/>
  <c r="I101"/>
  <c r="J38"/>
  <c r="J22"/>
  <c r="I22"/>
  <c r="F22"/>
  <c r="D22"/>
  <c r="E38"/>
  <c r="D37"/>
  <c r="K38"/>
  <c r="H37"/>
  <c r="K37"/>
  <c r="J37"/>
  <c r="I37"/>
  <c r="J39"/>
  <c r="K39"/>
  <c r="G39"/>
  <c r="E39"/>
  <c r="G38"/>
  <c r="D21"/>
  <c r="K21"/>
  <c r="J21"/>
  <c r="I21"/>
  <c r="H21"/>
  <c r="N108" i="18"/>
  <c r="C108"/>
  <c r="F108" s="1"/>
  <c r="N107"/>
  <c r="C107"/>
  <c r="D107" s="1"/>
  <c r="N106"/>
  <c r="C106"/>
  <c r="D106" s="1"/>
  <c r="N39"/>
  <c r="C39"/>
  <c r="D39" s="1"/>
  <c r="N44"/>
  <c r="C44"/>
  <c r="F44" s="1"/>
  <c r="N41"/>
  <c r="C41"/>
  <c r="F41" s="1"/>
  <c r="N42"/>
  <c r="C42"/>
  <c r="E42" s="1"/>
  <c r="N38"/>
  <c r="C38"/>
  <c r="D38" s="1"/>
  <c r="D108" l="1"/>
  <c r="F106"/>
  <c r="D139"/>
  <c r="F107"/>
  <c r="F39"/>
  <c r="I107"/>
  <c r="I44"/>
  <c r="I106"/>
  <c r="K108"/>
  <c r="J108"/>
  <c r="I108"/>
  <c r="K106"/>
  <c r="K107"/>
  <c r="J106"/>
  <c r="J107"/>
  <c r="H106"/>
  <c r="H107"/>
  <c r="D44"/>
  <c r="I39"/>
  <c r="K41"/>
  <c r="J41"/>
  <c r="I41"/>
  <c r="D41"/>
  <c r="H41"/>
  <c r="D42"/>
  <c r="K42"/>
  <c r="J42"/>
  <c r="G42"/>
  <c r="K38"/>
  <c r="J38"/>
  <c r="I38"/>
  <c r="H38"/>
  <c r="F38"/>
  <c r="N23" l="1"/>
  <c r="C23"/>
  <c r="D23" s="1"/>
  <c r="N22"/>
  <c r="C22"/>
  <c r="F22" s="1"/>
  <c r="N104" i="17"/>
  <c r="C104"/>
  <c r="H104" s="1"/>
  <c r="N103"/>
  <c r="C103"/>
  <c r="F103" s="1"/>
  <c r="N102"/>
  <c r="C102"/>
  <c r="D102" s="1"/>
  <c r="N34"/>
  <c r="C34"/>
  <c r="H34" s="1"/>
  <c r="N24"/>
  <c r="C24"/>
  <c r="H24" s="1"/>
  <c r="N23"/>
  <c r="C23"/>
  <c r="H23" s="1"/>
  <c r="N20"/>
  <c r="C20"/>
  <c r="G20" s="1"/>
  <c r="F24" l="1"/>
  <c r="D103"/>
  <c r="G102"/>
  <c r="E102"/>
  <c r="K34"/>
  <c r="I103"/>
  <c r="E20"/>
  <c r="D22" i="18"/>
  <c r="K23"/>
  <c r="J23"/>
  <c r="F23"/>
  <c r="K22"/>
  <c r="I23"/>
  <c r="H23"/>
  <c r="J22"/>
  <c r="I22"/>
  <c r="H22"/>
  <c r="K104" i="17"/>
  <c r="J104"/>
  <c r="F104"/>
  <c r="D104"/>
  <c r="I104"/>
  <c r="K103"/>
  <c r="J103"/>
  <c r="H103"/>
  <c r="D20"/>
  <c r="F34"/>
  <c r="J34"/>
  <c r="D34"/>
  <c r="I34"/>
  <c r="D24"/>
  <c r="I23"/>
  <c r="F23"/>
  <c r="D23"/>
  <c r="J24"/>
  <c r="I24"/>
  <c r="J23"/>
  <c r="K23"/>
  <c r="K24"/>
  <c r="N124" i="16" l="1"/>
  <c r="C124"/>
  <c r="D124" s="1"/>
  <c r="N41"/>
  <c r="C41"/>
  <c r="F41" s="1"/>
  <c r="N25"/>
  <c r="N103" i="15"/>
  <c r="C103"/>
  <c r="D103" s="1"/>
  <c r="N21"/>
  <c r="C21"/>
  <c r="J21" s="1"/>
  <c r="N20"/>
  <c r="C20"/>
  <c r="F20" s="1"/>
  <c r="N24"/>
  <c r="C24"/>
  <c r="D24" s="1"/>
  <c r="N102" i="12"/>
  <c r="C102"/>
  <c r="D102" s="1"/>
  <c r="N104"/>
  <c r="C104"/>
  <c r="J104" s="1"/>
  <c r="N103"/>
  <c r="C103"/>
  <c r="E103" s="1"/>
  <c r="N108"/>
  <c r="C108"/>
  <c r="H108" s="1"/>
  <c r="N39"/>
  <c r="N20"/>
  <c r="C20"/>
  <c r="N22"/>
  <c r="C22"/>
  <c r="E22" s="1"/>
  <c r="N24"/>
  <c r="C24"/>
  <c r="H24" s="1"/>
  <c r="N23"/>
  <c r="J20" i="15" l="1"/>
  <c r="H20"/>
  <c r="F21"/>
  <c r="I124" i="16"/>
  <c r="H124"/>
  <c r="D20" i="15"/>
  <c r="I21"/>
  <c r="D20" i="12"/>
  <c r="E20"/>
  <c r="J24" i="15"/>
  <c r="G24"/>
  <c r="K24"/>
  <c r="E24"/>
  <c r="D21"/>
  <c r="K21"/>
  <c r="K103" i="12"/>
  <c r="K23"/>
  <c r="E104"/>
  <c r="D104"/>
  <c r="J103"/>
  <c r="K104"/>
  <c r="G104"/>
  <c r="J124" i="16"/>
  <c r="K41"/>
  <c r="J41"/>
  <c r="H41"/>
  <c r="D41"/>
  <c r="K124"/>
  <c r="F124"/>
  <c r="I41"/>
  <c r="K103" i="15"/>
  <c r="I103"/>
  <c r="H103"/>
  <c r="J103"/>
  <c r="F103"/>
  <c r="K20"/>
  <c r="I20"/>
  <c r="J108" i="12"/>
  <c r="F108"/>
  <c r="H23"/>
  <c r="D108"/>
  <c r="E102"/>
  <c r="G102"/>
  <c r="K102"/>
  <c r="J102"/>
  <c r="D103"/>
  <c r="G103"/>
  <c r="K108"/>
  <c r="I108"/>
  <c r="K20"/>
  <c r="J20"/>
  <c r="G20"/>
  <c r="D22"/>
  <c r="K22"/>
  <c r="J22"/>
  <c r="G22"/>
  <c r="F24"/>
  <c r="D24"/>
  <c r="K24"/>
  <c r="J24"/>
  <c r="I24"/>
  <c r="N139" i="18" l="1"/>
  <c r="N125" i="19" l="1"/>
  <c r="C125"/>
  <c r="J125" s="1"/>
  <c r="N40"/>
  <c r="C40"/>
  <c r="K40" s="1"/>
  <c r="K125" l="1"/>
  <c r="D125"/>
  <c r="I125"/>
  <c r="D40"/>
  <c r="I40"/>
  <c r="F125"/>
  <c r="H125"/>
  <c r="J40"/>
  <c r="H40"/>
  <c r="F40"/>
  <c r="N127" i="15"/>
  <c r="C127"/>
  <c r="J127" s="1"/>
  <c r="N42"/>
  <c r="C42"/>
  <c r="N131" i="12"/>
  <c r="C131"/>
  <c r="N36"/>
  <c r="C36"/>
  <c r="D36" s="1"/>
  <c r="N41"/>
  <c r="C41"/>
  <c r="D41" s="1"/>
  <c r="K127" i="15" l="1"/>
  <c r="D127"/>
  <c r="I127"/>
  <c r="D42"/>
  <c r="I42"/>
  <c r="D131" i="12"/>
  <c r="I131"/>
  <c r="K42" i="15"/>
  <c r="H127"/>
  <c r="J42"/>
  <c r="H42"/>
  <c r="F127"/>
  <c r="F42"/>
  <c r="K131" i="12"/>
  <c r="J131"/>
  <c r="H131"/>
  <c r="F131"/>
  <c r="H36"/>
  <c r="K41"/>
  <c r="J41"/>
  <c r="I41"/>
  <c r="H41"/>
  <c r="F41"/>
  <c r="N99" i="19" l="1"/>
  <c r="C99"/>
  <c r="G99" s="1"/>
  <c r="N19"/>
  <c r="C19"/>
  <c r="I19" s="1"/>
  <c r="D99" l="1"/>
  <c r="E99"/>
  <c r="J19"/>
  <c r="D19"/>
  <c r="E19"/>
  <c r="K99"/>
  <c r="J99"/>
  <c r="I99"/>
  <c r="K19"/>
  <c r="G19"/>
  <c r="C116" i="15" l="1"/>
  <c r="H116" s="1"/>
  <c r="N116"/>
  <c r="N111" i="19"/>
  <c r="C111"/>
  <c r="H111" s="1"/>
  <c r="N32"/>
  <c r="C32"/>
  <c r="D32" s="1"/>
  <c r="H32" l="1"/>
  <c r="D116" i="15"/>
  <c r="G116"/>
  <c r="D111" i="19"/>
  <c r="N102" i="18" l="1"/>
  <c r="C102"/>
  <c r="D102" s="1"/>
  <c r="N17"/>
  <c r="C17"/>
  <c r="H17" s="1"/>
  <c r="N37" i="17"/>
  <c r="C37"/>
  <c r="H37" s="1"/>
  <c r="N114"/>
  <c r="C114"/>
  <c r="D114" s="1"/>
  <c r="H102" i="18" l="1"/>
  <c r="D17"/>
  <c r="D37" i="17"/>
  <c r="H114"/>
  <c r="N18" i="16" l="1"/>
  <c r="C18"/>
  <c r="D18" s="1"/>
  <c r="N37"/>
  <c r="C37"/>
  <c r="D37" s="1"/>
  <c r="G18" l="1"/>
  <c r="H37"/>
  <c r="N24" l="1"/>
  <c r="C24"/>
  <c r="E24" s="1"/>
  <c r="N101"/>
  <c r="C101"/>
  <c r="G101" s="1"/>
  <c r="C111"/>
  <c r="D111" s="1"/>
  <c r="N111"/>
  <c r="N95"/>
  <c r="C95"/>
  <c r="D95" s="1"/>
  <c r="N39" i="15"/>
  <c r="C39"/>
  <c r="D39" s="1"/>
  <c r="N117" i="12"/>
  <c r="C117"/>
  <c r="H117" s="1"/>
  <c r="C118"/>
  <c r="I118" s="1"/>
  <c r="N118"/>
  <c r="J118" l="1"/>
  <c r="K118"/>
  <c r="E101" i="16"/>
  <c r="D101"/>
  <c r="J101"/>
  <c r="K101"/>
  <c r="J24"/>
  <c r="D24"/>
  <c r="K24"/>
  <c r="G24"/>
  <c r="G111"/>
  <c r="H95"/>
  <c r="H39" i="15"/>
  <c r="D117" i="12"/>
  <c r="D118"/>
  <c r="F118"/>
  <c r="H118"/>
  <c r="N102" i="19" l="1"/>
  <c r="C102"/>
  <c r="H102" s="1"/>
  <c r="N23"/>
  <c r="C23"/>
  <c r="D23" s="1"/>
  <c r="N22"/>
  <c r="K102" l="1"/>
  <c r="J102"/>
  <c r="I102"/>
  <c r="H23"/>
  <c r="I23"/>
  <c r="F23"/>
  <c r="J23"/>
  <c r="K23"/>
  <c r="F102"/>
  <c r="D102"/>
  <c r="H22"/>
  <c r="N117" i="17" l="1"/>
  <c r="C117"/>
  <c r="N115" i="16"/>
  <c r="C115"/>
  <c r="F115" s="1"/>
  <c r="N40"/>
  <c r="C40"/>
  <c r="F40" s="1"/>
  <c r="N35"/>
  <c r="C35"/>
  <c r="H35" s="1"/>
  <c r="N34"/>
  <c r="C34"/>
  <c r="I34" s="1"/>
  <c r="N41" i="15"/>
  <c r="C41"/>
  <c r="E41" s="1"/>
  <c r="F117" i="17" l="1"/>
  <c r="K117"/>
  <c r="D117"/>
  <c r="I117"/>
  <c r="J117"/>
  <c r="H34" i="16"/>
  <c r="K35"/>
  <c r="K34"/>
  <c r="F35"/>
  <c r="J115"/>
  <c r="D115"/>
  <c r="D40"/>
  <c r="K41" i="15"/>
  <c r="J41"/>
  <c r="G41"/>
  <c r="D41"/>
  <c r="K115" i="16"/>
  <c r="I115"/>
  <c r="J40"/>
  <c r="F34"/>
  <c r="D34"/>
  <c r="D35"/>
  <c r="K40"/>
  <c r="I40"/>
  <c r="J34"/>
  <c r="J35"/>
  <c r="I35"/>
  <c r="N119" i="12" l="1"/>
  <c r="C119"/>
  <c r="D119" s="1"/>
  <c r="N109"/>
  <c r="C109"/>
  <c r="F109" s="1"/>
  <c r="N38"/>
  <c r="C38"/>
  <c r="D38" s="1"/>
  <c r="N34"/>
  <c r="C34"/>
  <c r="D34" s="1"/>
  <c r="N27"/>
  <c r="C27"/>
  <c r="D27" s="1"/>
  <c r="H109" l="1"/>
  <c r="D109"/>
  <c r="I109"/>
  <c r="F38"/>
  <c r="I38"/>
  <c r="H38"/>
  <c r="I119"/>
  <c r="H119"/>
  <c r="F119"/>
  <c r="I34"/>
  <c r="H34"/>
  <c r="F34"/>
  <c r="H27"/>
  <c r="I27"/>
  <c r="F27"/>
  <c r="N121" i="15" l="1"/>
  <c r="C121"/>
  <c r="D121" s="1"/>
  <c r="N104"/>
  <c r="C104"/>
  <c r="D104" s="1"/>
  <c r="N17"/>
  <c r="C17"/>
  <c r="N38"/>
  <c r="C38"/>
  <c r="D38" s="1"/>
  <c r="N37"/>
  <c r="C37"/>
  <c r="D37" s="1"/>
  <c r="N22"/>
  <c r="C22"/>
  <c r="D22" s="1"/>
  <c r="F37" l="1"/>
  <c r="G17"/>
  <c r="D17"/>
  <c r="I121"/>
  <c r="H121"/>
  <c r="F121"/>
  <c r="I104"/>
  <c r="H104"/>
  <c r="F104"/>
  <c r="G38"/>
  <c r="H22"/>
  <c r="F22"/>
  <c r="I37"/>
  <c r="H37"/>
  <c r="I22"/>
  <c r="N126" i="17"/>
  <c r="C126"/>
  <c r="D126" s="1"/>
  <c r="N40"/>
  <c r="C40"/>
  <c r="I40" s="1"/>
  <c r="D40" l="1"/>
  <c r="J126"/>
  <c r="I126"/>
  <c r="F126"/>
  <c r="J40"/>
  <c r="F40"/>
  <c r="N131" l="1"/>
  <c r="N119"/>
  <c r="C119"/>
  <c r="D119" s="1"/>
  <c r="N118"/>
  <c r="C118"/>
  <c r="F118" s="1"/>
  <c r="N116"/>
  <c r="C116"/>
  <c r="N115"/>
  <c r="C115"/>
  <c r="K115" s="1"/>
  <c r="N113"/>
  <c r="C113"/>
  <c r="N112"/>
  <c r="C112"/>
  <c r="J112" s="1"/>
  <c r="N105"/>
  <c r="C105"/>
  <c r="I105" s="1"/>
  <c r="N101"/>
  <c r="C101"/>
  <c r="G101" s="1"/>
  <c r="N100"/>
  <c r="C100"/>
  <c r="E100" s="1"/>
  <c r="N99"/>
  <c r="C99"/>
  <c r="N98"/>
  <c r="C98"/>
  <c r="N97"/>
  <c r="C97"/>
  <c r="E97" s="1"/>
  <c r="N39"/>
  <c r="C39"/>
  <c r="N38"/>
  <c r="C38"/>
  <c r="D38" s="1"/>
  <c r="N36"/>
  <c r="C36"/>
  <c r="N33"/>
  <c r="C33"/>
  <c r="D33" s="1"/>
  <c r="N26"/>
  <c r="C26"/>
  <c r="H26" s="1"/>
  <c r="N25"/>
  <c r="C25"/>
  <c r="F25" s="1"/>
  <c r="N22"/>
  <c r="C22"/>
  <c r="D22" s="1"/>
  <c r="N21"/>
  <c r="C21"/>
  <c r="K21" s="1"/>
  <c r="N19"/>
  <c r="C19"/>
  <c r="J19" s="1"/>
  <c r="N18"/>
  <c r="C18"/>
  <c r="D18" s="1"/>
  <c r="N17"/>
  <c r="C17"/>
  <c r="N16"/>
  <c r="C16"/>
  <c r="D16" s="1"/>
  <c r="C110" i="19"/>
  <c r="N110"/>
  <c r="C96"/>
  <c r="N96"/>
  <c r="N94" i="16"/>
  <c r="C94"/>
  <c r="N113"/>
  <c r="C113"/>
  <c r="D113" s="1"/>
  <c r="N103"/>
  <c r="C103"/>
  <c r="D103" s="1"/>
  <c r="N39"/>
  <c r="C39"/>
  <c r="D39" s="1"/>
  <c r="N27"/>
  <c r="C27"/>
  <c r="D27" s="1"/>
  <c r="I18" i="17" l="1"/>
  <c r="K116"/>
  <c r="D96" i="19"/>
  <c r="G96"/>
  <c r="F99" i="17"/>
  <c r="D98"/>
  <c r="G98"/>
  <c r="D17"/>
  <c r="G17"/>
  <c r="G39"/>
  <c r="G100"/>
  <c r="G110" i="19"/>
  <c r="D110"/>
  <c r="D36" i="17"/>
  <c r="G36"/>
  <c r="D113"/>
  <c r="G113"/>
  <c r="D94" i="16"/>
  <c r="G94"/>
  <c r="K18" i="17"/>
  <c r="G21"/>
  <c r="J25"/>
  <c r="J33"/>
  <c r="D19"/>
  <c r="J100"/>
  <c r="D112"/>
  <c r="I25"/>
  <c r="D25"/>
  <c r="D97"/>
  <c r="G22"/>
  <c r="I26"/>
  <c r="J16"/>
  <c r="F26"/>
  <c r="H99"/>
  <c r="H118"/>
  <c r="D26"/>
  <c r="D118"/>
  <c r="K119"/>
  <c r="H38"/>
  <c r="K97"/>
  <c r="K99"/>
  <c r="K112"/>
  <c r="F38"/>
  <c r="J97"/>
  <c r="E112"/>
  <c r="H116"/>
  <c r="I118"/>
  <c r="G119"/>
  <c r="E119"/>
  <c r="N107"/>
  <c r="D105"/>
  <c r="N121"/>
  <c r="H115"/>
  <c r="N28"/>
  <c r="N46"/>
  <c r="K19"/>
  <c r="H18"/>
  <c r="G19"/>
  <c r="J21"/>
  <c r="K22"/>
  <c r="E39"/>
  <c r="D99"/>
  <c r="D100"/>
  <c r="E101"/>
  <c r="H105"/>
  <c r="J115"/>
  <c r="J116"/>
  <c r="K39"/>
  <c r="J18"/>
  <c r="I101"/>
  <c r="K16"/>
  <c r="F18"/>
  <c r="E19"/>
  <c r="I21"/>
  <c r="J22"/>
  <c r="K25"/>
  <c r="K33"/>
  <c r="D39"/>
  <c r="D101"/>
  <c r="F105"/>
  <c r="I115"/>
  <c r="E16"/>
  <c r="E21"/>
  <c r="E22"/>
  <c r="E33"/>
  <c r="F115"/>
  <c r="F116"/>
  <c r="D21"/>
  <c r="I38"/>
  <c r="J99"/>
  <c r="K100"/>
  <c r="K101"/>
  <c r="D115"/>
  <c r="D116"/>
  <c r="J119"/>
  <c r="D131"/>
  <c r="D132" s="1"/>
  <c r="D134" s="1"/>
  <c r="J101"/>
  <c r="J39"/>
  <c r="I113" i="16"/>
  <c r="F113"/>
  <c r="H113"/>
  <c r="F103"/>
  <c r="I103"/>
  <c r="H103"/>
  <c r="I39"/>
  <c r="H39"/>
  <c r="F39"/>
  <c r="I27"/>
  <c r="H27"/>
  <c r="F27"/>
  <c r="G135" i="17" l="1"/>
  <c r="G137" s="1"/>
  <c r="I135"/>
  <c r="I137" s="1"/>
  <c r="D28"/>
  <c r="D29" s="1"/>
  <c r="D31" s="1"/>
  <c r="E135"/>
  <c r="E137" s="1"/>
  <c r="I50"/>
  <c r="I52" s="1"/>
  <c r="K135"/>
  <c r="K137" s="1"/>
  <c r="D121"/>
  <c r="D122" s="1"/>
  <c r="D124" s="1"/>
  <c r="J135"/>
  <c r="J137" s="1"/>
  <c r="N135"/>
  <c r="F135"/>
  <c r="F137" s="1"/>
  <c r="D107"/>
  <c r="D108" s="1"/>
  <c r="D110" s="1"/>
  <c r="D46"/>
  <c r="D47" s="1"/>
  <c r="D49" s="1"/>
  <c r="E50"/>
  <c r="E52" s="1"/>
  <c r="H50"/>
  <c r="H52" s="1"/>
  <c r="N50"/>
  <c r="J50"/>
  <c r="J52" s="1"/>
  <c r="H135"/>
  <c r="H137" s="1"/>
  <c r="K50"/>
  <c r="K52" s="1"/>
  <c r="G50"/>
  <c r="F50"/>
  <c r="F52" s="1"/>
  <c r="I55" l="1"/>
  <c r="I56" s="1"/>
  <c r="I140"/>
  <c r="D135"/>
  <c r="D137" s="1"/>
  <c r="E136"/>
  <c r="D50"/>
  <c r="D52" s="1"/>
  <c r="E53"/>
  <c r="E51"/>
  <c r="G52"/>
  <c r="G51"/>
  <c r="G138"/>
  <c r="E138"/>
  <c r="G136"/>
  <c r="N123" i="18"/>
  <c r="C123"/>
  <c r="D123" s="1"/>
  <c r="N109"/>
  <c r="C109"/>
  <c r="D109" s="1"/>
  <c r="N40"/>
  <c r="C40"/>
  <c r="D40" s="1"/>
  <c r="N37"/>
  <c r="C37"/>
  <c r="D37" s="1"/>
  <c r="N35"/>
  <c r="C35"/>
  <c r="K35" s="1"/>
  <c r="N34"/>
  <c r="C34"/>
  <c r="I34" s="1"/>
  <c r="N25"/>
  <c r="C25"/>
  <c r="H25" s="1"/>
  <c r="N118" i="19"/>
  <c r="C118"/>
  <c r="D118" s="1"/>
  <c r="N100"/>
  <c r="C100"/>
  <c r="D100" s="1"/>
  <c r="N36"/>
  <c r="C36"/>
  <c r="I36" s="1"/>
  <c r="C20"/>
  <c r="D20" s="1"/>
  <c r="F36" l="1"/>
  <c r="D34" i="18"/>
  <c r="D35"/>
  <c r="I35"/>
  <c r="F109"/>
  <c r="J35"/>
  <c r="J40"/>
  <c r="H35"/>
  <c r="I40"/>
  <c r="H109"/>
  <c r="I109"/>
  <c r="I37"/>
  <c r="K34"/>
  <c r="I123"/>
  <c r="J34"/>
  <c r="H123"/>
  <c r="K40"/>
  <c r="I141" i="17"/>
  <c r="G53"/>
  <c r="E140"/>
  <c r="E55"/>
  <c r="G140"/>
  <c r="G141" s="1"/>
  <c r="D36" i="19"/>
  <c r="H36"/>
  <c r="I100"/>
  <c r="H100"/>
  <c r="F100"/>
  <c r="I118"/>
  <c r="H20"/>
  <c r="H118"/>
  <c r="F20"/>
  <c r="F118"/>
  <c r="I20"/>
  <c r="H37" i="18"/>
  <c r="F37"/>
  <c r="F123"/>
  <c r="H40"/>
  <c r="F40"/>
  <c r="F34"/>
  <c r="F35"/>
  <c r="H34"/>
  <c r="I25"/>
  <c r="F25"/>
  <c r="D25"/>
  <c r="G55" i="17" l="1"/>
  <c r="G56" s="1"/>
  <c r="E141"/>
  <c r="E56"/>
  <c r="N122" i="18"/>
  <c r="C122"/>
  <c r="D122" s="1"/>
  <c r="N120"/>
  <c r="C120"/>
  <c r="G120" s="1"/>
  <c r="N118"/>
  <c r="C118"/>
  <c r="I118" s="1"/>
  <c r="N121"/>
  <c r="C121"/>
  <c r="D121" s="1"/>
  <c r="N119"/>
  <c r="C119"/>
  <c r="D119" s="1"/>
  <c r="N117"/>
  <c r="C117"/>
  <c r="N116"/>
  <c r="C116"/>
  <c r="D116" s="1"/>
  <c r="N105"/>
  <c r="C105"/>
  <c r="D105" s="1"/>
  <c r="N104"/>
  <c r="C104"/>
  <c r="D104" s="1"/>
  <c r="N103"/>
  <c r="C103"/>
  <c r="I103" s="1"/>
  <c r="N101"/>
  <c r="C101"/>
  <c r="N100"/>
  <c r="C100"/>
  <c r="D100" s="1"/>
  <c r="N43"/>
  <c r="C43"/>
  <c r="D43" s="1"/>
  <c r="N36"/>
  <c r="C36"/>
  <c r="N33"/>
  <c r="C33"/>
  <c r="E33" s="1"/>
  <c r="N21"/>
  <c r="N20"/>
  <c r="C20"/>
  <c r="E20" s="1"/>
  <c r="N19"/>
  <c r="C19"/>
  <c r="E19" s="1"/>
  <c r="N18"/>
  <c r="C18"/>
  <c r="I18" s="1"/>
  <c r="N16"/>
  <c r="C16"/>
  <c r="D16" s="1"/>
  <c r="D103" l="1"/>
  <c r="K118"/>
  <c r="D118"/>
  <c r="F18"/>
  <c r="E105"/>
  <c r="H118"/>
  <c r="F118"/>
  <c r="J100"/>
  <c r="J121"/>
  <c r="K100"/>
  <c r="E116"/>
  <c r="J116"/>
  <c r="J20"/>
  <c r="D36"/>
  <c r="G36"/>
  <c r="E100"/>
  <c r="K116"/>
  <c r="H121"/>
  <c r="F121"/>
  <c r="D18"/>
  <c r="E120"/>
  <c r="I120"/>
  <c r="G117"/>
  <c r="D117"/>
  <c r="D101"/>
  <c r="G101"/>
  <c r="D33"/>
  <c r="J43"/>
  <c r="N111"/>
  <c r="N27"/>
  <c r="K122"/>
  <c r="J122"/>
  <c r="I122"/>
  <c r="H122"/>
  <c r="F122"/>
  <c r="I121"/>
  <c r="K121"/>
  <c r="J120"/>
  <c r="D120"/>
  <c r="K120"/>
  <c r="J118"/>
  <c r="D140"/>
  <c r="D142" s="1"/>
  <c r="K119"/>
  <c r="J119"/>
  <c r="G119"/>
  <c r="E119"/>
  <c r="N125"/>
  <c r="N49"/>
  <c r="G20"/>
  <c r="D20"/>
  <c r="D19"/>
  <c r="K16"/>
  <c r="K43"/>
  <c r="K103"/>
  <c r="J16"/>
  <c r="K18"/>
  <c r="J103"/>
  <c r="K104"/>
  <c r="E16"/>
  <c r="J18"/>
  <c r="K19"/>
  <c r="G43"/>
  <c r="J104"/>
  <c r="K105"/>
  <c r="J19"/>
  <c r="K20"/>
  <c r="K33"/>
  <c r="E43"/>
  <c r="H103"/>
  <c r="G104"/>
  <c r="J105"/>
  <c r="H18"/>
  <c r="G19"/>
  <c r="K21"/>
  <c r="J33"/>
  <c r="F103"/>
  <c r="E104"/>
  <c r="G105"/>
  <c r="N143" l="1"/>
  <c r="D125"/>
  <c r="D111"/>
  <c r="D112" s="1"/>
  <c r="D114" s="1"/>
  <c r="D49"/>
  <c r="D50" s="1"/>
  <c r="D52" s="1"/>
  <c r="F143"/>
  <c r="F145" s="1"/>
  <c r="E143"/>
  <c r="E145" s="1"/>
  <c r="N53"/>
  <c r="I143"/>
  <c r="I145" s="1"/>
  <c r="J143"/>
  <c r="J145" s="1"/>
  <c r="F53"/>
  <c r="F55" s="1"/>
  <c r="D27"/>
  <c r="G53"/>
  <c r="H53"/>
  <c r="H55" s="1"/>
  <c r="G143"/>
  <c r="I53"/>
  <c r="I55" s="1"/>
  <c r="H143"/>
  <c r="H145" s="1"/>
  <c r="K143"/>
  <c r="K145" s="1"/>
  <c r="E53"/>
  <c r="J53"/>
  <c r="J55" s="1"/>
  <c r="K53"/>
  <c r="K55" s="1"/>
  <c r="D126" l="1"/>
  <c r="D128" s="1"/>
  <c r="D143"/>
  <c r="D145" s="1"/>
  <c r="D53"/>
  <c r="D55" s="1"/>
  <c r="E144"/>
  <c r="I148"/>
  <c r="D28"/>
  <c r="D30" s="1"/>
  <c r="G55"/>
  <c r="G54"/>
  <c r="E146"/>
  <c r="E55"/>
  <c r="E54"/>
  <c r="G144"/>
  <c r="G145"/>
  <c r="I58"/>
  <c r="I149" l="1"/>
  <c r="I59"/>
  <c r="G56"/>
  <c r="E148"/>
  <c r="E56"/>
  <c r="G146"/>
  <c r="G58" l="1"/>
  <c r="G59" s="1"/>
  <c r="E149"/>
  <c r="E58"/>
  <c r="G148"/>
  <c r="G149" s="1"/>
  <c r="E59" l="1"/>
  <c r="N129" i="16" l="1"/>
  <c r="N117"/>
  <c r="C117"/>
  <c r="K117" s="1"/>
  <c r="N116"/>
  <c r="C116"/>
  <c r="J116" s="1"/>
  <c r="N114"/>
  <c r="C114"/>
  <c r="H114" s="1"/>
  <c r="N112"/>
  <c r="C112"/>
  <c r="N110"/>
  <c r="C110"/>
  <c r="E110" s="1"/>
  <c r="N100"/>
  <c r="C100"/>
  <c r="G100" s="1"/>
  <c r="N99"/>
  <c r="C99"/>
  <c r="G99" s="1"/>
  <c r="N98"/>
  <c r="C98"/>
  <c r="H98" s="1"/>
  <c r="N97"/>
  <c r="C97"/>
  <c r="H97" s="1"/>
  <c r="N96"/>
  <c r="C96"/>
  <c r="N93"/>
  <c r="C93"/>
  <c r="K93" s="1"/>
  <c r="N38"/>
  <c r="C38"/>
  <c r="K38" s="1"/>
  <c r="N36"/>
  <c r="C36"/>
  <c r="E36" s="1"/>
  <c r="N26"/>
  <c r="C26"/>
  <c r="J26" s="1"/>
  <c r="N23"/>
  <c r="C23"/>
  <c r="G23" s="1"/>
  <c r="N22"/>
  <c r="C22"/>
  <c r="G22" s="1"/>
  <c r="N21"/>
  <c r="C21"/>
  <c r="I21" s="1"/>
  <c r="N20"/>
  <c r="C20"/>
  <c r="H20" s="1"/>
  <c r="N19"/>
  <c r="C19"/>
  <c r="H19" s="1"/>
  <c r="N17"/>
  <c r="C17"/>
  <c r="K17" s="1"/>
  <c r="H112" l="1"/>
  <c r="H96"/>
  <c r="D19"/>
  <c r="J110"/>
  <c r="D110"/>
  <c r="K110"/>
  <c r="D93"/>
  <c r="D100"/>
  <c r="H21"/>
  <c r="J93"/>
  <c r="E93"/>
  <c r="D99"/>
  <c r="J17"/>
  <c r="E17"/>
  <c r="D17"/>
  <c r="D20"/>
  <c r="D116"/>
  <c r="N119"/>
  <c r="F21"/>
  <c r="N105"/>
  <c r="D98"/>
  <c r="D117"/>
  <c r="D21"/>
  <c r="H26"/>
  <c r="F26"/>
  <c r="D114"/>
  <c r="D26"/>
  <c r="D97"/>
  <c r="E116"/>
  <c r="D23"/>
  <c r="D38"/>
  <c r="D22"/>
  <c r="N28"/>
  <c r="G117"/>
  <c r="E117"/>
  <c r="N46"/>
  <c r="G38"/>
  <c r="E38"/>
  <c r="K19"/>
  <c r="K21"/>
  <c r="I20"/>
  <c r="I22"/>
  <c r="K26"/>
  <c r="J36"/>
  <c r="I96"/>
  <c r="I98"/>
  <c r="I99"/>
  <c r="J100"/>
  <c r="I112"/>
  <c r="I114"/>
  <c r="K116"/>
  <c r="F19"/>
  <c r="F20"/>
  <c r="E22"/>
  <c r="E23"/>
  <c r="I26"/>
  <c r="D36"/>
  <c r="J38"/>
  <c r="F96"/>
  <c r="F97"/>
  <c r="F98"/>
  <c r="E99"/>
  <c r="E100"/>
  <c r="F112"/>
  <c r="F114"/>
  <c r="G116"/>
  <c r="J117"/>
  <c r="D129"/>
  <c r="D130" s="1"/>
  <c r="D132" s="1"/>
  <c r="K20"/>
  <c r="K22"/>
  <c r="K96"/>
  <c r="K97"/>
  <c r="K98"/>
  <c r="K99"/>
  <c r="K112"/>
  <c r="K114"/>
  <c r="J19"/>
  <c r="J20"/>
  <c r="J21"/>
  <c r="J22"/>
  <c r="K23"/>
  <c r="K36"/>
  <c r="J96"/>
  <c r="J97"/>
  <c r="J98"/>
  <c r="J99"/>
  <c r="K100"/>
  <c r="J112"/>
  <c r="J114"/>
  <c r="I19"/>
  <c r="J23"/>
  <c r="I97"/>
  <c r="D119" l="1"/>
  <c r="D120" s="1"/>
  <c r="D122" s="1"/>
  <c r="H133"/>
  <c r="H135" s="1"/>
  <c r="N133"/>
  <c r="D105"/>
  <c r="D106" s="1"/>
  <c r="D108" s="1"/>
  <c r="H50"/>
  <c r="H52" s="1"/>
  <c r="E50"/>
  <c r="E52" s="1"/>
  <c r="E133"/>
  <c r="E135" s="1"/>
  <c r="G50"/>
  <c r="D28"/>
  <c r="D29" s="1"/>
  <c r="D31" s="1"/>
  <c r="N50"/>
  <c r="G133"/>
  <c r="J133"/>
  <c r="J135" s="1"/>
  <c r="K133"/>
  <c r="K135" s="1"/>
  <c r="D46"/>
  <c r="D47" s="1"/>
  <c r="D49" s="1"/>
  <c r="J50"/>
  <c r="J52" s="1"/>
  <c r="K50"/>
  <c r="K52" s="1"/>
  <c r="I133"/>
  <c r="I135" s="1"/>
  <c r="F50"/>
  <c r="F52" s="1"/>
  <c r="I50"/>
  <c r="I52" s="1"/>
  <c r="F133"/>
  <c r="F135" s="1"/>
  <c r="G134" l="1"/>
  <c r="D133"/>
  <c r="D135" s="1"/>
  <c r="G51"/>
  <c r="G52"/>
  <c r="G53" s="1"/>
  <c r="E134"/>
  <c r="G135"/>
  <c r="G136" s="1"/>
  <c r="D50"/>
  <c r="D52" s="1"/>
  <c r="E51"/>
  <c r="I55"/>
  <c r="E53"/>
  <c r="I138"/>
  <c r="E136"/>
  <c r="I139" l="1"/>
  <c r="I56"/>
  <c r="G138"/>
  <c r="G139" s="1"/>
  <c r="E55"/>
  <c r="E56" s="1"/>
  <c r="E138"/>
  <c r="G55"/>
  <c r="G56" s="1"/>
  <c r="E139" l="1"/>
  <c r="N132" i="15" l="1"/>
  <c r="D132"/>
  <c r="D133" s="1"/>
  <c r="D135" s="1"/>
  <c r="N120"/>
  <c r="C120"/>
  <c r="G120" s="1"/>
  <c r="N119"/>
  <c r="C119"/>
  <c r="I119" s="1"/>
  <c r="N118"/>
  <c r="C118"/>
  <c r="K118" s="1"/>
  <c r="N117"/>
  <c r="C117"/>
  <c r="K117" s="1"/>
  <c r="N115"/>
  <c r="C115"/>
  <c r="K115" s="1"/>
  <c r="N114"/>
  <c r="C114"/>
  <c r="D114" s="1"/>
  <c r="N107"/>
  <c r="C107"/>
  <c r="I107" s="1"/>
  <c r="N106"/>
  <c r="C106"/>
  <c r="N105"/>
  <c r="C105"/>
  <c r="E105" s="1"/>
  <c r="N102"/>
  <c r="C102"/>
  <c r="D102" s="1"/>
  <c r="N101"/>
  <c r="C101"/>
  <c r="D101" s="1"/>
  <c r="N100"/>
  <c r="C100"/>
  <c r="N99"/>
  <c r="C99"/>
  <c r="E99" s="1"/>
  <c r="N40"/>
  <c r="C40"/>
  <c r="H40" s="1"/>
  <c r="N36"/>
  <c r="C36"/>
  <c r="J36" s="1"/>
  <c r="N35"/>
  <c r="C35"/>
  <c r="H35" s="1"/>
  <c r="N34"/>
  <c r="C34"/>
  <c r="D34" s="1"/>
  <c r="N26"/>
  <c r="C26"/>
  <c r="E26" s="1"/>
  <c r="N25"/>
  <c r="C25"/>
  <c r="K25" s="1"/>
  <c r="N23"/>
  <c r="C23"/>
  <c r="J23" s="1"/>
  <c r="N19"/>
  <c r="C19"/>
  <c r="I19" s="1"/>
  <c r="N18"/>
  <c r="C18"/>
  <c r="I18" s="1"/>
  <c r="N16"/>
  <c r="C16"/>
  <c r="D16" s="1"/>
  <c r="D99" l="1"/>
  <c r="D35"/>
  <c r="H34"/>
  <c r="I34"/>
  <c r="G25"/>
  <c r="H19"/>
  <c r="E36"/>
  <c r="H119"/>
  <c r="F19"/>
  <c r="D19"/>
  <c r="J25"/>
  <c r="I118"/>
  <c r="F34"/>
  <c r="E118"/>
  <c r="D26"/>
  <c r="D115"/>
  <c r="H117"/>
  <c r="F119"/>
  <c r="G106"/>
  <c r="D106"/>
  <c r="J115"/>
  <c r="J118"/>
  <c r="G100"/>
  <c r="D100"/>
  <c r="E120"/>
  <c r="E25"/>
  <c r="D25"/>
  <c r="K119"/>
  <c r="J119"/>
  <c r="D119"/>
  <c r="D120"/>
  <c r="E106"/>
  <c r="D36"/>
  <c r="F18"/>
  <c r="H114"/>
  <c r="D18"/>
  <c r="F114"/>
  <c r="E115"/>
  <c r="F117"/>
  <c r="D117"/>
  <c r="D118"/>
  <c r="K99"/>
  <c r="D105"/>
  <c r="H107"/>
  <c r="K114"/>
  <c r="J99"/>
  <c r="F107"/>
  <c r="J114"/>
  <c r="J117"/>
  <c r="H18"/>
  <c r="F23"/>
  <c r="F35"/>
  <c r="D107"/>
  <c r="I117"/>
  <c r="F40"/>
  <c r="D40"/>
  <c r="I23"/>
  <c r="D23"/>
  <c r="H23"/>
  <c r="N28"/>
  <c r="K120"/>
  <c r="J120"/>
  <c r="N122"/>
  <c r="N108"/>
  <c r="N47"/>
  <c r="K26"/>
  <c r="J26"/>
  <c r="G26"/>
  <c r="K101"/>
  <c r="J102"/>
  <c r="K34"/>
  <c r="I102"/>
  <c r="J16"/>
  <c r="K18"/>
  <c r="K19"/>
  <c r="J34"/>
  <c r="J35"/>
  <c r="J40"/>
  <c r="H101"/>
  <c r="H102"/>
  <c r="J105"/>
  <c r="K106"/>
  <c r="K107"/>
  <c r="K35"/>
  <c r="E16"/>
  <c r="J18"/>
  <c r="J19"/>
  <c r="K23"/>
  <c r="I35"/>
  <c r="K36"/>
  <c r="I40"/>
  <c r="F101"/>
  <c r="F102"/>
  <c r="G105"/>
  <c r="J106"/>
  <c r="J107"/>
  <c r="K102"/>
  <c r="J101"/>
  <c r="K16"/>
  <c r="K40"/>
  <c r="K105"/>
  <c r="G51" l="1"/>
  <c r="G53" s="1"/>
  <c r="D28"/>
  <c r="D29" s="1"/>
  <c r="D31" s="1"/>
  <c r="G136"/>
  <c r="G138" s="1"/>
  <c r="D122"/>
  <c r="D123" s="1"/>
  <c r="D125" s="1"/>
  <c r="E136"/>
  <c r="E138" s="1"/>
  <c r="N136"/>
  <c r="I136"/>
  <c r="I138" s="1"/>
  <c r="F51"/>
  <c r="F53" s="1"/>
  <c r="D108"/>
  <c r="D109" s="1"/>
  <c r="D111" s="1"/>
  <c r="E51"/>
  <c r="D47"/>
  <c r="D48" s="1"/>
  <c r="D50" s="1"/>
  <c r="H51"/>
  <c r="H53" s="1"/>
  <c r="N51"/>
  <c r="J136"/>
  <c r="J138" s="1"/>
  <c r="K136"/>
  <c r="K138" s="1"/>
  <c r="H136"/>
  <c r="H138" s="1"/>
  <c r="I51"/>
  <c r="I53" s="1"/>
  <c r="K51"/>
  <c r="K53" s="1"/>
  <c r="F136"/>
  <c r="F138" s="1"/>
  <c r="J51"/>
  <c r="J53" s="1"/>
  <c r="G54" l="1"/>
  <c r="I141"/>
  <c r="E52"/>
  <c r="E53"/>
  <c r="E54" s="1"/>
  <c r="D136"/>
  <c r="D138" s="1"/>
  <c r="D51"/>
  <c r="D53" s="1"/>
  <c r="G52"/>
  <c r="G137"/>
  <c r="I56"/>
  <c r="G139"/>
  <c r="E139"/>
  <c r="E137"/>
  <c r="G56" l="1"/>
  <c r="G57" s="1"/>
  <c r="I142"/>
  <c r="I57"/>
  <c r="E56"/>
  <c r="G141"/>
  <c r="G142" s="1"/>
  <c r="E141"/>
  <c r="E57" l="1"/>
  <c r="E142"/>
  <c r="N123" i="12" l="1"/>
  <c r="C123"/>
  <c r="D123" s="1"/>
  <c r="K123" l="1"/>
  <c r="J123"/>
  <c r="G123"/>
  <c r="E123"/>
  <c r="N116" l="1"/>
  <c r="N98"/>
  <c r="N16"/>
  <c r="N17"/>
  <c r="N130" i="19" l="1"/>
  <c r="N114"/>
  <c r="C114"/>
  <c r="I114" s="1"/>
  <c r="N113"/>
  <c r="C113"/>
  <c r="I113" s="1"/>
  <c r="N112"/>
  <c r="C112"/>
  <c r="I112" s="1"/>
  <c r="N109"/>
  <c r="C109"/>
  <c r="D109" s="1"/>
  <c r="N98"/>
  <c r="C98"/>
  <c r="G98" s="1"/>
  <c r="N97"/>
  <c r="C97"/>
  <c r="N95"/>
  <c r="C95"/>
  <c r="E95" s="1"/>
  <c r="N35"/>
  <c r="C35"/>
  <c r="J35" s="1"/>
  <c r="N34"/>
  <c r="C34"/>
  <c r="J34" s="1"/>
  <c r="N33"/>
  <c r="C33"/>
  <c r="D33" s="1"/>
  <c r="N31"/>
  <c r="C31"/>
  <c r="N30"/>
  <c r="C30"/>
  <c r="E30" s="1"/>
  <c r="N20"/>
  <c r="N18"/>
  <c r="C18"/>
  <c r="E18" s="1"/>
  <c r="N17"/>
  <c r="C17"/>
  <c r="E17" s="1"/>
  <c r="N16"/>
  <c r="C16"/>
  <c r="D16" s="1"/>
  <c r="N15"/>
  <c r="C15"/>
  <c r="N14"/>
  <c r="C14"/>
  <c r="J14" s="1"/>
  <c r="H97" l="1"/>
  <c r="I97"/>
  <c r="J33"/>
  <c r="I33"/>
  <c r="I16"/>
  <c r="D15"/>
  <c r="G15"/>
  <c r="G18"/>
  <c r="D31"/>
  <c r="G31"/>
  <c r="I34"/>
  <c r="H114"/>
  <c r="K95"/>
  <c r="J95"/>
  <c r="I35"/>
  <c r="D130"/>
  <c r="D131" s="1"/>
  <c r="D133" s="1"/>
  <c r="E98"/>
  <c r="D98"/>
  <c r="N120"/>
  <c r="N104"/>
  <c r="D95"/>
  <c r="H113"/>
  <c r="H112"/>
  <c r="K97"/>
  <c r="F97"/>
  <c r="D97"/>
  <c r="H35"/>
  <c r="D35"/>
  <c r="D18"/>
  <c r="D17"/>
  <c r="D30"/>
  <c r="E14"/>
  <c r="D14"/>
  <c r="H34"/>
  <c r="D34"/>
  <c r="N46"/>
  <c r="H33"/>
  <c r="N25"/>
  <c r="F112"/>
  <c r="F113"/>
  <c r="F114"/>
  <c r="K16"/>
  <c r="F33"/>
  <c r="F34"/>
  <c r="F35"/>
  <c r="D112"/>
  <c r="D113"/>
  <c r="D114"/>
  <c r="J16"/>
  <c r="K17"/>
  <c r="K109"/>
  <c r="H16"/>
  <c r="J17"/>
  <c r="K18"/>
  <c r="K30"/>
  <c r="J97"/>
  <c r="K98"/>
  <c r="J109"/>
  <c r="K112"/>
  <c r="K113"/>
  <c r="K114"/>
  <c r="K14"/>
  <c r="F16"/>
  <c r="G17"/>
  <c r="J18"/>
  <c r="J30"/>
  <c r="K33"/>
  <c r="K34"/>
  <c r="K35"/>
  <c r="J98"/>
  <c r="E109"/>
  <c r="J112"/>
  <c r="J113"/>
  <c r="J114"/>
  <c r="G134" l="1"/>
  <c r="G136" s="1"/>
  <c r="D120"/>
  <c r="D121" s="1"/>
  <c r="D123" s="1"/>
  <c r="E134"/>
  <c r="E136" s="1"/>
  <c r="N134"/>
  <c r="H134"/>
  <c r="H136" s="1"/>
  <c r="K134"/>
  <c r="K136" s="1"/>
  <c r="J134"/>
  <c r="J136" s="1"/>
  <c r="D104"/>
  <c r="D105" s="1"/>
  <c r="D107" s="1"/>
  <c r="F134"/>
  <c r="F136" s="1"/>
  <c r="J50"/>
  <c r="J52" s="1"/>
  <c r="E50"/>
  <c r="E52" s="1"/>
  <c r="D25"/>
  <c r="D26" s="1"/>
  <c r="D28" s="1"/>
  <c r="D46"/>
  <c r="D47" s="1"/>
  <c r="D49" s="1"/>
  <c r="H50"/>
  <c r="H52" s="1"/>
  <c r="N50"/>
  <c r="K50"/>
  <c r="K52" s="1"/>
  <c r="F50"/>
  <c r="F52" s="1"/>
  <c r="I134"/>
  <c r="I136" s="1"/>
  <c r="I139" s="1"/>
  <c r="G50"/>
  <c r="I50"/>
  <c r="I52" s="1"/>
  <c r="I55" s="1"/>
  <c r="G137" l="1"/>
  <c r="G135"/>
  <c r="D134"/>
  <c r="D136" s="1"/>
  <c r="I140" s="1"/>
  <c r="E135"/>
  <c r="D50"/>
  <c r="D52" s="1"/>
  <c r="E137"/>
  <c r="E53"/>
  <c r="E55" s="1"/>
  <c r="G52"/>
  <c r="G51"/>
  <c r="E51"/>
  <c r="E139" l="1"/>
  <c r="E140" s="1"/>
  <c r="E56"/>
  <c r="I56"/>
  <c r="G139"/>
  <c r="G140" s="1"/>
  <c r="G53"/>
  <c r="G55" l="1"/>
  <c r="G56" s="1"/>
  <c r="N136" i="12" l="1"/>
  <c r="N122"/>
  <c r="C122"/>
  <c r="I122" s="1"/>
  <c r="N121"/>
  <c r="C121"/>
  <c r="I121" s="1"/>
  <c r="N120"/>
  <c r="C120"/>
  <c r="J120" s="1"/>
  <c r="C116"/>
  <c r="J116" s="1"/>
  <c r="N106"/>
  <c r="C106"/>
  <c r="D106" s="1"/>
  <c r="N105"/>
  <c r="C105"/>
  <c r="K105" s="1"/>
  <c r="N100"/>
  <c r="C100"/>
  <c r="I100" s="1"/>
  <c r="N99"/>
  <c r="C99"/>
  <c r="C98"/>
  <c r="J98" s="1"/>
  <c r="N40"/>
  <c r="C40"/>
  <c r="E40" s="1"/>
  <c r="N37"/>
  <c r="C37"/>
  <c r="E37" s="1"/>
  <c r="N35"/>
  <c r="C35"/>
  <c r="N26"/>
  <c r="C26"/>
  <c r="J26" s="1"/>
  <c r="N25"/>
  <c r="C25"/>
  <c r="I25" s="1"/>
  <c r="N21"/>
  <c r="C21"/>
  <c r="E21" s="1"/>
  <c r="N18"/>
  <c r="C18"/>
  <c r="D18" s="1"/>
  <c r="C17"/>
  <c r="K16"/>
  <c r="J16"/>
  <c r="E16"/>
  <c r="D16"/>
  <c r="F121" l="1"/>
  <c r="K100"/>
  <c r="D99"/>
  <c r="G99"/>
  <c r="G35"/>
  <c r="D35"/>
  <c r="D17"/>
  <c r="G17"/>
  <c r="H121"/>
  <c r="D40"/>
  <c r="G40"/>
  <c r="J40"/>
  <c r="K40"/>
  <c r="G122"/>
  <c r="D121"/>
  <c r="D136"/>
  <c r="D137" s="1"/>
  <c r="D139" s="1"/>
  <c r="J105"/>
  <c r="I105"/>
  <c r="H105"/>
  <c r="F105"/>
  <c r="D105"/>
  <c r="H120"/>
  <c r="F120"/>
  <c r="D120"/>
  <c r="I120" s="1"/>
  <c r="E122"/>
  <c r="D122"/>
  <c r="K106"/>
  <c r="J106"/>
  <c r="I106"/>
  <c r="F106"/>
  <c r="E116"/>
  <c r="D116"/>
  <c r="N126"/>
  <c r="H100"/>
  <c r="F100"/>
  <c r="D100"/>
  <c r="J100"/>
  <c r="I26"/>
  <c r="F26"/>
  <c r="D37"/>
  <c r="K116"/>
  <c r="E98"/>
  <c r="D98"/>
  <c r="N111"/>
  <c r="D21"/>
  <c r="H25"/>
  <c r="F25"/>
  <c r="D25"/>
  <c r="D26"/>
  <c r="K37"/>
  <c r="N47"/>
  <c r="J37"/>
  <c r="N29"/>
  <c r="K120"/>
  <c r="K121"/>
  <c r="K122"/>
  <c r="K18"/>
  <c r="K21"/>
  <c r="K98"/>
  <c r="J121"/>
  <c r="J122"/>
  <c r="J18"/>
  <c r="I18"/>
  <c r="H18"/>
  <c r="J21"/>
  <c r="K25"/>
  <c r="F18"/>
  <c r="G21"/>
  <c r="J25"/>
  <c r="K26"/>
  <c r="D47" l="1"/>
  <c r="D48" s="1"/>
  <c r="F140"/>
  <c r="F142" s="1"/>
  <c r="E51"/>
  <c r="E53" s="1"/>
  <c r="N140"/>
  <c r="D111"/>
  <c r="D126"/>
  <c r="H140"/>
  <c r="H142" s="1"/>
  <c r="I140"/>
  <c r="I142" s="1"/>
  <c r="G140"/>
  <c r="G142" s="1"/>
  <c r="E140"/>
  <c r="E142" s="1"/>
  <c r="J140"/>
  <c r="J142" s="1"/>
  <c r="G51"/>
  <c r="G53" s="1"/>
  <c r="H51"/>
  <c r="H53" s="1"/>
  <c r="D29"/>
  <c r="D30" s="1"/>
  <c r="F51"/>
  <c r="F53" s="1"/>
  <c r="I51"/>
  <c r="I53" s="1"/>
  <c r="I56" s="1"/>
  <c r="K51"/>
  <c r="K53" s="1"/>
  <c r="N51"/>
  <c r="J51"/>
  <c r="J53" s="1"/>
  <c r="K140"/>
  <c r="K142" s="1"/>
  <c r="I145" l="1"/>
  <c r="D127"/>
  <c r="D129" s="1"/>
  <c r="D112"/>
  <c r="D114" s="1"/>
  <c r="D140"/>
  <c r="D142" s="1"/>
  <c r="G141"/>
  <c r="D50"/>
  <c r="D32"/>
  <c r="G143"/>
  <c r="E141"/>
  <c r="G52"/>
  <c r="E52"/>
  <c r="D51"/>
  <c r="D53" s="1"/>
  <c r="E54"/>
  <c r="E143"/>
  <c r="E145" s="1"/>
  <c r="G54"/>
  <c r="I57" l="1"/>
  <c r="E146"/>
  <c r="I146"/>
  <c r="E56"/>
  <c r="E57" s="1"/>
  <c r="G56"/>
  <c r="G57" s="1"/>
  <c r="G145"/>
  <c r="G146" s="1"/>
</calcChain>
</file>

<file path=xl/sharedStrings.xml><?xml version="1.0" encoding="utf-8"?>
<sst xmlns="http://schemas.openxmlformats.org/spreadsheetml/2006/main" count="1334" uniqueCount="228">
  <si>
    <t>Số
TT</t>
  </si>
  <si>
    <t>Gạo tẻ</t>
  </si>
  <si>
    <t>Mắm</t>
  </si>
  <si>
    <t>Thịt bò</t>
  </si>
  <si>
    <t>Cà rốt</t>
  </si>
  <si>
    <t>Mộc nhĩ</t>
  </si>
  <si>
    <t>Năng lượng bữa chính/trẻ</t>
  </si>
  <si>
    <t>Năng lượng bữa phụ/trẻ</t>
  </si>
  <si>
    <t>Lượng 
TP 
sạch</t>
  </si>
  <si>
    <t>Năng 
lượng
(Kcal)</t>
  </si>
  <si>
    <r>
      <t>P</t>
    </r>
    <r>
      <rPr>
        <sz val="11"/>
        <rFont val="Times New Roman"/>
        <family val="1"/>
      </rPr>
      <t>(ĐV)</t>
    </r>
  </si>
  <si>
    <t>Protein (g)</t>
  </si>
  <si>
    <r>
      <t>P</t>
    </r>
    <r>
      <rPr>
        <sz val="11"/>
        <rFont val="Times New Roman"/>
        <family val="1"/>
      </rPr>
      <t>(TV)</t>
    </r>
  </si>
  <si>
    <t>Lipid (g)</t>
  </si>
  <si>
    <r>
      <t>L</t>
    </r>
    <r>
      <rPr>
        <sz val="11"/>
        <rFont val="Times New Roman"/>
        <family val="1"/>
      </rPr>
      <t>(ĐV)</t>
    </r>
  </si>
  <si>
    <r>
      <t>L</t>
    </r>
    <r>
      <rPr>
        <sz val="11"/>
        <rFont val="Times New Roman"/>
        <family val="1"/>
      </rPr>
      <t>(TV)</t>
    </r>
  </si>
  <si>
    <t>Glucid
(g)</t>
  </si>
  <si>
    <t>Thực phẩm cần mua (g)</t>
  </si>
  <si>
    <t>Số tiền (đ)</t>
  </si>
  <si>
    <t>Tên 
thực phẩm</t>
  </si>
  <si>
    <t>Cà chua</t>
  </si>
  <si>
    <t>19.5-35.4</t>
  </si>
  <si>
    <t>17-28.2</t>
  </si>
  <si>
    <t>78-106.2</t>
  </si>
  <si>
    <t>19-31.7</t>
  </si>
  <si>
    <t>20-28.9</t>
  </si>
  <si>
    <t>68.8-79.4</t>
  </si>
  <si>
    <t>Nấm hương</t>
  </si>
  <si>
    <t>615-726</t>
  </si>
  <si>
    <t>600-651</t>
  </si>
  <si>
    <t>Trứng vịt</t>
  </si>
  <si>
    <t>BẢNG TÍNH KHẨU PHẦN ĂN CỦA TRẺ MẪU GIÁO</t>
  </si>
  <si>
    <t>BẢNG TÍNH KHẨU PHẦN ĂN CỦA TRẺ NHÀ TRẺ</t>
  </si>
  <si>
    <t>NGƯỜI THỰC HIỆN</t>
  </si>
  <si>
    <t>Bữa chính</t>
  </si>
  <si>
    <t>Bữa phụ</t>
  </si>
  <si>
    <t>Năng lượng bữa chiều/trẻ</t>
  </si>
  <si>
    <t>Năng lượng bữa trưa/trẻ</t>
  </si>
  <si>
    <t>Bữa chiều</t>
  </si>
  <si>
    <t>Bữa trưa</t>
  </si>
  <si>
    <t>Đơn giá</t>
  </si>
  <si>
    <t>Ca</t>
  </si>
  <si>
    <t>B1</t>
  </si>
  <si>
    <t>Lipit (g)</t>
  </si>
  <si>
    <t>% năng lượng bữa trưa</t>
  </si>
  <si>
    <t>30-35%</t>
  </si>
  <si>
    <t>25-30%</t>
  </si>
  <si>
    <t>% năng lượng bữa phụ</t>
  </si>
  <si>
    <t>% năng lượng bữa chính</t>
  </si>
  <si>
    <t>% năng lượng bữa chiều</t>
  </si>
  <si>
    <t>5-10%</t>
  </si>
  <si>
    <t>% năng lượng
 bữa chính</t>
  </si>
  <si>
    <t>% năng lượng 
bữa phụ</t>
  </si>
  <si>
    <t>% năng lượng
 bữa trưa</t>
  </si>
  <si>
    <t>% năng lượng 
bữa chiều</t>
  </si>
  <si>
    <t>Đơn giá (đ)</t>
  </si>
  <si>
    <t>Đơn giá
 (đ)</t>
  </si>
  <si>
    <t>Đơn giá
(đ)</t>
  </si>
  <si>
    <t>15-20%</t>
  </si>
  <si>
    <t>Thực đạt</t>
  </si>
  <si>
    <t>Thực  đạt</t>
  </si>
  <si>
    <r>
      <t>TRƯỜ</t>
    </r>
    <r>
      <rPr>
        <b/>
        <u/>
        <sz val="11"/>
        <rFont val="Times New Roman"/>
        <family val="1"/>
      </rPr>
      <t>NG MÂM NON MỸ</t>
    </r>
    <r>
      <rPr>
        <b/>
        <sz val="11"/>
        <rFont val="Times New Roman"/>
        <family val="1"/>
      </rPr>
      <t xml:space="preserve"> TIẾN</t>
    </r>
  </si>
  <si>
    <t>PHÓ HIỆU TRƯỞNG</t>
  </si>
  <si>
    <t>Trứng gà</t>
  </si>
  <si>
    <t>Thịt vịt</t>
  </si>
  <si>
    <r>
      <t>TRƯỜ</t>
    </r>
    <r>
      <rPr>
        <b/>
        <u/>
        <sz val="11"/>
        <rFont val="Times New Roman"/>
        <family val="1"/>
      </rPr>
      <t>NG MÂM NON MỸ TIẾN</t>
    </r>
  </si>
  <si>
    <t>S
TT</t>
  </si>
  <si>
    <t>Hạt sen</t>
  </si>
  <si>
    <t>Lạc hạt</t>
  </si>
  <si>
    <t>Thịt gà</t>
  </si>
  <si>
    <t>Nấm Hương</t>
  </si>
  <si>
    <t xml:space="preserve">Thịt lợn nạc </t>
  </si>
  <si>
    <t>Thì là</t>
  </si>
  <si>
    <t>Gạo nếp</t>
  </si>
  <si>
    <t>Thịt lợn nạc</t>
  </si>
  <si>
    <t>Bí đao</t>
  </si>
  <si>
    <t>Thanh long</t>
  </si>
  <si>
    <t>Khẩu phần 
cả ngày của 1 trẻ đạt (g)</t>
  </si>
  <si>
    <t>Kcal (P:L:G)</t>
  </si>
  <si>
    <t>Khuyến nghị</t>
  </si>
  <si>
    <t>Khẩu phần khuyến nghị (g)</t>
  </si>
  <si>
    <t>Tỷ lệ các chất  (%)</t>
  </si>
  <si>
    <t>13-20</t>
  </si>
  <si>
    <t>25-35</t>
  </si>
  <si>
    <t>52-60</t>
  </si>
  <si>
    <t>30-40</t>
  </si>
  <si>
    <t>47-50</t>
  </si>
  <si>
    <t>Tỷ lệ các chất (%)</t>
  </si>
  <si>
    <t>THỰC ĐƠN</t>
  </si>
  <si>
    <t>BỮA CHIỀU</t>
  </si>
  <si>
    <t>Cơm tẻ</t>
  </si>
  <si>
    <t>Đặng Thị Phượng</t>
  </si>
  <si>
    <t xml:space="preserve">Thịt gà </t>
  </si>
  <si>
    <t>Bí đỏ</t>
  </si>
  <si>
    <r>
      <t xml:space="preserve">L
</t>
    </r>
    <r>
      <rPr>
        <sz val="11"/>
        <rFont val="Times New Roman"/>
        <family val="1"/>
      </rPr>
      <t>(ĐV)</t>
    </r>
  </si>
  <si>
    <t>Canh bí đao, cà rốt nấu thịt vịt</t>
  </si>
  <si>
    <t xml:space="preserve">Tôm </t>
  </si>
  <si>
    <t>BỮA CHÍNH TRƯA</t>
  </si>
  <si>
    <t>BỮA PHỤ CHIỀU</t>
  </si>
  <si>
    <t>BỮA  CHÍNH TRƯA</t>
  </si>
  <si>
    <t xml:space="preserve">BỮA PHỤ </t>
  </si>
  <si>
    <t>BỮA CHÍNH CHIỀU</t>
  </si>
  <si>
    <t>Thịt gà om nấm hương</t>
  </si>
  <si>
    <t>Rau hẹ</t>
  </si>
  <si>
    <t>BỮA PHỤ</t>
  </si>
  <si>
    <t xml:space="preserve">Cộng chung bữa chính </t>
  </si>
  <si>
    <t xml:space="preserve">Cộng chung bữa phụ </t>
  </si>
  <si>
    <t>Cộng chung 
xuất ăn</t>
  </si>
  <si>
    <t>Cộng chung bữa trưa</t>
  </si>
  <si>
    <t>Cộng chung bữa chiều</t>
  </si>
  <si>
    <t>Cộng chung bữa phụ</t>
  </si>
  <si>
    <t>Cộng chung 
 xuất ăn</t>
  </si>
  <si>
    <t>Trứng gà hấp mộc nhĩ, nấm hương</t>
  </si>
  <si>
    <t>Cộng chung  xuất ăn</t>
  </si>
  <si>
    <t>Nhận xét: So với khẩu phần khuyến nghị</t>
  </si>
  <si>
    <t xml:space="preserve">                </t>
  </si>
  <si>
    <t>Số g các chất dinh dưỡng và tỷ lệ các chất dinh dưỡng (P:L:G) đạt trong khoảng quy định.</t>
  </si>
  <si>
    <r>
      <t xml:space="preserve">Cách khắc phục: </t>
    </r>
    <r>
      <rPr>
        <sz val="11"/>
        <rFont val="Times New Roman"/>
        <family val="1"/>
      </rPr>
      <t>Duy trì số g lương thực thực phẩm trong khẩu phần ăn của trẻ.</t>
    </r>
  </si>
  <si>
    <t xml:space="preserve">Cộng chung bữa trưa </t>
  </si>
  <si>
    <t xml:space="preserve">Cộng chung bữa chiều </t>
  </si>
  <si>
    <t>Cộng chung bữa chính</t>
  </si>
  <si>
    <t xml:space="preserve">Cộng bữa chính </t>
  </si>
  <si>
    <t>Số xuất ăn</t>
  </si>
  <si>
    <t>Bột canh, hạt nêm</t>
  </si>
  <si>
    <t>Trần Thị Thu</t>
  </si>
  <si>
    <t xml:space="preserve">Số g các chất dinh dưỡng và tỷ lệ các chất dinh dưỡng (P:L:G) đạt trong khoảng quy định. </t>
  </si>
  <si>
    <t xml:space="preserve">Số g các chất dinh dưỡng (P:L:G) đạt trong khoảng quy định. </t>
  </si>
  <si>
    <t>Trần Thị Minh Thu</t>
  </si>
  <si>
    <r>
      <t>Cách khắc phục:</t>
    </r>
    <r>
      <rPr>
        <sz val="11"/>
        <rFont val="Times New Roman"/>
        <family val="1"/>
      </rPr>
      <t xml:space="preserve"> Duy trì số g lương thực thực phẩm trong khẩu phần ăn của trẻ </t>
    </r>
  </si>
  <si>
    <r>
      <t xml:space="preserve">Cách khắc phục: </t>
    </r>
    <r>
      <rPr>
        <sz val="11"/>
        <rFont val="Times New Roman"/>
        <family val="1"/>
      </rPr>
      <t>Duy trì số g lương thực, thực phẩm trong khẩu phần ăn của trẻ</t>
    </r>
  </si>
  <si>
    <r>
      <t xml:space="preserve">Cách khắc phục: </t>
    </r>
    <r>
      <rPr>
        <sz val="11"/>
        <rFont val="Times New Roman"/>
        <family val="1"/>
      </rPr>
      <t>Duy trì định lượng lương thực, thực phẩm trong khẩu phần ăn của trẻ.</t>
    </r>
  </si>
  <si>
    <t>Rau cải thìa</t>
  </si>
  <si>
    <t>Trứng vịt chiên sốt cà chua</t>
  </si>
  <si>
    <t>Canh bí đỏ nấu thịt vịt</t>
  </si>
  <si>
    <t>Thịt bò sốt cà chua</t>
  </si>
  <si>
    <r>
      <t xml:space="preserve">Cách khắc phục: </t>
    </r>
    <r>
      <rPr>
        <sz val="11"/>
        <rFont val="Times New Roman"/>
        <family val="1"/>
      </rPr>
      <t>Duy trì số g lương thực thực phẩm trong khẩu phần ăn của trẻ</t>
    </r>
  </si>
  <si>
    <t>Hành khô</t>
  </si>
  <si>
    <t>Cháo  - thịt vịt, bí đỏ</t>
  </si>
  <si>
    <t>Bột sắn dây</t>
  </si>
  <si>
    <t>Nước tương</t>
  </si>
  <si>
    <t>Bánh đa</t>
  </si>
  <si>
    <t>Dầu cá Ranee</t>
  </si>
  <si>
    <t>Củ cải</t>
  </si>
  <si>
    <t>Sườn lợn</t>
  </si>
  <si>
    <t>Cháo thịt vịt - cà rốt</t>
  </si>
  <si>
    <t>Cháo thịt gà, bí đao</t>
  </si>
  <si>
    <t>Dầu Simply</t>
  </si>
  <si>
    <t>Trứng chim cút</t>
  </si>
  <si>
    <t>Uống sữa Nuvi Grow</t>
  </si>
  <si>
    <t>Sữa bột Nuvi Grow</t>
  </si>
  <si>
    <t>Thịt vịt om nước tương</t>
  </si>
  <si>
    <t>Khuyến
 nghị</t>
  </si>
  <si>
    <t>Cá quả sốt cà chua</t>
  </si>
  <si>
    <t>Dứa xào thịt bò</t>
  </si>
  <si>
    <t>Dứa</t>
  </si>
  <si>
    <t>Cá quả</t>
  </si>
  <si>
    <t>Bí đao, cà rốt xào thịt gà</t>
  </si>
  <si>
    <t>Thịt lợn trộn trứng gà mộc nhĩ, nấm hương  hấp</t>
  </si>
  <si>
    <t>Bí đao xào thịt bò</t>
  </si>
  <si>
    <t xml:space="preserve">Canh củ cải, cà rốt sườn lợn </t>
  </si>
  <si>
    <t>Xôi đậu xanh, ruốc thịt lợn</t>
  </si>
  <si>
    <t xml:space="preserve">Trứng vịt đúc thịt lợn </t>
  </si>
  <si>
    <t>Trứng vịt đúc thịt lợn</t>
  </si>
  <si>
    <t>Ruốc thịt lợn, lạc</t>
  </si>
  <si>
    <t>Canh rau hẹ nấu thịt lợn</t>
  </si>
  <si>
    <t>Canh bí đao nấu thịt lợn</t>
  </si>
  <si>
    <t>Canh bí đỏ, cà rốt nấu thịt lợn</t>
  </si>
  <si>
    <t>Tôm, thịt lợn sốt dứa, cà chua</t>
  </si>
  <si>
    <t>Súp gà ngô</t>
  </si>
  <si>
    <t>Ngô ngọt</t>
  </si>
  <si>
    <t>Rau thơm</t>
  </si>
  <si>
    <t>Bắp cải xào thịt lợn</t>
  </si>
  <si>
    <t>Canh rau cải thìa nấu thịt gà</t>
  </si>
  <si>
    <t>Thịt gà, trứng chim cút sốt cà chua</t>
  </si>
  <si>
    <t>Cháo thịt bò, thịt gà - cà rốt, hạt sen</t>
  </si>
  <si>
    <t>Bắp cải</t>
  </si>
  <si>
    <t>Bánh đa - thịt lợn rau bắp cải</t>
  </si>
  <si>
    <t>Su hào</t>
  </si>
  <si>
    <t>Rau bắp cải</t>
  </si>
  <si>
    <t>Canh su hào nấu thịt gà</t>
  </si>
  <si>
    <t>Canh rau bắp cải nấu thịt lợn</t>
  </si>
  <si>
    <t>Canh rau bắp cải nấu tôm</t>
  </si>
  <si>
    <t>Bí đỏ xào thịt lợn</t>
  </si>
  <si>
    <t>Su hào xào thịt lợn</t>
  </si>
  <si>
    <t>Canh rau cải cúc nấu tôm</t>
  </si>
  <si>
    <t>Rau cải cúc</t>
  </si>
  <si>
    <t>Đường kính</t>
  </si>
  <si>
    <t>Tỷ lệ L động vật đạt 70%; so với khẩu phần khuyến nghị đảm bảo đạt</t>
  </si>
  <si>
    <t>Tỷ lệ P động vật đạt 69.6%; so với khẩu phần khuyến nghị cao hơn 9,6%</t>
  </si>
  <si>
    <t>Đậu xanh</t>
  </si>
  <si>
    <t>Tỷ lệ L động vật đạt 70.3%; so với khẩu phần khuyến nghị đảm bảo đạt</t>
  </si>
  <si>
    <t>Tỷ lệ P động vật đạt 50%; so với khẩu phần khuyến nghị tương đối đạt</t>
  </si>
  <si>
    <t>Tỷ lệ P động vật đạt 57.9%; so với khẩu phần khuyến nghị đảm bảo đạt</t>
  </si>
  <si>
    <t>Tỷ lệ P động vật đạt 53.1%; so với khẩu phần khuyến nghị tương đối đạt</t>
  </si>
  <si>
    <t>Tỷ lệ L động vật đạt 69,9%; so với khẩu phần khuyến nghị đảm bảo đạt</t>
  </si>
  <si>
    <t>Thứ hai, ngày 16 tháng 3 năm 2026</t>
  </si>
  <si>
    <t>Kcal đạt 664.65. So với khẩu phần khuyến nghị đảm bảo đạt</t>
  </si>
  <si>
    <t>Kcal đạt 624.83 So với khẩu phần khuyến nghị đảm bảo đạt</t>
  </si>
  <si>
    <t>Tỷ lệ L động vật đạt 70.5%; so với khẩu phần khuyến nghị đảm bảo đạt</t>
  </si>
  <si>
    <t>Thứ ba, ngày 17 tháng 3 năm 2026</t>
  </si>
  <si>
    <t>Kcal đạt 712.24. So với khẩu phần khuyến nghị đảm bảo đạt</t>
  </si>
  <si>
    <t>Tỷ lệ P động vật đạt 50.9%; so với khẩu phần khuyến nghị tương đối đạt</t>
  </si>
  <si>
    <t>Kcal đạt 620.35. So với khẩu phần khuyến nghị đảm bảo đạt</t>
  </si>
  <si>
    <t>Tỷ lệ P động vật đạt 54.3%; so với khẩu phần khuyến nghị tương đối đạt</t>
  </si>
  <si>
    <t>Tỷ lệ L động vật đạt 70.5%; cao hơn so với khẩu phần khuyến nghị 0.5%</t>
  </si>
  <si>
    <t>Thứ tư, ngày 18 tháng 3 năm 2026</t>
  </si>
  <si>
    <t>Kcal đạt 724.78. So với khẩu phần khuyến nghị đảm bảo đạt</t>
  </si>
  <si>
    <t>Kcal đạt 644.82. So với khẩu phần khuyến nghị đảm bảo đạt</t>
  </si>
  <si>
    <t>Tỷ lệ P động vật đạt 60.4%; Cao hơn so với khẩu phần khuyến nghị 0.3%</t>
  </si>
  <si>
    <t>Tỷ lệ L động vật đạt 70.4%; so với khẩu phần khuyến nghị đảm bảo đạt</t>
  </si>
  <si>
    <t>Thứ năm, ngày 19 tháng 3 năm 2026</t>
  </si>
  <si>
    <t>Kcal đạt 713.24. So với khẩu phần khuyến nghị đảm bảo đạt</t>
  </si>
  <si>
    <t>Tỷ lệ P động vật đạt 53.7%; so với khẩu phần khuyến nghị tương đối đạt</t>
  </si>
  <si>
    <t>Kcal đạt 623.11. So với khẩu phần khuyến nghị đảm bảo đạt đạt</t>
  </si>
  <si>
    <t>Tỷ lệ P động vật đạt 61.3%; so với khẩu phần khuyến cao hơn 1.3%</t>
  </si>
  <si>
    <t>Tỷ lệ L động vật đạt 69.9%; so với khẩu phần khuyến nghị đảm bảo đạt</t>
  </si>
  <si>
    <t>Thứ sáu, ngày 20 tháng 3 năm 2026</t>
  </si>
  <si>
    <t>Kcal đạt 694.5. So với khẩu phần khuyến nghị đảm bảo đạt</t>
  </si>
  <si>
    <t>Tỷ lệ P động vật đạt 59.7%; so với khẩu phần khuyến nghị đảm bảo đạt</t>
  </si>
  <si>
    <t>Tỷ lệ L động vật đạt 69.3%; so với khẩu phần khuyến nghị đảm bảo đạt</t>
  </si>
  <si>
    <t>Kcal đạt 628.89 So với khẩu phần khuyến nghị đảm bảo đạt</t>
  </si>
  <si>
    <t>Tỷ lệ L động vật đạt 69.8%; so với khẩu phần khuyến nghị đảm bảo đạt</t>
  </si>
  <si>
    <t>Thứ bẩy, ngày 21 tháng 3 năm 2026</t>
  </si>
  <si>
    <t>Kcal đạt 725.39 So với khẩu phần khuyến nghị đảm bảo đạt</t>
  </si>
  <si>
    <t>Tỷ lệ P động vật đạt 50.4%; so với khẩu phần khuyến tương đối đạt</t>
  </si>
  <si>
    <t>Kcal đạt 647.25. So với khẩu phần khuyến nghị đảm bảo đạt</t>
  </si>
  <si>
    <t>Tỷ lệ P động vật đạt 57.4%; so với khẩu phần khuyến nghị đảm bảo đạt</t>
  </si>
  <si>
    <t>Tỷ lệ L động vật đạt 70.2%; so với khẩu phần khuyến nghị cao hơn 0.2%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</si>
</sst>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0.000"/>
    <numFmt numFmtId="165" formatCode="#.##0"/>
    <numFmt numFmtId="166" formatCode="#,##0.0"/>
    <numFmt numFmtId="167" formatCode="0.0"/>
  </numFmts>
  <fonts count="19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u/>
      <sz val="11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sz val="11"/>
      <color indexed="8"/>
      <name val="Calibri"/>
      <family val="2"/>
    </font>
    <font>
      <sz val="9"/>
      <name val="Arial"/>
      <family val="2"/>
    </font>
    <font>
      <b/>
      <sz val="6"/>
      <name val="Times New Roman"/>
      <family val="1"/>
    </font>
    <font>
      <sz val="7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5" fillId="0" borderId="0"/>
  </cellStyleXfs>
  <cellXfs count="423">
    <xf numFmtId="0" fontId="0" fillId="0" borderId="0" xfId="0"/>
    <xf numFmtId="0" fontId="3" fillId="0" borderId="0" xfId="0" applyFont="1"/>
    <xf numFmtId="0" fontId="3" fillId="0" borderId="0" xfId="0" applyFont="1" applyFill="1"/>
    <xf numFmtId="2" fontId="3" fillId="0" borderId="0" xfId="0" applyNumberFormat="1" applyFont="1" applyFill="1"/>
    <xf numFmtId="4" fontId="3" fillId="0" borderId="0" xfId="0" applyNumberFormat="1" applyFont="1" applyFill="1"/>
    <xf numFmtId="0" fontId="7" fillId="0" borderId="5" xfId="0" applyFont="1" applyFill="1" applyBorder="1"/>
    <xf numFmtId="0" fontId="7" fillId="0" borderId="6" xfId="0" applyFont="1" applyFill="1" applyBorder="1"/>
    <xf numFmtId="4" fontId="6" fillId="0" borderId="2" xfId="0" applyNumberFormat="1" applyFont="1" applyBorder="1"/>
    <xf numFmtId="0" fontId="5" fillId="0" borderId="0" xfId="0" applyFont="1" applyAlignment="1"/>
    <xf numFmtId="0" fontId="7" fillId="0" borderId="5" xfId="0" applyFont="1" applyFill="1" applyBorder="1" applyAlignment="1">
      <alignment horizontal="center"/>
    </xf>
    <xf numFmtId="3" fontId="7" fillId="0" borderId="5" xfId="1" applyNumberFormat="1" applyFont="1" applyFill="1" applyBorder="1" applyAlignment="1">
      <alignment horizontal="left"/>
    </xf>
    <xf numFmtId="0" fontId="2" fillId="0" borderId="0" xfId="0" applyFont="1" applyAlignment="1"/>
    <xf numFmtId="0" fontId="3" fillId="0" borderId="0" xfId="0" applyFont="1" applyBorder="1"/>
    <xf numFmtId="0" fontId="7" fillId="0" borderId="6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3" fontId="7" fillId="0" borderId="14" xfId="1" applyNumberFormat="1" applyFont="1" applyFill="1" applyBorder="1" applyAlignment="1">
      <alignment horizontal="left"/>
    </xf>
    <xf numFmtId="0" fontId="7" fillId="0" borderId="4" xfId="0" applyFont="1" applyBorder="1" applyAlignment="1">
      <alignment horizontal="center" vertical="center"/>
    </xf>
    <xf numFmtId="167" fontId="3" fillId="0" borderId="0" xfId="0" applyNumberFormat="1" applyFont="1" applyFill="1"/>
    <xf numFmtId="3" fontId="11" fillId="0" borderId="3" xfId="0" applyNumberFormat="1" applyFont="1" applyFill="1" applyBorder="1" applyAlignment="1">
      <alignment horizontal="center"/>
    </xf>
    <xf numFmtId="2" fontId="6" fillId="0" borderId="2" xfId="0" applyNumberFormat="1" applyFont="1" applyFill="1" applyBorder="1" applyAlignment="1">
      <alignment horizontal="center"/>
    </xf>
    <xf numFmtId="0" fontId="10" fillId="0" borderId="18" xfId="0" applyFont="1" applyFill="1" applyBorder="1" applyAlignment="1"/>
    <xf numFmtId="0" fontId="10" fillId="0" borderId="7" xfId="0" applyFont="1" applyFill="1" applyBorder="1" applyAlignment="1"/>
    <xf numFmtId="3" fontId="11" fillId="0" borderId="5" xfId="0" applyNumberFormat="1" applyFont="1" applyFill="1" applyBorder="1"/>
    <xf numFmtId="2" fontId="11" fillId="0" borderId="5" xfId="0" applyNumberFormat="1" applyFont="1" applyFill="1" applyBorder="1"/>
    <xf numFmtId="4" fontId="11" fillId="0" borderId="5" xfId="0" applyNumberFormat="1" applyFont="1" applyFill="1" applyBorder="1"/>
    <xf numFmtId="1" fontId="11" fillId="0" borderId="5" xfId="0" applyNumberFormat="1" applyFont="1" applyFill="1" applyBorder="1"/>
    <xf numFmtId="164" fontId="11" fillId="0" borderId="5" xfId="0" applyNumberFormat="1" applyFont="1" applyFill="1" applyBorder="1"/>
    <xf numFmtId="3" fontId="11" fillId="0" borderId="5" xfId="0" applyNumberFormat="1" applyFont="1" applyFill="1" applyBorder="1" applyAlignment="1"/>
    <xf numFmtId="4" fontId="11" fillId="0" borderId="6" xfId="0" applyNumberFormat="1" applyFont="1" applyFill="1" applyBorder="1"/>
    <xf numFmtId="1" fontId="11" fillId="0" borderId="6" xfId="0" applyNumberFormat="1" applyFont="1" applyFill="1" applyBorder="1"/>
    <xf numFmtId="3" fontId="11" fillId="0" borderId="6" xfId="0" applyNumberFormat="1" applyFont="1" applyFill="1" applyBorder="1"/>
    <xf numFmtId="2" fontId="11" fillId="0" borderId="6" xfId="0" applyNumberFormat="1" applyFont="1" applyFill="1" applyBorder="1"/>
    <xf numFmtId="3" fontId="11" fillId="0" borderId="6" xfId="0" applyNumberFormat="1" applyFont="1" applyFill="1" applyBorder="1" applyAlignment="1"/>
    <xf numFmtId="3" fontId="11" fillId="0" borderId="2" xfId="0" applyNumberFormat="1" applyFont="1" applyFill="1" applyBorder="1"/>
    <xf numFmtId="2" fontId="6" fillId="0" borderId="2" xfId="0" applyNumberFormat="1" applyFont="1" applyFill="1" applyBorder="1"/>
    <xf numFmtId="4" fontId="11" fillId="0" borderId="2" xfId="0" applyNumberFormat="1" applyFont="1" applyFill="1" applyBorder="1"/>
    <xf numFmtId="1" fontId="11" fillId="0" borderId="2" xfId="0" applyNumberFormat="1" applyFont="1" applyFill="1" applyBorder="1"/>
    <xf numFmtId="3" fontId="6" fillId="0" borderId="2" xfId="0" applyNumberFormat="1" applyFont="1" applyFill="1" applyBorder="1" applyAlignment="1">
      <alignment horizontal="center" vertical="center"/>
    </xf>
    <xf numFmtId="3" fontId="11" fillId="0" borderId="4" xfId="0" applyNumberFormat="1" applyFont="1" applyFill="1" applyBorder="1"/>
    <xf numFmtId="4" fontId="11" fillId="0" borderId="4" xfId="0" applyNumberFormat="1" applyFont="1" applyFill="1" applyBorder="1"/>
    <xf numFmtId="1" fontId="11" fillId="0" borderId="4" xfId="0" applyNumberFormat="1" applyFont="1" applyFill="1" applyBorder="1"/>
    <xf numFmtId="3" fontId="11" fillId="0" borderId="4" xfId="0" applyNumberFormat="1" applyFont="1" applyFill="1" applyBorder="1" applyAlignment="1"/>
    <xf numFmtId="4" fontId="6" fillId="0" borderId="2" xfId="0" applyNumberFormat="1" applyFont="1" applyFill="1" applyBorder="1"/>
    <xf numFmtId="1" fontId="6" fillId="0" borderId="2" xfId="0" applyNumberFormat="1" applyFont="1" applyFill="1" applyBorder="1"/>
    <xf numFmtId="0" fontId="11" fillId="0" borderId="2" xfId="0" applyFont="1" applyBorder="1"/>
    <xf numFmtId="0" fontId="6" fillId="0" borderId="2" xfId="0" applyFont="1" applyBorder="1"/>
    <xf numFmtId="1" fontId="6" fillId="0" borderId="2" xfId="0" applyNumberFormat="1" applyFont="1" applyBorder="1"/>
    <xf numFmtId="0" fontId="6" fillId="0" borderId="16" xfId="0" applyFont="1" applyBorder="1"/>
    <xf numFmtId="0" fontId="6" fillId="0" borderId="2" xfId="0" applyFont="1" applyBorder="1" applyAlignment="1">
      <alignment vertical="center"/>
    </xf>
    <xf numFmtId="4" fontId="12" fillId="0" borderId="2" xfId="0" applyNumberFormat="1" applyFont="1" applyBorder="1"/>
    <xf numFmtId="3" fontId="11" fillId="0" borderId="14" xfId="0" applyNumberFormat="1" applyFont="1" applyFill="1" applyBorder="1"/>
    <xf numFmtId="2" fontId="11" fillId="0" borderId="14" xfId="0" applyNumberFormat="1" applyFont="1" applyFill="1" applyBorder="1"/>
    <xf numFmtId="4" fontId="11" fillId="0" borderId="14" xfId="0" applyNumberFormat="1" applyFont="1" applyFill="1" applyBorder="1"/>
    <xf numFmtId="1" fontId="11" fillId="0" borderId="14" xfId="0" applyNumberFormat="1" applyFont="1" applyFill="1" applyBorder="1"/>
    <xf numFmtId="3" fontId="11" fillId="0" borderId="14" xfId="0" applyNumberFormat="1" applyFont="1" applyFill="1" applyBorder="1" applyAlignment="1"/>
    <xf numFmtId="3" fontId="11" fillId="0" borderId="15" xfId="0" applyNumberFormat="1" applyFont="1" applyFill="1" applyBorder="1"/>
    <xf numFmtId="2" fontId="11" fillId="0" borderId="15" xfId="0" applyNumberFormat="1" applyFont="1" applyFill="1" applyBorder="1"/>
    <xf numFmtId="4" fontId="11" fillId="0" borderId="15" xfId="0" applyNumberFormat="1" applyFont="1" applyFill="1" applyBorder="1"/>
    <xf numFmtId="1" fontId="11" fillId="0" borderId="15" xfId="0" applyNumberFormat="1" applyFont="1" applyFill="1" applyBorder="1"/>
    <xf numFmtId="3" fontId="11" fillId="0" borderId="15" xfId="0" applyNumberFormat="1" applyFont="1" applyFill="1" applyBorder="1" applyAlignment="1"/>
    <xf numFmtId="0" fontId="11" fillId="0" borderId="16" xfId="0" applyFont="1" applyBorder="1"/>
    <xf numFmtId="1" fontId="6" fillId="0" borderId="16" xfId="0" applyNumberFormat="1" applyFont="1" applyBorder="1"/>
    <xf numFmtId="0" fontId="11" fillId="0" borderId="15" xfId="0" applyFont="1" applyBorder="1"/>
    <xf numFmtId="0" fontId="6" fillId="0" borderId="15" xfId="0" applyFont="1" applyBorder="1"/>
    <xf numFmtId="1" fontId="6" fillId="0" borderId="15" xfId="0" applyNumberFormat="1" applyFont="1" applyBorder="1"/>
    <xf numFmtId="3" fontId="6" fillId="0" borderId="15" xfId="0" applyNumberFormat="1" applyFont="1" applyFill="1" applyBorder="1" applyAlignment="1">
      <alignment horizontal="center" vertical="center"/>
    </xf>
    <xf numFmtId="1" fontId="6" fillId="0" borderId="16" xfId="0" applyNumberFormat="1" applyFont="1" applyFill="1" applyBorder="1"/>
    <xf numFmtId="1" fontId="6" fillId="0" borderId="3" xfId="0" applyNumberFormat="1" applyFont="1" applyBorder="1"/>
    <xf numFmtId="3" fontId="11" fillId="0" borderId="7" xfId="0" applyNumberFormat="1" applyFont="1" applyFill="1" applyBorder="1" applyAlignment="1"/>
    <xf numFmtId="0" fontId="11" fillId="0" borderId="4" xfId="0" applyFont="1" applyBorder="1" applyAlignment="1">
      <alignment horizontal="left" vertical="center"/>
    </xf>
    <xf numFmtId="164" fontId="11" fillId="0" borderId="6" xfId="0" applyNumberFormat="1" applyFont="1" applyFill="1" applyBorder="1"/>
    <xf numFmtId="2" fontId="6" fillId="0" borderId="2" xfId="0" applyNumberFormat="1" applyFont="1" applyBorder="1"/>
    <xf numFmtId="1" fontId="11" fillId="0" borderId="16" xfId="0" applyNumberFormat="1" applyFont="1" applyFill="1" applyBorder="1"/>
    <xf numFmtId="1" fontId="11" fillId="0" borderId="3" xfId="0" applyNumberFormat="1" applyFont="1" applyFill="1" applyBorder="1"/>
    <xf numFmtId="167" fontId="11" fillId="0" borderId="5" xfId="0" applyNumberFormat="1" applyFont="1" applyFill="1" applyBorder="1"/>
    <xf numFmtId="3" fontId="9" fillId="0" borderId="3" xfId="0" applyNumberFormat="1" applyFont="1" applyFill="1" applyBorder="1" applyAlignment="1">
      <alignment horizontal="center"/>
    </xf>
    <xf numFmtId="167" fontId="11" fillId="0" borderId="14" xfId="0" applyNumberFormat="1" applyFont="1" applyFill="1" applyBorder="1"/>
    <xf numFmtId="167" fontId="6" fillId="0" borderId="2" xfId="0" applyNumberFormat="1" applyFont="1" applyFill="1" applyBorder="1" applyAlignment="1">
      <alignment horizontal="center"/>
    </xf>
    <xf numFmtId="3" fontId="11" fillId="0" borderId="5" xfId="1" applyNumberFormat="1" applyFont="1" applyFill="1" applyBorder="1" applyAlignment="1">
      <alignment horizontal="left"/>
    </xf>
    <xf numFmtId="0" fontId="11" fillId="0" borderId="5" xfId="0" applyFont="1" applyFill="1" applyBorder="1" applyAlignment="1">
      <alignment horizontal="center"/>
    </xf>
    <xf numFmtId="164" fontId="13" fillId="0" borderId="5" xfId="0" applyNumberFormat="1" applyFont="1" applyFill="1" applyBorder="1"/>
    <xf numFmtId="4" fontId="12" fillId="0" borderId="2" xfId="0" applyNumberFormat="1" applyFont="1" applyFill="1" applyBorder="1"/>
    <xf numFmtId="0" fontId="12" fillId="0" borderId="2" xfId="0" applyFont="1" applyBorder="1"/>
    <xf numFmtId="0" fontId="12" fillId="0" borderId="16" xfId="0" applyFont="1" applyBorder="1"/>
    <xf numFmtId="2" fontId="6" fillId="0" borderId="2" xfId="0" applyNumberFormat="1" applyFont="1" applyBorder="1" applyAlignment="1">
      <alignment vertical="center"/>
    </xf>
    <xf numFmtId="0" fontId="3" fillId="0" borderId="5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2" fontId="5" fillId="0" borderId="0" xfId="0" applyNumberFormat="1" applyFont="1" applyAlignment="1">
      <alignment vertical="center"/>
    </xf>
    <xf numFmtId="2" fontId="4" fillId="0" borderId="0" xfId="0" applyNumberFormat="1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" fontId="12" fillId="0" borderId="0" xfId="0" applyNumberFormat="1" applyFont="1" applyBorder="1" applyAlignment="1">
      <alignment horizontal="center" vertical="center"/>
    </xf>
    <xf numFmtId="1" fontId="12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4" fontId="6" fillId="0" borderId="0" xfId="0" applyNumberFormat="1" applyFont="1" applyBorder="1" applyAlignment="1">
      <alignment horizontal="center" vertical="center"/>
    </xf>
    <xf numFmtId="1" fontId="6" fillId="0" borderId="0" xfId="0" applyNumberFormat="1" applyFont="1" applyBorder="1" applyAlignment="1">
      <alignment horizontal="center" vertical="center"/>
    </xf>
    <xf numFmtId="164" fontId="11" fillId="0" borderId="14" xfId="0" applyNumberFormat="1" applyFont="1" applyFill="1" applyBorder="1"/>
    <xf numFmtId="4" fontId="6" fillId="0" borderId="16" xfId="0" applyNumberFormat="1" applyFont="1" applyBorder="1" applyAlignment="1">
      <alignment vertical="center"/>
    </xf>
    <xf numFmtId="4" fontId="6" fillId="0" borderId="17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vertical="center"/>
    </xf>
    <xf numFmtId="1" fontId="6" fillId="0" borderId="16" xfId="0" applyNumberFormat="1" applyFont="1" applyBorder="1" applyAlignment="1">
      <alignment vertical="center"/>
    </xf>
    <xf numFmtId="1" fontId="6" fillId="0" borderId="17" xfId="0" applyNumberFormat="1" applyFont="1" applyBorder="1" applyAlignment="1">
      <alignment vertical="center"/>
    </xf>
    <xf numFmtId="1" fontId="6" fillId="0" borderId="3" xfId="0" applyNumberFormat="1" applyFont="1" applyBorder="1" applyAlignment="1">
      <alignment vertical="center"/>
    </xf>
    <xf numFmtId="0" fontId="7" fillId="0" borderId="20" xfId="0" applyFont="1" applyFill="1" applyBorder="1" applyAlignment="1">
      <alignment horizontal="center"/>
    </xf>
    <xf numFmtId="3" fontId="11" fillId="0" borderId="20" xfId="0" applyNumberFormat="1" applyFont="1" applyFill="1" applyBorder="1"/>
    <xf numFmtId="2" fontId="11" fillId="0" borderId="20" xfId="0" applyNumberFormat="1" applyFont="1" applyFill="1" applyBorder="1"/>
    <xf numFmtId="4" fontId="11" fillId="0" borderId="20" xfId="0" applyNumberFormat="1" applyFont="1" applyFill="1" applyBorder="1"/>
    <xf numFmtId="1" fontId="11" fillId="0" borderId="20" xfId="0" applyNumberFormat="1" applyFont="1" applyFill="1" applyBorder="1"/>
    <xf numFmtId="3" fontId="11" fillId="0" borderId="20" xfId="0" applyNumberFormat="1" applyFont="1" applyFill="1" applyBorder="1" applyAlignment="1"/>
    <xf numFmtId="0" fontId="7" fillId="0" borderId="2" xfId="0" applyFont="1" applyFill="1" applyBorder="1" applyAlignment="1">
      <alignment horizontal="center"/>
    </xf>
    <xf numFmtId="2" fontId="11" fillId="0" borderId="2" xfId="0" applyNumberFormat="1" applyFont="1" applyFill="1" applyBorder="1"/>
    <xf numFmtId="3" fontId="11" fillId="0" borderId="2" xfId="0" applyNumberFormat="1" applyFont="1" applyFill="1" applyBorder="1" applyAlignment="1"/>
    <xf numFmtId="0" fontId="7" fillId="0" borderId="20" xfId="0" applyFont="1" applyFill="1" applyBorder="1"/>
    <xf numFmtId="0" fontId="11" fillId="0" borderId="20" xfId="0" applyFont="1" applyFill="1" applyBorder="1" applyAlignment="1">
      <alignment horizontal="center"/>
    </xf>
    <xf numFmtId="164" fontId="11" fillId="0" borderId="20" xfId="0" applyNumberFormat="1" applyFont="1" applyFill="1" applyBorder="1"/>
    <xf numFmtId="167" fontId="6" fillId="0" borderId="2" xfId="0" applyNumberFormat="1" applyFont="1" applyBorder="1" applyAlignment="1">
      <alignment vertical="center"/>
    </xf>
    <xf numFmtId="1" fontId="6" fillId="0" borderId="2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4" fontId="13" fillId="0" borderId="5" xfId="0" applyNumberFormat="1" applyFont="1" applyFill="1" applyBorder="1"/>
    <xf numFmtId="2" fontId="13" fillId="0" borderId="5" xfId="0" applyNumberFormat="1" applyFont="1" applyFill="1" applyBorder="1"/>
    <xf numFmtId="2" fontId="12" fillId="0" borderId="2" xfId="0" applyNumberFormat="1" applyFont="1" applyFill="1" applyBorder="1"/>
    <xf numFmtId="2" fontId="12" fillId="0" borderId="2" xfId="0" applyNumberFormat="1" applyFont="1" applyBorder="1" applyAlignment="1">
      <alignment vertical="center"/>
    </xf>
    <xf numFmtId="4" fontId="10" fillId="0" borderId="2" xfId="0" applyNumberFormat="1" applyFont="1" applyBorder="1"/>
    <xf numFmtId="3" fontId="13" fillId="0" borderId="5" xfId="0" applyNumberFormat="1" applyFont="1" applyFill="1" applyBorder="1" applyAlignment="1"/>
    <xf numFmtId="0" fontId="4" fillId="0" borderId="2" xfId="0" applyFont="1" applyFill="1" applyBorder="1" applyAlignment="1">
      <alignment horizontal="left"/>
    </xf>
    <xf numFmtId="2" fontId="12" fillId="0" borderId="3" xfId="0" applyNumberFormat="1" applyFont="1" applyBorder="1" applyAlignment="1">
      <alignment vertical="center"/>
    </xf>
    <xf numFmtId="2" fontId="6" fillId="0" borderId="3" xfId="0" applyNumberFormat="1" applyFont="1" applyBorder="1" applyAlignment="1">
      <alignment vertical="center"/>
    </xf>
    <xf numFmtId="0" fontId="4" fillId="0" borderId="2" xfId="0" applyFont="1" applyFill="1" applyBorder="1" applyAlignment="1">
      <alignment horizontal="right"/>
    </xf>
    <xf numFmtId="4" fontId="13" fillId="0" borderId="2" xfId="0" applyNumberFormat="1" applyFont="1" applyFill="1" applyBorder="1"/>
    <xf numFmtId="4" fontId="9" fillId="0" borderId="5" xfId="0" applyNumberFormat="1" applyFont="1" applyFill="1" applyBorder="1"/>
    <xf numFmtId="0" fontId="12" fillId="2" borderId="16" xfId="0" applyFont="1" applyFill="1" applyBorder="1" applyAlignment="1">
      <alignment vertical="center"/>
    </xf>
    <xf numFmtId="2" fontId="3" fillId="0" borderId="0" xfId="0" applyNumberFormat="1" applyFont="1"/>
    <xf numFmtId="0" fontId="6" fillId="0" borderId="16" xfId="0" applyFont="1" applyFill="1" applyBorder="1" applyAlignment="1">
      <alignment vertical="center"/>
    </xf>
    <xf numFmtId="2" fontId="6" fillId="2" borderId="16" xfId="0" applyNumberFormat="1" applyFont="1" applyFill="1" applyBorder="1" applyAlignment="1">
      <alignment vertical="center"/>
    </xf>
    <xf numFmtId="3" fontId="11" fillId="2" borderId="5" xfId="0" applyNumberFormat="1" applyFont="1" applyFill="1" applyBorder="1" applyAlignment="1"/>
    <xf numFmtId="4" fontId="11" fillId="2" borderId="5" xfId="0" applyNumberFormat="1" applyFont="1" applyFill="1" applyBorder="1"/>
    <xf numFmtId="1" fontId="11" fillId="2" borderId="5" xfId="0" applyNumberFormat="1" applyFont="1" applyFill="1" applyBorder="1"/>
    <xf numFmtId="0" fontId="6" fillId="0" borderId="16" xfId="0" applyFont="1" applyBorder="1" applyAlignment="1">
      <alignment vertical="center"/>
    </xf>
    <xf numFmtId="2" fontId="11" fillId="2" borderId="5" xfId="0" applyNumberFormat="1" applyFont="1" applyFill="1" applyBorder="1"/>
    <xf numFmtId="4" fontId="13" fillId="2" borderId="5" xfId="0" applyNumberFormat="1" applyFont="1" applyFill="1" applyBorder="1"/>
    <xf numFmtId="0" fontId="3" fillId="2" borderId="0" xfId="0" applyFont="1" applyFill="1"/>
    <xf numFmtId="0" fontId="6" fillId="2" borderId="16" xfId="0" applyFont="1" applyFill="1" applyBorder="1" applyAlignment="1">
      <alignment vertical="center"/>
    </xf>
    <xf numFmtId="167" fontId="13" fillId="0" borderId="5" xfId="0" applyNumberFormat="1" applyFont="1" applyFill="1" applyBorder="1"/>
    <xf numFmtId="2" fontId="9" fillId="0" borderId="5" xfId="0" applyNumberFormat="1" applyFont="1" applyFill="1" applyBorder="1"/>
    <xf numFmtId="167" fontId="11" fillId="0" borderId="20" xfId="0" applyNumberFormat="1" applyFont="1" applyFill="1" applyBorder="1"/>
    <xf numFmtId="3" fontId="3" fillId="0" borderId="5" xfId="1" applyNumberFormat="1" applyFont="1" applyFill="1" applyBorder="1" applyAlignment="1">
      <alignment horizontal="left"/>
    </xf>
    <xf numFmtId="4" fontId="13" fillId="0" borderId="20" xfId="0" applyNumberFormat="1" applyFont="1" applyFill="1" applyBorder="1"/>
    <xf numFmtId="3" fontId="7" fillId="2" borderId="5" xfId="1" applyNumberFormat="1" applyFont="1" applyFill="1" applyBorder="1" applyAlignment="1">
      <alignment horizontal="left"/>
    </xf>
    <xf numFmtId="0" fontId="7" fillId="2" borderId="5" xfId="0" applyFont="1" applyFill="1" applyBorder="1"/>
    <xf numFmtId="3" fontId="3" fillId="2" borderId="5" xfId="1" applyNumberFormat="1" applyFont="1" applyFill="1" applyBorder="1" applyAlignment="1">
      <alignment horizontal="left"/>
    </xf>
    <xf numFmtId="3" fontId="13" fillId="0" borderId="14" xfId="0" applyNumberFormat="1" applyFont="1" applyFill="1" applyBorder="1" applyAlignment="1"/>
    <xf numFmtId="3" fontId="9" fillId="0" borderId="5" xfId="3" applyNumberFormat="1" applyFont="1" applyFill="1" applyBorder="1" applyAlignment="1">
      <alignment horizontal="left" vertical="center" wrapText="1"/>
    </xf>
    <xf numFmtId="4" fontId="3" fillId="0" borderId="0" xfId="0" applyNumberFormat="1" applyFont="1" applyFill="1" applyBorder="1"/>
    <xf numFmtId="3" fontId="9" fillId="0" borderId="2" xfId="3" applyNumberFormat="1" applyFont="1" applyFill="1" applyBorder="1" applyAlignment="1">
      <alignment horizontal="left" vertical="center" wrapText="1"/>
    </xf>
    <xf numFmtId="167" fontId="13" fillId="0" borderId="2" xfId="0" applyNumberFormat="1" applyFont="1" applyFill="1" applyBorder="1"/>
    <xf numFmtId="3" fontId="9" fillId="0" borderId="20" xfId="3" applyNumberFormat="1" applyFont="1" applyFill="1" applyBorder="1" applyAlignment="1">
      <alignment horizontal="left" vertical="center" wrapText="1"/>
    </xf>
    <xf numFmtId="167" fontId="13" fillId="0" borderId="20" xfId="0" applyNumberFormat="1" applyFont="1" applyFill="1" applyBorder="1"/>
    <xf numFmtId="0" fontId="7" fillId="0" borderId="4" xfId="0" applyFont="1" applyFill="1" applyBorder="1" applyAlignment="1">
      <alignment horizontal="left"/>
    </xf>
    <xf numFmtId="3" fontId="7" fillId="0" borderId="4" xfId="0" applyNumberFormat="1" applyFont="1" applyFill="1" applyBorder="1"/>
    <xf numFmtId="2" fontId="7" fillId="0" borderId="4" xfId="0" applyNumberFormat="1" applyFont="1" applyFill="1" applyBorder="1"/>
    <xf numFmtId="4" fontId="7" fillId="0" borderId="4" xfId="0" applyNumberFormat="1" applyFont="1" applyFill="1" applyBorder="1"/>
    <xf numFmtId="1" fontId="7" fillId="0" borderId="4" xfId="0" applyNumberFormat="1" applyFont="1" applyFill="1" applyBorder="1"/>
    <xf numFmtId="0" fontId="7" fillId="2" borderId="5" xfId="0" applyFont="1" applyFill="1" applyBorder="1" applyAlignment="1">
      <alignment horizontal="center"/>
    </xf>
    <xf numFmtId="3" fontId="11" fillId="2" borderId="5" xfId="0" applyNumberFormat="1" applyFont="1" applyFill="1" applyBorder="1"/>
    <xf numFmtId="167" fontId="11" fillId="2" borderId="5" xfId="0" applyNumberFormat="1" applyFont="1" applyFill="1" applyBorder="1"/>
    <xf numFmtId="4" fontId="13" fillId="0" borderId="6" xfId="0" applyNumberFormat="1" applyFont="1" applyFill="1" applyBorder="1"/>
    <xf numFmtId="2" fontId="13" fillId="0" borderId="20" xfId="0" applyNumberFormat="1" applyFont="1" applyFill="1" applyBorder="1"/>
    <xf numFmtId="3" fontId="13" fillId="2" borderId="5" xfId="0" applyNumberFormat="1" applyFont="1" applyFill="1" applyBorder="1" applyAlignment="1"/>
    <xf numFmtId="3" fontId="13" fillId="0" borderId="20" xfId="0" applyNumberFormat="1" applyFont="1" applyFill="1" applyBorder="1" applyAlignment="1"/>
    <xf numFmtId="3" fontId="9" fillId="0" borderId="5" xfId="0" applyNumberFormat="1" applyFont="1" applyFill="1" applyBorder="1" applyAlignment="1"/>
    <xf numFmtId="1" fontId="6" fillId="0" borderId="2" xfId="0" applyNumberFormat="1" applyFont="1" applyFill="1" applyBorder="1" applyAlignment="1">
      <alignment vertical="center"/>
    </xf>
    <xf numFmtId="2" fontId="10" fillId="0" borderId="2" xfId="0" applyNumberFormat="1" applyFont="1" applyFill="1" applyBorder="1"/>
    <xf numFmtId="0" fontId="4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10" fillId="0" borderId="2" xfId="0" applyNumberFormat="1" applyFont="1" applyBorder="1" applyAlignment="1">
      <alignment horizontal="center" vertical="center"/>
    </xf>
    <xf numFmtId="2" fontId="1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1" fontId="6" fillId="0" borderId="18" xfId="0" applyNumberFormat="1" applyFont="1" applyBorder="1" applyAlignment="1">
      <alignment horizontal="center" vertical="center"/>
    </xf>
    <xf numFmtId="1" fontId="6" fillId="0" borderId="7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center"/>
    </xf>
    <xf numFmtId="3" fontId="6" fillId="0" borderId="16" xfId="0" applyNumberFormat="1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2" fillId="0" borderId="16" xfId="0" applyNumberFormat="1" applyFont="1" applyBorder="1" applyAlignment="1">
      <alignment horizontal="center" vertical="center" wrapText="1"/>
    </xf>
    <xf numFmtId="2" fontId="2" fillId="0" borderId="17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2" fontId="2" fillId="0" borderId="16" xfId="0" applyNumberFormat="1" applyFont="1" applyFill="1" applyBorder="1" applyAlignment="1">
      <alignment horizontal="center" vertical="center" wrapText="1"/>
    </xf>
    <xf numFmtId="2" fontId="2" fillId="0" borderId="17" xfId="0" applyNumberFormat="1" applyFont="1" applyFill="1" applyBorder="1" applyAlignment="1">
      <alignment horizontal="center" vertical="center"/>
    </xf>
    <xf numFmtId="2" fontId="2" fillId="0" borderId="3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left"/>
    </xf>
    <xf numFmtId="0" fontId="4" fillId="0" borderId="15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7" fillId="0" borderId="23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3" fontId="6" fillId="0" borderId="17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left"/>
    </xf>
    <xf numFmtId="0" fontId="10" fillId="0" borderId="2" xfId="0" applyFont="1" applyFill="1" applyBorder="1" applyAlignment="1">
      <alignment horizontal="center"/>
    </xf>
    <xf numFmtId="0" fontId="5" fillId="0" borderId="18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3" fontId="10" fillId="0" borderId="16" xfId="0" applyNumberFormat="1" applyFont="1" applyFill="1" applyBorder="1" applyAlignment="1">
      <alignment horizontal="center" vertical="center"/>
    </xf>
    <xf numFmtId="3" fontId="10" fillId="0" borderId="3" xfId="0" applyNumberFormat="1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67" fontId="6" fillId="0" borderId="18" xfId="0" applyNumberFormat="1" applyFont="1" applyBorder="1" applyAlignment="1">
      <alignment horizontal="center" vertical="center"/>
    </xf>
    <xf numFmtId="167" fontId="6" fillId="0" borderId="7" xfId="0" applyNumberFormat="1" applyFont="1" applyBorder="1" applyAlignment="1">
      <alignment horizontal="center" vertical="center"/>
    </xf>
    <xf numFmtId="2" fontId="12" fillId="0" borderId="2" xfId="0" applyNumberFormat="1" applyFont="1" applyBorder="1" applyAlignment="1">
      <alignment horizontal="center"/>
    </xf>
    <xf numFmtId="2" fontId="12" fillId="0" borderId="10" xfId="0" applyNumberFormat="1" applyFont="1" applyBorder="1" applyAlignment="1">
      <alignment horizontal="center" vertical="center" wrapText="1"/>
    </xf>
    <xf numFmtId="2" fontId="12" fillId="0" borderId="8" xfId="0" applyNumberFormat="1" applyFont="1" applyBorder="1" applyAlignment="1">
      <alignment horizontal="center" vertical="center" wrapText="1"/>
    </xf>
    <xf numFmtId="2" fontId="12" fillId="0" borderId="11" xfId="0" applyNumberFormat="1" applyFont="1" applyBorder="1" applyAlignment="1">
      <alignment horizontal="center" vertical="center" wrapText="1"/>
    </xf>
    <xf numFmtId="2" fontId="12" fillId="0" borderId="12" xfId="0" applyNumberFormat="1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2" fontId="12" fillId="0" borderId="13" xfId="0" applyNumberFormat="1" applyFont="1" applyBorder="1" applyAlignment="1">
      <alignment horizontal="center" vertical="center" wrapText="1"/>
    </xf>
    <xf numFmtId="4" fontId="12" fillId="0" borderId="16" xfId="0" applyNumberFormat="1" applyFont="1" applyBorder="1" applyAlignment="1">
      <alignment horizontal="center" vertical="center"/>
    </xf>
    <xf numFmtId="4" fontId="12" fillId="0" borderId="17" xfId="0" applyNumberFormat="1" applyFont="1" applyBorder="1" applyAlignment="1">
      <alignment horizontal="center" vertical="center"/>
    </xf>
    <xf numFmtId="4" fontId="12" fillId="0" borderId="3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" fontId="12" fillId="0" borderId="16" xfId="0" applyNumberFormat="1" applyFont="1" applyBorder="1" applyAlignment="1">
      <alignment horizontal="center" vertical="center"/>
    </xf>
    <xf numFmtId="1" fontId="12" fillId="0" borderId="17" xfId="0" applyNumberFormat="1" applyFont="1" applyBorder="1" applyAlignment="1">
      <alignment horizontal="center" vertical="center"/>
    </xf>
    <xf numFmtId="1" fontId="12" fillId="0" borderId="3" xfId="0" applyNumberFormat="1" applyFont="1" applyBorder="1" applyAlignment="1">
      <alignment horizontal="center" vertical="center"/>
    </xf>
    <xf numFmtId="4" fontId="10" fillId="0" borderId="2" xfId="0" applyNumberFormat="1" applyFont="1" applyBorder="1" applyAlignment="1">
      <alignment horizontal="center" vertical="center"/>
    </xf>
    <xf numFmtId="164" fontId="12" fillId="0" borderId="16" xfId="0" applyNumberFormat="1" applyFont="1" applyBorder="1" applyAlignment="1">
      <alignment horizontal="center" vertical="center"/>
    </xf>
    <xf numFmtId="164" fontId="12" fillId="0" borderId="3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/>
    </xf>
    <xf numFmtId="2" fontId="6" fillId="0" borderId="10" xfId="0" applyNumberFormat="1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2" fontId="6" fillId="0" borderId="11" xfId="0" applyNumberFormat="1" applyFont="1" applyBorder="1" applyAlignment="1">
      <alignment horizontal="center" vertical="center" wrapText="1"/>
    </xf>
    <xf numFmtId="2" fontId="6" fillId="0" borderId="12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3" xfId="0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4" fontId="6" fillId="0" borderId="16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2" fontId="6" fillId="0" borderId="16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0" borderId="10" xfId="0" applyFont="1" applyFill="1" applyBorder="1" applyAlignment="1">
      <alignment horizontal="center" vertical="center" wrapText="1"/>
    </xf>
    <xf numFmtId="2" fontId="6" fillId="2" borderId="18" xfId="0" applyNumberFormat="1" applyFont="1" applyFill="1" applyBorder="1" applyAlignment="1">
      <alignment horizontal="center"/>
    </xf>
    <xf numFmtId="2" fontId="6" fillId="2" borderId="7" xfId="0" applyNumberFormat="1" applyFont="1" applyFill="1" applyBorder="1" applyAlignment="1">
      <alignment horizontal="center"/>
    </xf>
    <xf numFmtId="2" fontId="10" fillId="0" borderId="16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4" fontId="6" fillId="0" borderId="17" xfId="0" applyNumberFormat="1" applyFont="1" applyBorder="1" applyAlignment="1">
      <alignment horizontal="center" vertical="center"/>
    </xf>
    <xf numFmtId="164" fontId="6" fillId="0" borderId="16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2" fontId="12" fillId="0" borderId="16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" fontId="12" fillId="0" borderId="2" xfId="0" applyNumberFormat="1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1" fontId="6" fillId="0" borderId="16" xfId="0" applyNumberFormat="1" applyFont="1" applyFill="1" applyBorder="1" applyAlignment="1">
      <alignment horizontal="center"/>
    </xf>
    <xf numFmtId="1" fontId="6" fillId="0" borderId="3" xfId="0" applyNumberFormat="1" applyFont="1" applyFill="1" applyBorder="1" applyAlignment="1">
      <alignment horizontal="center"/>
    </xf>
    <xf numFmtId="0" fontId="16" fillId="0" borderId="3" xfId="0" applyFont="1" applyBorder="1"/>
    <xf numFmtId="1" fontId="11" fillId="0" borderId="16" xfId="0" applyNumberFormat="1" applyFont="1" applyFill="1" applyBorder="1" applyAlignment="1">
      <alignment horizontal="center"/>
    </xf>
    <xf numFmtId="1" fontId="11" fillId="0" borderId="3" xfId="0" applyNumberFormat="1" applyFont="1" applyFill="1" applyBorder="1" applyAlignment="1">
      <alignment horizontal="center"/>
    </xf>
    <xf numFmtId="0" fontId="13" fillId="0" borderId="23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2" fontId="6" fillId="0" borderId="16" xfId="0" applyNumberFormat="1" applyFont="1" applyFill="1" applyBorder="1" applyAlignment="1">
      <alignment horizontal="center" vertical="center" wrapText="1"/>
    </xf>
    <xf numFmtId="2" fontId="6" fillId="0" borderId="17" xfId="0" applyNumberFormat="1" applyFont="1" applyFill="1" applyBorder="1" applyAlignment="1">
      <alignment horizontal="center" vertical="center"/>
    </xf>
    <xf numFmtId="2" fontId="6" fillId="0" borderId="3" xfId="0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2" fontId="12" fillId="0" borderId="18" xfId="0" applyNumberFormat="1" applyFont="1" applyBorder="1" applyAlignment="1">
      <alignment horizontal="center"/>
    </xf>
    <xf numFmtId="2" fontId="12" fillId="0" borderId="7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3" fontId="12" fillId="0" borderId="16" xfId="0" applyNumberFormat="1" applyFont="1" applyFill="1" applyBorder="1" applyAlignment="1">
      <alignment horizontal="center" vertical="center"/>
    </xf>
    <xf numFmtId="3" fontId="12" fillId="0" borderId="3" xfId="0" applyNumberFormat="1" applyFont="1" applyFill="1" applyBorder="1" applyAlignment="1">
      <alignment horizontal="center" vertical="center"/>
    </xf>
    <xf numFmtId="3" fontId="12" fillId="0" borderId="17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164" fontId="10" fillId="0" borderId="16" xfId="0" applyNumberFormat="1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3" fontId="14" fillId="0" borderId="16" xfId="0" applyNumberFormat="1" applyFont="1" applyFill="1" applyBorder="1" applyAlignment="1">
      <alignment horizontal="center" vertical="center" textRotation="45"/>
    </xf>
    <xf numFmtId="3" fontId="14" fillId="0" borderId="3" xfId="0" applyNumberFormat="1" applyFont="1" applyFill="1" applyBorder="1" applyAlignment="1">
      <alignment horizontal="center" vertical="center" textRotation="45"/>
    </xf>
    <xf numFmtId="3" fontId="17" fillId="0" borderId="16" xfId="0" applyNumberFormat="1" applyFont="1" applyFill="1" applyBorder="1" applyAlignment="1">
      <alignment horizontal="center" vertical="center" textRotation="46"/>
    </xf>
    <xf numFmtId="3" fontId="17" fillId="0" borderId="3" xfId="0" applyNumberFormat="1" applyFont="1" applyFill="1" applyBorder="1" applyAlignment="1">
      <alignment horizontal="center" vertical="center" textRotation="46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4" fontId="10" fillId="0" borderId="16" xfId="0" applyNumberFormat="1" applyFont="1" applyBorder="1" applyAlignment="1">
      <alignment horizontal="center" vertical="center"/>
    </xf>
    <xf numFmtId="4" fontId="10" fillId="0" borderId="3" xfId="0" applyNumberFormat="1" applyFont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1" fontId="10" fillId="0" borderId="2" xfId="0" applyNumberFormat="1" applyFont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 wrapText="1"/>
    </xf>
    <xf numFmtId="2" fontId="2" fillId="0" borderId="11" xfId="0" applyNumberFormat="1" applyFont="1" applyFill="1" applyBorder="1" applyAlignment="1">
      <alignment horizontal="center" vertical="center" wrapText="1"/>
    </xf>
    <xf numFmtId="2" fontId="2" fillId="0" borderId="12" xfId="0" applyNumberFormat="1" applyFont="1" applyFill="1" applyBorder="1" applyAlignment="1">
      <alignment horizontal="center" vertical="center" wrapText="1"/>
    </xf>
    <xf numFmtId="2" fontId="2" fillId="0" borderId="13" xfId="0" applyNumberFormat="1" applyFont="1" applyFill="1" applyBorder="1" applyAlignment="1">
      <alignment horizontal="center" vertical="center" wrapText="1"/>
    </xf>
    <xf numFmtId="2" fontId="12" fillId="0" borderId="16" xfId="0" applyNumberFormat="1" applyFont="1" applyFill="1" applyBorder="1" applyAlignment="1">
      <alignment horizontal="center" vertical="center" wrapText="1"/>
    </xf>
    <xf numFmtId="2" fontId="12" fillId="0" borderId="17" xfId="0" applyNumberFormat="1" applyFont="1" applyFill="1" applyBorder="1" applyAlignment="1">
      <alignment horizontal="center" vertical="center"/>
    </xf>
    <xf numFmtId="2" fontId="12" fillId="0" borderId="3" xfId="0" applyNumberFormat="1" applyFont="1" applyFill="1" applyBorder="1" applyAlignment="1">
      <alignment horizontal="center" vertical="center"/>
    </xf>
    <xf numFmtId="1" fontId="6" fillId="0" borderId="16" xfId="0" applyNumberFormat="1" applyFont="1" applyBorder="1" applyAlignment="1">
      <alignment horizontal="center" vertical="center"/>
    </xf>
    <xf numFmtId="1" fontId="6" fillId="0" borderId="3" xfId="0" applyNumberFormat="1" applyFont="1" applyBorder="1" applyAlignment="1">
      <alignment horizontal="center" vertical="center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1" fontId="11" fillId="2" borderId="6" xfId="0" applyNumberFormat="1" applyFont="1" applyFill="1" applyBorder="1"/>
    <xf numFmtId="167" fontId="3" fillId="0" borderId="0" xfId="0" applyNumberFormat="1" applyFont="1" applyFill="1" applyBorder="1"/>
    <xf numFmtId="3" fontId="18" fillId="0" borderId="2" xfId="0" applyNumberFormat="1" applyFont="1" applyFill="1" applyBorder="1" applyAlignment="1">
      <alignment horizontal="center" wrapText="1"/>
    </xf>
    <xf numFmtId="1" fontId="3" fillId="0" borderId="0" xfId="0" applyNumberFormat="1" applyFont="1" applyFill="1" applyBorder="1"/>
    <xf numFmtId="164" fontId="12" fillId="2" borderId="2" xfId="0" applyNumberFormat="1" applyFont="1" applyFill="1" applyBorder="1" applyAlignment="1"/>
    <xf numFmtId="164" fontId="12" fillId="2" borderId="7" xfId="0" applyNumberFormat="1" applyFont="1" applyFill="1" applyBorder="1" applyAlignment="1"/>
    <xf numFmtId="0" fontId="11" fillId="2" borderId="0" xfId="0" applyFont="1" applyFill="1" applyBorder="1" applyAlignment="1">
      <alignment horizontal="center"/>
    </xf>
    <xf numFmtId="165" fontId="6" fillId="2" borderId="18" xfId="0" applyNumberFormat="1" applyFont="1" applyFill="1" applyBorder="1" applyAlignment="1">
      <alignment horizontal="center"/>
    </xf>
    <xf numFmtId="165" fontId="6" fillId="2" borderId="7" xfId="0" applyNumberFormat="1" applyFont="1" applyFill="1" applyBorder="1" applyAlignment="1">
      <alignment horizontal="center"/>
    </xf>
    <xf numFmtId="0" fontId="9" fillId="2" borderId="0" xfId="0" applyFont="1" applyFill="1" applyBorder="1"/>
    <xf numFmtId="0" fontId="12" fillId="0" borderId="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top"/>
    </xf>
    <xf numFmtId="2" fontId="3" fillId="2" borderId="0" xfId="0" applyNumberFormat="1" applyFont="1" applyFill="1" applyBorder="1"/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165" fontId="12" fillId="2" borderId="18" xfId="0" applyNumberFormat="1" applyFont="1" applyFill="1" applyBorder="1" applyAlignment="1">
      <alignment horizontal="center"/>
    </xf>
    <xf numFmtId="165" fontId="12" fillId="2" borderId="7" xfId="0" applyNumberFormat="1" applyFont="1" applyFill="1" applyBorder="1" applyAlignment="1">
      <alignment horizontal="center"/>
    </xf>
    <xf numFmtId="166" fontId="3" fillId="2" borderId="0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1" fontId="13" fillId="2" borderId="5" xfId="0" applyNumberFormat="1" applyFont="1" applyFill="1" applyBorder="1"/>
    <xf numFmtId="4" fontId="3" fillId="2" borderId="0" xfId="0" applyNumberFormat="1" applyFont="1" applyFill="1" applyBorder="1"/>
    <xf numFmtId="1" fontId="11" fillId="2" borderId="20" xfId="0" applyNumberFormat="1" applyFont="1" applyFill="1" applyBorder="1"/>
    <xf numFmtId="4" fontId="3" fillId="2" borderId="0" xfId="0" applyNumberFormat="1" applyFont="1" applyFill="1"/>
    <xf numFmtId="164" fontId="6" fillId="2" borderId="7" xfId="0" applyNumberFormat="1" applyFont="1" applyFill="1" applyBorder="1" applyAlignment="1"/>
    <xf numFmtId="164" fontId="6" fillId="2" borderId="2" xfId="0" applyNumberFormat="1" applyFont="1" applyFill="1" applyBorder="1" applyAlignment="1"/>
    <xf numFmtId="2" fontId="3" fillId="2" borderId="0" xfId="0" applyNumberFormat="1" applyFont="1" applyFill="1"/>
    <xf numFmtId="1" fontId="13" fillId="2" borderId="20" xfId="0" applyNumberFormat="1" applyFont="1" applyFill="1" applyBorder="1"/>
    <xf numFmtId="1" fontId="13" fillId="0" borderId="5" xfId="0" applyNumberFormat="1" applyFont="1" applyFill="1" applyBorder="1"/>
    <xf numFmtId="2" fontId="6" fillId="2" borderId="3" xfId="0" applyNumberFormat="1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1" fillId="0" borderId="3" xfId="0" applyFont="1" applyBorder="1"/>
    <xf numFmtId="1" fontId="11" fillId="2" borderId="14" xfId="0" applyNumberFormat="1" applyFont="1" applyFill="1" applyBorder="1"/>
    <xf numFmtId="0" fontId="3" fillId="0" borderId="0" xfId="0" applyFont="1" applyBorder="1" applyAlignment="1">
      <alignment horizontal="center" vertical="center"/>
    </xf>
    <xf numFmtId="2" fontId="11" fillId="0" borderId="4" xfId="0" applyNumberFormat="1" applyFont="1" applyFill="1" applyBorder="1"/>
    <xf numFmtId="4" fontId="11" fillId="2" borderId="6" xfId="0" applyNumberFormat="1" applyFont="1" applyFill="1" applyBorder="1"/>
    <xf numFmtId="3" fontId="9" fillId="0" borderId="2" xfId="0" applyNumberFormat="1" applyFont="1" applyFill="1" applyBorder="1" applyAlignment="1">
      <alignment horizontal="center" wrapText="1"/>
    </xf>
    <xf numFmtId="2" fontId="11" fillId="2" borderId="20" xfId="0" applyNumberFormat="1" applyFont="1" applyFill="1" applyBorder="1"/>
    <xf numFmtId="3" fontId="3" fillId="0" borderId="0" xfId="0" applyNumberFormat="1" applyFont="1"/>
    <xf numFmtId="165" fontId="12" fillId="2" borderId="2" xfId="0" applyNumberFormat="1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167" fontId="6" fillId="2" borderId="18" xfId="0" applyNumberFormat="1" applyFont="1" applyFill="1" applyBorder="1" applyAlignment="1">
      <alignment horizontal="center" vertical="center"/>
    </xf>
    <xf numFmtId="167" fontId="6" fillId="2" borderId="7" xfId="0" applyNumberFormat="1" applyFont="1" applyFill="1" applyBorder="1" applyAlignment="1">
      <alignment horizontal="center" vertical="center"/>
    </xf>
    <xf numFmtId="3" fontId="3" fillId="0" borderId="0" xfId="0" applyNumberFormat="1" applyFont="1" applyFill="1"/>
    <xf numFmtId="0" fontId="3" fillId="2" borderId="0" xfId="0" applyFont="1" applyFill="1" applyBorder="1" applyAlignment="1"/>
    <xf numFmtId="0" fontId="11" fillId="2" borderId="0" xfId="0" applyFont="1" applyFill="1" applyBorder="1" applyAlignment="1">
      <alignment horizontal="center"/>
    </xf>
    <xf numFmtId="166" fontId="3" fillId="2" borderId="0" xfId="0" applyNumberFormat="1" applyFont="1" applyFill="1" applyBorder="1" applyAlignment="1"/>
  </cellXfs>
  <cellStyles count="4">
    <cellStyle name="Comma 2" xfId="2"/>
    <cellStyle name="Normal" xfId="0" builtinId="0"/>
    <cellStyle name="Normal_Sheet1" xfId="1"/>
    <cellStyle name="Normal_Sheet1_tinh an thang 7_tinh an thang 5 nam 2018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63"/>
  <sheetViews>
    <sheetView tabSelected="1" workbookViewId="0">
      <selection activeCell="O1" sqref="O1"/>
    </sheetView>
  </sheetViews>
  <sheetFormatPr defaultColWidth="9.109375" defaultRowHeight="21.6" customHeight="1"/>
  <cols>
    <col min="1" max="1" width="4" style="1" customWidth="1"/>
    <col min="2" max="2" width="12.5546875" style="1" customWidth="1"/>
    <col min="3" max="3" width="8" style="1" customWidth="1"/>
    <col min="4" max="4" width="8.88671875" style="1" customWidth="1"/>
    <col min="5" max="8" width="6.6640625" style="1" customWidth="1"/>
    <col min="9" max="9" width="6.88671875" style="1" customWidth="1"/>
    <col min="10" max="10" width="7.6640625" style="1" customWidth="1"/>
    <col min="11" max="11" width="5.44140625" style="1" customWidth="1"/>
    <col min="12" max="12" width="5.88671875" style="1" customWidth="1"/>
    <col min="13" max="13" width="7.77734375" style="1" customWidth="1"/>
    <col min="14" max="14" width="7.33203125" style="1" customWidth="1"/>
    <col min="15" max="15" width="10" style="1" customWidth="1"/>
    <col min="16" max="16" width="9.88671875" style="1" bestFit="1" customWidth="1"/>
    <col min="17" max="17" width="10.33203125" style="1" bestFit="1" customWidth="1"/>
    <col min="18" max="19" width="9.33203125" style="1" bestFit="1" customWidth="1"/>
    <col min="20" max="20" width="12.44140625" style="1" customWidth="1"/>
    <col min="21" max="21" width="9.33203125" style="1" bestFit="1" customWidth="1"/>
    <col min="22" max="16384" width="9.109375" style="1"/>
  </cols>
  <sheetData>
    <row r="1" spans="1:20" ht="22.2" customHeight="1">
      <c r="A1" s="11" t="s">
        <v>61</v>
      </c>
      <c r="B1" s="8"/>
      <c r="C1" s="8"/>
      <c r="D1" s="8"/>
      <c r="E1" s="8"/>
      <c r="F1" s="293" t="s">
        <v>31</v>
      </c>
      <c r="G1" s="293"/>
      <c r="H1" s="293"/>
      <c r="I1" s="293"/>
      <c r="J1" s="293"/>
      <c r="K1" s="293"/>
      <c r="L1" s="293"/>
      <c r="M1" s="293"/>
      <c r="N1" s="293"/>
      <c r="O1" s="371"/>
      <c r="P1" s="371"/>
      <c r="T1" s="2"/>
    </row>
    <row r="2" spans="1:20" ht="22.2" customHeight="1">
      <c r="A2" s="11"/>
      <c r="B2" s="8"/>
      <c r="C2" s="8"/>
      <c r="D2" s="8"/>
      <c r="E2" s="8"/>
      <c r="F2" s="173"/>
      <c r="G2" s="173"/>
      <c r="H2" s="173"/>
      <c r="I2" s="173"/>
      <c r="J2" s="173"/>
      <c r="K2" s="173"/>
      <c r="L2" s="173"/>
      <c r="M2" s="173"/>
      <c r="N2" s="173"/>
      <c r="O2" s="371"/>
      <c r="P2" s="371"/>
      <c r="T2" s="2"/>
    </row>
    <row r="3" spans="1:20" ht="21" customHeight="1">
      <c r="A3" s="88" t="s">
        <v>195</v>
      </c>
      <c r="B3" s="88"/>
      <c r="C3" s="88"/>
      <c r="D3" s="88"/>
      <c r="E3" s="88"/>
      <c r="F3" s="89"/>
      <c r="G3" s="89"/>
      <c r="H3" s="89"/>
      <c r="I3" s="173"/>
      <c r="J3" s="173"/>
      <c r="K3" s="173"/>
      <c r="L3" s="173"/>
      <c r="M3" s="173"/>
      <c r="N3" s="173"/>
      <c r="O3" s="371"/>
      <c r="P3" s="371"/>
      <c r="T3" s="2"/>
    </row>
    <row r="4" spans="1:20" s="2" customFormat="1" ht="19.2" customHeight="1">
      <c r="A4" s="192" t="s">
        <v>88</v>
      </c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372"/>
    </row>
    <row r="5" spans="1:20" s="2" customFormat="1" ht="19.2" customHeight="1">
      <c r="A5" s="195" t="s">
        <v>99</v>
      </c>
      <c r="B5" s="195"/>
      <c r="C5" s="195"/>
      <c r="D5" s="195"/>
      <c r="E5" s="195" t="s">
        <v>98</v>
      </c>
      <c r="F5" s="195"/>
      <c r="G5" s="195"/>
      <c r="H5" s="195"/>
      <c r="I5" s="195"/>
      <c r="J5" s="195"/>
      <c r="K5" s="195"/>
      <c r="L5" s="195"/>
      <c r="M5" s="195"/>
      <c r="N5" s="195"/>
      <c r="O5" s="372"/>
    </row>
    <row r="6" spans="1:20" s="2" customFormat="1" ht="19.2" customHeight="1">
      <c r="A6" s="196" t="s">
        <v>90</v>
      </c>
      <c r="B6" s="196"/>
      <c r="C6" s="196"/>
      <c r="D6" s="196"/>
      <c r="E6" s="199" t="s">
        <v>148</v>
      </c>
      <c r="F6" s="199"/>
      <c r="G6" s="199"/>
      <c r="H6" s="199"/>
      <c r="I6" s="199"/>
      <c r="J6" s="200" t="s">
        <v>176</v>
      </c>
      <c r="K6" s="201"/>
      <c r="L6" s="201"/>
      <c r="M6" s="201"/>
      <c r="N6" s="202"/>
      <c r="O6" s="372"/>
    </row>
    <row r="7" spans="1:20" s="2" customFormat="1" ht="19.2" customHeight="1">
      <c r="A7" s="197" t="s">
        <v>152</v>
      </c>
      <c r="B7" s="197"/>
      <c r="C7" s="197"/>
      <c r="D7" s="197"/>
      <c r="E7" s="199"/>
      <c r="F7" s="199"/>
      <c r="G7" s="199"/>
      <c r="H7" s="199"/>
      <c r="I7" s="199"/>
      <c r="J7" s="203"/>
      <c r="K7" s="204"/>
      <c r="L7" s="204"/>
      <c r="M7" s="204"/>
      <c r="N7" s="205"/>
      <c r="O7" s="372"/>
    </row>
    <row r="8" spans="1:20" s="2" customFormat="1" ht="19.2" customHeight="1">
      <c r="A8" s="232" t="s">
        <v>153</v>
      </c>
      <c r="B8" s="233"/>
      <c r="C8" s="233"/>
      <c r="D8" s="234"/>
      <c r="E8" s="199"/>
      <c r="F8" s="199"/>
      <c r="G8" s="199"/>
      <c r="H8" s="199"/>
      <c r="I8" s="199"/>
      <c r="J8" s="203"/>
      <c r="K8" s="204"/>
      <c r="L8" s="204"/>
      <c r="M8" s="204"/>
      <c r="N8" s="205"/>
      <c r="O8" s="372"/>
    </row>
    <row r="9" spans="1:20" s="2" customFormat="1" ht="19.2" customHeight="1">
      <c r="A9" s="198" t="s">
        <v>179</v>
      </c>
      <c r="B9" s="198"/>
      <c r="C9" s="198"/>
      <c r="D9" s="198"/>
      <c r="E9" s="199"/>
      <c r="F9" s="199"/>
      <c r="G9" s="199"/>
      <c r="H9" s="199"/>
      <c r="I9" s="199"/>
      <c r="J9" s="206"/>
      <c r="K9" s="207"/>
      <c r="L9" s="207"/>
      <c r="M9" s="207"/>
      <c r="N9" s="208"/>
      <c r="O9" s="372"/>
    </row>
    <row r="10" spans="1:20" s="2" customFormat="1" ht="19.2" customHeight="1">
      <c r="A10" s="229" t="s">
        <v>122</v>
      </c>
      <c r="B10" s="230"/>
      <c r="C10" s="231"/>
      <c r="D10" s="125">
        <v>216</v>
      </c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372"/>
    </row>
    <row r="11" spans="1:20" ht="19.2" customHeight="1">
      <c r="A11" s="209" t="s">
        <v>0</v>
      </c>
      <c r="B11" s="212" t="s">
        <v>19</v>
      </c>
      <c r="C11" s="215" t="s">
        <v>8</v>
      </c>
      <c r="D11" s="215" t="s">
        <v>9</v>
      </c>
      <c r="E11" s="218" t="s">
        <v>11</v>
      </c>
      <c r="F11" s="219"/>
      <c r="G11" s="218" t="s">
        <v>43</v>
      </c>
      <c r="H11" s="219"/>
      <c r="I11" s="222" t="s">
        <v>16</v>
      </c>
      <c r="J11" s="222" t="s">
        <v>41</v>
      </c>
      <c r="K11" s="222" t="s">
        <v>42</v>
      </c>
      <c r="L11" s="222" t="s">
        <v>17</v>
      </c>
      <c r="M11" s="222" t="s">
        <v>40</v>
      </c>
      <c r="N11" s="209" t="s">
        <v>18</v>
      </c>
      <c r="O11" s="373"/>
    </row>
    <row r="12" spans="1:20" ht="19.2" customHeight="1">
      <c r="A12" s="210"/>
      <c r="B12" s="213"/>
      <c r="C12" s="216"/>
      <c r="D12" s="216"/>
      <c r="E12" s="220"/>
      <c r="F12" s="221"/>
      <c r="G12" s="220"/>
      <c r="H12" s="221"/>
      <c r="I12" s="223"/>
      <c r="J12" s="223"/>
      <c r="K12" s="223"/>
      <c r="L12" s="223"/>
      <c r="M12" s="223"/>
      <c r="N12" s="210"/>
      <c r="O12" s="176"/>
    </row>
    <row r="13" spans="1:20" ht="19.2" customHeight="1">
      <c r="A13" s="210"/>
      <c r="B13" s="213"/>
      <c r="C13" s="216"/>
      <c r="D13" s="216"/>
      <c r="E13" s="222" t="s">
        <v>10</v>
      </c>
      <c r="F13" s="222" t="s">
        <v>12</v>
      </c>
      <c r="G13" s="222" t="s">
        <v>14</v>
      </c>
      <c r="H13" s="222" t="s">
        <v>15</v>
      </c>
      <c r="I13" s="223"/>
      <c r="J13" s="223"/>
      <c r="K13" s="223"/>
      <c r="L13" s="223"/>
      <c r="M13" s="223"/>
      <c r="N13" s="210"/>
      <c r="O13" s="176"/>
    </row>
    <row r="14" spans="1:20" ht="19.2" customHeight="1">
      <c r="A14" s="211"/>
      <c r="B14" s="214"/>
      <c r="C14" s="217"/>
      <c r="D14" s="217"/>
      <c r="E14" s="224"/>
      <c r="F14" s="224"/>
      <c r="G14" s="224"/>
      <c r="H14" s="224"/>
      <c r="I14" s="224"/>
      <c r="J14" s="224"/>
      <c r="K14" s="224"/>
      <c r="L14" s="224"/>
      <c r="M14" s="224"/>
      <c r="N14" s="211"/>
      <c r="O14" s="176"/>
    </row>
    <row r="15" spans="1:20" ht="19.8" customHeight="1">
      <c r="A15" s="238" t="s">
        <v>34</v>
      </c>
      <c r="B15" s="239"/>
      <c r="C15" s="239"/>
      <c r="D15" s="239"/>
      <c r="E15" s="239"/>
      <c r="F15" s="239"/>
      <c r="G15" s="239"/>
      <c r="H15" s="239"/>
      <c r="I15" s="239"/>
      <c r="J15" s="239"/>
      <c r="K15" s="239"/>
      <c r="L15" s="239"/>
      <c r="M15" s="239"/>
      <c r="N15" s="240"/>
      <c r="O15" s="176"/>
    </row>
    <row r="16" spans="1:20" s="2" customFormat="1" ht="19.8" customHeight="1">
      <c r="A16" s="15">
        <v>1</v>
      </c>
      <c r="B16" s="16" t="s">
        <v>2</v>
      </c>
      <c r="C16" s="51">
        <v>12</v>
      </c>
      <c r="D16" s="52">
        <f>C16/100*60</f>
        <v>7.1999999999999993</v>
      </c>
      <c r="E16" s="53">
        <f>C16/100*15</f>
        <v>1.7999999999999998</v>
      </c>
      <c r="F16" s="53"/>
      <c r="G16" s="53"/>
      <c r="H16" s="53"/>
      <c r="I16" s="53"/>
      <c r="J16" s="53">
        <f>C16/100*387</f>
        <v>46.44</v>
      </c>
      <c r="K16" s="53">
        <f>C16/100*0.09</f>
        <v>1.0799999999999999E-2</v>
      </c>
      <c r="L16" s="407">
        <v>280</v>
      </c>
      <c r="M16" s="77">
        <v>20</v>
      </c>
      <c r="N16" s="28">
        <f t="shared" ref="N16:N27" si="0">L16*M16</f>
        <v>5600</v>
      </c>
      <c r="O16" s="377"/>
    </row>
    <row r="17" spans="1:20" s="2" customFormat="1" ht="19.8" customHeight="1">
      <c r="A17" s="9">
        <v>2</v>
      </c>
      <c r="B17" s="10" t="s">
        <v>141</v>
      </c>
      <c r="C17" s="23">
        <f>L17/100*100</f>
        <v>1110</v>
      </c>
      <c r="D17" s="24">
        <f>C17/100*899</f>
        <v>9978.9</v>
      </c>
      <c r="E17" s="25"/>
      <c r="F17" s="25"/>
      <c r="G17" s="119">
        <f>C17/100*100</f>
        <v>1110</v>
      </c>
      <c r="H17" s="25"/>
      <c r="I17" s="25"/>
      <c r="J17" s="25"/>
      <c r="K17" s="25"/>
      <c r="L17" s="137">
        <v>1110</v>
      </c>
      <c r="M17" s="24">
        <v>68</v>
      </c>
      <c r="N17" s="28">
        <f t="shared" si="0"/>
        <v>75480</v>
      </c>
      <c r="O17" s="377"/>
    </row>
    <row r="18" spans="1:20" s="2" customFormat="1" ht="19.8" customHeight="1">
      <c r="A18" s="9">
        <v>3</v>
      </c>
      <c r="B18" s="5" t="s">
        <v>1</v>
      </c>
      <c r="C18" s="23">
        <f>L18/100*100</f>
        <v>20520</v>
      </c>
      <c r="D18" s="24">
        <f>C18/100*318.3</f>
        <v>65315.159999999996</v>
      </c>
      <c r="E18" s="25"/>
      <c r="F18" s="119">
        <f>C18/100*7.9</f>
        <v>1621.08</v>
      </c>
      <c r="G18" s="25"/>
      <c r="H18" s="25">
        <f>C18/100*1</f>
        <v>205.2</v>
      </c>
      <c r="I18" s="119">
        <f>C18/100*75.9</f>
        <v>15574.68</v>
      </c>
      <c r="J18" s="25">
        <f>C18/100*30</f>
        <v>6156</v>
      </c>
      <c r="K18" s="25">
        <f>C18/100*0.1</f>
        <v>20.52</v>
      </c>
      <c r="L18" s="137">
        <v>20520</v>
      </c>
      <c r="M18" s="75">
        <v>18</v>
      </c>
      <c r="N18" s="28">
        <f t="shared" si="0"/>
        <v>369360</v>
      </c>
      <c r="O18" s="153"/>
      <c r="P18" s="18"/>
    </row>
    <row r="19" spans="1:20" s="2" customFormat="1" ht="19.8" customHeight="1">
      <c r="A19" s="9">
        <v>4</v>
      </c>
      <c r="B19" s="10" t="s">
        <v>186</v>
      </c>
      <c r="C19" s="23">
        <f>L19/100*100</f>
        <v>180</v>
      </c>
      <c r="D19" s="24">
        <f>C19/100*390</f>
        <v>702</v>
      </c>
      <c r="E19" s="25"/>
      <c r="F19" s="25"/>
      <c r="G19" s="25"/>
      <c r="H19" s="25"/>
      <c r="I19" s="25">
        <f>C19/100*97.4</f>
        <v>175.32000000000002</v>
      </c>
      <c r="J19" s="27">
        <f>C19/100*178</f>
        <v>320.40000000000003</v>
      </c>
      <c r="K19" s="27">
        <f>C19/100*0.05</f>
        <v>9.0000000000000011E-2</v>
      </c>
      <c r="L19" s="137">
        <v>180</v>
      </c>
      <c r="M19" s="75">
        <v>25</v>
      </c>
      <c r="N19" s="28">
        <f t="shared" si="0"/>
        <v>4500</v>
      </c>
      <c r="O19" s="375"/>
    </row>
    <row r="20" spans="1:20" s="2" customFormat="1" ht="19.8" customHeight="1">
      <c r="A20" s="9">
        <v>5</v>
      </c>
      <c r="B20" s="10" t="s">
        <v>155</v>
      </c>
      <c r="C20" s="23">
        <f>L20/100*60</f>
        <v>8682</v>
      </c>
      <c r="D20" s="24">
        <f>C20/100*97</f>
        <v>8421.5399999999991</v>
      </c>
      <c r="E20" s="119">
        <f>C20/100*19.2</f>
        <v>1666.9439999999997</v>
      </c>
      <c r="F20" s="25"/>
      <c r="G20" s="25">
        <f>C20/100*2.7</f>
        <v>234.41399999999999</v>
      </c>
      <c r="H20" s="25"/>
      <c r="I20" s="25"/>
      <c r="J20" s="81">
        <f>C20/100*90</f>
        <v>7813.7999999999993</v>
      </c>
      <c r="K20" s="27">
        <f>C20/100*0.04</f>
        <v>3.4727999999999999</v>
      </c>
      <c r="L20" s="137">
        <v>14470</v>
      </c>
      <c r="M20" s="75">
        <v>95</v>
      </c>
      <c r="N20" s="124">
        <f t="shared" si="0"/>
        <v>1374650</v>
      </c>
      <c r="O20" s="153"/>
    </row>
    <row r="21" spans="1:20" s="2" customFormat="1" ht="19.8" customHeight="1">
      <c r="A21" s="9">
        <v>6</v>
      </c>
      <c r="B21" s="5" t="s">
        <v>69</v>
      </c>
      <c r="C21" s="23">
        <f>L21/100*48</f>
        <v>1857.6000000000001</v>
      </c>
      <c r="D21" s="24">
        <f>C21/100*199</f>
        <v>3696.6240000000003</v>
      </c>
      <c r="E21" s="25">
        <f>C21/100*20.3</f>
        <v>377.09280000000001</v>
      </c>
      <c r="F21" s="25"/>
      <c r="G21" s="25">
        <f>C21/100*13.1</f>
        <v>243.34559999999999</v>
      </c>
      <c r="H21" s="25"/>
      <c r="I21" s="25"/>
      <c r="J21" s="27">
        <f>C21/100*12</f>
        <v>222.91200000000001</v>
      </c>
      <c r="K21" s="27">
        <f>C21/100*0.15</f>
        <v>2.7864</v>
      </c>
      <c r="L21" s="137">
        <v>3870</v>
      </c>
      <c r="M21" s="26">
        <v>84</v>
      </c>
      <c r="N21" s="28">
        <f t="shared" si="0"/>
        <v>325080</v>
      </c>
      <c r="O21" s="153"/>
      <c r="Q21" s="3"/>
      <c r="R21" s="3"/>
      <c r="S21" s="4"/>
    </row>
    <row r="22" spans="1:20" s="2" customFormat="1" ht="19.8" customHeight="1">
      <c r="A22" s="9">
        <v>7</v>
      </c>
      <c r="B22" s="5" t="s">
        <v>3</v>
      </c>
      <c r="C22" s="23">
        <f>L22/100*98</f>
        <v>2116.8000000000002</v>
      </c>
      <c r="D22" s="24">
        <f>C22/100*118</f>
        <v>2497.8240000000005</v>
      </c>
      <c r="E22" s="25">
        <f>C22/100*21</f>
        <v>444.52800000000008</v>
      </c>
      <c r="F22" s="25"/>
      <c r="G22" s="25">
        <f>C22/100*3.8</f>
        <v>80.438400000000001</v>
      </c>
      <c r="H22" s="25"/>
      <c r="I22" s="25"/>
      <c r="J22" s="27">
        <f>C22/100*12</f>
        <v>254.01600000000002</v>
      </c>
      <c r="K22" s="27">
        <f>C22/100*0.1</f>
        <v>2.1168000000000005</v>
      </c>
      <c r="L22" s="137">
        <v>2160</v>
      </c>
      <c r="M22" s="26">
        <v>260</v>
      </c>
      <c r="N22" s="124">
        <f t="shared" si="0"/>
        <v>561600</v>
      </c>
      <c r="O22" s="153"/>
      <c r="Q22" s="3"/>
      <c r="R22" s="3"/>
      <c r="S22" s="4"/>
    </row>
    <row r="23" spans="1:20" s="2" customFormat="1" ht="19.8" customHeight="1">
      <c r="A23" s="9">
        <v>8</v>
      </c>
      <c r="B23" s="5" t="s">
        <v>177</v>
      </c>
      <c r="C23" s="23">
        <f>L23/100*78</f>
        <v>6739.2000000000007</v>
      </c>
      <c r="D23" s="24">
        <f>C23/100*37</f>
        <v>2493.5040000000004</v>
      </c>
      <c r="E23" s="29"/>
      <c r="F23" s="29">
        <f>C23/100*2.8</f>
        <v>188.69760000000002</v>
      </c>
      <c r="G23" s="29"/>
      <c r="H23" s="29">
        <f>C23/100*0.1</f>
        <v>6.7392000000000012</v>
      </c>
      <c r="I23" s="29">
        <f>C23/100*6.2</f>
        <v>417.83040000000005</v>
      </c>
      <c r="J23" s="29">
        <f>C23/100*46</f>
        <v>3100.0320000000006</v>
      </c>
      <c r="K23" s="29">
        <f>C23/100*0.06</f>
        <v>4.0435200000000009</v>
      </c>
      <c r="L23" s="374">
        <v>8640</v>
      </c>
      <c r="M23" s="26">
        <v>20</v>
      </c>
      <c r="N23" s="28">
        <f t="shared" si="0"/>
        <v>172800</v>
      </c>
      <c r="O23" s="153"/>
      <c r="Q23" s="3"/>
      <c r="R23" s="3"/>
      <c r="S23" s="4"/>
    </row>
    <row r="24" spans="1:20" s="2" customFormat="1" ht="19.8" customHeight="1">
      <c r="A24" s="9">
        <v>9</v>
      </c>
      <c r="B24" s="5" t="s">
        <v>154</v>
      </c>
      <c r="C24" s="23">
        <f>L24/100*81</f>
        <v>4374</v>
      </c>
      <c r="D24" s="24">
        <f>C24/100*17</f>
        <v>743.58</v>
      </c>
      <c r="E24" s="29"/>
      <c r="F24" s="29">
        <f>C24/100*0.9</f>
        <v>39.366</v>
      </c>
      <c r="G24" s="29"/>
      <c r="H24" s="29">
        <f>C24/100*0.2</f>
        <v>8.7480000000000011</v>
      </c>
      <c r="I24" s="29">
        <f>C24/100*2.8</f>
        <v>122.47199999999999</v>
      </c>
      <c r="J24" s="25">
        <f>C24/100*28</f>
        <v>1224.72</v>
      </c>
      <c r="K24" s="27">
        <f>C24/100*0.04</f>
        <v>1.7496</v>
      </c>
      <c r="L24" s="374">
        <v>5400</v>
      </c>
      <c r="M24" s="75">
        <v>20</v>
      </c>
      <c r="N24" s="28">
        <f t="shared" si="0"/>
        <v>108000</v>
      </c>
      <c r="O24" s="153"/>
      <c r="P24" s="3"/>
    </row>
    <row r="25" spans="1:20" s="2" customFormat="1" ht="19.8" customHeight="1">
      <c r="A25" s="9">
        <v>10</v>
      </c>
      <c r="B25" s="5" t="s">
        <v>20</v>
      </c>
      <c r="C25" s="23">
        <f>L25/100*95</f>
        <v>3059.0000000000005</v>
      </c>
      <c r="D25" s="24">
        <f>C25/100*20</f>
        <v>611.80000000000007</v>
      </c>
      <c r="E25" s="25"/>
      <c r="F25" s="25">
        <f>C25/100*0.6</f>
        <v>18.354000000000003</v>
      </c>
      <c r="G25" s="25"/>
      <c r="H25" s="25">
        <f>C25/100*0.2</f>
        <v>6.1180000000000012</v>
      </c>
      <c r="I25" s="25">
        <f>C25/100*4</f>
        <v>122.36000000000001</v>
      </c>
      <c r="J25" s="27">
        <f>C25/100*12</f>
        <v>367.08000000000004</v>
      </c>
      <c r="K25" s="24">
        <f>C25/100*0.04</f>
        <v>1.2236000000000002</v>
      </c>
      <c r="L25" s="137">
        <v>3220</v>
      </c>
      <c r="M25" s="77">
        <v>22</v>
      </c>
      <c r="N25" s="28">
        <f t="shared" si="0"/>
        <v>70840</v>
      </c>
      <c r="O25" s="375"/>
      <c r="Q25" s="3"/>
      <c r="R25" s="3"/>
      <c r="S25" s="4"/>
    </row>
    <row r="26" spans="1:20" s="2" customFormat="1" ht="19.8" customHeight="1">
      <c r="A26" s="9">
        <v>11</v>
      </c>
      <c r="B26" s="5" t="s">
        <v>72</v>
      </c>
      <c r="C26" s="23">
        <f>L26/100*75</f>
        <v>322.5</v>
      </c>
      <c r="D26" s="24">
        <f>C26/100*17</f>
        <v>54.825000000000003</v>
      </c>
      <c r="E26" s="29"/>
      <c r="F26" s="29">
        <f>C26/100*1.9</f>
        <v>6.1274999999999995</v>
      </c>
      <c r="G26" s="29"/>
      <c r="H26" s="29"/>
      <c r="I26" s="29">
        <f>C26/100*2.2</f>
        <v>7.0950000000000006</v>
      </c>
      <c r="J26" s="27">
        <f>C26/100*150</f>
        <v>483.75</v>
      </c>
      <c r="K26" s="24">
        <f>C26/100*0.04</f>
        <v>0.129</v>
      </c>
      <c r="L26" s="374">
        <v>430</v>
      </c>
      <c r="M26" s="77">
        <v>30</v>
      </c>
      <c r="N26" s="28">
        <f t="shared" si="0"/>
        <v>12900</v>
      </c>
      <c r="O26" s="375"/>
      <c r="Q26" s="3"/>
      <c r="R26" s="3"/>
      <c r="S26" s="4"/>
    </row>
    <row r="27" spans="1:20" s="2" customFormat="1" ht="19.8" customHeight="1">
      <c r="A27" s="9">
        <v>12</v>
      </c>
      <c r="B27" s="5" t="s">
        <v>136</v>
      </c>
      <c r="C27" s="23">
        <f>L27/100*100</f>
        <v>180</v>
      </c>
      <c r="D27" s="24">
        <f>C27/100*247</f>
        <v>444.6</v>
      </c>
      <c r="E27" s="29"/>
      <c r="F27" s="29">
        <f>C27/100*17.5</f>
        <v>31.5</v>
      </c>
      <c r="G27" s="29"/>
      <c r="H27" s="29">
        <f>C27/100*1.6</f>
        <v>2.8800000000000003</v>
      </c>
      <c r="I27" s="29">
        <f>C27/100*39.2</f>
        <v>70.56</v>
      </c>
      <c r="J27" s="71"/>
      <c r="K27" s="71"/>
      <c r="L27" s="374">
        <v>180</v>
      </c>
      <c r="M27" s="75">
        <v>50</v>
      </c>
      <c r="N27" s="28">
        <f t="shared" si="0"/>
        <v>9000</v>
      </c>
      <c r="O27" s="153"/>
      <c r="Q27" s="3"/>
      <c r="R27" s="3"/>
      <c r="S27" s="4"/>
      <c r="T27" s="3"/>
    </row>
    <row r="28" spans="1:20" s="2" customFormat="1" ht="19.8" customHeight="1">
      <c r="A28" s="13">
        <v>13</v>
      </c>
      <c r="B28" s="6" t="s">
        <v>123</v>
      </c>
      <c r="C28" s="31"/>
      <c r="D28" s="32"/>
      <c r="E28" s="29"/>
      <c r="F28" s="29"/>
      <c r="G28" s="29"/>
      <c r="H28" s="29"/>
      <c r="I28" s="29"/>
      <c r="J28" s="25"/>
      <c r="K28" s="25"/>
      <c r="L28" s="30"/>
      <c r="M28" s="27"/>
      <c r="N28" s="33">
        <v>15750</v>
      </c>
      <c r="O28" s="153"/>
    </row>
    <row r="29" spans="1:20" s="2" customFormat="1" ht="19.8" customHeight="1">
      <c r="A29" s="21" t="s">
        <v>105</v>
      </c>
      <c r="B29" s="22"/>
      <c r="C29" s="34"/>
      <c r="D29" s="35">
        <f>SUM(D16:D28)</f>
        <v>94967.557000000001</v>
      </c>
      <c r="E29" s="36"/>
      <c r="F29" s="36"/>
      <c r="G29" s="36"/>
      <c r="H29" s="36"/>
      <c r="I29" s="36"/>
      <c r="J29" s="36"/>
      <c r="K29" s="36"/>
      <c r="L29" s="37"/>
      <c r="M29" s="37"/>
      <c r="N29" s="241">
        <f>SUM(N16:N28)</f>
        <v>3105560</v>
      </c>
      <c r="O29" s="153"/>
    </row>
    <row r="30" spans="1:20" s="2" customFormat="1" ht="19.8" customHeight="1">
      <c r="A30" s="21" t="s">
        <v>6</v>
      </c>
      <c r="B30" s="22"/>
      <c r="C30" s="34"/>
      <c r="D30" s="35">
        <f>D29/D10</f>
        <v>439.66461574074077</v>
      </c>
      <c r="E30" s="36"/>
      <c r="F30" s="36"/>
      <c r="G30" s="36"/>
      <c r="H30" s="36"/>
      <c r="I30" s="36"/>
      <c r="J30" s="36"/>
      <c r="K30" s="36"/>
      <c r="L30" s="37"/>
      <c r="M30" s="37"/>
      <c r="N30" s="242"/>
      <c r="O30" s="153"/>
    </row>
    <row r="31" spans="1:20" s="2" customFormat="1" ht="19.8" customHeight="1">
      <c r="A31" s="225" t="s">
        <v>48</v>
      </c>
      <c r="B31" s="226"/>
      <c r="C31" s="411" t="s">
        <v>151</v>
      </c>
      <c r="D31" s="20" t="s">
        <v>45</v>
      </c>
      <c r="E31" s="36"/>
      <c r="F31" s="36"/>
      <c r="G31" s="36"/>
      <c r="H31" s="36"/>
      <c r="I31" s="36"/>
      <c r="J31" s="36"/>
      <c r="K31" s="36"/>
      <c r="L31" s="37"/>
      <c r="M31" s="37"/>
      <c r="N31" s="38"/>
      <c r="O31" s="153"/>
    </row>
    <row r="32" spans="1:20" s="2" customFormat="1" ht="19.8" customHeight="1">
      <c r="A32" s="227"/>
      <c r="B32" s="228"/>
      <c r="C32" s="19" t="s">
        <v>59</v>
      </c>
      <c r="D32" s="20">
        <f>D30*100/1320</f>
        <v>33.307925434904604</v>
      </c>
      <c r="E32" s="36"/>
      <c r="F32" s="36"/>
      <c r="G32" s="36"/>
      <c r="H32" s="36"/>
      <c r="I32" s="36"/>
      <c r="J32" s="36"/>
      <c r="K32" s="36"/>
      <c r="L32" s="37"/>
      <c r="M32" s="37"/>
      <c r="N32" s="38"/>
      <c r="O32" s="153"/>
    </row>
    <row r="33" spans="1:22" s="2" customFormat="1" ht="19.8" customHeight="1">
      <c r="A33" s="236" t="s">
        <v>35</v>
      </c>
      <c r="B33" s="236"/>
      <c r="C33" s="56"/>
      <c r="D33" s="57"/>
      <c r="E33" s="58"/>
      <c r="F33" s="58"/>
      <c r="G33" s="58"/>
      <c r="H33" s="58"/>
      <c r="I33" s="58"/>
      <c r="J33" s="58"/>
      <c r="K33" s="58"/>
      <c r="L33" s="59"/>
      <c r="M33" s="59"/>
      <c r="N33" s="69"/>
      <c r="O33" s="153"/>
    </row>
    <row r="34" spans="1:22" s="2" customFormat="1" ht="19.8" customHeight="1">
      <c r="A34" s="9">
        <v>1</v>
      </c>
      <c r="B34" s="5" t="s">
        <v>140</v>
      </c>
      <c r="C34" s="23">
        <f>L34/100*100</f>
        <v>5190</v>
      </c>
      <c r="D34" s="24">
        <f>C34/100*295</f>
        <v>15310.5</v>
      </c>
      <c r="E34" s="25"/>
      <c r="F34" s="25">
        <f>C34/100*6</f>
        <v>311.39999999999998</v>
      </c>
      <c r="G34" s="25"/>
      <c r="H34" s="25">
        <f>C34/100*0.8</f>
        <v>41.52</v>
      </c>
      <c r="I34" s="119">
        <f>C34/100*28.8</f>
        <v>1494.72</v>
      </c>
      <c r="J34" s="27"/>
      <c r="K34" s="27"/>
      <c r="L34" s="137">
        <v>5190</v>
      </c>
      <c r="M34" s="77">
        <v>32</v>
      </c>
      <c r="N34" s="28">
        <f>L34*M34</f>
        <v>166080</v>
      </c>
      <c r="O34" s="153"/>
    </row>
    <row r="35" spans="1:22" s="2" customFormat="1" ht="19.8" customHeight="1">
      <c r="A35" s="9">
        <v>2</v>
      </c>
      <c r="B35" s="148" t="s">
        <v>141</v>
      </c>
      <c r="C35" s="23">
        <f>L35/100*100</f>
        <v>1019.9999999999999</v>
      </c>
      <c r="D35" s="24">
        <f>C35/100*899</f>
        <v>9169.7999999999993</v>
      </c>
      <c r="E35" s="25"/>
      <c r="F35" s="25"/>
      <c r="G35" s="119">
        <f>C35/100*100</f>
        <v>1019.9999999999999</v>
      </c>
      <c r="H35" s="25"/>
      <c r="I35" s="119"/>
      <c r="J35" s="27"/>
      <c r="K35" s="27"/>
      <c r="L35" s="137">
        <v>1020</v>
      </c>
      <c r="M35" s="75">
        <v>68</v>
      </c>
      <c r="N35" s="28">
        <f t="shared" ref="N35:N36" si="1">L35*M35</f>
        <v>69360</v>
      </c>
      <c r="O35" s="153"/>
    </row>
    <row r="36" spans="1:22" s="2" customFormat="1" ht="19.8" customHeight="1">
      <c r="A36" s="9">
        <v>3</v>
      </c>
      <c r="B36" s="148" t="s">
        <v>146</v>
      </c>
      <c r="C36" s="23">
        <f>L36/100*100</f>
        <v>110.00000000000001</v>
      </c>
      <c r="D36" s="120">
        <f>C36/100*900</f>
        <v>990.00000000000011</v>
      </c>
      <c r="E36" s="25"/>
      <c r="F36" s="25"/>
      <c r="G36" s="119"/>
      <c r="H36" s="25">
        <f>C36/100*100</f>
        <v>110.00000000000001</v>
      </c>
      <c r="I36" s="119"/>
      <c r="J36" s="25"/>
      <c r="K36" s="25"/>
      <c r="L36" s="137">
        <v>110</v>
      </c>
      <c r="M36" s="75">
        <v>63.5</v>
      </c>
      <c r="N36" s="28">
        <f t="shared" si="1"/>
        <v>6985</v>
      </c>
      <c r="O36" s="377"/>
    </row>
    <row r="37" spans="1:22" s="2" customFormat="1" ht="19.8" customHeight="1">
      <c r="A37" s="9">
        <v>3</v>
      </c>
      <c r="B37" s="148" t="s">
        <v>2</v>
      </c>
      <c r="C37" s="23">
        <f>L37/100*100</f>
        <v>260</v>
      </c>
      <c r="D37" s="24">
        <f>C37/100*60</f>
        <v>156</v>
      </c>
      <c r="E37" s="25">
        <f>C37/100*15</f>
        <v>39</v>
      </c>
      <c r="F37" s="25"/>
      <c r="G37" s="25"/>
      <c r="H37" s="25"/>
      <c r="I37" s="25"/>
      <c r="J37" s="25">
        <f>C37/100*387</f>
        <v>1006.2</v>
      </c>
      <c r="K37" s="25">
        <f>C37/100*0.09</f>
        <v>0.23399999999999999</v>
      </c>
      <c r="L37" s="137">
        <v>260</v>
      </c>
      <c r="M37" s="75">
        <v>20</v>
      </c>
      <c r="N37" s="28">
        <f>L37*M37</f>
        <v>5200</v>
      </c>
      <c r="O37" s="153"/>
    </row>
    <row r="38" spans="1:22" s="2" customFormat="1" ht="19.8" customHeight="1">
      <c r="A38" s="9">
        <v>4</v>
      </c>
      <c r="B38" s="149" t="s">
        <v>136</v>
      </c>
      <c r="C38" s="23">
        <f>L38/100*100</f>
        <v>130</v>
      </c>
      <c r="D38" s="24">
        <f>C38/100*247</f>
        <v>321.10000000000002</v>
      </c>
      <c r="E38" s="29"/>
      <c r="F38" s="29">
        <f>C38/100*17.5</f>
        <v>22.75</v>
      </c>
      <c r="G38" s="29"/>
      <c r="H38" s="29">
        <f>C38/100*1.6</f>
        <v>2.08</v>
      </c>
      <c r="I38" s="29">
        <f>C38/100*39.2</f>
        <v>50.960000000000008</v>
      </c>
      <c r="J38" s="71"/>
      <c r="K38" s="71"/>
      <c r="L38" s="374">
        <v>130</v>
      </c>
      <c r="M38" s="75">
        <v>50</v>
      </c>
      <c r="N38" s="28">
        <f t="shared" ref="N38:N39" si="2">L38*M38</f>
        <v>6500</v>
      </c>
      <c r="O38" s="153"/>
      <c r="Q38" s="3"/>
      <c r="R38" s="3"/>
      <c r="S38" s="4"/>
      <c r="T38" s="3"/>
    </row>
    <row r="39" spans="1:22" s="2" customFormat="1" ht="19.8" customHeight="1">
      <c r="A39" s="9">
        <v>5</v>
      </c>
      <c r="B39" s="5" t="s">
        <v>178</v>
      </c>
      <c r="C39" s="23">
        <f>L39/100*90</f>
        <v>3888.0000000000005</v>
      </c>
      <c r="D39" s="24">
        <f>C39/100*29</f>
        <v>1127.52</v>
      </c>
      <c r="E39" s="25"/>
      <c r="F39" s="25">
        <f>C39/100*1.8</f>
        <v>69.984000000000009</v>
      </c>
      <c r="G39" s="25"/>
      <c r="H39" s="25">
        <f>C39/100*0.1</f>
        <v>3.8880000000000003</v>
      </c>
      <c r="I39" s="25">
        <f>C39/100*5.3</f>
        <v>206.06399999999999</v>
      </c>
      <c r="J39" s="25">
        <f>C39/100*48</f>
        <v>1866.2400000000002</v>
      </c>
      <c r="K39" s="25">
        <f>C39/100*0.05</f>
        <v>1.9440000000000002</v>
      </c>
      <c r="L39" s="137">
        <v>4320</v>
      </c>
      <c r="M39" s="75">
        <v>13</v>
      </c>
      <c r="N39" s="28">
        <f t="shared" si="2"/>
        <v>56160</v>
      </c>
      <c r="O39" s="153"/>
    </row>
    <row r="40" spans="1:22" s="2" customFormat="1" ht="19.8" customHeight="1">
      <c r="A40" s="9">
        <v>6</v>
      </c>
      <c r="B40" s="148" t="s">
        <v>74</v>
      </c>
      <c r="C40" s="23">
        <f>L40/100*98</f>
        <v>2626.4</v>
      </c>
      <c r="D40" s="24">
        <f>C40/100*139</f>
        <v>3650.6959999999999</v>
      </c>
      <c r="E40" s="25">
        <f>C40/100*19</f>
        <v>499.01599999999996</v>
      </c>
      <c r="F40" s="25"/>
      <c r="G40" s="25">
        <f>C40/100*7</f>
        <v>183.84799999999998</v>
      </c>
      <c r="H40" s="25"/>
      <c r="I40" s="25"/>
      <c r="J40" s="25">
        <f>C40/100*7</f>
        <v>183.84799999999998</v>
      </c>
      <c r="K40" s="25">
        <f>C40/100*0.9</f>
        <v>23.637599999999999</v>
      </c>
      <c r="L40" s="137">
        <v>2680</v>
      </c>
      <c r="M40" s="75">
        <v>137</v>
      </c>
      <c r="N40" s="28">
        <f t="shared" ref="N40:N41" si="3">L40*M40</f>
        <v>367160</v>
      </c>
      <c r="O40" s="153"/>
      <c r="P40" s="141"/>
    </row>
    <row r="41" spans="1:22" s="2" customFormat="1" ht="19.8" customHeight="1">
      <c r="A41" s="9">
        <v>7</v>
      </c>
      <c r="B41" s="152" t="s">
        <v>149</v>
      </c>
      <c r="C41" s="23">
        <f>L41/100*100</f>
        <v>3670.0000000000005</v>
      </c>
      <c r="D41" s="24">
        <f>C41/100*487</f>
        <v>17872.900000000001</v>
      </c>
      <c r="E41" s="29"/>
      <c r="F41" s="29">
        <f>C41/100*19.5</f>
        <v>715.65000000000009</v>
      </c>
      <c r="G41" s="29"/>
      <c r="H41" s="29">
        <f>C41/100*23.2</f>
        <v>851.44</v>
      </c>
      <c r="I41" s="166">
        <f>C41/100*46</f>
        <v>1688.2</v>
      </c>
      <c r="J41" s="119">
        <f>C41/100*680</f>
        <v>24956.000000000004</v>
      </c>
      <c r="K41" s="25">
        <f>C41/100*0.55</f>
        <v>20.185000000000002</v>
      </c>
      <c r="L41" s="30">
        <v>3670</v>
      </c>
      <c r="M41" s="143">
        <v>260</v>
      </c>
      <c r="N41" s="28">
        <f t="shared" si="3"/>
        <v>954200</v>
      </c>
      <c r="O41" s="153"/>
      <c r="P41" s="3"/>
    </row>
    <row r="42" spans="1:22" s="2" customFormat="1" ht="19.8" customHeight="1">
      <c r="A42" s="103">
        <v>8</v>
      </c>
      <c r="B42" s="112" t="s">
        <v>123</v>
      </c>
      <c r="C42" s="104"/>
      <c r="D42" s="412"/>
      <c r="E42" s="106"/>
      <c r="F42" s="106"/>
      <c r="G42" s="106"/>
      <c r="H42" s="106"/>
      <c r="I42" s="106"/>
      <c r="J42" s="106"/>
      <c r="K42" s="106"/>
      <c r="L42" s="107"/>
      <c r="M42" s="107"/>
      <c r="N42" s="108">
        <v>14100</v>
      </c>
      <c r="O42" s="153"/>
    </row>
    <row r="43" spans="1:22" ht="21.6" customHeight="1">
      <c r="A43" s="209" t="s">
        <v>0</v>
      </c>
      <c r="B43" s="212" t="s">
        <v>19</v>
      </c>
      <c r="C43" s="215" t="s">
        <v>8</v>
      </c>
      <c r="D43" s="215" t="s">
        <v>9</v>
      </c>
      <c r="E43" s="218" t="s">
        <v>11</v>
      </c>
      <c r="F43" s="219"/>
      <c r="G43" s="218" t="s">
        <v>43</v>
      </c>
      <c r="H43" s="219"/>
      <c r="I43" s="222" t="s">
        <v>16</v>
      </c>
      <c r="J43" s="222" t="s">
        <v>41</v>
      </c>
      <c r="K43" s="222" t="s">
        <v>42</v>
      </c>
      <c r="L43" s="222" t="s">
        <v>17</v>
      </c>
      <c r="M43" s="222" t="s">
        <v>40</v>
      </c>
      <c r="N43" s="209" t="s">
        <v>18</v>
      </c>
      <c r="O43" s="373"/>
    </row>
    <row r="44" spans="1:22" ht="21.6" customHeight="1">
      <c r="A44" s="210"/>
      <c r="B44" s="213"/>
      <c r="C44" s="216"/>
      <c r="D44" s="216"/>
      <c r="E44" s="220"/>
      <c r="F44" s="221"/>
      <c r="G44" s="220"/>
      <c r="H44" s="221"/>
      <c r="I44" s="223"/>
      <c r="J44" s="223"/>
      <c r="K44" s="223"/>
      <c r="L44" s="223"/>
      <c r="M44" s="223"/>
      <c r="N44" s="210"/>
      <c r="O44" s="176"/>
    </row>
    <row r="45" spans="1:22" ht="21.6" customHeight="1">
      <c r="A45" s="210"/>
      <c r="B45" s="213"/>
      <c r="C45" s="216"/>
      <c r="D45" s="216"/>
      <c r="E45" s="222" t="s">
        <v>10</v>
      </c>
      <c r="F45" s="222" t="s">
        <v>12</v>
      </c>
      <c r="G45" s="222" t="s">
        <v>14</v>
      </c>
      <c r="H45" s="222" t="s">
        <v>15</v>
      </c>
      <c r="I45" s="223"/>
      <c r="J45" s="223"/>
      <c r="K45" s="223"/>
      <c r="L45" s="223"/>
      <c r="M45" s="223"/>
      <c r="N45" s="210"/>
      <c r="O45" s="176"/>
    </row>
    <row r="46" spans="1:22" ht="21.6" customHeight="1">
      <c r="A46" s="211"/>
      <c r="B46" s="214"/>
      <c r="C46" s="217"/>
      <c r="D46" s="217"/>
      <c r="E46" s="224"/>
      <c r="F46" s="224"/>
      <c r="G46" s="224"/>
      <c r="H46" s="224"/>
      <c r="I46" s="224"/>
      <c r="J46" s="224"/>
      <c r="K46" s="224"/>
      <c r="L46" s="224"/>
      <c r="M46" s="224"/>
      <c r="N46" s="211"/>
      <c r="O46" s="176"/>
    </row>
    <row r="47" spans="1:22" s="2" customFormat="1" ht="21.6" customHeight="1">
      <c r="A47" s="237" t="s">
        <v>106</v>
      </c>
      <c r="B47" s="237"/>
      <c r="C47" s="34"/>
      <c r="D47" s="35">
        <f>SUM(D34:D42)</f>
        <v>48598.516000000003</v>
      </c>
      <c r="E47" s="43"/>
      <c r="F47" s="43"/>
      <c r="G47" s="43"/>
      <c r="H47" s="43"/>
      <c r="I47" s="43"/>
      <c r="J47" s="43"/>
      <c r="K47" s="43"/>
      <c r="L47" s="44"/>
      <c r="M47" s="44"/>
      <c r="N47" s="241">
        <f>SUM(N34:N42)</f>
        <v>1645745</v>
      </c>
      <c r="O47" s="153"/>
    </row>
    <row r="48" spans="1:22" ht="21.6" customHeight="1">
      <c r="A48" s="237" t="s">
        <v>7</v>
      </c>
      <c r="B48" s="237"/>
      <c r="C48" s="45"/>
      <c r="D48" s="46">
        <f>D47/D10</f>
        <v>224.99312962962964</v>
      </c>
      <c r="E48" s="46"/>
      <c r="F48" s="46"/>
      <c r="G48" s="46"/>
      <c r="H48" s="46"/>
      <c r="I48" s="46"/>
      <c r="J48" s="46"/>
      <c r="K48" s="46"/>
      <c r="L48" s="47"/>
      <c r="M48" s="47"/>
      <c r="N48" s="242"/>
      <c r="O48" s="398"/>
      <c r="P48" s="2"/>
      <c r="Q48" s="2"/>
      <c r="R48" s="2"/>
      <c r="S48" s="2"/>
      <c r="T48" s="2"/>
      <c r="U48" s="2"/>
      <c r="V48" s="2"/>
    </row>
    <row r="49" spans="1:22" ht="21.6" customHeight="1">
      <c r="A49" s="225" t="s">
        <v>47</v>
      </c>
      <c r="B49" s="226"/>
      <c r="C49" s="411" t="s">
        <v>151</v>
      </c>
      <c r="D49" s="20" t="s">
        <v>58</v>
      </c>
      <c r="E49" s="46"/>
      <c r="F49" s="46"/>
      <c r="G49" s="46"/>
      <c r="H49" s="46"/>
      <c r="I49" s="46"/>
      <c r="J49" s="48"/>
      <c r="K49" s="48"/>
      <c r="L49" s="47"/>
      <c r="M49" s="47"/>
      <c r="N49" s="177"/>
      <c r="O49" s="4"/>
      <c r="P49" s="2"/>
      <c r="Q49" s="2"/>
      <c r="R49" s="2"/>
      <c r="S49" s="2"/>
      <c r="T49" s="2"/>
      <c r="U49" s="2"/>
      <c r="V49" s="2"/>
    </row>
    <row r="50" spans="1:22" ht="21.6" customHeight="1">
      <c r="A50" s="227"/>
      <c r="B50" s="228"/>
      <c r="C50" s="19" t="s">
        <v>59</v>
      </c>
      <c r="D50" s="20">
        <f>D48*100/1320</f>
        <v>17.044934062850729</v>
      </c>
      <c r="E50" s="46"/>
      <c r="F50" s="46"/>
      <c r="G50" s="46"/>
      <c r="H50" s="46"/>
      <c r="I50" s="46"/>
      <c r="J50" s="48"/>
      <c r="K50" s="48"/>
      <c r="L50" s="47"/>
      <c r="M50" s="47"/>
      <c r="N50" s="177"/>
      <c r="O50" s="4"/>
      <c r="P50" s="2"/>
      <c r="Q50" s="2"/>
      <c r="R50" s="2"/>
      <c r="S50" s="2"/>
      <c r="T50" s="2"/>
      <c r="U50" s="2"/>
      <c r="V50" s="2"/>
    </row>
    <row r="51" spans="1:22" ht="21.6" customHeight="1">
      <c r="A51" s="267" t="s">
        <v>107</v>
      </c>
      <c r="B51" s="267"/>
      <c r="C51" s="266"/>
      <c r="D51" s="182">
        <f>D29+D47</f>
        <v>143566.073</v>
      </c>
      <c r="E51" s="123">
        <f t="shared" ref="E51:K51" si="4">SUM(E16:E42)</f>
        <v>3028.3807999999999</v>
      </c>
      <c r="F51" s="123">
        <f t="shared" si="4"/>
        <v>3024.9090999999999</v>
      </c>
      <c r="G51" s="123">
        <f t="shared" si="4"/>
        <v>2872.0459999999998</v>
      </c>
      <c r="H51" s="123">
        <f t="shared" si="4"/>
        <v>1238.6132</v>
      </c>
      <c r="I51" s="263">
        <f t="shared" si="4"/>
        <v>19930.261400000003</v>
      </c>
      <c r="J51" s="254">
        <f t="shared" si="4"/>
        <v>48001.438000000009</v>
      </c>
      <c r="K51" s="254">
        <f t="shared" si="4"/>
        <v>82.14312000000001</v>
      </c>
      <c r="L51" s="254"/>
      <c r="M51" s="254"/>
      <c r="N51" s="260">
        <f>N29+N47</f>
        <v>4751305</v>
      </c>
      <c r="P51" s="413"/>
      <c r="U51" s="12"/>
      <c r="V51" s="12"/>
    </row>
    <row r="52" spans="1:22" ht="21.6" customHeight="1">
      <c r="A52" s="267"/>
      <c r="B52" s="267"/>
      <c r="C52" s="266"/>
      <c r="D52" s="183"/>
      <c r="E52" s="247">
        <f>E51+F51</f>
        <v>6053.2898999999998</v>
      </c>
      <c r="F52" s="247"/>
      <c r="G52" s="247">
        <f>G51+H51</f>
        <v>4110.6592000000001</v>
      </c>
      <c r="H52" s="247"/>
      <c r="I52" s="263"/>
      <c r="J52" s="256"/>
      <c r="K52" s="256"/>
      <c r="L52" s="255"/>
      <c r="M52" s="255"/>
      <c r="N52" s="261"/>
      <c r="U52" s="12"/>
      <c r="V52" s="12"/>
    </row>
    <row r="53" spans="1:22" ht="21.6" customHeight="1">
      <c r="A53" s="248" t="s">
        <v>77</v>
      </c>
      <c r="B53" s="249"/>
      <c r="C53" s="250"/>
      <c r="D53" s="131">
        <f>D51/D10</f>
        <v>664.65774537037044</v>
      </c>
      <c r="E53" s="378">
        <f>E51/D10</f>
        <v>14.020281481481481</v>
      </c>
      <c r="F53" s="378">
        <f>F51/D10</f>
        <v>14.004208796296295</v>
      </c>
      <c r="G53" s="378">
        <f>G51/D10</f>
        <v>13.296509259259258</v>
      </c>
      <c r="H53" s="378">
        <f>H51/D10</f>
        <v>5.7343203703703702</v>
      </c>
      <c r="I53" s="181">
        <f>I51/D10</f>
        <v>92.26972870370372</v>
      </c>
      <c r="J53" s="264">
        <f>J51/D10</f>
        <v>222.22887962962966</v>
      </c>
      <c r="K53" s="264">
        <f>K51/D10</f>
        <v>0.38029222222222225</v>
      </c>
      <c r="L53" s="255"/>
      <c r="M53" s="255"/>
      <c r="N53" s="261"/>
      <c r="P53" s="368"/>
      <c r="Q53" s="370"/>
      <c r="R53" s="370"/>
      <c r="S53" s="370"/>
      <c r="T53" s="370"/>
      <c r="U53" s="380"/>
      <c r="V53" s="380"/>
    </row>
    <row r="54" spans="1:22" ht="21.6" customHeight="1">
      <c r="A54" s="251"/>
      <c r="B54" s="252"/>
      <c r="C54" s="253"/>
      <c r="D54" s="126"/>
      <c r="E54" s="414">
        <f>E53+F53</f>
        <v>28.024490277777776</v>
      </c>
      <c r="F54" s="414"/>
      <c r="G54" s="414">
        <f>G53+H53</f>
        <v>19.030829629629629</v>
      </c>
      <c r="H54" s="414"/>
      <c r="I54" s="181"/>
      <c r="J54" s="265"/>
      <c r="K54" s="265"/>
      <c r="L54" s="255"/>
      <c r="M54" s="255"/>
      <c r="N54" s="261"/>
      <c r="P54" s="383"/>
      <c r="Q54" s="370"/>
      <c r="R54" s="370"/>
      <c r="S54" s="370"/>
      <c r="T54" s="370"/>
      <c r="U54" s="370"/>
      <c r="V54" s="370"/>
    </row>
    <row r="55" spans="1:22" ht="21.6" customHeight="1">
      <c r="A55" s="243" t="s">
        <v>80</v>
      </c>
      <c r="B55" s="275"/>
      <c r="C55" s="244"/>
      <c r="D55" s="178" t="s">
        <v>28</v>
      </c>
      <c r="E55" s="415" t="s">
        <v>21</v>
      </c>
      <c r="F55" s="415"/>
      <c r="G55" s="415" t="s">
        <v>22</v>
      </c>
      <c r="H55" s="415"/>
      <c r="I55" s="416" t="s">
        <v>23</v>
      </c>
      <c r="J55" s="416">
        <v>600</v>
      </c>
      <c r="K55" s="416">
        <v>0.7</v>
      </c>
      <c r="L55" s="255"/>
      <c r="M55" s="255"/>
      <c r="N55" s="261"/>
      <c r="O55" s="385"/>
      <c r="P55" s="368"/>
      <c r="Q55" s="369"/>
      <c r="R55" s="369"/>
      <c r="S55" s="369"/>
      <c r="T55" s="369"/>
      <c r="U55" s="368"/>
      <c r="V55" s="368"/>
    </row>
    <row r="56" spans="1:22" ht="21.6" customHeight="1">
      <c r="A56" s="243" t="s">
        <v>78</v>
      </c>
      <c r="B56" s="275"/>
      <c r="C56" s="244"/>
      <c r="D56" s="49"/>
      <c r="E56" s="276">
        <f>E54*4.1</f>
        <v>114.90041013888887</v>
      </c>
      <c r="F56" s="277"/>
      <c r="G56" s="276">
        <f>G54*9</f>
        <v>171.27746666666667</v>
      </c>
      <c r="H56" s="277"/>
      <c r="I56" s="122">
        <f>I53*4.1</f>
        <v>378.30588768518521</v>
      </c>
      <c r="J56" s="257"/>
      <c r="K56" s="257"/>
      <c r="L56" s="255"/>
      <c r="M56" s="255"/>
      <c r="N56" s="261"/>
      <c r="O56" s="385"/>
      <c r="P56" s="386"/>
      <c r="Q56" s="368"/>
      <c r="R56" s="368"/>
      <c r="S56" s="368"/>
      <c r="T56" s="368"/>
      <c r="U56" s="368"/>
      <c r="V56" s="368"/>
    </row>
    <row r="57" spans="1:22" ht="21.6" customHeight="1">
      <c r="A57" s="278" t="s">
        <v>81</v>
      </c>
      <c r="B57" s="279"/>
      <c r="C57" s="243" t="s">
        <v>59</v>
      </c>
      <c r="D57" s="244"/>
      <c r="E57" s="417">
        <f>E56*100/D53</f>
        <v>17.287154319530629</v>
      </c>
      <c r="F57" s="418"/>
      <c r="G57" s="245">
        <f>G56*100/D53</f>
        <v>25.769272660957991</v>
      </c>
      <c r="H57" s="246"/>
      <c r="I57" s="115">
        <f>I56*100/D53</f>
        <v>56.91739700925023</v>
      </c>
      <c r="J57" s="258"/>
      <c r="K57" s="258"/>
      <c r="L57" s="255"/>
      <c r="M57" s="255"/>
      <c r="N57" s="261"/>
      <c r="O57" s="385"/>
    </row>
    <row r="58" spans="1:22" ht="21.6" customHeight="1">
      <c r="A58" s="280"/>
      <c r="B58" s="281"/>
      <c r="C58" s="243" t="s">
        <v>79</v>
      </c>
      <c r="D58" s="244"/>
      <c r="E58" s="243" t="s">
        <v>82</v>
      </c>
      <c r="F58" s="244"/>
      <c r="G58" s="243" t="s">
        <v>83</v>
      </c>
      <c r="H58" s="244"/>
      <c r="I58" s="179" t="s">
        <v>84</v>
      </c>
      <c r="J58" s="259"/>
      <c r="K58" s="259"/>
      <c r="L58" s="256"/>
      <c r="M58" s="256"/>
      <c r="N58" s="262"/>
      <c r="O58" s="385"/>
      <c r="P58" s="132"/>
    </row>
    <row r="59" spans="1:22" ht="21.6" customHeight="1">
      <c r="A59" s="90"/>
      <c r="B59" s="93"/>
      <c r="C59" s="90"/>
      <c r="D59" s="90"/>
      <c r="E59" s="90"/>
      <c r="F59" s="90"/>
      <c r="G59" s="90"/>
      <c r="H59" s="90"/>
      <c r="I59" s="90"/>
      <c r="J59" s="90"/>
      <c r="K59" s="90"/>
      <c r="L59" s="91"/>
      <c r="M59" s="91"/>
      <c r="N59" s="92"/>
      <c r="O59" s="385"/>
      <c r="Q59" s="132"/>
    </row>
    <row r="60" spans="1:22" ht="21" customHeight="1">
      <c r="A60" s="184" t="s">
        <v>114</v>
      </c>
      <c r="B60" s="184"/>
      <c r="C60" s="184"/>
      <c r="D60" s="184"/>
      <c r="E60" s="184"/>
      <c r="F60" s="184"/>
      <c r="G60" s="184"/>
      <c r="H60" s="184"/>
      <c r="I60" s="184"/>
      <c r="J60" s="184"/>
      <c r="K60" s="184"/>
      <c r="L60" s="184"/>
      <c r="M60" s="184"/>
      <c r="N60" s="184"/>
      <c r="O60" s="385"/>
    </row>
    <row r="61" spans="1:22" ht="21" customHeight="1">
      <c r="A61" s="117" t="s">
        <v>115</v>
      </c>
      <c r="B61" s="185" t="s">
        <v>116</v>
      </c>
      <c r="C61" s="185"/>
      <c r="D61" s="185"/>
      <c r="E61" s="185"/>
      <c r="F61" s="185"/>
      <c r="G61" s="185"/>
      <c r="H61" s="185"/>
      <c r="I61" s="185"/>
      <c r="J61" s="185"/>
      <c r="K61" s="185"/>
      <c r="L61" s="185"/>
      <c r="M61" s="185"/>
      <c r="N61" s="185"/>
      <c r="O61" s="385"/>
    </row>
    <row r="62" spans="1:22" ht="21" customHeight="1">
      <c r="A62" s="118"/>
      <c r="B62" s="186" t="s">
        <v>196</v>
      </c>
      <c r="C62" s="186"/>
      <c r="D62" s="186"/>
      <c r="E62" s="186"/>
      <c r="F62" s="186"/>
      <c r="G62" s="186"/>
      <c r="H62" s="186"/>
      <c r="I62" s="186"/>
      <c r="J62" s="186"/>
      <c r="K62" s="186"/>
      <c r="L62" s="186"/>
      <c r="M62" s="186"/>
      <c r="N62" s="186"/>
      <c r="O62" s="385"/>
    </row>
    <row r="63" spans="1:22" ht="21" customHeight="1">
      <c r="A63" s="118"/>
      <c r="B63" s="186" t="s">
        <v>191</v>
      </c>
      <c r="C63" s="186"/>
      <c r="D63" s="186"/>
      <c r="E63" s="186"/>
      <c r="F63" s="186"/>
      <c r="G63" s="186"/>
      <c r="H63" s="186"/>
      <c r="I63" s="186"/>
      <c r="J63" s="186"/>
      <c r="K63" s="186"/>
      <c r="L63" s="186"/>
      <c r="M63" s="186"/>
      <c r="N63" s="186"/>
      <c r="O63" s="385"/>
    </row>
    <row r="64" spans="1:22" ht="21" customHeight="1">
      <c r="A64" s="118"/>
      <c r="B64" s="186" t="s">
        <v>187</v>
      </c>
      <c r="C64" s="186"/>
      <c r="D64" s="186"/>
      <c r="E64" s="186"/>
      <c r="F64" s="186"/>
      <c r="G64" s="186"/>
      <c r="H64" s="186"/>
      <c r="I64" s="186"/>
      <c r="J64" s="186"/>
      <c r="K64" s="186"/>
      <c r="L64" s="186"/>
      <c r="M64" s="186"/>
      <c r="N64" s="186"/>
      <c r="O64" s="385"/>
    </row>
    <row r="65" spans="1:15" ht="21" customHeight="1">
      <c r="A65" s="90"/>
      <c r="B65" s="187" t="s">
        <v>117</v>
      </c>
      <c r="C65" s="187"/>
      <c r="D65" s="187"/>
      <c r="E65" s="187"/>
      <c r="F65" s="187"/>
      <c r="G65" s="187"/>
      <c r="H65" s="187"/>
      <c r="I65" s="187"/>
      <c r="J65" s="187"/>
      <c r="K65" s="187"/>
      <c r="L65" s="187"/>
      <c r="M65" s="187"/>
      <c r="N65" s="187"/>
      <c r="O65" s="385"/>
    </row>
    <row r="66" spans="1:15" ht="21" customHeight="1">
      <c r="A66" s="90"/>
      <c r="B66" s="90"/>
      <c r="C66" s="90"/>
      <c r="D66" s="90"/>
      <c r="E66" s="90"/>
      <c r="F66" s="90"/>
      <c r="G66" s="90"/>
      <c r="H66" s="90"/>
      <c r="I66" s="90"/>
      <c r="J66" s="90"/>
      <c r="K66" s="90"/>
      <c r="L66" s="94"/>
      <c r="M66" s="94"/>
      <c r="N66" s="95"/>
      <c r="O66" s="385"/>
    </row>
    <row r="67" spans="1:15" ht="21" customHeight="1">
      <c r="A67" s="188" t="s">
        <v>62</v>
      </c>
      <c r="B67" s="188"/>
      <c r="C67" s="188"/>
      <c r="D67" s="188"/>
      <c r="E67" s="387"/>
      <c r="F67" s="387"/>
      <c r="G67" s="387"/>
      <c r="H67" s="387"/>
      <c r="I67" s="387"/>
      <c r="J67" s="388" t="s">
        <v>33</v>
      </c>
      <c r="K67" s="388"/>
      <c r="L67" s="388"/>
      <c r="M67" s="388"/>
      <c r="N67" s="388"/>
      <c r="O67" s="385"/>
    </row>
    <row r="68" spans="1:15" ht="21" customHeight="1">
      <c r="A68" s="176"/>
      <c r="B68" s="176"/>
      <c r="C68" s="176"/>
      <c r="D68" s="387"/>
      <c r="E68" s="387"/>
      <c r="F68" s="387"/>
      <c r="G68" s="387"/>
      <c r="H68" s="389"/>
      <c r="I68" s="389"/>
      <c r="J68" s="389"/>
      <c r="K68" s="389"/>
      <c r="L68" s="389"/>
      <c r="M68" s="389"/>
      <c r="N68" s="389"/>
      <c r="O68" s="385"/>
    </row>
    <row r="69" spans="1:15" ht="21" customHeight="1">
      <c r="A69" s="176"/>
      <c r="B69" s="176"/>
      <c r="C69" s="176"/>
      <c r="D69" s="387"/>
      <c r="E69" s="387"/>
      <c r="F69" s="387"/>
      <c r="G69" s="387"/>
      <c r="H69" s="389"/>
      <c r="I69" s="389"/>
      <c r="J69" s="389"/>
      <c r="K69" s="389"/>
      <c r="L69" s="389"/>
      <c r="M69" s="389"/>
      <c r="N69" s="389"/>
      <c r="O69" s="385"/>
    </row>
    <row r="70" spans="1:15" ht="21" customHeight="1">
      <c r="A70" s="176"/>
      <c r="B70" s="176"/>
      <c r="C70" s="176"/>
      <c r="D70" s="387"/>
      <c r="E70" s="387"/>
      <c r="F70" s="387"/>
      <c r="G70" s="387"/>
      <c r="H70" s="389"/>
      <c r="I70" s="389"/>
      <c r="J70" s="390" t="s">
        <v>124</v>
      </c>
      <c r="K70" s="390"/>
      <c r="L70" s="390"/>
      <c r="M70" s="390"/>
      <c r="N70" s="390"/>
      <c r="O70" s="385"/>
    </row>
    <row r="71" spans="1:15" ht="21" customHeight="1">
      <c r="A71" s="180" t="s">
        <v>91</v>
      </c>
      <c r="B71" s="180"/>
      <c r="C71" s="180"/>
      <c r="D71" s="180"/>
      <c r="E71" s="387"/>
      <c r="F71" s="387"/>
      <c r="G71" s="387"/>
      <c r="H71" s="389"/>
      <c r="I71" s="389"/>
      <c r="J71" s="390"/>
      <c r="K71" s="390"/>
      <c r="L71" s="390"/>
      <c r="M71" s="390"/>
      <c r="N71" s="390"/>
      <c r="O71" s="385"/>
    </row>
    <row r="72" spans="1:15" ht="21.6" customHeight="1">
      <c r="A72" s="176"/>
      <c r="B72" s="176"/>
      <c r="C72" s="176"/>
      <c r="D72" s="387"/>
      <c r="E72" s="387"/>
      <c r="F72" s="387"/>
      <c r="G72" s="387"/>
      <c r="H72" s="389"/>
      <c r="I72" s="389"/>
      <c r="J72" s="389"/>
      <c r="K72" s="389"/>
      <c r="L72" s="389"/>
      <c r="M72" s="389"/>
      <c r="N72" s="389"/>
      <c r="O72" s="385"/>
    </row>
    <row r="73" spans="1:15" ht="21.6" customHeight="1">
      <c r="A73" s="176"/>
      <c r="B73" s="176"/>
      <c r="C73" s="176"/>
      <c r="D73" s="387"/>
      <c r="E73" s="387"/>
      <c r="F73" s="387"/>
      <c r="G73" s="387"/>
      <c r="H73" s="389"/>
      <c r="I73" s="389"/>
      <c r="J73" s="389"/>
      <c r="K73" s="389"/>
      <c r="L73" s="389"/>
      <c r="M73" s="389"/>
      <c r="N73" s="389"/>
      <c r="O73" s="385"/>
    </row>
    <row r="74" spans="1:15" ht="21.6" customHeight="1">
      <c r="A74" s="176"/>
      <c r="B74" s="176"/>
      <c r="C74" s="176"/>
      <c r="D74" s="387"/>
      <c r="E74" s="387"/>
      <c r="F74" s="387"/>
      <c r="G74" s="387"/>
      <c r="H74" s="389"/>
      <c r="I74" s="389"/>
      <c r="J74" s="390" t="s">
        <v>127</v>
      </c>
      <c r="K74" s="390"/>
      <c r="L74" s="390"/>
      <c r="M74" s="390"/>
      <c r="N74" s="390"/>
      <c r="O74" s="385"/>
    </row>
    <row r="75" spans="1:15" ht="21.6" customHeight="1">
      <c r="A75" s="176"/>
      <c r="B75" s="176"/>
      <c r="C75" s="176"/>
      <c r="D75" s="387"/>
      <c r="E75" s="387"/>
      <c r="F75" s="387"/>
      <c r="G75" s="387"/>
      <c r="H75" s="389"/>
      <c r="I75" s="389"/>
      <c r="J75" s="389"/>
      <c r="K75" s="389"/>
      <c r="L75" s="389"/>
      <c r="M75" s="389"/>
      <c r="N75" s="389"/>
      <c r="O75" s="385"/>
    </row>
    <row r="76" spans="1:15" ht="21.6" customHeight="1">
      <c r="A76" s="176"/>
      <c r="B76" s="176"/>
      <c r="C76" s="176"/>
      <c r="D76" s="387"/>
      <c r="E76" s="387"/>
      <c r="F76" s="387"/>
      <c r="G76" s="387"/>
      <c r="H76" s="389"/>
      <c r="I76" s="389"/>
      <c r="J76" s="389"/>
      <c r="K76" s="389"/>
      <c r="L76" s="389"/>
      <c r="M76" s="389"/>
      <c r="N76" s="389"/>
      <c r="O76" s="385"/>
    </row>
    <row r="77" spans="1:15" ht="21.6" customHeight="1">
      <c r="A77" s="176"/>
      <c r="B77" s="176"/>
      <c r="C77" s="176"/>
      <c r="D77" s="387"/>
      <c r="E77" s="387"/>
      <c r="F77" s="387"/>
      <c r="G77" s="387"/>
      <c r="H77" s="389"/>
      <c r="I77" s="389"/>
      <c r="J77" s="389"/>
      <c r="K77" s="389"/>
      <c r="L77" s="389"/>
      <c r="M77" s="389"/>
      <c r="N77" s="389"/>
      <c r="O77" s="385"/>
    </row>
    <row r="78" spans="1:15" ht="21.6" customHeight="1">
      <c r="A78" s="176"/>
      <c r="B78" s="176"/>
      <c r="C78" s="176"/>
      <c r="D78" s="387"/>
      <c r="E78" s="387"/>
      <c r="F78" s="387"/>
      <c r="G78" s="387"/>
      <c r="H78" s="389"/>
      <c r="I78" s="389"/>
      <c r="J78" s="389"/>
      <c r="K78" s="389"/>
      <c r="L78" s="389"/>
      <c r="M78" s="389"/>
      <c r="N78" s="389"/>
      <c r="O78" s="385"/>
    </row>
    <row r="79" spans="1:15" ht="24" customHeight="1">
      <c r="A79" s="176"/>
      <c r="B79" s="176"/>
      <c r="C79" s="176"/>
      <c r="D79" s="387"/>
      <c r="E79" s="387"/>
      <c r="F79" s="387"/>
      <c r="G79" s="387"/>
      <c r="H79" s="389"/>
      <c r="I79" s="389"/>
      <c r="J79" s="389"/>
      <c r="K79" s="389"/>
      <c r="L79" s="389"/>
      <c r="M79" s="389"/>
      <c r="N79" s="389"/>
      <c r="O79" s="385"/>
    </row>
    <row r="80" spans="1:15" ht="26.4" customHeight="1">
      <c r="A80" s="176"/>
      <c r="B80" s="176"/>
      <c r="C80" s="176"/>
      <c r="D80" s="387"/>
      <c r="E80" s="387"/>
      <c r="F80" s="387"/>
      <c r="G80" s="387"/>
      <c r="H80" s="389"/>
      <c r="I80" s="389"/>
      <c r="J80" s="389"/>
      <c r="K80" s="389"/>
      <c r="L80" s="389"/>
      <c r="M80" s="389"/>
      <c r="N80" s="389"/>
      <c r="O80" s="385"/>
    </row>
    <row r="81" spans="1:20" ht="17.399999999999999" customHeight="1">
      <c r="A81" s="11" t="s">
        <v>61</v>
      </c>
      <c r="B81" s="8"/>
      <c r="C81" s="8"/>
      <c r="D81" s="8"/>
      <c r="E81" s="8"/>
      <c r="F81" s="293" t="s">
        <v>32</v>
      </c>
      <c r="G81" s="293"/>
      <c r="H81" s="293"/>
      <c r="I81" s="293"/>
      <c r="J81" s="293"/>
      <c r="K81" s="293"/>
      <c r="L81" s="293"/>
      <c r="M81" s="293"/>
      <c r="N81" s="293"/>
      <c r="O81" s="371"/>
      <c r="P81" s="371"/>
      <c r="T81" s="2"/>
    </row>
    <row r="82" spans="1:20" ht="8.4" customHeight="1">
      <c r="A82" s="8"/>
      <c r="B82" s="8"/>
      <c r="C82" s="8"/>
      <c r="D82" s="8"/>
      <c r="E82" s="8"/>
      <c r="F82" s="173"/>
      <c r="G82" s="173"/>
      <c r="H82" s="173"/>
      <c r="I82" s="173"/>
      <c r="J82" s="173"/>
      <c r="K82" s="173"/>
      <c r="L82" s="173"/>
      <c r="M82" s="173"/>
      <c r="N82" s="173"/>
      <c r="O82" s="371"/>
      <c r="P82" s="371"/>
      <c r="T82" s="2"/>
    </row>
    <row r="83" spans="1:20" ht="17.399999999999999" customHeight="1">
      <c r="A83" s="8" t="s">
        <v>195</v>
      </c>
      <c r="B83" s="8"/>
      <c r="C83" s="8"/>
      <c r="D83" s="8"/>
      <c r="E83" s="8"/>
      <c r="F83" s="173"/>
      <c r="G83" s="173"/>
      <c r="H83" s="173"/>
      <c r="I83" s="173"/>
      <c r="J83" s="173"/>
      <c r="K83" s="173"/>
      <c r="L83" s="173"/>
      <c r="M83" s="173"/>
      <c r="N83" s="173"/>
      <c r="O83" s="371"/>
      <c r="P83" s="371"/>
      <c r="T83" s="2"/>
    </row>
    <row r="84" spans="1:20" s="2" customFormat="1" ht="7.8" customHeight="1">
      <c r="A84" s="191"/>
      <c r="B84" s="191"/>
      <c r="C84" s="191"/>
      <c r="D84" s="191"/>
      <c r="E84" s="191"/>
      <c r="F84" s="191"/>
      <c r="G84" s="191"/>
      <c r="H84" s="191"/>
      <c r="I84" s="191"/>
      <c r="J84" s="191"/>
      <c r="K84" s="191"/>
      <c r="L84" s="191"/>
      <c r="M84" s="191"/>
      <c r="N84" s="191"/>
      <c r="O84" s="372"/>
    </row>
    <row r="85" spans="1:20" s="2" customFormat="1" ht="16.2" customHeight="1">
      <c r="A85" s="192" t="s">
        <v>88</v>
      </c>
      <c r="B85" s="192"/>
      <c r="C85" s="192"/>
      <c r="D85" s="192"/>
      <c r="E85" s="192"/>
      <c r="F85" s="192"/>
      <c r="G85" s="192"/>
      <c r="H85" s="192"/>
      <c r="I85" s="192"/>
      <c r="J85" s="192"/>
      <c r="K85" s="192"/>
      <c r="L85" s="192"/>
      <c r="M85" s="192"/>
      <c r="N85" s="192"/>
      <c r="O85" s="372"/>
    </row>
    <row r="86" spans="1:20" s="2" customFormat="1" ht="16.2" customHeight="1">
      <c r="A86" s="195" t="s">
        <v>97</v>
      </c>
      <c r="B86" s="195"/>
      <c r="C86" s="195"/>
      <c r="D86" s="195"/>
      <c r="E86" s="195" t="s">
        <v>89</v>
      </c>
      <c r="F86" s="195"/>
      <c r="G86" s="195"/>
      <c r="H86" s="195"/>
      <c r="I86" s="195"/>
      <c r="J86" s="195"/>
      <c r="K86" s="195"/>
      <c r="L86" s="195"/>
      <c r="M86" s="195"/>
      <c r="N86" s="195"/>
      <c r="O86" s="372"/>
    </row>
    <row r="87" spans="1:20" s="2" customFormat="1" ht="16.2" customHeight="1">
      <c r="A87" s="195"/>
      <c r="B87" s="195"/>
      <c r="C87" s="195"/>
      <c r="D87" s="195"/>
      <c r="E87" s="195" t="s">
        <v>100</v>
      </c>
      <c r="F87" s="195"/>
      <c r="G87" s="195"/>
      <c r="H87" s="195"/>
      <c r="I87" s="195"/>
      <c r="J87" s="195" t="s">
        <v>101</v>
      </c>
      <c r="K87" s="195"/>
      <c r="L87" s="195"/>
      <c r="M87" s="195"/>
      <c r="N87" s="195"/>
      <c r="O87" s="372"/>
    </row>
    <row r="88" spans="1:20" s="2" customFormat="1" ht="17.399999999999999" customHeight="1">
      <c r="A88" s="196" t="s">
        <v>90</v>
      </c>
      <c r="B88" s="196"/>
      <c r="C88" s="196"/>
      <c r="D88" s="196"/>
      <c r="E88" s="199" t="s">
        <v>148</v>
      </c>
      <c r="F88" s="199"/>
      <c r="G88" s="199"/>
      <c r="H88" s="199"/>
      <c r="I88" s="199"/>
      <c r="J88" s="196" t="s">
        <v>90</v>
      </c>
      <c r="K88" s="196"/>
      <c r="L88" s="196"/>
      <c r="M88" s="196"/>
      <c r="N88" s="196"/>
      <c r="O88" s="372"/>
    </row>
    <row r="89" spans="1:20" s="2" customFormat="1" ht="17.399999999999999" customHeight="1">
      <c r="A89" s="197" t="s">
        <v>152</v>
      </c>
      <c r="B89" s="197"/>
      <c r="C89" s="197"/>
      <c r="D89" s="197"/>
      <c r="E89" s="199"/>
      <c r="F89" s="199"/>
      <c r="G89" s="199"/>
      <c r="H89" s="199"/>
      <c r="I89" s="199"/>
      <c r="J89" s="197" t="s">
        <v>112</v>
      </c>
      <c r="K89" s="197"/>
      <c r="L89" s="197"/>
      <c r="M89" s="197"/>
      <c r="N89" s="197"/>
      <c r="O89" s="372"/>
    </row>
    <row r="90" spans="1:20" s="2" customFormat="1" ht="17.399999999999999" customHeight="1">
      <c r="A90" s="232" t="s">
        <v>153</v>
      </c>
      <c r="B90" s="233"/>
      <c r="C90" s="233"/>
      <c r="D90" s="234"/>
      <c r="E90" s="199"/>
      <c r="F90" s="199"/>
      <c r="G90" s="199"/>
      <c r="H90" s="199"/>
      <c r="I90" s="199"/>
      <c r="J90" s="197" t="s">
        <v>180</v>
      </c>
      <c r="K90" s="197"/>
      <c r="L90" s="197"/>
      <c r="M90" s="197"/>
      <c r="N90" s="197"/>
      <c r="O90" s="372"/>
    </row>
    <row r="91" spans="1:20" s="2" customFormat="1" ht="17.399999999999999" customHeight="1">
      <c r="A91" s="198" t="s">
        <v>179</v>
      </c>
      <c r="B91" s="198"/>
      <c r="C91" s="198"/>
      <c r="D91" s="198"/>
      <c r="E91" s="199"/>
      <c r="F91" s="199"/>
      <c r="G91" s="199"/>
      <c r="H91" s="199"/>
      <c r="I91" s="199"/>
      <c r="J91" s="198"/>
      <c r="K91" s="198"/>
      <c r="L91" s="198"/>
      <c r="M91" s="198"/>
      <c r="N91" s="198"/>
      <c r="O91" s="372"/>
    </row>
    <row r="92" spans="1:20" s="2" customFormat="1" ht="17.399999999999999" customHeight="1">
      <c r="A92" s="229" t="s">
        <v>122</v>
      </c>
      <c r="B92" s="230"/>
      <c r="C92" s="231"/>
      <c r="D92" s="125">
        <v>57</v>
      </c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372"/>
    </row>
    <row r="93" spans="1:20" ht="17.399999999999999" customHeight="1">
      <c r="A93" s="209" t="s">
        <v>0</v>
      </c>
      <c r="B93" s="212" t="s">
        <v>19</v>
      </c>
      <c r="C93" s="215" t="s">
        <v>8</v>
      </c>
      <c r="D93" s="215" t="s">
        <v>9</v>
      </c>
      <c r="E93" s="218" t="s">
        <v>11</v>
      </c>
      <c r="F93" s="219"/>
      <c r="G93" s="218" t="s">
        <v>43</v>
      </c>
      <c r="H93" s="219"/>
      <c r="I93" s="222" t="s">
        <v>16</v>
      </c>
      <c r="J93" s="222" t="s">
        <v>41</v>
      </c>
      <c r="K93" s="222" t="s">
        <v>42</v>
      </c>
      <c r="L93" s="222" t="s">
        <v>17</v>
      </c>
      <c r="M93" s="222" t="s">
        <v>40</v>
      </c>
      <c r="N93" s="209" t="s">
        <v>18</v>
      </c>
      <c r="O93" s="373"/>
    </row>
    <row r="94" spans="1:20" ht="17.399999999999999" customHeight="1">
      <c r="A94" s="210"/>
      <c r="B94" s="213"/>
      <c r="C94" s="216"/>
      <c r="D94" s="216"/>
      <c r="E94" s="220"/>
      <c r="F94" s="221"/>
      <c r="G94" s="220"/>
      <c r="H94" s="221"/>
      <c r="I94" s="223"/>
      <c r="J94" s="223"/>
      <c r="K94" s="223"/>
      <c r="L94" s="223"/>
      <c r="M94" s="223"/>
      <c r="N94" s="210"/>
      <c r="O94" s="176"/>
    </row>
    <row r="95" spans="1:20" ht="17.399999999999999" customHeight="1">
      <c r="A95" s="210"/>
      <c r="B95" s="213"/>
      <c r="C95" s="216"/>
      <c r="D95" s="216"/>
      <c r="E95" s="222" t="s">
        <v>10</v>
      </c>
      <c r="F95" s="222" t="s">
        <v>12</v>
      </c>
      <c r="G95" s="222" t="s">
        <v>14</v>
      </c>
      <c r="H95" s="222" t="s">
        <v>15</v>
      </c>
      <c r="I95" s="223"/>
      <c r="J95" s="223"/>
      <c r="K95" s="223"/>
      <c r="L95" s="223"/>
      <c r="M95" s="223"/>
      <c r="N95" s="210"/>
      <c r="O95" s="176"/>
    </row>
    <row r="96" spans="1:20" ht="17.399999999999999" customHeight="1">
      <c r="A96" s="211"/>
      <c r="B96" s="214"/>
      <c r="C96" s="217"/>
      <c r="D96" s="217"/>
      <c r="E96" s="224"/>
      <c r="F96" s="224"/>
      <c r="G96" s="224"/>
      <c r="H96" s="224"/>
      <c r="I96" s="224"/>
      <c r="J96" s="224"/>
      <c r="K96" s="224"/>
      <c r="L96" s="224"/>
      <c r="M96" s="224"/>
      <c r="N96" s="211"/>
      <c r="O96" s="176"/>
    </row>
    <row r="97" spans="1:22" ht="16.2" customHeight="1">
      <c r="A97" s="238" t="s">
        <v>39</v>
      </c>
      <c r="B97" s="239"/>
      <c r="C97" s="239"/>
      <c r="D97" s="239"/>
      <c r="E97" s="239"/>
      <c r="F97" s="239"/>
      <c r="G97" s="239"/>
      <c r="H97" s="239"/>
      <c r="I97" s="239"/>
      <c r="J97" s="239"/>
      <c r="K97" s="239"/>
      <c r="L97" s="239"/>
      <c r="M97" s="239"/>
      <c r="N97" s="240"/>
      <c r="O97" s="176"/>
    </row>
    <row r="98" spans="1:22" s="2" customFormat="1" ht="16.2" customHeight="1">
      <c r="A98" s="15">
        <v>1</v>
      </c>
      <c r="B98" s="16" t="s">
        <v>2</v>
      </c>
      <c r="C98" s="51">
        <f>L98/100*100</f>
        <v>80</v>
      </c>
      <c r="D98" s="52">
        <f>C98/100*60</f>
        <v>48</v>
      </c>
      <c r="E98" s="53">
        <f>C98/100*15</f>
        <v>12</v>
      </c>
      <c r="F98" s="53"/>
      <c r="G98" s="53"/>
      <c r="H98" s="53"/>
      <c r="I98" s="53"/>
      <c r="J98" s="25">
        <f>C98/100*387</f>
        <v>309.60000000000002</v>
      </c>
      <c r="K98" s="25">
        <f>C98/100*0.09</f>
        <v>7.1999999999999995E-2</v>
      </c>
      <c r="L98" s="407">
        <v>80</v>
      </c>
      <c r="M98" s="77">
        <v>20</v>
      </c>
      <c r="N98" s="28">
        <f t="shared" ref="N98:N109" si="5">L98*M98</f>
        <v>1600</v>
      </c>
      <c r="O98" s="153"/>
    </row>
    <row r="99" spans="1:22" s="2" customFormat="1" ht="16.2" customHeight="1">
      <c r="A99" s="9">
        <v>2</v>
      </c>
      <c r="B99" s="10" t="s">
        <v>141</v>
      </c>
      <c r="C99" s="23">
        <f>L99/100*100</f>
        <v>500</v>
      </c>
      <c r="D99" s="24">
        <f>C99/100*899</f>
        <v>4495</v>
      </c>
      <c r="E99" s="25"/>
      <c r="F99" s="25"/>
      <c r="G99" s="25">
        <f>C99/100*100</f>
        <v>500</v>
      </c>
      <c r="H99" s="25"/>
      <c r="I99" s="25"/>
      <c r="J99" s="25"/>
      <c r="K99" s="25"/>
      <c r="L99" s="137">
        <v>500</v>
      </c>
      <c r="M99" s="24">
        <v>68</v>
      </c>
      <c r="N99" s="28">
        <f t="shared" si="5"/>
        <v>34000</v>
      </c>
      <c r="O99" s="377"/>
    </row>
    <row r="100" spans="1:22" s="2" customFormat="1" ht="16.2" customHeight="1">
      <c r="A100" s="9">
        <v>3</v>
      </c>
      <c r="B100" s="5" t="s">
        <v>1</v>
      </c>
      <c r="C100" s="23">
        <f>L100/100*100</f>
        <v>2451</v>
      </c>
      <c r="D100" s="24">
        <f>C100/100*344</f>
        <v>8431.44</v>
      </c>
      <c r="E100" s="25"/>
      <c r="F100" s="25">
        <f>C100/100*7.9</f>
        <v>193.62900000000002</v>
      </c>
      <c r="G100" s="25"/>
      <c r="H100" s="25">
        <f>C100/100*1</f>
        <v>24.51</v>
      </c>
      <c r="I100" s="119">
        <f>C100/100*72</f>
        <v>1764.72</v>
      </c>
      <c r="J100" s="25">
        <f>C100/100*30</f>
        <v>735.30000000000007</v>
      </c>
      <c r="K100" s="25">
        <f>C100/100*0.1</f>
        <v>2.4510000000000005</v>
      </c>
      <c r="L100" s="137">
        <v>2451</v>
      </c>
      <c r="M100" s="77">
        <v>18</v>
      </c>
      <c r="N100" s="28">
        <f t="shared" si="5"/>
        <v>44118</v>
      </c>
      <c r="O100" s="153"/>
    </row>
    <row r="101" spans="1:22" s="2" customFormat="1" ht="19.8" customHeight="1">
      <c r="A101" s="9">
        <v>4</v>
      </c>
      <c r="B101" s="10" t="s">
        <v>186</v>
      </c>
      <c r="C101" s="23">
        <f>L101/100*100</f>
        <v>40</v>
      </c>
      <c r="D101" s="24">
        <f>C101/100*390</f>
        <v>156</v>
      </c>
      <c r="E101" s="25"/>
      <c r="F101" s="25"/>
      <c r="G101" s="25"/>
      <c r="H101" s="25"/>
      <c r="I101" s="25">
        <f>C101/100*97.4</f>
        <v>38.960000000000008</v>
      </c>
      <c r="J101" s="27">
        <f>C101/100*178</f>
        <v>71.2</v>
      </c>
      <c r="K101" s="27">
        <f>C101/100*0.05</f>
        <v>2.0000000000000004E-2</v>
      </c>
      <c r="L101" s="137">
        <v>40</v>
      </c>
      <c r="M101" s="75">
        <v>25</v>
      </c>
      <c r="N101" s="28">
        <f t="shared" si="5"/>
        <v>1000</v>
      </c>
      <c r="O101" s="375"/>
    </row>
    <row r="102" spans="1:22" s="2" customFormat="1" ht="16.2" customHeight="1">
      <c r="A102" s="9">
        <v>5</v>
      </c>
      <c r="B102" s="10" t="s">
        <v>155</v>
      </c>
      <c r="C102" s="23">
        <f>L102/100*60</f>
        <v>2052</v>
      </c>
      <c r="D102" s="24">
        <f>C102/100*97</f>
        <v>1990.44</v>
      </c>
      <c r="E102" s="119">
        <f>C102/100*18.2</f>
        <v>373.464</v>
      </c>
      <c r="F102" s="25"/>
      <c r="G102" s="25">
        <f>C102/100*2.7</f>
        <v>55.404000000000003</v>
      </c>
      <c r="H102" s="25"/>
      <c r="I102" s="25"/>
      <c r="J102" s="81">
        <f>C102/100*90</f>
        <v>1846.8</v>
      </c>
      <c r="K102" s="27">
        <f>C102/100*0.04</f>
        <v>0.82079999999999997</v>
      </c>
      <c r="L102" s="137">
        <v>3420</v>
      </c>
      <c r="M102" s="75">
        <v>95</v>
      </c>
      <c r="N102" s="28">
        <f t="shared" si="5"/>
        <v>324900</v>
      </c>
      <c r="O102" s="153"/>
    </row>
    <row r="103" spans="1:22" s="2" customFormat="1" ht="16.2" customHeight="1">
      <c r="A103" s="9">
        <v>6</v>
      </c>
      <c r="B103" s="5" t="s">
        <v>69</v>
      </c>
      <c r="C103" s="23">
        <f>L103/100*48</f>
        <v>412.79999999999995</v>
      </c>
      <c r="D103" s="24">
        <f>C103/100*199</f>
        <v>821.47199999999987</v>
      </c>
      <c r="E103" s="25">
        <f>C103/100*20.3</f>
        <v>83.798399999999987</v>
      </c>
      <c r="F103" s="25"/>
      <c r="G103" s="25">
        <f>C103/100*13.1</f>
        <v>54.076799999999992</v>
      </c>
      <c r="H103" s="25"/>
      <c r="I103" s="25"/>
      <c r="J103" s="27">
        <f>C103/100*12</f>
        <v>49.535999999999987</v>
      </c>
      <c r="K103" s="27">
        <f>C103/100*0.15</f>
        <v>0.61919999999999986</v>
      </c>
      <c r="L103" s="137">
        <v>860</v>
      </c>
      <c r="M103" s="26">
        <v>84</v>
      </c>
      <c r="N103" s="28">
        <f t="shared" si="5"/>
        <v>72240</v>
      </c>
      <c r="O103" s="153"/>
      <c r="Q103" s="3"/>
      <c r="R103" s="3"/>
      <c r="S103" s="4"/>
    </row>
    <row r="104" spans="1:22" s="2" customFormat="1" ht="16.2" customHeight="1">
      <c r="A104" s="9">
        <v>7</v>
      </c>
      <c r="B104" s="5" t="s">
        <v>3</v>
      </c>
      <c r="C104" s="23">
        <f>L104/100*98</f>
        <v>558.6</v>
      </c>
      <c r="D104" s="24">
        <f>C104/100*118</f>
        <v>659.14800000000002</v>
      </c>
      <c r="E104" s="25">
        <f>C104/100*21</f>
        <v>117.30600000000001</v>
      </c>
      <c r="F104" s="25"/>
      <c r="G104" s="25">
        <f>C104/100*3.8</f>
        <v>21.226800000000001</v>
      </c>
      <c r="H104" s="25"/>
      <c r="I104" s="25"/>
      <c r="J104" s="27">
        <f>C104/100*12</f>
        <v>67.032000000000011</v>
      </c>
      <c r="K104" s="27">
        <f>C104/100*0.1</f>
        <v>0.5586000000000001</v>
      </c>
      <c r="L104" s="137">
        <v>570</v>
      </c>
      <c r="M104" s="26">
        <v>260</v>
      </c>
      <c r="N104" s="124">
        <f t="shared" si="5"/>
        <v>148200</v>
      </c>
      <c r="O104" s="153"/>
      <c r="Q104" s="3"/>
      <c r="R104" s="3"/>
      <c r="S104" s="4"/>
    </row>
    <row r="105" spans="1:22" s="2" customFormat="1" ht="16.2" customHeight="1">
      <c r="A105" s="9">
        <v>8</v>
      </c>
      <c r="B105" s="5" t="s">
        <v>20</v>
      </c>
      <c r="C105" s="23">
        <f>L105/100*95</f>
        <v>541.5</v>
      </c>
      <c r="D105" s="24">
        <f>C105/100*20</f>
        <v>108.3</v>
      </c>
      <c r="E105" s="25"/>
      <c r="F105" s="25">
        <f>C105/100*0.6</f>
        <v>3.2490000000000001</v>
      </c>
      <c r="G105" s="25"/>
      <c r="H105" s="25">
        <f>C105/100*0.2</f>
        <v>1.083</v>
      </c>
      <c r="I105" s="25">
        <f>C105/100*4</f>
        <v>21.66</v>
      </c>
      <c r="J105" s="27">
        <f>C105/100*12</f>
        <v>64.98</v>
      </c>
      <c r="K105" s="24">
        <f>C105/100*0.04</f>
        <v>0.21660000000000001</v>
      </c>
      <c r="L105" s="137">
        <v>570</v>
      </c>
      <c r="M105" s="77">
        <v>22</v>
      </c>
      <c r="N105" s="28">
        <f t="shared" si="5"/>
        <v>12540</v>
      </c>
      <c r="O105" s="375"/>
      <c r="Q105" s="3"/>
      <c r="R105" s="3"/>
      <c r="S105" s="4"/>
    </row>
    <row r="106" spans="1:22" s="2" customFormat="1" ht="16.2" customHeight="1">
      <c r="A106" s="9">
        <v>9</v>
      </c>
      <c r="B106" s="5" t="s">
        <v>72</v>
      </c>
      <c r="C106" s="23">
        <f>L106/100*75</f>
        <v>82.5</v>
      </c>
      <c r="D106" s="24">
        <f>C106/100*17</f>
        <v>14.024999999999999</v>
      </c>
      <c r="E106" s="29"/>
      <c r="F106" s="29">
        <f>C106/100*1.9</f>
        <v>1.5674999999999999</v>
      </c>
      <c r="G106" s="29"/>
      <c r="H106" s="29"/>
      <c r="I106" s="29">
        <f>C106/100*2.2</f>
        <v>1.8149999999999999</v>
      </c>
      <c r="J106" s="27">
        <f>C106/100*150</f>
        <v>123.75</v>
      </c>
      <c r="K106" s="24">
        <f>C106/100*0.04</f>
        <v>3.3000000000000002E-2</v>
      </c>
      <c r="L106" s="374">
        <v>110</v>
      </c>
      <c r="M106" s="77">
        <v>30</v>
      </c>
      <c r="N106" s="28">
        <f t="shared" si="5"/>
        <v>3300</v>
      </c>
      <c r="O106" s="375"/>
      <c r="Q106" s="3"/>
      <c r="R106" s="3"/>
      <c r="S106" s="4"/>
    </row>
    <row r="107" spans="1:22" s="2" customFormat="1" ht="15" customHeight="1">
      <c r="A107" s="9">
        <v>10</v>
      </c>
      <c r="B107" s="5" t="s">
        <v>177</v>
      </c>
      <c r="C107" s="23">
        <f>L107/100*78</f>
        <v>1419.6</v>
      </c>
      <c r="D107" s="24">
        <f>C107/100*37</f>
        <v>525.25199999999995</v>
      </c>
      <c r="E107" s="29"/>
      <c r="F107" s="29">
        <f>C107/100*2.8</f>
        <v>39.748799999999996</v>
      </c>
      <c r="G107" s="29"/>
      <c r="H107" s="29">
        <f>C107/100*0.1</f>
        <v>1.4196</v>
      </c>
      <c r="I107" s="29">
        <f>C107/100*6.2</f>
        <v>88.015200000000007</v>
      </c>
      <c r="J107" s="29">
        <f>C107/100*46</f>
        <v>653.01599999999996</v>
      </c>
      <c r="K107" s="29">
        <f>C107/100*0.06</f>
        <v>0.85175999999999996</v>
      </c>
      <c r="L107" s="374">
        <v>1820</v>
      </c>
      <c r="M107" s="26">
        <v>20</v>
      </c>
      <c r="N107" s="28">
        <f t="shared" si="5"/>
        <v>36400</v>
      </c>
      <c r="O107" s="153"/>
      <c r="Q107" s="3"/>
      <c r="R107" s="3"/>
      <c r="S107" s="4"/>
    </row>
    <row r="108" spans="1:22" s="2" customFormat="1" ht="16.2" customHeight="1">
      <c r="A108" s="9">
        <v>11</v>
      </c>
      <c r="B108" s="5" t="s">
        <v>154</v>
      </c>
      <c r="C108" s="23">
        <f>L108/100*81</f>
        <v>923.4</v>
      </c>
      <c r="D108" s="24">
        <f>C108/100*17</f>
        <v>156.97800000000001</v>
      </c>
      <c r="E108" s="29"/>
      <c r="F108" s="29">
        <f>C108/100*0.9</f>
        <v>8.3106000000000009</v>
      </c>
      <c r="G108" s="29"/>
      <c r="H108" s="29">
        <f>C108/100*0.2</f>
        <v>1.8468</v>
      </c>
      <c r="I108" s="29">
        <f>C108/100*2.8</f>
        <v>25.8552</v>
      </c>
      <c r="J108" s="25">
        <f>C108/100*28</f>
        <v>258.55200000000002</v>
      </c>
      <c r="K108" s="27">
        <f>C108/100*0.04</f>
        <v>0.36936000000000002</v>
      </c>
      <c r="L108" s="374">
        <v>1140</v>
      </c>
      <c r="M108" s="75">
        <v>20</v>
      </c>
      <c r="N108" s="28">
        <f t="shared" si="5"/>
        <v>22800</v>
      </c>
      <c r="O108" s="153"/>
      <c r="P108" s="3"/>
    </row>
    <row r="109" spans="1:22" s="2" customFormat="1" ht="16.2" customHeight="1">
      <c r="A109" s="9">
        <v>12</v>
      </c>
      <c r="B109" s="5" t="s">
        <v>136</v>
      </c>
      <c r="C109" s="23">
        <f>L109/100*100</f>
        <v>40</v>
      </c>
      <c r="D109" s="24">
        <f>C109/100*247</f>
        <v>98.800000000000011</v>
      </c>
      <c r="E109" s="29"/>
      <c r="F109" s="29">
        <f>C109/100*17.5</f>
        <v>7</v>
      </c>
      <c r="G109" s="29"/>
      <c r="H109" s="29">
        <f>C109/100*1.6</f>
        <v>0.64000000000000012</v>
      </c>
      <c r="I109" s="29">
        <f>C109/100*39.2</f>
        <v>15.680000000000001</v>
      </c>
      <c r="J109" s="71"/>
      <c r="K109" s="71"/>
      <c r="L109" s="374">
        <v>40</v>
      </c>
      <c r="M109" s="75">
        <v>50</v>
      </c>
      <c r="N109" s="28">
        <f t="shared" si="5"/>
        <v>2000</v>
      </c>
      <c r="O109" s="153"/>
      <c r="Q109" s="3"/>
      <c r="R109" s="3"/>
      <c r="S109" s="4"/>
      <c r="T109" s="3"/>
    </row>
    <row r="110" spans="1:22" s="2" customFormat="1" ht="16.2" customHeight="1">
      <c r="A110" s="9">
        <v>13</v>
      </c>
      <c r="B110" s="6" t="s">
        <v>123</v>
      </c>
      <c r="C110" s="23"/>
      <c r="D110" s="24"/>
      <c r="E110" s="29"/>
      <c r="F110" s="29"/>
      <c r="G110" s="29"/>
      <c r="H110" s="29"/>
      <c r="I110" s="29"/>
      <c r="J110" s="29"/>
      <c r="K110" s="29"/>
      <c r="L110" s="30"/>
      <c r="M110" s="77"/>
      <c r="N110" s="28">
        <v>3950</v>
      </c>
      <c r="O110" s="153"/>
    </row>
    <row r="111" spans="1:22" s="2" customFormat="1" ht="16.2" customHeight="1">
      <c r="A111" s="237" t="s">
        <v>108</v>
      </c>
      <c r="B111" s="237"/>
      <c r="C111" s="34"/>
      <c r="D111" s="35">
        <f>SUM(D98:D110)</f>
        <v>17504.855</v>
      </c>
      <c r="E111" s="43"/>
      <c r="F111" s="43"/>
      <c r="G111" s="43"/>
      <c r="H111" s="43"/>
      <c r="I111" s="43"/>
      <c r="J111" s="43"/>
      <c r="K111" s="43"/>
      <c r="L111" s="44"/>
      <c r="M111" s="44"/>
      <c r="N111" s="193">
        <f>SUM(N98:N110)</f>
        <v>707048</v>
      </c>
      <c r="O111" s="153"/>
    </row>
    <row r="112" spans="1:22" ht="16.2" customHeight="1">
      <c r="A112" s="237" t="s">
        <v>37</v>
      </c>
      <c r="B112" s="237"/>
      <c r="C112" s="45"/>
      <c r="D112" s="46">
        <f>D111/D92</f>
        <v>307.10271929824563</v>
      </c>
      <c r="E112" s="46"/>
      <c r="F112" s="46"/>
      <c r="G112" s="46"/>
      <c r="H112" s="46"/>
      <c r="I112" s="46"/>
      <c r="J112" s="46"/>
      <c r="K112" s="46"/>
      <c r="L112" s="47"/>
      <c r="M112" s="47"/>
      <c r="N112" s="194"/>
      <c r="O112" s="4"/>
      <c r="P112" s="2"/>
      <c r="Q112" s="2"/>
      <c r="R112" s="2"/>
      <c r="S112" s="2"/>
      <c r="T112" s="2"/>
      <c r="U112" s="2"/>
      <c r="V112" s="2"/>
    </row>
    <row r="113" spans="1:22" ht="16.2" customHeight="1">
      <c r="A113" s="225" t="s">
        <v>44</v>
      </c>
      <c r="B113" s="226"/>
      <c r="C113" s="376" t="s">
        <v>151</v>
      </c>
      <c r="D113" s="20" t="s">
        <v>45</v>
      </c>
      <c r="E113" s="46"/>
      <c r="F113" s="46"/>
      <c r="G113" s="46"/>
      <c r="H113" s="46"/>
      <c r="I113" s="46"/>
      <c r="J113" s="48"/>
      <c r="K113" s="48"/>
      <c r="L113" s="47"/>
      <c r="M113" s="47"/>
      <c r="N113" s="177"/>
      <c r="O113" s="4"/>
      <c r="P113" s="2"/>
      <c r="Q113" s="2"/>
      <c r="R113" s="2"/>
      <c r="S113" s="2"/>
      <c r="T113" s="2"/>
      <c r="U113" s="2"/>
      <c r="V113" s="2"/>
    </row>
    <row r="114" spans="1:22" ht="16.2" customHeight="1">
      <c r="A114" s="227"/>
      <c r="B114" s="228"/>
      <c r="C114" s="19" t="s">
        <v>59</v>
      </c>
      <c r="D114" s="78">
        <f>D112*100/930</f>
        <v>33.021797774004909</v>
      </c>
      <c r="E114" s="46"/>
      <c r="F114" s="46"/>
      <c r="G114" s="46"/>
      <c r="H114" s="46"/>
      <c r="I114" s="46"/>
      <c r="J114" s="48"/>
      <c r="K114" s="48"/>
      <c r="L114" s="47"/>
      <c r="M114" s="47"/>
      <c r="N114" s="177"/>
      <c r="O114" s="4"/>
      <c r="P114" s="2"/>
      <c r="Q114" s="2"/>
      <c r="R114" s="2"/>
      <c r="S114" s="2"/>
      <c r="T114" s="2"/>
      <c r="U114" s="2"/>
      <c r="V114" s="2"/>
    </row>
    <row r="115" spans="1:22" s="2" customFormat="1" ht="16.2" customHeight="1">
      <c r="A115" s="236" t="s">
        <v>38</v>
      </c>
      <c r="B115" s="236"/>
      <c r="C115" s="56"/>
      <c r="D115" s="57"/>
      <c r="E115" s="58"/>
      <c r="F115" s="58"/>
      <c r="G115" s="58"/>
      <c r="H115" s="58"/>
      <c r="I115" s="58"/>
      <c r="J115" s="58"/>
      <c r="K115" s="58"/>
      <c r="L115" s="59"/>
      <c r="M115" s="59"/>
      <c r="N115" s="60"/>
      <c r="O115" s="153"/>
    </row>
    <row r="116" spans="1:22" s="2" customFormat="1" ht="16.2" customHeight="1">
      <c r="A116" s="15">
        <v>1</v>
      </c>
      <c r="B116" s="16" t="s">
        <v>2</v>
      </c>
      <c r="C116" s="51">
        <f>L116/100*100</f>
        <v>70</v>
      </c>
      <c r="D116" s="52">
        <f>C116/100*60</f>
        <v>42</v>
      </c>
      <c r="E116" s="53">
        <f>C116/100*15</f>
        <v>10.5</v>
      </c>
      <c r="F116" s="53"/>
      <c r="G116" s="53"/>
      <c r="H116" s="53"/>
      <c r="I116" s="53"/>
      <c r="J116" s="25">
        <f>C116/100*387</f>
        <v>270.89999999999998</v>
      </c>
      <c r="K116" s="25">
        <f>C116/100*0.09</f>
        <v>6.3E-2</v>
      </c>
      <c r="L116" s="407">
        <v>70</v>
      </c>
      <c r="M116" s="77">
        <v>20</v>
      </c>
      <c r="N116" s="28">
        <f>L116*M116</f>
        <v>1400</v>
      </c>
      <c r="O116" s="153"/>
    </row>
    <row r="117" spans="1:22" s="2" customFormat="1" ht="16.2" customHeight="1">
      <c r="A117" s="9">
        <v>2</v>
      </c>
      <c r="B117" s="148" t="s">
        <v>146</v>
      </c>
      <c r="C117" s="23">
        <f>L117/100*100</f>
        <v>80</v>
      </c>
      <c r="D117" s="120">
        <f>C117/100*900</f>
        <v>720</v>
      </c>
      <c r="E117" s="25"/>
      <c r="F117" s="25"/>
      <c r="G117" s="119"/>
      <c r="H117" s="25">
        <f>C117/100*100</f>
        <v>80</v>
      </c>
      <c r="I117" s="25"/>
      <c r="J117" s="25"/>
      <c r="K117" s="25"/>
      <c r="L117" s="137">
        <v>80</v>
      </c>
      <c r="M117" s="75">
        <v>63.5</v>
      </c>
      <c r="N117" s="28">
        <f t="shared" ref="N117" si="6">L117*M117</f>
        <v>5080</v>
      </c>
      <c r="O117" s="377"/>
    </row>
    <row r="118" spans="1:22" s="2" customFormat="1" ht="16.2" customHeight="1">
      <c r="A118" s="9">
        <v>3</v>
      </c>
      <c r="B118" s="5" t="s">
        <v>1</v>
      </c>
      <c r="C118" s="23">
        <f>L118/100*100</f>
        <v>2394</v>
      </c>
      <c r="D118" s="24">
        <f>C118/100*344</f>
        <v>8235.36</v>
      </c>
      <c r="E118" s="25"/>
      <c r="F118" s="25">
        <f>C118/100*7.9</f>
        <v>189.126</v>
      </c>
      <c r="G118" s="25"/>
      <c r="H118" s="25">
        <f>C118/100*1</f>
        <v>23.94</v>
      </c>
      <c r="I118" s="119">
        <f>C118/100*72</f>
        <v>1723.68</v>
      </c>
      <c r="J118" s="25">
        <f>C118/100*30</f>
        <v>718.2</v>
      </c>
      <c r="K118" s="25">
        <f>C118/100*0.1</f>
        <v>2.3940000000000001</v>
      </c>
      <c r="L118" s="137">
        <v>2394</v>
      </c>
      <c r="M118" s="77">
        <v>18</v>
      </c>
      <c r="N118" s="28">
        <f t="shared" ref="N118:N124" si="7">L118*M118</f>
        <v>43092</v>
      </c>
      <c r="O118" s="153"/>
    </row>
    <row r="119" spans="1:22" s="2" customFormat="1" ht="16.2" customHeight="1">
      <c r="A119" s="9">
        <v>4</v>
      </c>
      <c r="B119" s="5" t="s">
        <v>136</v>
      </c>
      <c r="C119" s="23">
        <f>L119/100*100</f>
        <v>40</v>
      </c>
      <c r="D119" s="24">
        <f>C119/100*247</f>
        <v>98.800000000000011</v>
      </c>
      <c r="E119" s="29"/>
      <c r="F119" s="29">
        <f>C119/100*17.5</f>
        <v>7</v>
      </c>
      <c r="G119" s="29"/>
      <c r="H119" s="29">
        <f>C119/100*1.6</f>
        <v>0.64000000000000012</v>
      </c>
      <c r="I119" s="29">
        <f>C119/100*39.2</f>
        <v>15.680000000000001</v>
      </c>
      <c r="J119" s="71"/>
      <c r="K119" s="71"/>
      <c r="L119" s="374">
        <v>40</v>
      </c>
      <c r="M119" s="75">
        <v>50</v>
      </c>
      <c r="N119" s="28">
        <f t="shared" si="7"/>
        <v>2000</v>
      </c>
      <c r="O119" s="153"/>
      <c r="Q119" s="3"/>
      <c r="R119" s="3"/>
      <c r="S119" s="4"/>
      <c r="T119" s="3"/>
    </row>
    <row r="120" spans="1:22" s="2" customFormat="1" ht="16.2" customHeight="1">
      <c r="A120" s="9">
        <v>5</v>
      </c>
      <c r="B120" s="10" t="s">
        <v>5</v>
      </c>
      <c r="C120" s="23">
        <f>L120/100*90</f>
        <v>72</v>
      </c>
      <c r="D120" s="24">
        <f>C120/100*281</f>
        <v>202.32</v>
      </c>
      <c r="E120" s="25"/>
      <c r="F120" s="25">
        <f>C120/100*9.5</f>
        <v>6.84</v>
      </c>
      <c r="G120" s="25"/>
      <c r="H120" s="25">
        <f>C120/100*0.2</f>
        <v>0.14399999999999999</v>
      </c>
      <c r="I120" s="25">
        <f>D120/100*58.5</f>
        <v>118.35720000000001</v>
      </c>
      <c r="J120" s="27">
        <f>C120/100*321</f>
        <v>231.12</v>
      </c>
      <c r="K120" s="27">
        <f>C120/100*0.14</f>
        <v>0.1008</v>
      </c>
      <c r="L120" s="137">
        <v>80</v>
      </c>
      <c r="M120" s="77">
        <v>120</v>
      </c>
      <c r="N120" s="28">
        <f t="shared" si="7"/>
        <v>9600</v>
      </c>
      <c r="O120" s="375"/>
    </row>
    <row r="121" spans="1:22" s="2" customFormat="1" ht="16.2" customHeight="1">
      <c r="A121" s="9">
        <v>6</v>
      </c>
      <c r="B121" s="10" t="s">
        <v>27</v>
      </c>
      <c r="C121" s="23">
        <f>L121/100*90</f>
        <v>54</v>
      </c>
      <c r="D121" s="24">
        <f>C121/100*253</f>
        <v>136.62</v>
      </c>
      <c r="E121" s="25"/>
      <c r="F121" s="25">
        <f>C121/100*32.4</f>
        <v>17.495999999999999</v>
      </c>
      <c r="G121" s="25"/>
      <c r="H121" s="25">
        <f>C121/100*3.6</f>
        <v>1.9440000000000002</v>
      </c>
      <c r="I121" s="25">
        <f>C121/100*21.1</f>
        <v>11.394000000000002</v>
      </c>
      <c r="J121" s="27">
        <f>C121/100*165</f>
        <v>89.100000000000009</v>
      </c>
      <c r="K121" s="27">
        <f>C121/100*0.14</f>
        <v>7.5600000000000014E-2</v>
      </c>
      <c r="L121" s="137">
        <v>60</v>
      </c>
      <c r="M121" s="77">
        <v>275</v>
      </c>
      <c r="N121" s="28">
        <f t="shared" si="7"/>
        <v>16500</v>
      </c>
      <c r="O121" s="375"/>
    </row>
    <row r="122" spans="1:22" s="2" customFormat="1" ht="16.2" customHeight="1">
      <c r="A122" s="9">
        <v>7</v>
      </c>
      <c r="B122" s="10" t="s">
        <v>63</v>
      </c>
      <c r="C122" s="23">
        <f>L122/100*86</f>
        <v>1720</v>
      </c>
      <c r="D122" s="24">
        <f>C122/100*166</f>
        <v>2855.2</v>
      </c>
      <c r="E122" s="25">
        <f>C122/100*14.8</f>
        <v>254.56</v>
      </c>
      <c r="F122" s="25"/>
      <c r="G122" s="25">
        <f>C122/100*11.6</f>
        <v>199.51999999999998</v>
      </c>
      <c r="H122" s="25"/>
      <c r="I122" s="25">
        <f>C122/100*0.5</f>
        <v>8.6</v>
      </c>
      <c r="J122" s="25">
        <f>C122/100*55</f>
        <v>946</v>
      </c>
      <c r="K122" s="25">
        <f>C122/100*0.16</f>
        <v>2.7519999999999998</v>
      </c>
      <c r="L122" s="137">
        <v>2000</v>
      </c>
      <c r="M122" s="77">
        <v>62</v>
      </c>
      <c r="N122" s="28">
        <f t="shared" si="7"/>
        <v>124000</v>
      </c>
      <c r="O122" s="153"/>
      <c r="Q122" s="3"/>
      <c r="R122" s="3"/>
      <c r="S122" s="4"/>
      <c r="T122" s="3"/>
    </row>
    <row r="123" spans="1:22" s="2" customFormat="1" ht="16.2" customHeight="1">
      <c r="A123" s="9">
        <v>8</v>
      </c>
      <c r="B123" s="148" t="s">
        <v>74</v>
      </c>
      <c r="C123" s="23">
        <f>L123/100*98</f>
        <v>499.79999999999995</v>
      </c>
      <c r="D123" s="24">
        <f>C123/100*139</f>
        <v>694.72199999999987</v>
      </c>
      <c r="E123" s="25">
        <f>C123/100*19</f>
        <v>94.961999999999989</v>
      </c>
      <c r="F123" s="25"/>
      <c r="G123" s="25">
        <f>C123/100*7</f>
        <v>34.985999999999997</v>
      </c>
      <c r="H123" s="25"/>
      <c r="I123" s="25"/>
      <c r="J123" s="25">
        <f>C123/100*7</f>
        <v>34.985999999999997</v>
      </c>
      <c r="K123" s="25">
        <f>C123/100*0.9</f>
        <v>4.4981999999999998</v>
      </c>
      <c r="L123" s="137">
        <v>510</v>
      </c>
      <c r="M123" s="75">
        <v>137</v>
      </c>
      <c r="N123" s="28">
        <f t="shared" si="7"/>
        <v>69870</v>
      </c>
      <c r="O123" s="153"/>
    </row>
    <row r="124" spans="1:22" s="2" customFormat="1" ht="16.8" customHeight="1">
      <c r="A124" s="9">
        <v>9</v>
      </c>
      <c r="B124" s="5" t="s">
        <v>178</v>
      </c>
      <c r="C124" s="23">
        <f>L124/100*90</f>
        <v>1386</v>
      </c>
      <c r="D124" s="24">
        <f>C124/100*29</f>
        <v>401.94</v>
      </c>
      <c r="E124" s="25"/>
      <c r="F124" s="25">
        <f>C124/100*1.8</f>
        <v>24.948</v>
      </c>
      <c r="G124" s="25"/>
      <c r="H124" s="25">
        <f>C124/100*0.1</f>
        <v>1.3860000000000001</v>
      </c>
      <c r="I124" s="25">
        <f>C124/100*5.3</f>
        <v>73.457999999999998</v>
      </c>
      <c r="J124" s="25">
        <f>C124/100*48</f>
        <v>665.28</v>
      </c>
      <c r="K124" s="25">
        <f>C124/100*0.05</f>
        <v>0.69300000000000006</v>
      </c>
      <c r="L124" s="137">
        <v>1540</v>
      </c>
      <c r="M124" s="75">
        <v>13</v>
      </c>
      <c r="N124" s="28">
        <f t="shared" si="7"/>
        <v>20020</v>
      </c>
      <c r="O124" s="153"/>
    </row>
    <row r="125" spans="1:22" s="2" customFormat="1" ht="16.2" customHeight="1">
      <c r="A125" s="9">
        <v>10</v>
      </c>
      <c r="B125" s="6" t="s">
        <v>123</v>
      </c>
      <c r="C125" s="23"/>
      <c r="D125" s="24"/>
      <c r="E125" s="25"/>
      <c r="F125" s="25"/>
      <c r="G125" s="25"/>
      <c r="H125" s="25"/>
      <c r="I125" s="25"/>
      <c r="J125" s="25"/>
      <c r="K125" s="25"/>
      <c r="L125" s="26"/>
      <c r="M125" s="26"/>
      <c r="N125" s="28">
        <v>3950</v>
      </c>
      <c r="O125" s="153"/>
    </row>
    <row r="126" spans="1:22" s="2" customFormat="1" ht="16.2" customHeight="1">
      <c r="A126" s="21" t="s">
        <v>109</v>
      </c>
      <c r="B126" s="22"/>
      <c r="C126" s="34"/>
      <c r="D126" s="35">
        <f>SUM(D116:D125)</f>
        <v>13386.962</v>
      </c>
      <c r="E126" s="43"/>
      <c r="F126" s="43"/>
      <c r="G126" s="43"/>
      <c r="H126" s="43"/>
      <c r="I126" s="43"/>
      <c r="J126" s="43"/>
      <c r="K126" s="43"/>
      <c r="L126" s="44"/>
      <c r="M126" s="44"/>
      <c r="N126" s="193">
        <f>SUM(N116:N125)</f>
        <v>295512</v>
      </c>
      <c r="O126" s="153"/>
    </row>
    <row r="127" spans="1:22" ht="16.2" customHeight="1">
      <c r="A127" s="21" t="s">
        <v>36</v>
      </c>
      <c r="B127" s="22"/>
      <c r="C127" s="61"/>
      <c r="D127" s="48">
        <f>D126/D92</f>
        <v>234.85898245614035</v>
      </c>
      <c r="E127" s="48"/>
      <c r="F127" s="48"/>
      <c r="G127" s="48"/>
      <c r="H127" s="48"/>
      <c r="I127" s="48"/>
      <c r="J127" s="48"/>
      <c r="K127" s="48"/>
      <c r="L127" s="62"/>
      <c r="M127" s="47"/>
      <c r="N127" s="235"/>
      <c r="O127" s="4"/>
      <c r="P127" s="419"/>
      <c r="Q127" s="2"/>
      <c r="R127" s="2"/>
      <c r="S127" s="2"/>
      <c r="T127" s="2"/>
      <c r="U127" s="2"/>
      <c r="V127" s="2"/>
    </row>
    <row r="128" spans="1:22" ht="16.2" customHeight="1">
      <c r="A128" s="225" t="s">
        <v>49</v>
      </c>
      <c r="B128" s="226"/>
      <c r="C128" s="376" t="s">
        <v>151</v>
      </c>
      <c r="D128" s="20" t="s">
        <v>46</v>
      </c>
      <c r="E128" s="46"/>
      <c r="F128" s="46"/>
      <c r="G128" s="46"/>
      <c r="H128" s="46"/>
      <c r="I128" s="46"/>
      <c r="J128" s="48"/>
      <c r="K128" s="48"/>
      <c r="L128" s="47"/>
      <c r="M128" s="47"/>
      <c r="N128" s="177"/>
      <c r="O128" s="4"/>
      <c r="P128" s="2"/>
      <c r="Q128" s="2"/>
      <c r="R128" s="2"/>
      <c r="S128" s="2"/>
      <c r="T128" s="2"/>
      <c r="U128" s="2"/>
      <c r="V128" s="2"/>
    </row>
    <row r="129" spans="1:22" ht="16.2" customHeight="1">
      <c r="A129" s="227"/>
      <c r="B129" s="228"/>
      <c r="C129" s="19" t="s">
        <v>60</v>
      </c>
      <c r="D129" s="78">
        <f>D127*100/930</f>
        <v>25.253654027541973</v>
      </c>
      <c r="E129" s="46"/>
      <c r="F129" s="46"/>
      <c r="G129" s="46"/>
      <c r="H129" s="46"/>
      <c r="I129" s="46"/>
      <c r="J129" s="48"/>
      <c r="K129" s="48"/>
      <c r="L129" s="47"/>
      <c r="M129" s="47"/>
      <c r="N129" s="177"/>
      <c r="O129" s="4"/>
      <c r="P129" s="2"/>
      <c r="Q129" s="2"/>
      <c r="R129" s="2"/>
      <c r="S129" s="2"/>
      <c r="T129" s="2"/>
      <c r="U129" s="2"/>
      <c r="V129" s="2"/>
    </row>
    <row r="130" spans="1:22" ht="16.2" customHeight="1">
      <c r="A130" s="236" t="s">
        <v>35</v>
      </c>
      <c r="B130" s="236"/>
      <c r="C130" s="63"/>
      <c r="D130" s="64"/>
      <c r="E130" s="64"/>
      <c r="F130" s="64"/>
      <c r="G130" s="64"/>
      <c r="H130" s="64"/>
      <c r="I130" s="64"/>
      <c r="J130" s="64"/>
      <c r="K130" s="64"/>
      <c r="L130" s="65"/>
      <c r="M130" s="65"/>
      <c r="N130" s="66"/>
      <c r="O130" s="4"/>
      <c r="P130" s="2"/>
      <c r="Q130" s="2"/>
      <c r="R130" s="2"/>
      <c r="S130" s="2"/>
      <c r="T130" s="2"/>
      <c r="U130" s="2"/>
      <c r="V130" s="2"/>
    </row>
    <row r="131" spans="1:22" s="2" customFormat="1" ht="16.2" customHeight="1">
      <c r="A131" s="109">
        <v>1</v>
      </c>
      <c r="B131" s="154" t="s">
        <v>149</v>
      </c>
      <c r="C131" s="34">
        <f>L131/100*100</f>
        <v>969.99999999999989</v>
      </c>
      <c r="D131" s="110">
        <f>C131/100*487</f>
        <v>4723.8999999999996</v>
      </c>
      <c r="E131" s="36"/>
      <c r="F131" s="36">
        <f>C131/100*19.5</f>
        <v>189.14999999999998</v>
      </c>
      <c r="G131" s="36"/>
      <c r="H131" s="36">
        <f>C131/100*23.2</f>
        <v>225.03999999999996</v>
      </c>
      <c r="I131" s="36">
        <f>C131/100*46</f>
        <v>446.2</v>
      </c>
      <c r="J131" s="129">
        <f>C131/100*680</f>
        <v>6595.9999999999991</v>
      </c>
      <c r="K131" s="36">
        <f>C131/100*0.55</f>
        <v>5.335</v>
      </c>
      <c r="L131" s="37">
        <v>970</v>
      </c>
      <c r="M131" s="155">
        <v>260</v>
      </c>
      <c r="N131" s="111">
        <f t="shared" ref="N131" si="8">L131*M131</f>
        <v>252200</v>
      </c>
      <c r="O131" s="153"/>
      <c r="P131" s="3"/>
    </row>
    <row r="132" spans="1:22" ht="17.399999999999999" customHeight="1">
      <c r="A132" s="209" t="s">
        <v>0</v>
      </c>
      <c r="B132" s="212" t="s">
        <v>19</v>
      </c>
      <c r="C132" s="215" t="s">
        <v>8</v>
      </c>
      <c r="D132" s="215" t="s">
        <v>9</v>
      </c>
      <c r="E132" s="218" t="s">
        <v>11</v>
      </c>
      <c r="F132" s="219"/>
      <c r="G132" s="218" t="s">
        <v>43</v>
      </c>
      <c r="H132" s="219"/>
      <c r="I132" s="222" t="s">
        <v>16</v>
      </c>
      <c r="J132" s="222" t="s">
        <v>41</v>
      </c>
      <c r="K132" s="222" t="s">
        <v>42</v>
      </c>
      <c r="L132" s="222" t="s">
        <v>17</v>
      </c>
      <c r="M132" s="222" t="s">
        <v>40</v>
      </c>
      <c r="N132" s="209" t="s">
        <v>18</v>
      </c>
      <c r="O132" s="373"/>
    </row>
    <row r="133" spans="1:22" ht="17.399999999999999" customHeight="1">
      <c r="A133" s="210"/>
      <c r="B133" s="213"/>
      <c r="C133" s="216"/>
      <c r="D133" s="216"/>
      <c r="E133" s="220"/>
      <c r="F133" s="221"/>
      <c r="G133" s="220"/>
      <c r="H133" s="221"/>
      <c r="I133" s="223"/>
      <c r="J133" s="223"/>
      <c r="K133" s="223"/>
      <c r="L133" s="223"/>
      <c r="M133" s="223"/>
      <c r="N133" s="210"/>
      <c r="O133" s="176"/>
    </row>
    <row r="134" spans="1:22" ht="17.399999999999999" customHeight="1">
      <c r="A134" s="210"/>
      <c r="B134" s="213"/>
      <c r="C134" s="216"/>
      <c r="D134" s="216"/>
      <c r="E134" s="222" t="s">
        <v>10</v>
      </c>
      <c r="F134" s="222" t="s">
        <v>12</v>
      </c>
      <c r="G134" s="222" t="s">
        <v>14</v>
      </c>
      <c r="H134" s="222" t="s">
        <v>15</v>
      </c>
      <c r="I134" s="223"/>
      <c r="J134" s="223"/>
      <c r="K134" s="223"/>
      <c r="L134" s="223"/>
      <c r="M134" s="223"/>
      <c r="N134" s="210"/>
      <c r="O134" s="176"/>
    </row>
    <row r="135" spans="1:22" ht="17.399999999999999" customHeight="1">
      <c r="A135" s="211"/>
      <c r="B135" s="214"/>
      <c r="C135" s="217"/>
      <c r="D135" s="217"/>
      <c r="E135" s="224"/>
      <c r="F135" s="224"/>
      <c r="G135" s="224"/>
      <c r="H135" s="224"/>
      <c r="I135" s="224"/>
      <c r="J135" s="224"/>
      <c r="K135" s="224"/>
      <c r="L135" s="224"/>
      <c r="M135" s="224"/>
      <c r="N135" s="211"/>
      <c r="O135" s="176"/>
    </row>
    <row r="136" spans="1:22" s="2" customFormat="1" ht="21.6" customHeight="1">
      <c r="A136" s="237" t="s">
        <v>110</v>
      </c>
      <c r="B136" s="237"/>
      <c r="C136" s="34"/>
      <c r="D136" s="35">
        <f>SUM(D131:D131)</f>
        <v>4723.8999999999996</v>
      </c>
      <c r="E136" s="43"/>
      <c r="F136" s="43"/>
      <c r="G136" s="43"/>
      <c r="H136" s="43"/>
      <c r="I136" s="43"/>
      <c r="J136" s="43"/>
      <c r="K136" s="43"/>
      <c r="L136" s="44"/>
      <c r="M136" s="67"/>
      <c r="N136" s="193">
        <f>SUM(N131:N131)</f>
        <v>252200</v>
      </c>
      <c r="O136" s="153"/>
    </row>
    <row r="137" spans="1:22" ht="21.6" customHeight="1">
      <c r="A137" s="237" t="s">
        <v>7</v>
      </c>
      <c r="B137" s="237"/>
      <c r="C137" s="45"/>
      <c r="D137" s="46">
        <f>D136/D92</f>
        <v>82.875438596491222</v>
      </c>
      <c r="E137" s="46"/>
      <c r="F137" s="46"/>
      <c r="G137" s="46"/>
      <c r="H137" s="46"/>
      <c r="I137" s="46"/>
      <c r="J137" s="46"/>
      <c r="K137" s="46"/>
      <c r="L137" s="47"/>
      <c r="M137" s="68"/>
      <c r="N137" s="194"/>
      <c r="O137" s="4"/>
      <c r="P137" s="2"/>
      <c r="Q137" s="2"/>
      <c r="R137" s="2"/>
      <c r="S137" s="2"/>
      <c r="T137" s="2"/>
      <c r="U137" s="2"/>
      <c r="V137" s="2"/>
    </row>
    <row r="138" spans="1:22" ht="21.6" customHeight="1">
      <c r="A138" s="225" t="s">
        <v>47</v>
      </c>
      <c r="B138" s="226"/>
      <c r="C138" s="376" t="s">
        <v>151</v>
      </c>
      <c r="D138" s="20" t="s">
        <v>50</v>
      </c>
      <c r="E138" s="46"/>
      <c r="F138" s="46"/>
      <c r="G138" s="46"/>
      <c r="H138" s="46"/>
      <c r="I138" s="46"/>
      <c r="J138" s="48"/>
      <c r="K138" s="48"/>
      <c r="L138" s="47"/>
      <c r="M138" s="47"/>
      <c r="N138" s="177"/>
      <c r="O138" s="4"/>
      <c r="P138" s="2"/>
      <c r="Q138" s="2"/>
      <c r="R138" s="2"/>
      <c r="S138" s="2"/>
      <c r="T138" s="2"/>
      <c r="U138" s="2"/>
      <c r="V138" s="2"/>
    </row>
    <row r="139" spans="1:22" ht="21.6" customHeight="1">
      <c r="A139" s="227"/>
      <c r="B139" s="228"/>
      <c r="C139" s="19" t="s">
        <v>59</v>
      </c>
      <c r="D139" s="20">
        <f>D137*100/930</f>
        <v>8.9113374834936803</v>
      </c>
      <c r="E139" s="46"/>
      <c r="F139" s="46"/>
      <c r="G139" s="46"/>
      <c r="H139" s="46"/>
      <c r="I139" s="46"/>
      <c r="J139" s="48"/>
      <c r="K139" s="48"/>
      <c r="L139" s="47"/>
      <c r="M139" s="47"/>
      <c r="N139" s="177"/>
      <c r="O139" s="4"/>
      <c r="P139" s="2"/>
      <c r="Q139" s="2"/>
      <c r="R139" s="2"/>
      <c r="S139" s="2"/>
      <c r="T139" s="2"/>
      <c r="U139" s="2"/>
      <c r="V139" s="2"/>
    </row>
    <row r="140" spans="1:22" ht="21.6" customHeight="1">
      <c r="A140" s="286" t="s">
        <v>111</v>
      </c>
      <c r="B140" s="287"/>
      <c r="C140" s="290"/>
      <c r="D140" s="292">
        <f>D111+D126+D136</f>
        <v>35615.716999999997</v>
      </c>
      <c r="E140" s="7">
        <f t="shared" ref="E140:K140" si="9">SUM(E98:E131)</f>
        <v>946.59040000000005</v>
      </c>
      <c r="F140" s="7">
        <f t="shared" si="9"/>
        <v>688.06489999999985</v>
      </c>
      <c r="G140" s="7">
        <f t="shared" si="9"/>
        <v>865.21360000000004</v>
      </c>
      <c r="H140" s="7">
        <f t="shared" si="9"/>
        <v>362.59339999999997</v>
      </c>
      <c r="I140" s="254">
        <f t="shared" si="9"/>
        <v>4354.0745999999999</v>
      </c>
      <c r="J140" s="254">
        <f t="shared" si="9"/>
        <v>13731.351999999999</v>
      </c>
      <c r="K140" s="284">
        <f t="shared" si="9"/>
        <v>21.923920000000003</v>
      </c>
      <c r="L140" s="268"/>
      <c r="M140" s="268"/>
      <c r="N140" s="260">
        <f>N111+N126+N136</f>
        <v>1254760</v>
      </c>
      <c r="U140" s="12"/>
      <c r="V140" s="12"/>
    </row>
    <row r="141" spans="1:22" ht="21.6" customHeight="1">
      <c r="A141" s="288"/>
      <c r="B141" s="289"/>
      <c r="C141" s="291"/>
      <c r="D141" s="259"/>
      <c r="E141" s="282">
        <f>E140+F140</f>
        <v>1634.6552999999999</v>
      </c>
      <c r="F141" s="283"/>
      <c r="G141" s="282">
        <f>G140+H140</f>
        <v>1227.807</v>
      </c>
      <c r="H141" s="283"/>
      <c r="I141" s="256"/>
      <c r="J141" s="256"/>
      <c r="K141" s="285"/>
      <c r="L141" s="268"/>
      <c r="M141" s="268"/>
      <c r="N141" s="261"/>
      <c r="U141" s="12"/>
      <c r="V141" s="12"/>
    </row>
    <row r="142" spans="1:22" ht="21.6" customHeight="1">
      <c r="A142" s="269" t="s">
        <v>77</v>
      </c>
      <c r="B142" s="270"/>
      <c r="C142" s="271"/>
      <c r="D142" s="133">
        <f>D140/D92</f>
        <v>624.83714035087712</v>
      </c>
      <c r="E142" s="400">
        <f>E140/D92</f>
        <v>16.60684912280702</v>
      </c>
      <c r="F142" s="399">
        <f>F140/D92</f>
        <v>12.071314035087717</v>
      </c>
      <c r="G142" s="400">
        <f>G140/D92</f>
        <v>15.179185964912282</v>
      </c>
      <c r="H142" s="399">
        <f>H140/D92</f>
        <v>6.3612877192982449</v>
      </c>
      <c r="I142" s="264">
        <f>I140/D92</f>
        <v>76.387273684210527</v>
      </c>
      <c r="J142" s="300">
        <f>J140/D92</f>
        <v>240.90091228070173</v>
      </c>
      <c r="K142" s="300">
        <f>K140/D92</f>
        <v>0.38463017543859651</v>
      </c>
      <c r="L142" s="268"/>
      <c r="M142" s="268"/>
      <c r="N142" s="261"/>
      <c r="P142" s="368"/>
      <c r="Q142" s="420"/>
      <c r="R142" s="420"/>
      <c r="S142" s="420"/>
      <c r="T142" s="420"/>
      <c r="U142" s="421"/>
      <c r="V142" s="368"/>
    </row>
    <row r="143" spans="1:22" ht="21.6" customHeight="1">
      <c r="A143" s="272"/>
      <c r="B143" s="273"/>
      <c r="C143" s="274"/>
      <c r="D143" s="127"/>
      <c r="E143" s="381">
        <f>E142+F142</f>
        <v>28.678163157894737</v>
      </c>
      <c r="F143" s="382"/>
      <c r="G143" s="381">
        <f>G142+H142</f>
        <v>21.540473684210525</v>
      </c>
      <c r="H143" s="382"/>
      <c r="I143" s="265"/>
      <c r="J143" s="301"/>
      <c r="K143" s="301"/>
      <c r="L143" s="268"/>
      <c r="M143" s="268"/>
      <c r="N143" s="261"/>
      <c r="P143" s="383"/>
      <c r="Q143" s="420"/>
      <c r="R143" s="420"/>
      <c r="S143" s="422"/>
      <c r="T143" s="422"/>
      <c r="U143" s="369"/>
      <c r="V143" s="368"/>
    </row>
    <row r="144" spans="1:22" ht="21.6" customHeight="1">
      <c r="A144" s="243" t="s">
        <v>80</v>
      </c>
      <c r="B144" s="275"/>
      <c r="C144" s="244"/>
      <c r="D144" s="179" t="s">
        <v>29</v>
      </c>
      <c r="E144" s="339" t="s">
        <v>24</v>
      </c>
      <c r="F144" s="339"/>
      <c r="G144" s="339" t="s">
        <v>25</v>
      </c>
      <c r="H144" s="339"/>
      <c r="I144" s="394" t="s">
        <v>26</v>
      </c>
      <c r="J144" s="174">
        <v>500</v>
      </c>
      <c r="K144" s="174">
        <v>0.5</v>
      </c>
      <c r="L144" s="268"/>
      <c r="M144" s="268"/>
      <c r="N144" s="261"/>
      <c r="O144" s="385"/>
      <c r="P144" s="368"/>
      <c r="Q144" s="369"/>
      <c r="R144" s="369"/>
      <c r="S144" s="369"/>
      <c r="T144" s="369"/>
      <c r="U144" s="368"/>
      <c r="V144" s="368"/>
    </row>
    <row r="145" spans="1:22" ht="21.6" customHeight="1">
      <c r="A145" s="243" t="s">
        <v>78</v>
      </c>
      <c r="B145" s="275"/>
      <c r="C145" s="244"/>
      <c r="D145" s="49"/>
      <c r="E145" s="276">
        <f>E143*4.1</f>
        <v>117.58046894736842</v>
      </c>
      <c r="F145" s="277"/>
      <c r="G145" s="276">
        <f>G143*9</f>
        <v>193.86426315789473</v>
      </c>
      <c r="H145" s="277"/>
      <c r="I145" s="85">
        <f>I142*4.1</f>
        <v>313.18782210526314</v>
      </c>
      <c r="J145" s="257"/>
      <c r="K145" s="257"/>
      <c r="L145" s="268"/>
      <c r="M145" s="268"/>
      <c r="N145" s="261"/>
      <c r="O145" s="385"/>
      <c r="P145" s="386"/>
      <c r="Q145" s="368"/>
      <c r="R145" s="368"/>
      <c r="S145" s="368"/>
      <c r="T145" s="368"/>
      <c r="U145" s="368"/>
      <c r="V145" s="368"/>
    </row>
    <row r="146" spans="1:22" ht="21.6" customHeight="1">
      <c r="A146" s="278" t="s">
        <v>81</v>
      </c>
      <c r="B146" s="279"/>
      <c r="C146" s="243" t="s">
        <v>59</v>
      </c>
      <c r="D146" s="244"/>
      <c r="E146" s="189">
        <f>E145*100/D142</f>
        <v>18.817778482460426</v>
      </c>
      <c r="F146" s="190"/>
      <c r="G146" s="189">
        <f>G145*100/D142</f>
        <v>31.026366814403875</v>
      </c>
      <c r="H146" s="190"/>
      <c r="I146" s="171">
        <f>I145*100/D142</f>
        <v>50.123112388836653</v>
      </c>
      <c r="J146" s="258"/>
      <c r="K146" s="258"/>
      <c r="L146" s="268"/>
      <c r="M146" s="268"/>
      <c r="N146" s="261"/>
      <c r="O146" s="385"/>
    </row>
    <row r="147" spans="1:22" ht="21.6" customHeight="1">
      <c r="A147" s="280"/>
      <c r="B147" s="281"/>
      <c r="C147" s="243" t="s">
        <v>79</v>
      </c>
      <c r="D147" s="244"/>
      <c r="E147" s="243" t="s">
        <v>82</v>
      </c>
      <c r="F147" s="244"/>
      <c r="G147" s="243" t="s">
        <v>85</v>
      </c>
      <c r="H147" s="244"/>
      <c r="I147" s="179" t="s">
        <v>86</v>
      </c>
      <c r="J147" s="259"/>
      <c r="K147" s="259"/>
      <c r="L147" s="268"/>
      <c r="M147" s="268"/>
      <c r="N147" s="262"/>
      <c r="O147" s="385"/>
      <c r="P147" s="132"/>
    </row>
    <row r="148" spans="1:22" ht="21.6" customHeight="1">
      <c r="A148" s="90"/>
      <c r="B148" s="93"/>
      <c r="C148" s="90"/>
      <c r="D148" s="90"/>
      <c r="E148" s="90"/>
      <c r="F148" s="90"/>
      <c r="G148" s="90"/>
      <c r="H148" s="90"/>
      <c r="I148" s="90"/>
      <c r="J148" s="90"/>
      <c r="K148" s="90"/>
      <c r="L148" s="91"/>
      <c r="M148" s="91"/>
      <c r="N148" s="92"/>
      <c r="O148" s="385"/>
      <c r="P148" s="132"/>
    </row>
    <row r="149" spans="1:22" ht="21" customHeight="1">
      <c r="A149" s="184" t="s">
        <v>114</v>
      </c>
      <c r="B149" s="184"/>
      <c r="C149" s="184"/>
      <c r="D149" s="184"/>
      <c r="E149" s="184"/>
      <c r="F149" s="184"/>
      <c r="G149" s="184"/>
      <c r="H149" s="184"/>
      <c r="I149" s="184"/>
      <c r="J149" s="184"/>
      <c r="K149" s="184"/>
      <c r="L149" s="184"/>
      <c r="M149" s="184"/>
      <c r="N149" s="184"/>
      <c r="O149" s="385"/>
    </row>
    <row r="150" spans="1:22" ht="21" customHeight="1">
      <c r="A150" s="117" t="s">
        <v>115</v>
      </c>
      <c r="B150" s="185" t="s">
        <v>116</v>
      </c>
      <c r="C150" s="185"/>
      <c r="D150" s="185"/>
      <c r="E150" s="185"/>
      <c r="F150" s="185"/>
      <c r="G150" s="185"/>
      <c r="H150" s="185"/>
      <c r="I150" s="185"/>
      <c r="J150" s="185"/>
      <c r="K150" s="185"/>
      <c r="L150" s="185"/>
      <c r="M150" s="185"/>
      <c r="N150" s="185"/>
      <c r="O150" s="385"/>
    </row>
    <row r="151" spans="1:22" ht="21" customHeight="1">
      <c r="A151" s="118"/>
      <c r="B151" s="186" t="s">
        <v>197</v>
      </c>
      <c r="C151" s="186"/>
      <c r="D151" s="186"/>
      <c r="E151" s="186"/>
      <c r="F151" s="186"/>
      <c r="G151" s="186"/>
      <c r="H151" s="186"/>
      <c r="I151" s="186"/>
      <c r="J151" s="186"/>
      <c r="K151" s="186"/>
      <c r="L151" s="186"/>
      <c r="M151" s="186"/>
      <c r="N151" s="186"/>
      <c r="O151" s="385"/>
    </row>
    <row r="152" spans="1:22" ht="21" customHeight="1">
      <c r="A152" s="118"/>
      <c r="B152" s="186" t="s">
        <v>192</v>
      </c>
      <c r="C152" s="186"/>
      <c r="D152" s="186"/>
      <c r="E152" s="186"/>
      <c r="F152" s="186"/>
      <c r="G152" s="186"/>
      <c r="H152" s="186"/>
      <c r="I152" s="186"/>
      <c r="J152" s="186"/>
      <c r="K152" s="186"/>
      <c r="L152" s="186"/>
      <c r="M152" s="186"/>
      <c r="N152" s="186"/>
      <c r="O152" s="385"/>
    </row>
    <row r="153" spans="1:22" ht="21" customHeight="1">
      <c r="A153" s="118"/>
      <c r="B153" s="186" t="s">
        <v>198</v>
      </c>
      <c r="C153" s="186"/>
      <c r="D153" s="186"/>
      <c r="E153" s="186"/>
      <c r="F153" s="186"/>
      <c r="G153" s="186"/>
      <c r="H153" s="186"/>
      <c r="I153" s="186"/>
      <c r="J153" s="186"/>
      <c r="K153" s="186"/>
      <c r="L153" s="186"/>
      <c r="M153" s="186"/>
      <c r="N153" s="186"/>
      <c r="O153" s="385"/>
    </row>
    <row r="154" spans="1:22" ht="21" customHeight="1">
      <c r="A154" s="90"/>
      <c r="B154" s="187" t="s">
        <v>135</v>
      </c>
      <c r="C154" s="187"/>
      <c r="D154" s="187"/>
      <c r="E154" s="187"/>
      <c r="F154" s="187"/>
      <c r="G154" s="187"/>
      <c r="H154" s="187"/>
      <c r="I154" s="187"/>
      <c r="J154" s="187"/>
      <c r="K154" s="187"/>
      <c r="L154" s="187"/>
      <c r="M154" s="187"/>
      <c r="N154" s="187"/>
      <c r="O154" s="385"/>
    </row>
    <row r="155" spans="1:22" ht="21" customHeight="1">
      <c r="A155" s="90"/>
      <c r="B155" s="90"/>
      <c r="C155" s="90"/>
      <c r="D155" s="90"/>
      <c r="E155" s="90"/>
      <c r="F155" s="90"/>
      <c r="G155" s="90"/>
      <c r="H155" s="90"/>
      <c r="I155" s="90"/>
      <c r="J155" s="90"/>
      <c r="K155" s="90"/>
      <c r="L155" s="94"/>
      <c r="M155" s="94"/>
      <c r="N155" s="95"/>
      <c r="O155" s="385"/>
    </row>
    <row r="156" spans="1:22" ht="21" customHeight="1">
      <c r="A156" s="188" t="s">
        <v>62</v>
      </c>
      <c r="B156" s="188"/>
      <c r="C156" s="188"/>
      <c r="D156" s="188"/>
      <c r="E156" s="387"/>
      <c r="F156" s="387"/>
      <c r="G156" s="387"/>
      <c r="H156" s="387"/>
      <c r="I156" s="387"/>
      <c r="J156" s="388" t="s">
        <v>33</v>
      </c>
      <c r="K156" s="388"/>
      <c r="L156" s="388"/>
      <c r="M156" s="388"/>
      <c r="N156" s="388"/>
      <c r="O156" s="385"/>
    </row>
    <row r="157" spans="1:22" ht="21" customHeight="1">
      <c r="A157" s="176"/>
      <c r="B157" s="176"/>
      <c r="C157" s="176"/>
      <c r="D157" s="387"/>
      <c r="E157" s="387"/>
      <c r="F157" s="387"/>
      <c r="G157" s="387"/>
      <c r="H157" s="389"/>
      <c r="I157" s="389"/>
      <c r="J157" s="389"/>
      <c r="K157" s="389"/>
      <c r="L157" s="389"/>
      <c r="M157" s="389"/>
      <c r="N157" s="389"/>
      <c r="O157" s="385"/>
    </row>
    <row r="158" spans="1:22" ht="21" customHeight="1">
      <c r="A158" s="176"/>
      <c r="B158" s="176"/>
      <c r="C158" s="176"/>
      <c r="D158" s="387"/>
      <c r="E158" s="387"/>
      <c r="F158" s="387"/>
      <c r="G158" s="387"/>
      <c r="H158" s="389"/>
      <c r="I158" s="389"/>
      <c r="J158" s="389"/>
      <c r="K158" s="389"/>
      <c r="L158" s="389"/>
      <c r="M158" s="389"/>
      <c r="N158" s="389"/>
      <c r="O158" s="385"/>
    </row>
    <row r="159" spans="1:22" ht="21" customHeight="1">
      <c r="A159" s="176"/>
      <c r="B159" s="176"/>
      <c r="C159" s="176"/>
      <c r="D159" s="387"/>
      <c r="E159" s="387"/>
      <c r="F159" s="387"/>
      <c r="G159" s="387"/>
      <c r="H159" s="389"/>
      <c r="I159" s="389"/>
      <c r="J159" s="390" t="s">
        <v>124</v>
      </c>
      <c r="K159" s="390"/>
      <c r="L159" s="390"/>
      <c r="M159" s="390"/>
      <c r="N159" s="390"/>
      <c r="O159" s="385"/>
    </row>
    <row r="160" spans="1:22" ht="21" customHeight="1">
      <c r="A160" s="180" t="s">
        <v>91</v>
      </c>
      <c r="B160" s="180"/>
      <c r="C160" s="180"/>
      <c r="D160" s="180"/>
      <c r="E160" s="387"/>
      <c r="F160" s="387"/>
      <c r="G160" s="387"/>
      <c r="H160" s="389"/>
      <c r="I160" s="389"/>
      <c r="J160" s="390"/>
      <c r="K160" s="390"/>
      <c r="L160" s="390"/>
      <c r="M160" s="390"/>
      <c r="N160" s="390"/>
      <c r="O160" s="385"/>
    </row>
    <row r="163" spans="10:14" ht="21.6" customHeight="1">
      <c r="J163" s="390" t="s">
        <v>127</v>
      </c>
      <c r="K163" s="390"/>
      <c r="L163" s="390"/>
      <c r="M163" s="390"/>
      <c r="N163" s="390"/>
    </row>
  </sheetData>
  <mergeCells count="207">
    <mergeCell ref="A90:D90"/>
    <mergeCell ref="J90:N90"/>
    <mergeCell ref="J159:N159"/>
    <mergeCell ref="J163:N163"/>
    <mergeCell ref="F1:N1"/>
    <mergeCell ref="F81:N81"/>
    <mergeCell ref="A4:N4"/>
    <mergeCell ref="A11:A14"/>
    <mergeCell ref="E11:F12"/>
    <mergeCell ref="G11:H12"/>
    <mergeCell ref="I11:I14"/>
    <mergeCell ref="N11:N14"/>
    <mergeCell ref="B11:B14"/>
    <mergeCell ref="C11:C14"/>
    <mergeCell ref="D11:D14"/>
    <mergeCell ref="L11:L14"/>
    <mergeCell ref="E13:E14"/>
    <mergeCell ref="E55:F55"/>
    <mergeCell ref="G55:H55"/>
    <mergeCell ref="F13:F14"/>
    <mergeCell ref="G13:G14"/>
    <mergeCell ref="H13:H14"/>
    <mergeCell ref="E56:F56"/>
    <mergeCell ref="G56:H56"/>
    <mergeCell ref="J53:J54"/>
    <mergeCell ref="E144:F144"/>
    <mergeCell ref="G144:H144"/>
    <mergeCell ref="A113:B114"/>
    <mergeCell ref="A128:B129"/>
    <mergeCell ref="K140:K141"/>
    <mergeCell ref="G54:H54"/>
    <mergeCell ref="I140:I141"/>
    <mergeCell ref="I142:I143"/>
    <mergeCell ref="E143:F143"/>
    <mergeCell ref="G143:H143"/>
    <mergeCell ref="A56:C56"/>
    <mergeCell ref="A57:B58"/>
    <mergeCell ref="G141:H141"/>
    <mergeCell ref="A140:B141"/>
    <mergeCell ref="C140:C141"/>
    <mergeCell ref="D140:D141"/>
    <mergeCell ref="E86:N86"/>
    <mergeCell ref="E87:I87"/>
    <mergeCell ref="J87:N87"/>
    <mergeCell ref="A132:A135"/>
    <mergeCell ref="J70:N70"/>
    <mergeCell ref="J74:N74"/>
    <mergeCell ref="A136:B136"/>
    <mergeCell ref="A137:B137"/>
    <mergeCell ref="A111:B111"/>
    <mergeCell ref="E93:F94"/>
    <mergeCell ref="G93:H94"/>
    <mergeCell ref="A97:N97"/>
    <mergeCell ref="I132:I135"/>
    <mergeCell ref="J132:J135"/>
    <mergeCell ref="K132:K135"/>
    <mergeCell ref="F134:F135"/>
    <mergeCell ref="G134:G135"/>
    <mergeCell ref="H134:H135"/>
    <mergeCell ref="B132:B135"/>
    <mergeCell ref="C132:C135"/>
    <mergeCell ref="D132:D135"/>
    <mergeCell ref="M132:M135"/>
    <mergeCell ref="U53:V53"/>
    <mergeCell ref="U54:V54"/>
    <mergeCell ref="A138:B139"/>
    <mergeCell ref="J142:J143"/>
    <mergeCell ref="K142:K143"/>
    <mergeCell ref="J140:J141"/>
    <mergeCell ref="C51:C52"/>
    <mergeCell ref="E54:F54"/>
    <mergeCell ref="E52:F52"/>
    <mergeCell ref="A51:B52"/>
    <mergeCell ref="L140:L147"/>
    <mergeCell ref="M140:M147"/>
    <mergeCell ref="N140:N147"/>
    <mergeCell ref="A142:C143"/>
    <mergeCell ref="A144:C144"/>
    <mergeCell ref="A145:C145"/>
    <mergeCell ref="E145:F145"/>
    <mergeCell ref="G145:H145"/>
    <mergeCell ref="J145:J147"/>
    <mergeCell ref="K145:K147"/>
    <mergeCell ref="A146:B147"/>
    <mergeCell ref="C146:D146"/>
    <mergeCell ref="E146:F146"/>
    <mergeCell ref="E141:F141"/>
    <mergeCell ref="Q53:R53"/>
    <mergeCell ref="S53:T53"/>
    <mergeCell ref="Q54:R54"/>
    <mergeCell ref="S54:T54"/>
    <mergeCell ref="L93:L96"/>
    <mergeCell ref="N93:N96"/>
    <mergeCell ref="L51:L58"/>
    <mergeCell ref="M51:M58"/>
    <mergeCell ref="J56:J58"/>
    <mergeCell ref="K56:K58"/>
    <mergeCell ref="J51:J52"/>
    <mergeCell ref="J93:J96"/>
    <mergeCell ref="K93:K96"/>
    <mergeCell ref="K51:K52"/>
    <mergeCell ref="N51:N58"/>
    <mergeCell ref="B64:N64"/>
    <mergeCell ref="B65:N65"/>
    <mergeCell ref="A67:D67"/>
    <mergeCell ref="J67:N67"/>
    <mergeCell ref="A71:D71"/>
    <mergeCell ref="J71:N71"/>
    <mergeCell ref="I51:I52"/>
    <mergeCell ref="K53:K54"/>
    <mergeCell ref="A86:D87"/>
    <mergeCell ref="A15:N15"/>
    <mergeCell ref="E95:E96"/>
    <mergeCell ref="A47:B47"/>
    <mergeCell ref="A48:B48"/>
    <mergeCell ref="N29:N30"/>
    <mergeCell ref="N47:N48"/>
    <mergeCell ref="E45:E46"/>
    <mergeCell ref="F45:F46"/>
    <mergeCell ref="G45:G46"/>
    <mergeCell ref="H45:H46"/>
    <mergeCell ref="C57:D57"/>
    <mergeCell ref="C58:D58"/>
    <mergeCell ref="E57:F57"/>
    <mergeCell ref="G57:H57"/>
    <mergeCell ref="E58:F58"/>
    <mergeCell ref="G52:H52"/>
    <mergeCell ref="A88:D88"/>
    <mergeCell ref="A49:B50"/>
    <mergeCell ref="E88:I91"/>
    <mergeCell ref="J88:N88"/>
    <mergeCell ref="F95:F96"/>
    <mergeCell ref="A53:C54"/>
    <mergeCell ref="A55:C55"/>
    <mergeCell ref="A33:B33"/>
    <mergeCell ref="N43:N46"/>
    <mergeCell ref="A89:D89"/>
    <mergeCell ref="J89:N89"/>
    <mergeCell ref="A91:D91"/>
    <mergeCell ref="J91:N91"/>
    <mergeCell ref="I93:I96"/>
    <mergeCell ref="E132:F133"/>
    <mergeCell ref="G132:H133"/>
    <mergeCell ref="M93:M96"/>
    <mergeCell ref="A92:C92"/>
    <mergeCell ref="G95:G96"/>
    <mergeCell ref="H95:H96"/>
    <mergeCell ref="N126:N127"/>
    <mergeCell ref="A130:B130"/>
    <mergeCell ref="A112:B112"/>
    <mergeCell ref="A115:B115"/>
    <mergeCell ref="A93:A96"/>
    <mergeCell ref="B93:B96"/>
    <mergeCell ref="C93:C96"/>
    <mergeCell ref="L132:L135"/>
    <mergeCell ref="N111:N112"/>
    <mergeCell ref="N132:N135"/>
    <mergeCell ref="E134:E135"/>
    <mergeCell ref="D93:D96"/>
    <mergeCell ref="E5:N5"/>
    <mergeCell ref="A5:D5"/>
    <mergeCell ref="A6:D6"/>
    <mergeCell ref="A7:D7"/>
    <mergeCell ref="A9:D9"/>
    <mergeCell ref="E6:I9"/>
    <mergeCell ref="J6:N9"/>
    <mergeCell ref="A43:A46"/>
    <mergeCell ref="B43:B46"/>
    <mergeCell ref="C43:C46"/>
    <mergeCell ref="D43:D46"/>
    <mergeCell ref="E43:F44"/>
    <mergeCell ref="G43:H44"/>
    <mergeCell ref="I43:I46"/>
    <mergeCell ref="J43:J46"/>
    <mergeCell ref="K43:K46"/>
    <mergeCell ref="M11:M14"/>
    <mergeCell ref="J11:J14"/>
    <mergeCell ref="K11:K14"/>
    <mergeCell ref="A31:B32"/>
    <mergeCell ref="A10:C10"/>
    <mergeCell ref="L43:L46"/>
    <mergeCell ref="M43:M46"/>
    <mergeCell ref="A8:D8"/>
    <mergeCell ref="A160:D160"/>
    <mergeCell ref="J160:N160"/>
    <mergeCell ref="I53:I54"/>
    <mergeCell ref="D51:D52"/>
    <mergeCell ref="A149:N149"/>
    <mergeCell ref="B150:N150"/>
    <mergeCell ref="B151:N151"/>
    <mergeCell ref="B152:N152"/>
    <mergeCell ref="B153:N153"/>
    <mergeCell ref="B154:N154"/>
    <mergeCell ref="A156:D156"/>
    <mergeCell ref="J156:N156"/>
    <mergeCell ref="G58:H58"/>
    <mergeCell ref="A60:N60"/>
    <mergeCell ref="B61:N61"/>
    <mergeCell ref="B62:N62"/>
    <mergeCell ref="B63:N63"/>
    <mergeCell ref="G146:H146"/>
    <mergeCell ref="C147:D147"/>
    <mergeCell ref="E147:F147"/>
    <mergeCell ref="G147:H147"/>
    <mergeCell ref="A84:N84"/>
    <mergeCell ref="A85:N85"/>
    <mergeCell ref="N136:N137"/>
  </mergeCells>
  <pageMargins left="0.25" right="8.3333333333333332E-3" top="0.44791666666666702" bottom="0.42708333333333298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158"/>
  <sheetViews>
    <sheetView workbookViewId="0">
      <selection activeCell="O1" sqref="O1"/>
    </sheetView>
  </sheetViews>
  <sheetFormatPr defaultColWidth="9.109375" defaultRowHeight="18" customHeight="1"/>
  <cols>
    <col min="1" max="1" width="4" style="1" customWidth="1"/>
    <col min="2" max="2" width="10.88671875" style="1" customWidth="1"/>
    <col min="3" max="3" width="6.6640625" style="1" customWidth="1"/>
    <col min="4" max="4" width="7.21875" style="1" customWidth="1"/>
    <col min="5" max="8" width="6.6640625" style="1" customWidth="1"/>
    <col min="9" max="9" width="7.77734375" style="1" customWidth="1"/>
    <col min="10" max="11" width="8.6640625" style="1" customWidth="1"/>
    <col min="12" max="12" width="6" style="1" customWidth="1"/>
    <col min="13" max="13" width="7" style="1" customWidth="1"/>
    <col min="14" max="14" width="7.33203125" style="1" customWidth="1"/>
    <col min="15" max="15" width="11.88671875" style="1" customWidth="1"/>
    <col min="16" max="16" width="9.109375" style="1"/>
    <col min="17" max="20" width="9.109375" style="1" customWidth="1"/>
    <col min="21" max="22" width="8.109375" style="1" customWidth="1"/>
    <col min="23" max="23" width="12.5546875" style="1" customWidth="1"/>
    <col min="24" max="16384" width="9.109375" style="1"/>
  </cols>
  <sheetData>
    <row r="1" spans="1:20" ht="22.2" customHeight="1">
      <c r="A1" s="11" t="s">
        <v>61</v>
      </c>
      <c r="B1" s="8"/>
      <c r="C1" s="8"/>
      <c r="D1" s="8"/>
      <c r="E1" s="8"/>
      <c r="F1" s="293" t="s">
        <v>31</v>
      </c>
      <c r="G1" s="293"/>
      <c r="H1" s="293"/>
      <c r="I1" s="293"/>
      <c r="J1" s="293"/>
      <c r="K1" s="293"/>
      <c r="L1" s="293"/>
      <c r="M1" s="293"/>
      <c r="N1" s="293"/>
      <c r="O1" s="371"/>
      <c r="P1" s="371"/>
      <c r="T1" s="2"/>
    </row>
    <row r="2" spans="1:20" ht="12" customHeight="1">
      <c r="A2" s="11"/>
      <c r="B2" s="8"/>
      <c r="C2" s="8"/>
      <c r="D2" s="8"/>
      <c r="E2" s="8"/>
      <c r="F2" s="173"/>
      <c r="G2" s="173"/>
      <c r="H2" s="173"/>
      <c r="I2" s="173"/>
      <c r="J2" s="173"/>
      <c r="K2" s="173"/>
      <c r="L2" s="173"/>
      <c r="M2" s="173"/>
      <c r="N2" s="173"/>
      <c r="O2" s="371"/>
      <c r="P2" s="371"/>
      <c r="T2" s="2"/>
    </row>
    <row r="3" spans="1:20" ht="22.2" customHeight="1">
      <c r="A3" s="8" t="s">
        <v>199</v>
      </c>
      <c r="B3" s="8"/>
      <c r="C3" s="8"/>
      <c r="D3" s="8"/>
      <c r="E3" s="8"/>
      <c r="F3" s="173"/>
      <c r="G3" s="173"/>
      <c r="H3" s="173"/>
      <c r="I3" s="173"/>
      <c r="J3" s="173"/>
      <c r="K3" s="173"/>
      <c r="L3" s="173"/>
      <c r="M3" s="173"/>
      <c r="N3" s="173"/>
      <c r="O3" s="371"/>
      <c r="P3" s="371"/>
      <c r="T3" s="2"/>
    </row>
    <row r="4" spans="1:20" ht="12" customHeight="1">
      <c r="A4" s="8"/>
      <c r="B4" s="8"/>
      <c r="C4" s="8"/>
      <c r="D4" s="8"/>
      <c r="E4" s="8"/>
      <c r="F4" s="173"/>
      <c r="G4" s="173"/>
      <c r="H4" s="173"/>
      <c r="I4" s="173"/>
      <c r="J4" s="173"/>
      <c r="K4" s="173"/>
      <c r="L4" s="173"/>
      <c r="M4" s="173"/>
      <c r="N4" s="173"/>
      <c r="O4" s="371"/>
      <c r="P4" s="371"/>
      <c r="T4" s="2"/>
    </row>
    <row r="5" spans="1:20" s="2" customFormat="1" ht="19.2" customHeight="1">
      <c r="A5" s="195" t="s">
        <v>97</v>
      </c>
      <c r="B5" s="195"/>
      <c r="C5" s="195"/>
      <c r="D5" s="195"/>
      <c r="E5" s="195" t="s">
        <v>98</v>
      </c>
      <c r="F5" s="195"/>
      <c r="G5" s="195"/>
      <c r="H5" s="195"/>
      <c r="I5" s="195"/>
      <c r="J5" s="195"/>
      <c r="K5" s="195"/>
      <c r="L5" s="195"/>
      <c r="M5" s="195"/>
      <c r="N5" s="195"/>
      <c r="O5" s="372"/>
    </row>
    <row r="6" spans="1:20" s="2" customFormat="1" ht="19.2" customHeight="1">
      <c r="A6" s="196" t="s">
        <v>90</v>
      </c>
      <c r="B6" s="196"/>
      <c r="C6" s="196"/>
      <c r="D6" s="196"/>
      <c r="E6" s="199" t="s">
        <v>148</v>
      </c>
      <c r="F6" s="199"/>
      <c r="G6" s="199"/>
      <c r="H6" s="199"/>
      <c r="I6" s="199"/>
      <c r="J6" s="200" t="s">
        <v>144</v>
      </c>
      <c r="K6" s="201"/>
      <c r="L6" s="201"/>
      <c r="M6" s="201"/>
      <c r="N6" s="202"/>
      <c r="O6" s="372"/>
    </row>
    <row r="7" spans="1:20" s="2" customFormat="1" ht="19.2" customHeight="1">
      <c r="A7" s="197" t="s">
        <v>134</v>
      </c>
      <c r="B7" s="197"/>
      <c r="C7" s="197"/>
      <c r="D7" s="197"/>
      <c r="E7" s="199"/>
      <c r="F7" s="199"/>
      <c r="G7" s="199"/>
      <c r="H7" s="199"/>
      <c r="I7" s="199"/>
      <c r="J7" s="203"/>
      <c r="K7" s="204"/>
      <c r="L7" s="204"/>
      <c r="M7" s="204"/>
      <c r="N7" s="205"/>
      <c r="O7" s="372"/>
    </row>
    <row r="8" spans="1:20" s="2" customFormat="1" ht="19.2" customHeight="1">
      <c r="A8" s="232" t="s">
        <v>156</v>
      </c>
      <c r="B8" s="233"/>
      <c r="C8" s="233"/>
      <c r="D8" s="234"/>
      <c r="E8" s="199"/>
      <c r="F8" s="199"/>
      <c r="G8" s="199"/>
      <c r="H8" s="199"/>
      <c r="I8" s="199"/>
      <c r="J8" s="203"/>
      <c r="K8" s="204"/>
      <c r="L8" s="204"/>
      <c r="M8" s="204"/>
      <c r="N8" s="205"/>
      <c r="O8" s="372"/>
    </row>
    <row r="9" spans="1:20" s="2" customFormat="1" ht="19.2" customHeight="1">
      <c r="A9" s="198" t="s">
        <v>166</v>
      </c>
      <c r="B9" s="198"/>
      <c r="C9" s="198"/>
      <c r="D9" s="198"/>
      <c r="E9" s="199"/>
      <c r="F9" s="199"/>
      <c r="G9" s="199"/>
      <c r="H9" s="199"/>
      <c r="I9" s="199"/>
      <c r="J9" s="206"/>
      <c r="K9" s="207"/>
      <c r="L9" s="207"/>
      <c r="M9" s="207"/>
      <c r="N9" s="208"/>
      <c r="O9" s="372"/>
    </row>
    <row r="10" spans="1:20" ht="19.2" customHeight="1">
      <c r="A10" s="229" t="s">
        <v>122</v>
      </c>
      <c r="B10" s="230"/>
      <c r="C10" s="231"/>
      <c r="D10" s="128">
        <v>213</v>
      </c>
      <c r="E10" s="8"/>
      <c r="F10" s="173"/>
      <c r="G10" s="173"/>
      <c r="H10" s="173"/>
      <c r="I10" s="173"/>
      <c r="J10" s="173"/>
      <c r="K10" s="173"/>
      <c r="L10" s="173"/>
      <c r="M10" s="173"/>
      <c r="N10" s="173"/>
      <c r="O10" s="371"/>
      <c r="P10" s="371"/>
      <c r="T10" s="2"/>
    </row>
    <row r="11" spans="1:20" ht="22.2" customHeight="1">
      <c r="A11" s="209" t="s">
        <v>0</v>
      </c>
      <c r="B11" s="212" t="s">
        <v>19</v>
      </c>
      <c r="C11" s="215" t="s">
        <v>8</v>
      </c>
      <c r="D11" s="215" t="s">
        <v>9</v>
      </c>
      <c r="E11" s="218" t="s">
        <v>11</v>
      </c>
      <c r="F11" s="219"/>
      <c r="G11" s="218" t="s">
        <v>13</v>
      </c>
      <c r="H11" s="219"/>
      <c r="I11" s="222" t="s">
        <v>16</v>
      </c>
      <c r="J11" s="222" t="s">
        <v>41</v>
      </c>
      <c r="K11" s="222" t="s">
        <v>42</v>
      </c>
      <c r="L11" s="222" t="s">
        <v>17</v>
      </c>
      <c r="M11" s="222" t="s">
        <v>40</v>
      </c>
      <c r="N11" s="209" t="s">
        <v>18</v>
      </c>
      <c r="O11" s="373"/>
    </row>
    <row r="12" spans="1:20" ht="22.2" customHeight="1">
      <c r="A12" s="210"/>
      <c r="B12" s="213"/>
      <c r="C12" s="216"/>
      <c r="D12" s="216"/>
      <c r="E12" s="220"/>
      <c r="F12" s="221"/>
      <c r="G12" s="220"/>
      <c r="H12" s="221"/>
      <c r="I12" s="223"/>
      <c r="J12" s="223"/>
      <c r="K12" s="223"/>
      <c r="L12" s="223"/>
      <c r="M12" s="223"/>
      <c r="N12" s="210"/>
      <c r="O12" s="176"/>
    </row>
    <row r="13" spans="1:20" ht="22.2" customHeight="1">
      <c r="A13" s="210"/>
      <c r="B13" s="213"/>
      <c r="C13" s="216"/>
      <c r="D13" s="216"/>
      <c r="E13" s="222" t="s">
        <v>10</v>
      </c>
      <c r="F13" s="222" t="s">
        <v>12</v>
      </c>
      <c r="G13" s="222" t="s">
        <v>14</v>
      </c>
      <c r="H13" s="222" t="s">
        <v>15</v>
      </c>
      <c r="I13" s="223"/>
      <c r="J13" s="223"/>
      <c r="K13" s="223"/>
      <c r="L13" s="223"/>
      <c r="M13" s="223"/>
      <c r="N13" s="210"/>
      <c r="O13" s="176"/>
    </row>
    <row r="14" spans="1:20" ht="22.2" customHeight="1">
      <c r="A14" s="211"/>
      <c r="B14" s="214"/>
      <c r="C14" s="217"/>
      <c r="D14" s="217"/>
      <c r="E14" s="224"/>
      <c r="F14" s="224"/>
      <c r="G14" s="224"/>
      <c r="H14" s="224"/>
      <c r="I14" s="224"/>
      <c r="J14" s="224"/>
      <c r="K14" s="224"/>
      <c r="L14" s="224"/>
      <c r="M14" s="224"/>
      <c r="N14" s="211"/>
      <c r="O14" s="176"/>
    </row>
    <row r="15" spans="1:20" ht="19.8" customHeight="1">
      <c r="A15" s="238" t="s">
        <v>34</v>
      </c>
      <c r="B15" s="239"/>
      <c r="C15" s="239"/>
      <c r="D15" s="239"/>
      <c r="E15" s="239"/>
      <c r="F15" s="239"/>
      <c r="G15" s="239"/>
      <c r="H15" s="239"/>
      <c r="I15" s="239"/>
      <c r="J15" s="239"/>
      <c r="K15" s="239"/>
      <c r="L15" s="239"/>
      <c r="M15" s="239"/>
      <c r="N15" s="240"/>
      <c r="O15" s="176"/>
    </row>
    <row r="16" spans="1:20" s="2" customFormat="1" ht="19.8" customHeight="1">
      <c r="A16" s="15">
        <v>1</v>
      </c>
      <c r="B16" s="16" t="s">
        <v>2</v>
      </c>
      <c r="C16" s="51">
        <f>L16/100*100</f>
        <v>280</v>
      </c>
      <c r="D16" s="52">
        <f>C16/100*60</f>
        <v>168</v>
      </c>
      <c r="E16" s="53">
        <f>C16/100*15</f>
        <v>42</v>
      </c>
      <c r="F16" s="53"/>
      <c r="G16" s="53"/>
      <c r="H16" s="53"/>
      <c r="I16" s="53"/>
      <c r="J16" s="96">
        <f>C16/100*387</f>
        <v>1083.5999999999999</v>
      </c>
      <c r="K16" s="96">
        <f>C16/100*0.09</f>
        <v>0.252</v>
      </c>
      <c r="L16" s="407">
        <v>280</v>
      </c>
      <c r="M16" s="77">
        <v>20</v>
      </c>
      <c r="N16" s="55">
        <f>L16*M16</f>
        <v>5600</v>
      </c>
      <c r="O16" s="375"/>
    </row>
    <row r="17" spans="1:20" s="2" customFormat="1" ht="19.8" customHeight="1">
      <c r="A17" s="9">
        <v>2</v>
      </c>
      <c r="B17" s="146" t="s">
        <v>141</v>
      </c>
      <c r="C17" s="23">
        <f>L17/100*100</f>
        <v>640</v>
      </c>
      <c r="D17" s="24">
        <f>C17/100*899</f>
        <v>5753.6</v>
      </c>
      <c r="E17" s="25"/>
      <c r="F17" s="25"/>
      <c r="G17" s="25">
        <f>C17/100*100</f>
        <v>640</v>
      </c>
      <c r="H17" s="25"/>
      <c r="I17" s="25"/>
      <c r="J17" s="27"/>
      <c r="K17" s="27"/>
      <c r="L17" s="137">
        <v>640</v>
      </c>
      <c r="M17" s="75">
        <v>68</v>
      </c>
      <c r="N17" s="28">
        <f t="shared" ref="N17" si="0">L17*M17</f>
        <v>43520</v>
      </c>
      <c r="O17" s="153"/>
    </row>
    <row r="18" spans="1:20" s="2" customFormat="1" ht="19.8" customHeight="1">
      <c r="A18" s="9">
        <v>3</v>
      </c>
      <c r="B18" s="5" t="s">
        <v>1</v>
      </c>
      <c r="C18" s="23">
        <f>L18/100*100</f>
        <v>20235</v>
      </c>
      <c r="D18" s="120">
        <f>C18/100*344</f>
        <v>69608.399999999994</v>
      </c>
      <c r="E18" s="136"/>
      <c r="F18" s="119">
        <f>C18/100*7.9</f>
        <v>1598.5650000000001</v>
      </c>
      <c r="G18" s="136"/>
      <c r="H18" s="25">
        <f>C18/100*1</f>
        <v>202.35</v>
      </c>
      <c r="I18" s="119">
        <f>C18/100*72</f>
        <v>14569.199999999999</v>
      </c>
      <c r="J18" s="27">
        <f>C18/100*30</f>
        <v>6070.5</v>
      </c>
      <c r="K18" s="27">
        <f>C18/100*0.1</f>
        <v>20.234999999999999</v>
      </c>
      <c r="L18" s="137">
        <v>20235</v>
      </c>
      <c r="M18" s="77">
        <v>18</v>
      </c>
      <c r="N18" s="28">
        <f t="shared" ref="N18:N26" si="1">L18*M18</f>
        <v>364230</v>
      </c>
      <c r="O18" s="375"/>
    </row>
    <row r="19" spans="1:20" s="2" customFormat="1" ht="19.8" customHeight="1">
      <c r="A19" s="9">
        <v>4</v>
      </c>
      <c r="B19" s="5" t="s">
        <v>93</v>
      </c>
      <c r="C19" s="23">
        <f>L19/100*81.7</f>
        <v>6102.9900000000007</v>
      </c>
      <c r="D19" s="24">
        <f>C19/100*27</f>
        <v>1647.8073000000002</v>
      </c>
      <c r="E19" s="29"/>
      <c r="F19" s="29">
        <f>C19/100*0.3</f>
        <v>18.308970000000002</v>
      </c>
      <c r="G19" s="29"/>
      <c r="H19" s="29">
        <f>C19/100*0.1</f>
        <v>6.102990000000001</v>
      </c>
      <c r="I19" s="29">
        <f>C19/100*6.1</f>
        <v>372.28239000000002</v>
      </c>
      <c r="J19" s="71">
        <f>C19/100*24</f>
        <v>1464.7176000000002</v>
      </c>
      <c r="K19" s="71">
        <f>C19/100*0.06</f>
        <v>3.661794</v>
      </c>
      <c r="L19" s="374">
        <v>7470</v>
      </c>
      <c r="M19" s="26">
        <v>22</v>
      </c>
      <c r="N19" s="28">
        <f t="shared" si="1"/>
        <v>164340</v>
      </c>
      <c r="O19" s="153"/>
      <c r="Q19" s="3"/>
      <c r="R19" s="3"/>
      <c r="S19" s="4"/>
    </row>
    <row r="20" spans="1:20" s="2" customFormat="1" ht="19.8" customHeight="1">
      <c r="A20" s="9">
        <v>5</v>
      </c>
      <c r="B20" s="5" t="s">
        <v>4</v>
      </c>
      <c r="C20" s="23">
        <f>L20/100*98.5</f>
        <v>2098.0500000000002</v>
      </c>
      <c r="D20" s="24">
        <f>C20/100*39</f>
        <v>818.23950000000013</v>
      </c>
      <c r="E20" s="29"/>
      <c r="F20" s="29">
        <f>C20/100*1.5</f>
        <v>31.470750000000002</v>
      </c>
      <c r="G20" s="29"/>
      <c r="H20" s="29">
        <f>C20/100*0.2</f>
        <v>4.1961000000000004</v>
      </c>
      <c r="I20" s="29">
        <f>C20/100*7.8</f>
        <v>163.64790000000002</v>
      </c>
      <c r="J20" s="29">
        <f>C20/100*43</f>
        <v>902.16150000000016</v>
      </c>
      <c r="K20" s="29">
        <f>C20/100*0.06</f>
        <v>1.2588300000000001</v>
      </c>
      <c r="L20" s="374">
        <v>2130</v>
      </c>
      <c r="M20" s="26">
        <v>17</v>
      </c>
      <c r="N20" s="28">
        <f t="shared" si="1"/>
        <v>36210</v>
      </c>
      <c r="O20" s="153"/>
      <c r="Q20" s="3"/>
      <c r="R20" s="3"/>
      <c r="S20" s="4"/>
    </row>
    <row r="21" spans="1:20" s="2" customFormat="1" ht="19.8" customHeight="1">
      <c r="A21" s="9">
        <v>6</v>
      </c>
      <c r="B21" s="5" t="s">
        <v>75</v>
      </c>
      <c r="C21" s="23">
        <f>L21/100*75</f>
        <v>1597.5</v>
      </c>
      <c r="D21" s="24">
        <f>C21/100*12</f>
        <v>191.7</v>
      </c>
      <c r="E21" s="25"/>
      <c r="F21" s="25">
        <f>C21/100*0.6</f>
        <v>9.5849999999999991</v>
      </c>
      <c r="G21" s="25"/>
      <c r="H21" s="25"/>
      <c r="I21" s="25">
        <f>C21/100*2.4</f>
        <v>38.339999999999996</v>
      </c>
      <c r="J21" s="25">
        <f>C21/100*26</f>
        <v>415.34999999999997</v>
      </c>
      <c r="K21" s="25">
        <f>C21/100*0.02</f>
        <v>0.31950000000000001</v>
      </c>
      <c r="L21" s="137">
        <v>2130</v>
      </c>
      <c r="M21" s="75">
        <v>25</v>
      </c>
      <c r="N21" s="28">
        <f t="shared" si="1"/>
        <v>53250</v>
      </c>
      <c r="O21" s="153"/>
    </row>
    <row r="22" spans="1:20" s="2" customFormat="1" ht="19.8" customHeight="1">
      <c r="A22" s="9">
        <v>7</v>
      </c>
      <c r="B22" s="5" t="s">
        <v>136</v>
      </c>
      <c r="C22" s="23">
        <f>L22/100*100</f>
        <v>210</v>
      </c>
      <c r="D22" s="24">
        <f>C22/100*247</f>
        <v>518.70000000000005</v>
      </c>
      <c r="E22" s="29"/>
      <c r="F22" s="29">
        <f>C22/100*17.5</f>
        <v>36.75</v>
      </c>
      <c r="G22" s="29"/>
      <c r="H22" s="29">
        <f>C22/100*1.6</f>
        <v>3.3600000000000003</v>
      </c>
      <c r="I22" s="29">
        <f>C22/100*39.2</f>
        <v>82.320000000000007</v>
      </c>
      <c r="J22" s="71"/>
      <c r="K22" s="71"/>
      <c r="L22" s="374">
        <v>210</v>
      </c>
      <c r="M22" s="75">
        <v>50</v>
      </c>
      <c r="N22" s="28">
        <f t="shared" si="1"/>
        <v>10500</v>
      </c>
      <c r="O22" s="153"/>
      <c r="Q22" s="3"/>
      <c r="R22" s="3"/>
      <c r="S22" s="4"/>
      <c r="T22" s="3"/>
    </row>
    <row r="23" spans="1:20" s="2" customFormat="1" ht="19.8" customHeight="1">
      <c r="A23" s="9">
        <v>8</v>
      </c>
      <c r="B23" s="5" t="s">
        <v>20</v>
      </c>
      <c r="C23" s="23">
        <f>L23/100*95</f>
        <v>2422.5</v>
      </c>
      <c r="D23" s="24">
        <f>C23/100*20</f>
        <v>484.5</v>
      </c>
      <c r="E23" s="25"/>
      <c r="F23" s="25">
        <f>C23/100*0.6</f>
        <v>14.535</v>
      </c>
      <c r="G23" s="25"/>
      <c r="H23" s="25">
        <f>C23/100*0.2</f>
        <v>4.8450000000000006</v>
      </c>
      <c r="I23" s="25">
        <f>C23/100*4</f>
        <v>96.9</v>
      </c>
      <c r="J23" s="71">
        <f>C23/100*12</f>
        <v>290.70000000000005</v>
      </c>
      <c r="K23" s="71">
        <f>C23/100*0.04</f>
        <v>0.96900000000000008</v>
      </c>
      <c r="L23" s="374">
        <v>2550</v>
      </c>
      <c r="M23" s="75">
        <v>22</v>
      </c>
      <c r="N23" s="28">
        <f t="shared" si="1"/>
        <v>56100</v>
      </c>
      <c r="O23" s="153"/>
      <c r="Q23" s="3"/>
      <c r="R23" s="3"/>
    </row>
    <row r="24" spans="1:20" s="2" customFormat="1" ht="19.8" customHeight="1">
      <c r="A24" s="9">
        <v>9</v>
      </c>
      <c r="B24" s="5" t="s">
        <v>69</v>
      </c>
      <c r="C24" s="23">
        <f>L24/100*48</f>
        <v>1867.1999999999998</v>
      </c>
      <c r="D24" s="24">
        <f>C24/100*199</f>
        <v>3715.7279999999996</v>
      </c>
      <c r="E24" s="25">
        <f>C24/100*20.3</f>
        <v>379.04159999999996</v>
      </c>
      <c r="F24" s="25"/>
      <c r="G24" s="25">
        <f>C24/100*13.1</f>
        <v>244.60319999999996</v>
      </c>
      <c r="H24" s="25"/>
      <c r="I24" s="25"/>
      <c r="J24" s="27">
        <f>C24/100*12</f>
        <v>224.06399999999996</v>
      </c>
      <c r="K24" s="27">
        <f>C24/100*0.15</f>
        <v>2.8007999999999993</v>
      </c>
      <c r="L24" s="137">
        <v>3890</v>
      </c>
      <c r="M24" s="26">
        <v>84</v>
      </c>
      <c r="N24" s="28">
        <f t="shared" si="1"/>
        <v>326760</v>
      </c>
      <c r="O24" s="153"/>
      <c r="Q24" s="3"/>
      <c r="R24" s="3"/>
      <c r="S24" s="4"/>
    </row>
    <row r="25" spans="1:20" s="2" customFormat="1" ht="19.8" customHeight="1">
      <c r="A25" s="9">
        <v>10</v>
      </c>
      <c r="B25" s="10" t="s">
        <v>74</v>
      </c>
      <c r="C25" s="23">
        <f>L25/100*98</f>
        <v>2087.4</v>
      </c>
      <c r="D25" s="24">
        <f>C25/100*139</f>
        <v>2901.4860000000003</v>
      </c>
      <c r="E25" s="25">
        <f>C25/100*19</f>
        <v>396.60600000000005</v>
      </c>
      <c r="F25" s="25"/>
      <c r="G25" s="25">
        <f>C25/100*7</f>
        <v>146.11800000000002</v>
      </c>
      <c r="H25" s="25"/>
      <c r="I25" s="25"/>
      <c r="J25" s="25">
        <f>C25/100*7</f>
        <v>146.11800000000002</v>
      </c>
      <c r="K25" s="25">
        <f>C25/100*0.9</f>
        <v>18.786600000000004</v>
      </c>
      <c r="L25" s="137">
        <v>2130</v>
      </c>
      <c r="M25" s="75">
        <v>137</v>
      </c>
      <c r="N25" s="28">
        <f t="shared" si="1"/>
        <v>291810</v>
      </c>
      <c r="O25" s="153"/>
    </row>
    <row r="26" spans="1:20" s="2" customFormat="1" ht="19.8" customHeight="1">
      <c r="A26" s="9">
        <v>11</v>
      </c>
      <c r="B26" s="5" t="s">
        <v>3</v>
      </c>
      <c r="C26" s="23">
        <f>L26/100*98</f>
        <v>6644.4</v>
      </c>
      <c r="D26" s="24">
        <f>C26/100*118</f>
        <v>7840.3920000000007</v>
      </c>
      <c r="E26" s="119">
        <f>C26/100*27</f>
        <v>1793.9880000000001</v>
      </c>
      <c r="F26" s="25"/>
      <c r="G26" s="25">
        <f>C26/100*3.8</f>
        <v>252.4872</v>
      </c>
      <c r="H26" s="25"/>
      <c r="I26" s="25"/>
      <c r="J26" s="71">
        <f>C26/100*12</f>
        <v>797.32799999999997</v>
      </c>
      <c r="K26" s="71">
        <f>C26/100*0.1</f>
        <v>6.644400000000001</v>
      </c>
      <c r="L26" s="374">
        <v>6780</v>
      </c>
      <c r="M26" s="77">
        <v>260</v>
      </c>
      <c r="N26" s="124">
        <f t="shared" si="1"/>
        <v>1762800</v>
      </c>
      <c r="O26" s="375"/>
      <c r="Q26" s="3"/>
      <c r="R26" s="3"/>
    </row>
    <row r="27" spans="1:20" s="2" customFormat="1" ht="19.8" customHeight="1">
      <c r="A27" s="9">
        <v>12</v>
      </c>
      <c r="B27" s="6" t="s">
        <v>123</v>
      </c>
      <c r="C27" s="23"/>
      <c r="D27" s="24"/>
      <c r="E27" s="25"/>
      <c r="F27" s="25"/>
      <c r="G27" s="25"/>
      <c r="H27" s="25"/>
      <c r="I27" s="25"/>
      <c r="J27" s="25"/>
      <c r="K27" s="25"/>
      <c r="L27" s="26"/>
      <c r="M27" s="26"/>
      <c r="N27" s="28">
        <v>15750</v>
      </c>
      <c r="O27" s="153"/>
    </row>
    <row r="28" spans="1:20" s="2" customFormat="1" ht="19.8" customHeight="1">
      <c r="A28" s="21" t="s">
        <v>105</v>
      </c>
      <c r="B28" s="22"/>
      <c r="C28" s="34"/>
      <c r="D28" s="121">
        <f>SUM(D16:D26)</f>
        <v>93648.552800000005</v>
      </c>
      <c r="E28" s="36"/>
      <c r="F28" s="36"/>
      <c r="G28" s="36"/>
      <c r="H28" s="36"/>
      <c r="I28" s="36"/>
      <c r="J28" s="36"/>
      <c r="K28" s="36"/>
      <c r="L28" s="37"/>
      <c r="M28" s="37"/>
      <c r="N28" s="241">
        <f>SUM(N16:N27)</f>
        <v>3130870</v>
      </c>
      <c r="O28" s="153"/>
    </row>
    <row r="29" spans="1:20" s="2" customFormat="1" ht="19.8" customHeight="1">
      <c r="A29" s="21" t="s">
        <v>6</v>
      </c>
      <c r="B29" s="22"/>
      <c r="C29" s="34"/>
      <c r="D29" s="35">
        <f>D28/D10</f>
        <v>439.66456713615025</v>
      </c>
      <c r="E29" s="36"/>
      <c r="F29" s="36"/>
      <c r="G29" s="36"/>
      <c r="H29" s="36"/>
      <c r="I29" s="36"/>
      <c r="J29" s="36"/>
      <c r="K29" s="36"/>
      <c r="L29" s="37"/>
      <c r="M29" s="37"/>
      <c r="N29" s="242"/>
      <c r="O29" s="153"/>
    </row>
    <row r="30" spans="1:20" s="2" customFormat="1" ht="19.8" customHeight="1">
      <c r="A30" s="294" t="s">
        <v>51</v>
      </c>
      <c r="B30" s="226"/>
      <c r="C30" s="376" t="s">
        <v>151</v>
      </c>
      <c r="D30" s="20" t="s">
        <v>45</v>
      </c>
      <c r="E30" s="36"/>
      <c r="F30" s="36"/>
      <c r="G30" s="36"/>
      <c r="H30" s="36"/>
      <c r="I30" s="36"/>
      <c r="J30" s="36"/>
      <c r="K30" s="36"/>
      <c r="L30" s="37"/>
      <c r="M30" s="37"/>
      <c r="N30" s="38"/>
      <c r="O30" s="153"/>
    </row>
    <row r="31" spans="1:20" s="2" customFormat="1" ht="19.8" customHeight="1">
      <c r="A31" s="227"/>
      <c r="B31" s="228"/>
      <c r="C31" s="76" t="s">
        <v>59</v>
      </c>
      <c r="D31" s="20">
        <f>D29*100/1320</f>
        <v>33.307921752738658</v>
      </c>
      <c r="E31" s="36"/>
      <c r="F31" s="36"/>
      <c r="G31" s="36"/>
      <c r="H31" s="36"/>
      <c r="I31" s="36"/>
      <c r="J31" s="36"/>
      <c r="K31" s="36"/>
      <c r="L31" s="37"/>
      <c r="M31" s="37"/>
      <c r="N31" s="38"/>
      <c r="O31" s="153"/>
    </row>
    <row r="32" spans="1:20" s="2" customFormat="1" ht="19.8" customHeight="1">
      <c r="A32" s="236" t="s">
        <v>35</v>
      </c>
      <c r="B32" s="236"/>
      <c r="C32" s="56"/>
      <c r="D32" s="57"/>
      <c r="E32" s="58"/>
      <c r="F32" s="58"/>
      <c r="G32" s="58"/>
      <c r="H32" s="58"/>
      <c r="I32" s="58"/>
      <c r="J32" s="58"/>
      <c r="K32" s="58"/>
      <c r="L32" s="59"/>
      <c r="M32" s="59"/>
      <c r="N32" s="69"/>
      <c r="O32" s="153"/>
    </row>
    <row r="33" spans="1:22" s="2" customFormat="1" ht="19.8" customHeight="1">
      <c r="A33" s="15">
        <v>1</v>
      </c>
      <c r="B33" s="6" t="s">
        <v>123</v>
      </c>
      <c r="C33" s="51"/>
      <c r="D33" s="52"/>
      <c r="E33" s="53"/>
      <c r="F33" s="53"/>
      <c r="G33" s="53"/>
      <c r="H33" s="53"/>
      <c r="I33" s="53"/>
      <c r="J33" s="53"/>
      <c r="K33" s="53"/>
      <c r="L33" s="54"/>
      <c r="M33" s="54"/>
      <c r="N33" s="55">
        <v>14100</v>
      </c>
      <c r="O33" s="153"/>
    </row>
    <row r="34" spans="1:22" s="2" customFormat="1" ht="19.8" customHeight="1">
      <c r="A34" s="9">
        <v>2</v>
      </c>
      <c r="B34" s="5" t="s">
        <v>1</v>
      </c>
      <c r="C34" s="23">
        <f t="shared" ref="C34:C39" si="2">L34/100*100</f>
        <v>3195</v>
      </c>
      <c r="D34" s="144">
        <f>C34/100*344</f>
        <v>10990.8</v>
      </c>
      <c r="E34" s="25"/>
      <c r="F34" s="25">
        <f>C34/100*7.9</f>
        <v>252.405</v>
      </c>
      <c r="G34" s="25"/>
      <c r="H34" s="25">
        <f>C34/100*1</f>
        <v>31.95</v>
      </c>
      <c r="I34" s="25">
        <f>C34/100*72</f>
        <v>2300.4</v>
      </c>
      <c r="J34" s="27">
        <f>C34/100*30</f>
        <v>958.5</v>
      </c>
      <c r="K34" s="27">
        <f>C34/100*0.1</f>
        <v>3.1950000000000003</v>
      </c>
      <c r="L34" s="137">
        <v>3195</v>
      </c>
      <c r="M34" s="77">
        <v>18</v>
      </c>
      <c r="N34" s="28">
        <f t="shared" ref="N34:N42" si="3">L34*M34</f>
        <v>57510</v>
      </c>
      <c r="O34" s="375"/>
    </row>
    <row r="35" spans="1:22" s="2" customFormat="1" ht="19.8" customHeight="1">
      <c r="A35" s="9">
        <v>3</v>
      </c>
      <c r="B35" s="5" t="s">
        <v>73</v>
      </c>
      <c r="C35" s="23">
        <f t="shared" si="2"/>
        <v>2130</v>
      </c>
      <c r="D35" s="24">
        <f>C35/100*344</f>
        <v>7327.2</v>
      </c>
      <c r="E35" s="25"/>
      <c r="F35" s="25">
        <f>C35/100*8.6</f>
        <v>183.18</v>
      </c>
      <c r="G35" s="25"/>
      <c r="H35" s="25">
        <f>C35/100*1.5</f>
        <v>31.950000000000003</v>
      </c>
      <c r="I35" s="25">
        <f>C35/100*74.5</f>
        <v>1586.8500000000001</v>
      </c>
      <c r="J35" s="25">
        <f>C35/100*32</f>
        <v>681.6</v>
      </c>
      <c r="K35" s="25">
        <f>C35/100*0.14</f>
        <v>2.9820000000000002</v>
      </c>
      <c r="L35" s="137">
        <v>2130</v>
      </c>
      <c r="M35" s="75">
        <v>30</v>
      </c>
      <c r="N35" s="28">
        <f t="shared" si="3"/>
        <v>63900</v>
      </c>
      <c r="O35" s="153"/>
      <c r="P35" s="18"/>
    </row>
    <row r="36" spans="1:22" s="2" customFormat="1" ht="19.8" customHeight="1">
      <c r="A36" s="9">
        <v>4</v>
      </c>
      <c r="B36" s="16" t="s">
        <v>2</v>
      </c>
      <c r="C36" s="51">
        <f t="shared" si="2"/>
        <v>260</v>
      </c>
      <c r="D36" s="52">
        <f>C36/100*60</f>
        <v>156</v>
      </c>
      <c r="E36" s="53">
        <f>C36/100*15</f>
        <v>39</v>
      </c>
      <c r="F36" s="53"/>
      <c r="G36" s="53"/>
      <c r="H36" s="53"/>
      <c r="I36" s="53"/>
      <c r="J36" s="96">
        <f>C36/100*387</f>
        <v>1006.2</v>
      </c>
      <c r="K36" s="96">
        <f>C36/100*0.09</f>
        <v>0.23399999999999999</v>
      </c>
      <c r="L36" s="407">
        <v>260</v>
      </c>
      <c r="M36" s="77">
        <v>20</v>
      </c>
      <c r="N36" s="28">
        <f t="shared" si="3"/>
        <v>5200</v>
      </c>
      <c r="O36" s="153"/>
    </row>
    <row r="37" spans="1:22" s="2" customFormat="1" ht="19.8" customHeight="1">
      <c r="A37" s="9">
        <v>5</v>
      </c>
      <c r="B37" s="5" t="s">
        <v>136</v>
      </c>
      <c r="C37" s="23">
        <f t="shared" si="2"/>
        <v>130</v>
      </c>
      <c r="D37" s="24">
        <f>C37/100*247</f>
        <v>321.10000000000002</v>
      </c>
      <c r="E37" s="29"/>
      <c r="F37" s="29">
        <f>C37/100*17.5</f>
        <v>22.75</v>
      </c>
      <c r="G37" s="29"/>
      <c r="H37" s="29">
        <f>C37/100*1.6</f>
        <v>2.08</v>
      </c>
      <c r="I37" s="29">
        <f>C37/100*39.2</f>
        <v>50.960000000000008</v>
      </c>
      <c r="J37" s="71"/>
      <c r="K37" s="71"/>
      <c r="L37" s="374">
        <v>130</v>
      </c>
      <c r="M37" s="75">
        <v>50</v>
      </c>
      <c r="N37" s="28">
        <f t="shared" si="3"/>
        <v>6500</v>
      </c>
      <c r="O37" s="153"/>
      <c r="Q37" s="3"/>
      <c r="R37" s="3"/>
      <c r="S37" s="4"/>
      <c r="T37" s="3"/>
    </row>
    <row r="38" spans="1:22" s="2" customFormat="1" ht="19.8" customHeight="1">
      <c r="A38" s="9">
        <v>6</v>
      </c>
      <c r="B38" s="79" t="s">
        <v>141</v>
      </c>
      <c r="C38" s="23">
        <f t="shared" si="2"/>
        <v>1490</v>
      </c>
      <c r="D38" s="120">
        <f>C38/100*899</f>
        <v>13395.1</v>
      </c>
      <c r="E38" s="25"/>
      <c r="F38" s="25"/>
      <c r="G38" s="119">
        <f>C38/100*99.6</f>
        <v>1484.04</v>
      </c>
      <c r="H38" s="25"/>
      <c r="I38" s="25"/>
      <c r="J38" s="25"/>
      <c r="K38" s="25"/>
      <c r="L38" s="137">
        <v>1490</v>
      </c>
      <c r="M38" s="24">
        <v>68</v>
      </c>
      <c r="N38" s="28">
        <f t="shared" si="3"/>
        <v>101320</v>
      </c>
      <c r="O38" s="377"/>
    </row>
    <row r="39" spans="1:22" s="2" customFormat="1" ht="19.8" customHeight="1">
      <c r="A39" s="9">
        <v>7</v>
      </c>
      <c r="B39" s="148" t="s">
        <v>146</v>
      </c>
      <c r="C39" s="23">
        <f t="shared" si="2"/>
        <v>210</v>
      </c>
      <c r="D39" s="120">
        <f>C39/100*900</f>
        <v>1890</v>
      </c>
      <c r="E39" s="25"/>
      <c r="F39" s="25"/>
      <c r="G39" s="119"/>
      <c r="H39" s="25">
        <f>C39/100*100</f>
        <v>210</v>
      </c>
      <c r="I39" s="25"/>
      <c r="J39" s="25"/>
      <c r="K39" s="25"/>
      <c r="L39" s="137">
        <v>210</v>
      </c>
      <c r="M39" s="75">
        <v>63.5</v>
      </c>
      <c r="N39" s="28">
        <f t="shared" si="3"/>
        <v>13335</v>
      </c>
      <c r="O39" s="377"/>
    </row>
    <row r="40" spans="1:22" s="2" customFormat="1" ht="19.8" customHeight="1">
      <c r="A40" s="9">
        <v>8</v>
      </c>
      <c r="B40" s="5" t="s">
        <v>4</v>
      </c>
      <c r="C40" s="23">
        <f>L40/100*98.5</f>
        <v>2098.0500000000002</v>
      </c>
      <c r="D40" s="24">
        <f>C40/100*39</f>
        <v>818.23950000000013</v>
      </c>
      <c r="E40" s="29"/>
      <c r="F40" s="29">
        <f>C40/100*1.5</f>
        <v>31.470750000000002</v>
      </c>
      <c r="G40" s="29"/>
      <c r="H40" s="29">
        <f>C40/100*0.2</f>
        <v>4.1961000000000004</v>
      </c>
      <c r="I40" s="29">
        <f>C40/100*7.8</f>
        <v>163.64790000000002</v>
      </c>
      <c r="J40" s="71">
        <f>C40/100*43</f>
        <v>902.16150000000016</v>
      </c>
      <c r="K40" s="71">
        <f>C40/100*0.06</f>
        <v>1.2588300000000001</v>
      </c>
      <c r="L40" s="374">
        <v>2130</v>
      </c>
      <c r="M40" s="26">
        <v>17</v>
      </c>
      <c r="N40" s="28">
        <f t="shared" si="3"/>
        <v>36210</v>
      </c>
      <c r="O40" s="153"/>
      <c r="Q40" s="3"/>
      <c r="R40" s="3"/>
      <c r="S40" s="4"/>
    </row>
    <row r="41" spans="1:22" s="2" customFormat="1" ht="19.8" customHeight="1">
      <c r="A41" s="9">
        <v>9</v>
      </c>
      <c r="B41" s="10" t="s">
        <v>64</v>
      </c>
      <c r="C41" s="23">
        <f>L41/100*40</f>
        <v>2004</v>
      </c>
      <c r="D41" s="24">
        <f>C41/100*276</f>
        <v>5531.04</v>
      </c>
      <c r="E41" s="25">
        <f>C41/100*17.8</f>
        <v>356.71199999999999</v>
      </c>
      <c r="F41" s="136"/>
      <c r="G41" s="25">
        <f>C41/100*21.8</f>
        <v>436.87200000000001</v>
      </c>
      <c r="H41" s="25"/>
      <c r="I41" s="25"/>
      <c r="J41" s="27">
        <f>C41/100*13</f>
        <v>260.52</v>
      </c>
      <c r="K41" s="27">
        <f>C41/100*0.07</f>
        <v>1.4028</v>
      </c>
      <c r="L41" s="137">
        <v>5010</v>
      </c>
      <c r="M41" s="75">
        <v>63</v>
      </c>
      <c r="N41" s="135">
        <f t="shared" si="3"/>
        <v>315630</v>
      </c>
      <c r="O41" s="153"/>
    </row>
    <row r="42" spans="1:22" s="2" customFormat="1" ht="19.8" customHeight="1">
      <c r="A42" s="103">
        <v>10</v>
      </c>
      <c r="B42" s="156" t="s">
        <v>149</v>
      </c>
      <c r="C42" s="104">
        <f>L42/100*100</f>
        <v>3620.0000000000005</v>
      </c>
      <c r="D42" s="167">
        <f>C42/100*487</f>
        <v>17629.400000000001</v>
      </c>
      <c r="E42" s="106"/>
      <c r="F42" s="106">
        <f>C42/100*19.5</f>
        <v>705.90000000000009</v>
      </c>
      <c r="G42" s="106"/>
      <c r="H42" s="106">
        <f>C42/100*23.2</f>
        <v>839.84</v>
      </c>
      <c r="I42" s="106">
        <f>C42/100*46</f>
        <v>1665.2</v>
      </c>
      <c r="J42" s="147">
        <f>C42/100*680</f>
        <v>24616.000000000004</v>
      </c>
      <c r="K42" s="106">
        <f>C42/100*0.55</f>
        <v>19.910000000000004</v>
      </c>
      <c r="L42" s="107">
        <v>3620</v>
      </c>
      <c r="M42" s="157">
        <v>260</v>
      </c>
      <c r="N42" s="108">
        <f t="shared" si="3"/>
        <v>941200</v>
      </c>
      <c r="O42" s="153"/>
      <c r="P42" s="3"/>
    </row>
    <row r="43" spans="1:22" ht="21.6" customHeight="1">
      <c r="A43" s="209" t="s">
        <v>0</v>
      </c>
      <c r="B43" s="212" t="s">
        <v>19</v>
      </c>
      <c r="C43" s="215" t="s">
        <v>8</v>
      </c>
      <c r="D43" s="215" t="s">
        <v>9</v>
      </c>
      <c r="E43" s="218" t="s">
        <v>11</v>
      </c>
      <c r="F43" s="219"/>
      <c r="G43" s="218" t="s">
        <v>13</v>
      </c>
      <c r="H43" s="219"/>
      <c r="I43" s="222" t="s">
        <v>16</v>
      </c>
      <c r="J43" s="222" t="s">
        <v>41</v>
      </c>
      <c r="K43" s="222" t="s">
        <v>42</v>
      </c>
      <c r="L43" s="222" t="s">
        <v>17</v>
      </c>
      <c r="M43" s="222" t="s">
        <v>40</v>
      </c>
      <c r="N43" s="209" t="s">
        <v>18</v>
      </c>
      <c r="O43" s="373"/>
    </row>
    <row r="44" spans="1:22" ht="21.6" customHeight="1">
      <c r="A44" s="210"/>
      <c r="B44" s="213"/>
      <c r="C44" s="216"/>
      <c r="D44" s="216"/>
      <c r="E44" s="220"/>
      <c r="F44" s="221"/>
      <c r="G44" s="220"/>
      <c r="H44" s="221"/>
      <c r="I44" s="223"/>
      <c r="J44" s="223"/>
      <c r="K44" s="223"/>
      <c r="L44" s="223"/>
      <c r="M44" s="223"/>
      <c r="N44" s="210"/>
      <c r="O44" s="176"/>
    </row>
    <row r="45" spans="1:22" ht="21.6" customHeight="1">
      <c r="A45" s="210"/>
      <c r="B45" s="213"/>
      <c r="C45" s="216"/>
      <c r="D45" s="216"/>
      <c r="E45" s="222" t="s">
        <v>10</v>
      </c>
      <c r="F45" s="222" t="s">
        <v>12</v>
      </c>
      <c r="G45" s="222" t="s">
        <v>14</v>
      </c>
      <c r="H45" s="222" t="s">
        <v>15</v>
      </c>
      <c r="I45" s="223"/>
      <c r="J45" s="223"/>
      <c r="K45" s="223"/>
      <c r="L45" s="223"/>
      <c r="M45" s="223"/>
      <c r="N45" s="210"/>
      <c r="O45" s="176"/>
    </row>
    <row r="46" spans="1:22" ht="21.6" customHeight="1">
      <c r="A46" s="211"/>
      <c r="B46" s="214"/>
      <c r="C46" s="217"/>
      <c r="D46" s="217"/>
      <c r="E46" s="224"/>
      <c r="F46" s="224"/>
      <c r="G46" s="224"/>
      <c r="H46" s="224"/>
      <c r="I46" s="224"/>
      <c r="J46" s="224"/>
      <c r="K46" s="224"/>
      <c r="L46" s="224"/>
      <c r="M46" s="224"/>
      <c r="N46" s="211"/>
      <c r="O46" s="176"/>
    </row>
    <row r="47" spans="1:22" s="2" customFormat="1" ht="21.6" customHeight="1">
      <c r="A47" s="21" t="s">
        <v>106</v>
      </c>
      <c r="B47" s="22"/>
      <c r="C47" s="34"/>
      <c r="D47" s="121">
        <f>SUM(D33:D42)</f>
        <v>58058.879500000003</v>
      </c>
      <c r="E47" s="43"/>
      <c r="F47" s="43"/>
      <c r="G47" s="43"/>
      <c r="H47" s="43"/>
      <c r="I47" s="43"/>
      <c r="J47" s="43"/>
      <c r="K47" s="43"/>
      <c r="L47" s="44"/>
      <c r="M47" s="44"/>
      <c r="N47" s="241">
        <f>SUM(N33:N42)</f>
        <v>1554905</v>
      </c>
      <c r="O47" s="153"/>
    </row>
    <row r="48" spans="1:22" ht="21.6" customHeight="1">
      <c r="A48" s="21" t="s">
        <v>7</v>
      </c>
      <c r="B48" s="22"/>
      <c r="C48" s="45"/>
      <c r="D48" s="72">
        <f>D47/D10</f>
        <v>272.57689906103286</v>
      </c>
      <c r="E48" s="46"/>
      <c r="F48" s="46"/>
      <c r="G48" s="46"/>
      <c r="H48" s="46"/>
      <c r="I48" s="46"/>
      <c r="J48" s="46"/>
      <c r="K48" s="46"/>
      <c r="L48" s="47"/>
      <c r="M48" s="47"/>
      <c r="N48" s="242"/>
      <c r="O48" s="4"/>
      <c r="P48" s="2"/>
      <c r="Q48" s="2"/>
      <c r="R48" s="2"/>
      <c r="S48" s="2"/>
      <c r="T48" s="2"/>
      <c r="U48" s="2"/>
      <c r="V48" s="2"/>
    </row>
    <row r="49" spans="1:23" ht="21.6" customHeight="1">
      <c r="A49" s="294" t="s">
        <v>52</v>
      </c>
      <c r="B49" s="226"/>
      <c r="C49" s="376" t="s">
        <v>151</v>
      </c>
      <c r="D49" s="20" t="s">
        <v>58</v>
      </c>
      <c r="E49" s="46"/>
      <c r="F49" s="46"/>
      <c r="G49" s="46"/>
      <c r="H49" s="46"/>
      <c r="I49" s="46"/>
      <c r="J49" s="48"/>
      <c r="K49" s="48"/>
      <c r="L49" s="47"/>
      <c r="M49" s="47"/>
      <c r="N49" s="177"/>
      <c r="O49" s="4"/>
      <c r="P49" s="2"/>
      <c r="Q49" s="2"/>
      <c r="R49" s="2"/>
      <c r="S49" s="2"/>
      <c r="T49" s="2"/>
      <c r="U49" s="2"/>
      <c r="V49" s="2"/>
      <c r="W49" s="2"/>
    </row>
    <row r="50" spans="1:23" ht="21.6" customHeight="1">
      <c r="A50" s="227"/>
      <c r="B50" s="228"/>
      <c r="C50" s="76" t="s">
        <v>60</v>
      </c>
      <c r="D50" s="20">
        <f>D48*100/1320</f>
        <v>20.649765080381275</v>
      </c>
      <c r="E50" s="46"/>
      <c r="F50" s="46"/>
      <c r="G50" s="46"/>
      <c r="H50" s="46"/>
      <c r="I50" s="46"/>
      <c r="J50" s="48"/>
      <c r="K50" s="48"/>
      <c r="L50" s="47"/>
      <c r="M50" s="47"/>
      <c r="N50" s="177"/>
      <c r="O50" s="4"/>
      <c r="P50" s="2"/>
      <c r="Q50" s="2"/>
      <c r="R50" s="2"/>
      <c r="S50" s="2"/>
      <c r="T50" s="2"/>
      <c r="U50" s="2"/>
      <c r="V50" s="2"/>
      <c r="W50" s="2"/>
    </row>
    <row r="51" spans="1:23" ht="21.6" customHeight="1">
      <c r="A51" s="286" t="s">
        <v>113</v>
      </c>
      <c r="B51" s="287"/>
      <c r="C51" s="290"/>
      <c r="D51" s="297">
        <f>D28+D47</f>
        <v>151707.43230000001</v>
      </c>
      <c r="E51" s="123">
        <f t="shared" ref="E51:K51" si="4">SUM(E16:E42)</f>
        <v>3007.3476000000001</v>
      </c>
      <c r="F51" s="123">
        <f t="shared" si="4"/>
        <v>2904.92047</v>
      </c>
      <c r="G51" s="123">
        <f t="shared" si="4"/>
        <v>3204.1203999999998</v>
      </c>
      <c r="H51" s="123">
        <f t="shared" si="4"/>
        <v>1340.8701900000001</v>
      </c>
      <c r="I51" s="254">
        <f t="shared" si="4"/>
        <v>21089.748189999998</v>
      </c>
      <c r="J51" s="284">
        <f t="shared" si="4"/>
        <v>39819.520600000003</v>
      </c>
      <c r="K51" s="284">
        <f t="shared" si="4"/>
        <v>83.910554000000019</v>
      </c>
      <c r="L51" s="284"/>
      <c r="M51" s="284"/>
      <c r="N51" s="260">
        <f>N28+N47</f>
        <v>4685775</v>
      </c>
      <c r="U51" s="12"/>
      <c r="V51" s="12"/>
    </row>
    <row r="52" spans="1:23" ht="21.6" customHeight="1">
      <c r="A52" s="288"/>
      <c r="B52" s="289"/>
      <c r="C52" s="291"/>
      <c r="D52" s="298"/>
      <c r="E52" s="282">
        <f>E51+F51</f>
        <v>5912.2680700000001</v>
      </c>
      <c r="F52" s="283"/>
      <c r="G52" s="282">
        <f>G51+H51</f>
        <v>4544.9905899999994</v>
      </c>
      <c r="H52" s="283"/>
      <c r="I52" s="256"/>
      <c r="J52" s="285"/>
      <c r="K52" s="285"/>
      <c r="L52" s="299"/>
      <c r="M52" s="299"/>
      <c r="N52" s="261"/>
      <c r="P52" s="368"/>
      <c r="Q52" s="370"/>
      <c r="R52" s="370"/>
      <c r="S52" s="370"/>
      <c r="T52" s="370"/>
      <c r="U52" s="380"/>
      <c r="V52" s="380"/>
    </row>
    <row r="53" spans="1:23" ht="21.6" customHeight="1">
      <c r="A53" s="248" t="s">
        <v>77</v>
      </c>
      <c r="B53" s="249"/>
      <c r="C53" s="250"/>
      <c r="D53" s="134">
        <f>D51/D10</f>
        <v>712.24146619718317</v>
      </c>
      <c r="E53" s="378">
        <f>E51/D10</f>
        <v>14.119002816901409</v>
      </c>
      <c r="F53" s="379">
        <f>F51/D10</f>
        <v>13.63812427230047</v>
      </c>
      <c r="G53" s="378">
        <f>G51/D10</f>
        <v>15.042818779342722</v>
      </c>
      <c r="H53" s="399">
        <f>H51/D10</f>
        <v>6.295165211267606</v>
      </c>
      <c r="I53" s="264">
        <f>I51/D10</f>
        <v>99.012902300469477</v>
      </c>
      <c r="J53" s="300">
        <f>J51/D10</f>
        <v>186.94610610328641</v>
      </c>
      <c r="K53" s="300">
        <f>K51/D10</f>
        <v>0.39394626291079821</v>
      </c>
      <c r="L53" s="299"/>
      <c r="M53" s="299"/>
      <c r="N53" s="261"/>
      <c r="P53" s="383"/>
      <c r="Q53" s="370"/>
      <c r="R53" s="370"/>
      <c r="S53" s="370"/>
      <c r="T53" s="370"/>
      <c r="U53" s="370"/>
      <c r="V53" s="370"/>
    </row>
    <row r="54" spans="1:23" ht="21.6" customHeight="1">
      <c r="A54" s="251"/>
      <c r="B54" s="252"/>
      <c r="C54" s="253"/>
      <c r="D54" s="127"/>
      <c r="E54" s="381">
        <f>E53+F53</f>
        <v>27.75712708920188</v>
      </c>
      <c r="F54" s="382"/>
      <c r="G54" s="381">
        <f>G53+H53</f>
        <v>21.337983990610329</v>
      </c>
      <c r="H54" s="382"/>
      <c r="I54" s="265"/>
      <c r="J54" s="301"/>
      <c r="K54" s="301"/>
      <c r="L54" s="299"/>
      <c r="M54" s="299"/>
      <c r="N54" s="261"/>
      <c r="P54" s="368"/>
      <c r="Q54" s="368"/>
      <c r="R54" s="368"/>
      <c r="S54" s="368"/>
      <c r="T54" s="368"/>
      <c r="U54" s="368"/>
      <c r="V54" s="368"/>
    </row>
    <row r="55" spans="1:23" ht="21.6" customHeight="1">
      <c r="A55" s="305" t="s">
        <v>80</v>
      </c>
      <c r="B55" s="306"/>
      <c r="C55" s="307"/>
      <c r="D55" s="179" t="s">
        <v>28</v>
      </c>
      <c r="E55" s="195" t="s">
        <v>21</v>
      </c>
      <c r="F55" s="195"/>
      <c r="G55" s="195" t="s">
        <v>22</v>
      </c>
      <c r="H55" s="195"/>
      <c r="I55" s="175" t="s">
        <v>23</v>
      </c>
      <c r="J55" s="384">
        <v>600</v>
      </c>
      <c r="K55" s="384">
        <v>0.7</v>
      </c>
      <c r="L55" s="299"/>
      <c r="M55" s="299"/>
      <c r="N55" s="261"/>
      <c r="O55" s="385"/>
      <c r="P55" s="368"/>
      <c r="Q55" s="368"/>
      <c r="R55" s="368"/>
      <c r="S55" s="368"/>
      <c r="T55" s="368"/>
      <c r="U55" s="368"/>
      <c r="V55" s="368"/>
    </row>
    <row r="56" spans="1:23" ht="21.6" customHeight="1">
      <c r="A56" s="243" t="s">
        <v>78</v>
      </c>
      <c r="B56" s="275"/>
      <c r="C56" s="244"/>
      <c r="D56" s="49"/>
      <c r="E56" s="276">
        <f>E54*4.1</f>
        <v>113.8042210657277</v>
      </c>
      <c r="F56" s="277"/>
      <c r="G56" s="276">
        <f>G54*9</f>
        <v>192.04185591549296</v>
      </c>
      <c r="H56" s="277"/>
      <c r="I56" s="85">
        <f>I53*4.1</f>
        <v>405.95289943192483</v>
      </c>
      <c r="J56" s="257"/>
      <c r="K56" s="257"/>
      <c r="L56" s="299"/>
      <c r="M56" s="299"/>
      <c r="N56" s="261"/>
      <c r="O56" s="385"/>
      <c r="P56" s="386"/>
      <c r="Q56" s="369"/>
      <c r="R56" s="369"/>
      <c r="S56" s="369"/>
      <c r="T56" s="369"/>
      <c r="U56" s="368"/>
      <c r="V56" s="368"/>
    </row>
    <row r="57" spans="1:23" ht="21.6" customHeight="1">
      <c r="A57" s="278" t="s">
        <v>81</v>
      </c>
      <c r="B57" s="279"/>
      <c r="C57" s="243" t="s">
        <v>59</v>
      </c>
      <c r="D57" s="244"/>
      <c r="E57" s="189">
        <f>E56*100/D53</f>
        <v>15.978320059537385</v>
      </c>
      <c r="F57" s="190"/>
      <c r="G57" s="189">
        <f>G56*100/D53</f>
        <v>26.963026589963579</v>
      </c>
      <c r="H57" s="190"/>
      <c r="I57" s="116">
        <f>I56*100/D53</f>
        <v>56.996526978329179</v>
      </c>
      <c r="J57" s="258"/>
      <c r="K57" s="258"/>
      <c r="L57" s="299"/>
      <c r="M57" s="299"/>
      <c r="N57" s="261"/>
      <c r="O57" s="385"/>
      <c r="P57" s="368"/>
      <c r="Q57" s="368"/>
      <c r="R57" s="368"/>
      <c r="S57" s="368"/>
      <c r="T57" s="368"/>
      <c r="U57" s="368"/>
      <c r="V57" s="368"/>
    </row>
    <row r="58" spans="1:23" ht="18" customHeight="1">
      <c r="A58" s="280"/>
      <c r="B58" s="281"/>
      <c r="C58" s="243" t="s">
        <v>79</v>
      </c>
      <c r="D58" s="244"/>
      <c r="E58" s="243" t="s">
        <v>82</v>
      </c>
      <c r="F58" s="244"/>
      <c r="G58" s="243" t="s">
        <v>83</v>
      </c>
      <c r="H58" s="244"/>
      <c r="I58" s="179" t="s">
        <v>84</v>
      </c>
      <c r="J58" s="259"/>
      <c r="K58" s="259"/>
      <c r="L58" s="285"/>
      <c r="M58" s="285"/>
      <c r="N58" s="262"/>
      <c r="O58" s="385"/>
    </row>
    <row r="59" spans="1:23" ht="21" customHeight="1">
      <c r="A59" s="90"/>
      <c r="B59" s="93"/>
      <c r="C59" s="90"/>
      <c r="D59" s="90"/>
      <c r="E59" s="90"/>
      <c r="F59" s="90"/>
      <c r="G59" s="90"/>
      <c r="H59" s="90"/>
      <c r="I59" s="90"/>
      <c r="J59" s="90"/>
      <c r="K59" s="90"/>
      <c r="L59" s="91"/>
      <c r="M59" s="91"/>
      <c r="N59" s="92"/>
      <c r="O59" s="385"/>
      <c r="P59" s="132"/>
    </row>
    <row r="60" spans="1:23" ht="21" customHeight="1">
      <c r="A60" s="184" t="s">
        <v>114</v>
      </c>
      <c r="B60" s="184"/>
      <c r="C60" s="184"/>
      <c r="D60" s="184"/>
      <c r="E60" s="184"/>
      <c r="F60" s="184"/>
      <c r="G60" s="184"/>
      <c r="H60" s="184"/>
      <c r="I60" s="184"/>
      <c r="J60" s="184"/>
      <c r="K60" s="184"/>
      <c r="L60" s="184"/>
      <c r="M60" s="184"/>
      <c r="N60" s="184"/>
      <c r="O60" s="385"/>
    </row>
    <row r="61" spans="1:23" ht="21" customHeight="1">
      <c r="A61" s="117" t="s">
        <v>115</v>
      </c>
      <c r="B61" s="185" t="s">
        <v>116</v>
      </c>
      <c r="C61" s="185"/>
      <c r="D61" s="185"/>
      <c r="E61" s="185"/>
      <c r="F61" s="185"/>
      <c r="G61" s="185"/>
      <c r="H61" s="185"/>
      <c r="I61" s="185"/>
      <c r="J61" s="185"/>
      <c r="K61" s="185"/>
      <c r="L61" s="185"/>
      <c r="M61" s="185"/>
      <c r="N61" s="185"/>
      <c r="O61" s="385"/>
    </row>
    <row r="62" spans="1:23" ht="21" customHeight="1">
      <c r="A62" s="118"/>
      <c r="B62" s="186" t="s">
        <v>200</v>
      </c>
      <c r="C62" s="186"/>
      <c r="D62" s="186"/>
      <c r="E62" s="186"/>
      <c r="F62" s="186"/>
      <c r="G62" s="186"/>
      <c r="H62" s="186"/>
      <c r="I62" s="186"/>
      <c r="J62" s="186"/>
      <c r="K62" s="186"/>
      <c r="L62" s="186"/>
      <c r="M62" s="186"/>
      <c r="N62" s="186"/>
      <c r="O62" s="385"/>
    </row>
    <row r="63" spans="1:23" ht="21" customHeight="1">
      <c r="A63" s="118"/>
      <c r="B63" s="186" t="s">
        <v>201</v>
      </c>
      <c r="C63" s="186"/>
      <c r="D63" s="186"/>
      <c r="E63" s="186"/>
      <c r="F63" s="186"/>
      <c r="G63" s="186"/>
      <c r="H63" s="186"/>
      <c r="I63" s="186"/>
      <c r="J63" s="186"/>
      <c r="K63" s="186"/>
      <c r="L63" s="186"/>
      <c r="M63" s="186"/>
      <c r="N63" s="186"/>
      <c r="O63" s="385"/>
    </row>
    <row r="64" spans="1:23" ht="21" customHeight="1">
      <c r="A64" s="118"/>
      <c r="B64" s="186" t="s">
        <v>198</v>
      </c>
      <c r="C64" s="186"/>
      <c r="D64" s="186"/>
      <c r="E64" s="186"/>
      <c r="F64" s="186"/>
      <c r="G64" s="186"/>
      <c r="H64" s="186"/>
      <c r="I64" s="186"/>
      <c r="J64" s="186"/>
      <c r="K64" s="186"/>
      <c r="L64" s="186"/>
      <c r="M64" s="186"/>
      <c r="N64" s="186"/>
      <c r="O64" s="385"/>
    </row>
    <row r="65" spans="1:15" ht="21" customHeight="1">
      <c r="A65" s="90"/>
      <c r="B65" s="187" t="s">
        <v>117</v>
      </c>
      <c r="C65" s="187"/>
      <c r="D65" s="187"/>
      <c r="E65" s="187"/>
      <c r="F65" s="187"/>
      <c r="G65" s="187"/>
      <c r="H65" s="187"/>
      <c r="I65" s="187"/>
      <c r="J65" s="187"/>
      <c r="K65" s="187"/>
      <c r="L65" s="187"/>
      <c r="M65" s="187"/>
      <c r="N65" s="187"/>
      <c r="O65" s="385"/>
    </row>
    <row r="66" spans="1:15" ht="21" customHeight="1">
      <c r="A66" s="90"/>
      <c r="B66" s="90"/>
      <c r="C66" s="90"/>
      <c r="D66" s="90"/>
      <c r="E66" s="90"/>
      <c r="F66" s="90"/>
      <c r="G66" s="90"/>
      <c r="H66" s="90"/>
      <c r="I66" s="90"/>
      <c r="J66" s="90"/>
      <c r="K66" s="90"/>
      <c r="L66" s="94"/>
      <c r="M66" s="94"/>
      <c r="N66" s="95"/>
      <c r="O66" s="385"/>
    </row>
    <row r="67" spans="1:15" ht="22.2" customHeight="1">
      <c r="A67" s="188" t="s">
        <v>62</v>
      </c>
      <c r="B67" s="188"/>
      <c r="C67" s="188"/>
      <c r="D67" s="188"/>
      <c r="E67" s="387"/>
      <c r="F67" s="387"/>
      <c r="G67" s="387"/>
      <c r="H67" s="387"/>
      <c r="I67" s="387"/>
      <c r="J67" s="388" t="s">
        <v>33</v>
      </c>
      <c r="K67" s="388"/>
      <c r="L67" s="388"/>
      <c r="M67" s="388"/>
      <c r="N67" s="388"/>
      <c r="O67" s="385"/>
    </row>
    <row r="68" spans="1:15" ht="22.2" customHeight="1">
      <c r="A68" s="176"/>
      <c r="B68" s="176"/>
      <c r="C68" s="176"/>
      <c r="D68" s="387"/>
      <c r="E68" s="387"/>
      <c r="F68" s="387"/>
      <c r="G68" s="387"/>
      <c r="H68" s="389"/>
      <c r="I68" s="389"/>
      <c r="J68" s="389"/>
      <c r="K68" s="389"/>
      <c r="L68" s="389"/>
      <c r="M68" s="389"/>
      <c r="N68" s="389"/>
      <c r="O68" s="385"/>
    </row>
    <row r="69" spans="1:15" ht="22.2" customHeight="1">
      <c r="A69" s="176"/>
      <c r="B69" s="176"/>
      <c r="C69" s="176"/>
      <c r="D69" s="387"/>
      <c r="E69" s="387"/>
      <c r="F69" s="387"/>
      <c r="G69" s="387"/>
      <c r="H69" s="389"/>
      <c r="I69" s="389"/>
      <c r="J69" s="389"/>
      <c r="K69" s="389"/>
      <c r="L69" s="389"/>
      <c r="M69" s="389"/>
      <c r="N69" s="389"/>
      <c r="O69" s="385"/>
    </row>
    <row r="70" spans="1:15" ht="22.2" customHeight="1">
      <c r="A70" s="176"/>
      <c r="B70" s="176"/>
      <c r="C70" s="176"/>
      <c r="D70" s="387"/>
      <c r="E70" s="387"/>
      <c r="F70" s="387"/>
      <c r="G70" s="387"/>
      <c r="H70" s="389"/>
      <c r="I70" s="389"/>
      <c r="J70" s="390" t="s">
        <v>124</v>
      </c>
      <c r="K70" s="390"/>
      <c r="L70" s="390"/>
      <c r="M70" s="390"/>
      <c r="N70" s="390"/>
      <c r="O70" s="385"/>
    </row>
    <row r="71" spans="1:15" ht="22.2" customHeight="1">
      <c r="A71" s="180" t="s">
        <v>91</v>
      </c>
      <c r="B71" s="180"/>
      <c r="C71" s="180"/>
      <c r="D71" s="180"/>
      <c r="E71" s="387"/>
      <c r="F71" s="387"/>
      <c r="G71" s="387"/>
      <c r="H71" s="389"/>
      <c r="I71" s="389"/>
      <c r="J71" s="390"/>
      <c r="K71" s="390"/>
      <c r="L71" s="390"/>
      <c r="M71" s="390"/>
      <c r="N71" s="390"/>
      <c r="O71" s="385"/>
    </row>
    <row r="72" spans="1:15" ht="22.2" customHeight="1">
      <c r="A72" s="176"/>
      <c r="B72" s="176"/>
      <c r="C72" s="176"/>
      <c r="D72" s="387"/>
      <c r="E72" s="387"/>
      <c r="F72" s="387"/>
      <c r="G72" s="387"/>
      <c r="H72" s="389"/>
      <c r="I72" s="389"/>
      <c r="J72" s="389"/>
      <c r="K72" s="389"/>
      <c r="L72" s="389"/>
      <c r="M72" s="389"/>
      <c r="N72" s="389"/>
      <c r="O72" s="385"/>
    </row>
    <row r="73" spans="1:15" ht="18" customHeight="1">
      <c r="A73" s="176"/>
      <c r="B73" s="176"/>
      <c r="C73" s="176"/>
      <c r="D73" s="387"/>
      <c r="E73" s="387"/>
      <c r="F73" s="387"/>
      <c r="G73" s="387"/>
      <c r="H73" s="389"/>
      <c r="I73" s="389"/>
      <c r="J73" s="390" t="s">
        <v>127</v>
      </c>
      <c r="K73" s="390"/>
      <c r="L73" s="390"/>
      <c r="M73" s="390"/>
      <c r="N73" s="390"/>
      <c r="O73" s="385"/>
    </row>
    <row r="74" spans="1:15" ht="18" customHeight="1">
      <c r="A74" s="176"/>
      <c r="B74" s="176"/>
      <c r="C74" s="176"/>
      <c r="D74" s="387"/>
      <c r="E74" s="387"/>
      <c r="F74" s="387"/>
      <c r="G74" s="387"/>
      <c r="H74" s="389"/>
      <c r="I74" s="389"/>
      <c r="J74" s="390"/>
      <c r="K74" s="390"/>
      <c r="L74" s="390"/>
      <c r="M74" s="390"/>
      <c r="N74" s="390"/>
      <c r="O74" s="385"/>
    </row>
    <row r="75" spans="1:15" ht="18" customHeight="1">
      <c r="A75" s="176"/>
      <c r="B75" s="176"/>
      <c r="C75" s="176"/>
      <c r="D75" s="387"/>
      <c r="E75" s="387"/>
      <c r="F75" s="387"/>
      <c r="G75" s="387"/>
      <c r="H75" s="389"/>
      <c r="I75" s="389"/>
      <c r="J75" s="389"/>
      <c r="K75" s="389"/>
      <c r="L75" s="389"/>
      <c r="M75" s="389"/>
      <c r="N75" s="389"/>
      <c r="O75" s="385"/>
    </row>
    <row r="76" spans="1:15" ht="18" customHeight="1">
      <c r="A76" s="176"/>
      <c r="B76" s="176"/>
      <c r="C76" s="176"/>
      <c r="D76" s="387"/>
      <c r="E76" s="387"/>
      <c r="F76" s="387"/>
      <c r="G76" s="387"/>
      <c r="H76" s="389"/>
      <c r="I76" s="389"/>
      <c r="J76" s="389"/>
      <c r="K76" s="389"/>
      <c r="L76" s="389"/>
      <c r="M76" s="389"/>
      <c r="N76" s="389"/>
      <c r="O76" s="385"/>
    </row>
    <row r="77" spans="1:15" ht="18" customHeight="1">
      <c r="A77" s="176"/>
      <c r="B77" s="176"/>
      <c r="C77" s="176"/>
      <c r="D77" s="387"/>
      <c r="E77" s="387"/>
      <c r="F77" s="387"/>
      <c r="G77" s="387"/>
      <c r="H77" s="389"/>
      <c r="I77" s="389"/>
      <c r="J77" s="389"/>
      <c r="K77" s="389"/>
      <c r="L77" s="389"/>
      <c r="M77" s="389"/>
      <c r="N77" s="389"/>
      <c r="O77" s="385"/>
    </row>
    <row r="78" spans="1:15" ht="18" customHeight="1">
      <c r="A78" s="176"/>
      <c r="B78" s="176"/>
      <c r="C78" s="176"/>
      <c r="D78" s="387"/>
      <c r="E78" s="387"/>
      <c r="F78" s="387"/>
      <c r="G78" s="387"/>
      <c r="H78" s="389"/>
      <c r="I78" s="389"/>
      <c r="J78" s="389"/>
      <c r="K78" s="389"/>
      <c r="L78" s="389"/>
      <c r="M78" s="389"/>
      <c r="N78" s="389"/>
      <c r="O78" s="385"/>
    </row>
    <row r="79" spans="1:15" ht="18" customHeight="1">
      <c r="A79" s="176"/>
      <c r="B79" s="176"/>
      <c r="C79" s="176"/>
      <c r="D79" s="387"/>
      <c r="E79" s="387"/>
      <c r="F79" s="387"/>
      <c r="G79" s="387"/>
      <c r="H79" s="389"/>
      <c r="I79" s="389"/>
      <c r="J79" s="389"/>
      <c r="K79" s="389"/>
      <c r="L79" s="389"/>
      <c r="M79" s="389"/>
      <c r="N79" s="389"/>
      <c r="O79" s="385"/>
    </row>
    <row r="80" spans="1:15" ht="18" customHeight="1">
      <c r="A80" s="176"/>
      <c r="B80" s="176"/>
      <c r="C80" s="176"/>
      <c r="D80" s="387"/>
      <c r="E80" s="387"/>
      <c r="F80" s="387"/>
      <c r="G80" s="387"/>
      <c r="H80" s="389"/>
      <c r="I80" s="389"/>
      <c r="J80" s="389"/>
      <c r="K80" s="389"/>
      <c r="L80" s="389"/>
      <c r="M80" s="389"/>
      <c r="N80" s="389"/>
      <c r="O80" s="385"/>
    </row>
    <row r="81" spans="1:20" ht="18" customHeight="1">
      <c r="A81" s="176"/>
      <c r="B81" s="176"/>
      <c r="C81" s="176"/>
      <c r="D81" s="387"/>
      <c r="E81" s="387"/>
      <c r="F81" s="387"/>
      <c r="G81" s="387"/>
      <c r="H81" s="389"/>
      <c r="I81" s="389"/>
      <c r="J81" s="389"/>
      <c r="K81" s="389"/>
      <c r="L81" s="389"/>
      <c r="M81" s="389"/>
      <c r="N81" s="389"/>
      <c r="O81" s="385"/>
    </row>
    <row r="82" spans="1:20" ht="19.2" customHeight="1">
      <c r="A82" s="176"/>
      <c r="B82" s="176"/>
      <c r="C82" s="176"/>
      <c r="D82" s="387"/>
      <c r="E82" s="387"/>
      <c r="F82" s="387"/>
      <c r="G82" s="387"/>
      <c r="H82" s="389"/>
      <c r="I82" s="389"/>
      <c r="J82" s="389"/>
      <c r="K82" s="389"/>
      <c r="L82" s="389"/>
      <c r="M82" s="389"/>
      <c r="N82" s="389"/>
      <c r="O82" s="385"/>
    </row>
    <row r="83" spans="1:20" ht="19.2" customHeight="1">
      <c r="A83" s="11" t="s">
        <v>61</v>
      </c>
      <c r="B83" s="8"/>
      <c r="C83" s="8"/>
      <c r="D83" s="8"/>
      <c r="E83" s="8"/>
      <c r="F83" s="293" t="s">
        <v>32</v>
      </c>
      <c r="G83" s="293"/>
      <c r="H83" s="293"/>
      <c r="I83" s="293"/>
      <c r="J83" s="293"/>
      <c r="K83" s="293"/>
      <c r="L83" s="293"/>
      <c r="M83" s="293"/>
      <c r="N83" s="293"/>
      <c r="O83" s="371"/>
      <c r="P83" s="371"/>
      <c r="T83" s="2"/>
    </row>
    <row r="84" spans="1:20" ht="11.4" customHeight="1">
      <c r="A84" s="11"/>
      <c r="B84" s="8"/>
      <c r="C84" s="8"/>
      <c r="D84" s="8"/>
      <c r="E84" s="8"/>
      <c r="F84" s="173"/>
      <c r="G84" s="173"/>
      <c r="H84" s="173"/>
      <c r="I84" s="173"/>
      <c r="J84" s="173"/>
      <c r="K84" s="173"/>
      <c r="L84" s="173"/>
      <c r="M84" s="173"/>
      <c r="N84" s="173"/>
      <c r="O84" s="371"/>
      <c r="P84" s="371"/>
      <c r="T84" s="2"/>
    </row>
    <row r="85" spans="1:20" ht="19.2" customHeight="1">
      <c r="A85" s="8" t="s">
        <v>199</v>
      </c>
      <c r="B85" s="8"/>
      <c r="C85" s="8"/>
      <c r="D85" s="8"/>
      <c r="E85" s="8"/>
      <c r="F85" s="173"/>
      <c r="G85" s="173"/>
      <c r="H85" s="173"/>
      <c r="I85" s="173"/>
      <c r="J85" s="173"/>
      <c r="K85" s="173"/>
      <c r="L85" s="173"/>
      <c r="M85" s="173"/>
      <c r="N85" s="173"/>
      <c r="O85" s="371"/>
      <c r="P85" s="371"/>
      <c r="T85" s="2"/>
    </row>
    <row r="86" spans="1:20" ht="10.8" customHeight="1">
      <c r="A86" s="8"/>
      <c r="B86" s="8"/>
      <c r="C86" s="8"/>
      <c r="D86" s="8"/>
      <c r="E86" s="8"/>
      <c r="F86" s="173"/>
      <c r="G86" s="173"/>
      <c r="H86" s="173"/>
      <c r="I86" s="173"/>
      <c r="J86" s="173"/>
      <c r="K86" s="173"/>
      <c r="L86" s="173"/>
      <c r="M86" s="173"/>
      <c r="N86" s="173"/>
      <c r="O86" s="371"/>
      <c r="P86" s="371"/>
      <c r="T86" s="2"/>
    </row>
    <row r="87" spans="1:20" s="2" customFormat="1" ht="19.2" customHeight="1">
      <c r="A87" s="195" t="s">
        <v>97</v>
      </c>
      <c r="B87" s="195"/>
      <c r="C87" s="195"/>
      <c r="D87" s="195"/>
      <c r="E87" s="195" t="s">
        <v>89</v>
      </c>
      <c r="F87" s="195"/>
      <c r="G87" s="195"/>
      <c r="H87" s="195"/>
      <c r="I87" s="195"/>
      <c r="J87" s="195"/>
      <c r="K87" s="195"/>
      <c r="L87" s="195"/>
      <c r="M87" s="195"/>
      <c r="N87" s="195"/>
      <c r="O87" s="372"/>
    </row>
    <row r="88" spans="1:20" s="2" customFormat="1" ht="19.2" customHeight="1">
      <c r="A88" s="195"/>
      <c r="B88" s="195"/>
      <c r="C88" s="195"/>
      <c r="D88" s="195"/>
      <c r="E88" s="195" t="s">
        <v>100</v>
      </c>
      <c r="F88" s="195"/>
      <c r="G88" s="195"/>
      <c r="H88" s="195"/>
      <c r="I88" s="195"/>
      <c r="J88" s="195" t="s">
        <v>101</v>
      </c>
      <c r="K88" s="195"/>
      <c r="L88" s="195"/>
      <c r="M88" s="195"/>
      <c r="N88" s="195"/>
      <c r="O88" s="372"/>
    </row>
    <row r="89" spans="1:20" s="2" customFormat="1" ht="19.2" customHeight="1">
      <c r="A89" s="196" t="s">
        <v>90</v>
      </c>
      <c r="B89" s="196"/>
      <c r="C89" s="196"/>
      <c r="D89" s="196"/>
      <c r="E89" s="199" t="s">
        <v>148</v>
      </c>
      <c r="F89" s="199"/>
      <c r="G89" s="199"/>
      <c r="H89" s="199"/>
      <c r="I89" s="199"/>
      <c r="J89" s="196" t="s">
        <v>90</v>
      </c>
      <c r="K89" s="196"/>
      <c r="L89" s="196"/>
      <c r="M89" s="196"/>
      <c r="N89" s="196"/>
      <c r="O89" s="372"/>
    </row>
    <row r="90" spans="1:20" s="2" customFormat="1" ht="19.2" customHeight="1">
      <c r="A90" s="197" t="s">
        <v>134</v>
      </c>
      <c r="B90" s="197"/>
      <c r="C90" s="197"/>
      <c r="D90" s="197"/>
      <c r="E90" s="199"/>
      <c r="F90" s="199"/>
      <c r="G90" s="199"/>
      <c r="H90" s="199"/>
      <c r="I90" s="199"/>
      <c r="J90" s="197" t="s">
        <v>150</v>
      </c>
      <c r="K90" s="197"/>
      <c r="L90" s="197"/>
      <c r="M90" s="197"/>
      <c r="N90" s="197"/>
      <c r="O90" s="372"/>
    </row>
    <row r="91" spans="1:20" s="2" customFormat="1" ht="19.2" customHeight="1">
      <c r="A91" s="198" t="s">
        <v>166</v>
      </c>
      <c r="B91" s="198"/>
      <c r="C91" s="198"/>
      <c r="D91" s="198"/>
      <c r="E91" s="199"/>
      <c r="F91" s="199"/>
      <c r="G91" s="199"/>
      <c r="H91" s="199"/>
      <c r="I91" s="199"/>
      <c r="J91" s="198" t="s">
        <v>95</v>
      </c>
      <c r="K91" s="198"/>
      <c r="L91" s="198"/>
      <c r="M91" s="198"/>
      <c r="N91" s="198"/>
      <c r="O91" s="372"/>
    </row>
    <row r="92" spans="1:20" ht="19.2" customHeight="1">
      <c r="A92" s="229" t="s">
        <v>122</v>
      </c>
      <c r="B92" s="230"/>
      <c r="C92" s="231"/>
      <c r="D92" s="128">
        <v>56</v>
      </c>
      <c r="E92" s="8"/>
      <c r="F92" s="173"/>
      <c r="G92" s="173"/>
      <c r="H92" s="173"/>
      <c r="I92" s="173"/>
      <c r="J92" s="173"/>
      <c r="K92" s="173"/>
      <c r="L92" s="173"/>
      <c r="M92" s="173"/>
      <c r="N92" s="173"/>
      <c r="O92" s="371"/>
      <c r="P92" s="371"/>
      <c r="T92" s="2"/>
    </row>
    <row r="93" spans="1:20" ht="19.2" customHeight="1">
      <c r="A93" s="209" t="s">
        <v>0</v>
      </c>
      <c r="B93" s="212" t="s">
        <v>19</v>
      </c>
      <c r="C93" s="215" t="s">
        <v>8</v>
      </c>
      <c r="D93" s="215" t="s">
        <v>9</v>
      </c>
      <c r="E93" s="218" t="s">
        <v>11</v>
      </c>
      <c r="F93" s="219"/>
      <c r="G93" s="218" t="s">
        <v>13</v>
      </c>
      <c r="H93" s="219"/>
      <c r="I93" s="222" t="s">
        <v>16</v>
      </c>
      <c r="J93" s="222" t="s">
        <v>41</v>
      </c>
      <c r="K93" s="222" t="s">
        <v>42</v>
      </c>
      <c r="L93" s="222" t="s">
        <v>17</v>
      </c>
      <c r="M93" s="222" t="s">
        <v>40</v>
      </c>
      <c r="N93" s="209" t="s">
        <v>18</v>
      </c>
      <c r="O93" s="373"/>
    </row>
    <row r="94" spans="1:20" ht="19.2" customHeight="1">
      <c r="A94" s="210"/>
      <c r="B94" s="213"/>
      <c r="C94" s="216"/>
      <c r="D94" s="216"/>
      <c r="E94" s="220"/>
      <c r="F94" s="221"/>
      <c r="G94" s="220"/>
      <c r="H94" s="221"/>
      <c r="I94" s="223"/>
      <c r="J94" s="223"/>
      <c r="K94" s="223"/>
      <c r="L94" s="223"/>
      <c r="M94" s="223"/>
      <c r="N94" s="210"/>
      <c r="O94" s="176"/>
    </row>
    <row r="95" spans="1:20" ht="19.2" customHeight="1">
      <c r="A95" s="210"/>
      <c r="B95" s="213"/>
      <c r="C95" s="216"/>
      <c r="D95" s="216"/>
      <c r="E95" s="222" t="s">
        <v>10</v>
      </c>
      <c r="F95" s="222" t="s">
        <v>12</v>
      </c>
      <c r="G95" s="222" t="s">
        <v>14</v>
      </c>
      <c r="H95" s="222" t="s">
        <v>15</v>
      </c>
      <c r="I95" s="223"/>
      <c r="J95" s="223"/>
      <c r="K95" s="223"/>
      <c r="L95" s="223"/>
      <c r="M95" s="223"/>
      <c r="N95" s="210"/>
      <c r="O95" s="176"/>
    </row>
    <row r="96" spans="1:20" ht="19.2" customHeight="1">
      <c r="A96" s="211"/>
      <c r="B96" s="214"/>
      <c r="C96" s="217"/>
      <c r="D96" s="217"/>
      <c r="E96" s="224"/>
      <c r="F96" s="224"/>
      <c r="G96" s="224"/>
      <c r="H96" s="224"/>
      <c r="I96" s="224"/>
      <c r="J96" s="224"/>
      <c r="K96" s="224"/>
      <c r="L96" s="224"/>
      <c r="M96" s="224"/>
      <c r="N96" s="211"/>
      <c r="O96" s="176"/>
    </row>
    <row r="97" spans="1:23" ht="18.600000000000001" customHeight="1">
      <c r="A97" s="238" t="s">
        <v>39</v>
      </c>
      <c r="B97" s="239"/>
      <c r="C97" s="239"/>
      <c r="D97" s="239"/>
      <c r="E97" s="239"/>
      <c r="F97" s="239"/>
      <c r="G97" s="239"/>
      <c r="H97" s="239"/>
      <c r="I97" s="239"/>
      <c r="J97" s="239"/>
      <c r="K97" s="239"/>
      <c r="L97" s="239"/>
      <c r="M97" s="239"/>
      <c r="N97" s="240"/>
      <c r="O97" s="176"/>
    </row>
    <row r="98" spans="1:23" ht="18.600000000000001" customHeight="1">
      <c r="A98" s="17">
        <v>1</v>
      </c>
      <c r="B98" s="6" t="s">
        <v>123</v>
      </c>
      <c r="C98" s="70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28">
        <v>3750</v>
      </c>
      <c r="O98" s="408"/>
    </row>
    <row r="99" spans="1:23" s="2" customFormat="1" ht="18.600000000000001" customHeight="1">
      <c r="A99" s="9">
        <v>2</v>
      </c>
      <c r="B99" s="10" t="s">
        <v>2</v>
      </c>
      <c r="C99" s="23">
        <f>L99/100*100</f>
        <v>80</v>
      </c>
      <c r="D99" s="24">
        <f>C99/100*60</f>
        <v>48</v>
      </c>
      <c r="E99" s="25">
        <f>C99/100*15</f>
        <v>12</v>
      </c>
      <c r="F99" s="25"/>
      <c r="G99" s="25"/>
      <c r="H99" s="25"/>
      <c r="I99" s="25"/>
      <c r="J99" s="27">
        <f>C99/100*387</f>
        <v>309.60000000000002</v>
      </c>
      <c r="K99" s="27">
        <f>C99/100*0.09</f>
        <v>7.1999999999999995E-2</v>
      </c>
      <c r="L99" s="137">
        <v>80</v>
      </c>
      <c r="M99" s="75">
        <v>20</v>
      </c>
      <c r="N99" s="28">
        <f>L99*M99</f>
        <v>1600</v>
      </c>
      <c r="O99" s="375"/>
    </row>
    <row r="100" spans="1:23" s="2" customFormat="1" ht="18.600000000000001" customHeight="1">
      <c r="A100" s="9">
        <v>3</v>
      </c>
      <c r="B100" s="79" t="s">
        <v>141</v>
      </c>
      <c r="C100" s="23">
        <f>L100/100*100</f>
        <v>440.00000000000006</v>
      </c>
      <c r="D100" s="24">
        <f>C100/100*899</f>
        <v>3955.6000000000004</v>
      </c>
      <c r="E100" s="25"/>
      <c r="F100" s="25"/>
      <c r="G100" s="25">
        <f>C100/100*100</f>
        <v>440.00000000000006</v>
      </c>
      <c r="H100" s="25"/>
      <c r="I100" s="25"/>
      <c r="J100" s="25"/>
      <c r="K100" s="25"/>
      <c r="L100" s="137">
        <v>440</v>
      </c>
      <c r="M100" s="24">
        <v>68</v>
      </c>
      <c r="N100" s="28">
        <f t="shared" ref="N100:N107" si="5">L100*M100</f>
        <v>29920</v>
      </c>
      <c r="O100" s="377"/>
    </row>
    <row r="101" spans="1:23" s="2" customFormat="1" ht="18.600000000000001" customHeight="1">
      <c r="A101" s="9">
        <v>4</v>
      </c>
      <c r="B101" s="5" t="s">
        <v>1</v>
      </c>
      <c r="C101" s="23">
        <f>L101/100*100</f>
        <v>2408</v>
      </c>
      <c r="D101" s="24">
        <f>C101/100*360</f>
        <v>8668.7999999999993</v>
      </c>
      <c r="E101" s="25"/>
      <c r="F101" s="25">
        <f>C101/100*7.9</f>
        <v>190.232</v>
      </c>
      <c r="G101" s="25"/>
      <c r="H101" s="25">
        <f>C101/100*1</f>
        <v>24.08</v>
      </c>
      <c r="I101" s="25">
        <f>C101/100*72.2</f>
        <v>1738.576</v>
      </c>
      <c r="J101" s="27">
        <f>C101/100*30</f>
        <v>722.4</v>
      </c>
      <c r="K101" s="27">
        <f>C101/100*0.1</f>
        <v>2.4079999999999999</v>
      </c>
      <c r="L101" s="137">
        <v>2408</v>
      </c>
      <c r="M101" s="75">
        <v>18</v>
      </c>
      <c r="N101" s="28">
        <f t="shared" si="5"/>
        <v>43344</v>
      </c>
      <c r="O101" s="375"/>
    </row>
    <row r="102" spans="1:23" s="2" customFormat="1" ht="18.600000000000001" customHeight="1">
      <c r="A102" s="9">
        <v>5</v>
      </c>
      <c r="B102" s="5" t="s">
        <v>93</v>
      </c>
      <c r="C102" s="23">
        <f>L102/100*81.7</f>
        <v>1013.08</v>
      </c>
      <c r="D102" s="24">
        <f>C102/100*27</f>
        <v>273.53160000000003</v>
      </c>
      <c r="E102" s="29"/>
      <c r="F102" s="29">
        <f>C102/100*0.3</f>
        <v>3.0392399999999999</v>
      </c>
      <c r="G102" s="29"/>
      <c r="H102" s="29">
        <f>C102/100*0.1</f>
        <v>1.0130800000000002</v>
      </c>
      <c r="I102" s="29">
        <f>C102/100*6.1</f>
        <v>61.797879999999999</v>
      </c>
      <c r="J102" s="71">
        <f>C102/100*24</f>
        <v>243.13920000000002</v>
      </c>
      <c r="K102" s="71">
        <f>C102/100*0.06</f>
        <v>0.60784800000000005</v>
      </c>
      <c r="L102" s="374">
        <v>1240</v>
      </c>
      <c r="M102" s="26">
        <v>22</v>
      </c>
      <c r="N102" s="28">
        <f t="shared" si="5"/>
        <v>27280</v>
      </c>
      <c r="O102" s="153"/>
      <c r="Q102" s="3"/>
      <c r="R102" s="3"/>
      <c r="S102" s="4"/>
    </row>
    <row r="103" spans="1:23" s="2" customFormat="1" ht="18.600000000000001" customHeight="1">
      <c r="A103" s="9">
        <v>6</v>
      </c>
      <c r="B103" s="5" t="s">
        <v>4</v>
      </c>
      <c r="C103" s="23">
        <f>L103/100*98.5</f>
        <v>433.40000000000003</v>
      </c>
      <c r="D103" s="24">
        <f>C103/100*39</f>
        <v>169.02600000000001</v>
      </c>
      <c r="E103" s="29"/>
      <c r="F103" s="29">
        <f>C103/100*1.5</f>
        <v>6.5010000000000012</v>
      </c>
      <c r="G103" s="29"/>
      <c r="H103" s="29">
        <f>C103/100*0.2</f>
        <v>0.86680000000000013</v>
      </c>
      <c r="I103" s="29">
        <f>C103/100*7.8</f>
        <v>33.805200000000006</v>
      </c>
      <c r="J103" s="71">
        <f>C103/100*43</f>
        <v>186.36200000000002</v>
      </c>
      <c r="K103" s="71">
        <f>C103/100*0.06</f>
        <v>0.26004000000000005</v>
      </c>
      <c r="L103" s="374">
        <v>440</v>
      </c>
      <c r="M103" s="26">
        <v>17</v>
      </c>
      <c r="N103" s="28">
        <f t="shared" si="5"/>
        <v>7480</v>
      </c>
      <c r="O103" s="153"/>
      <c r="Q103" s="3"/>
      <c r="R103" s="3"/>
      <c r="S103" s="4"/>
    </row>
    <row r="104" spans="1:23" s="2" customFormat="1" ht="18.600000000000001" customHeight="1">
      <c r="A104" s="9">
        <v>7</v>
      </c>
      <c r="B104" s="5" t="s">
        <v>136</v>
      </c>
      <c r="C104" s="23">
        <f>L104/100*100</f>
        <v>40</v>
      </c>
      <c r="D104" s="24">
        <f>C104/100*247</f>
        <v>98.800000000000011</v>
      </c>
      <c r="E104" s="29"/>
      <c r="F104" s="29">
        <f>C104/100*17.5</f>
        <v>7</v>
      </c>
      <c r="G104" s="29"/>
      <c r="H104" s="29">
        <f>C104/100*1.6</f>
        <v>0.64000000000000012</v>
      </c>
      <c r="I104" s="29">
        <f>C104/100*39.2</f>
        <v>15.680000000000001</v>
      </c>
      <c r="J104" s="71"/>
      <c r="K104" s="71"/>
      <c r="L104" s="374">
        <v>40</v>
      </c>
      <c r="M104" s="75">
        <v>50</v>
      </c>
      <c r="N104" s="28">
        <f t="shared" si="5"/>
        <v>2000</v>
      </c>
      <c r="O104" s="153"/>
      <c r="Q104" s="3"/>
      <c r="R104" s="3"/>
      <c r="S104" s="4"/>
      <c r="T104" s="3"/>
    </row>
    <row r="105" spans="1:23" s="2" customFormat="1" ht="18.600000000000001" customHeight="1">
      <c r="A105" s="9">
        <v>8</v>
      </c>
      <c r="B105" s="10" t="s">
        <v>74</v>
      </c>
      <c r="C105" s="23">
        <f>L105/100*98</f>
        <v>421.4</v>
      </c>
      <c r="D105" s="24">
        <f>C105/100*139</f>
        <v>585.74599999999998</v>
      </c>
      <c r="E105" s="25">
        <f>C105/100*19</f>
        <v>80.065999999999988</v>
      </c>
      <c r="F105" s="25"/>
      <c r="G105" s="25">
        <f>C105/100*7</f>
        <v>29.497999999999998</v>
      </c>
      <c r="H105" s="25"/>
      <c r="I105" s="25"/>
      <c r="J105" s="25">
        <f>C105/100*7</f>
        <v>29.497999999999998</v>
      </c>
      <c r="K105" s="25">
        <f>C105/100*0.9</f>
        <v>3.7925999999999997</v>
      </c>
      <c r="L105" s="137">
        <v>430</v>
      </c>
      <c r="M105" s="75">
        <v>137</v>
      </c>
      <c r="N105" s="28">
        <f t="shared" si="5"/>
        <v>58910</v>
      </c>
      <c r="O105" s="153"/>
    </row>
    <row r="106" spans="1:23" s="2" customFormat="1" ht="18.600000000000001" customHeight="1">
      <c r="A106" s="9">
        <v>9</v>
      </c>
      <c r="B106" s="79" t="s">
        <v>3</v>
      </c>
      <c r="C106" s="23">
        <f>L106/100*98</f>
        <v>1715</v>
      </c>
      <c r="D106" s="24">
        <f>C106/100*118</f>
        <v>2023.6999999999998</v>
      </c>
      <c r="E106" s="25">
        <f>C106/100*21</f>
        <v>360.15</v>
      </c>
      <c r="F106" s="25"/>
      <c r="G106" s="25">
        <f>C106/100*3.8</f>
        <v>65.169999999999987</v>
      </c>
      <c r="H106" s="25"/>
      <c r="I106" s="25"/>
      <c r="J106" s="25">
        <f>C106/100*12</f>
        <v>205.79999999999998</v>
      </c>
      <c r="K106" s="25">
        <f>C106/100*0.1</f>
        <v>1.7149999999999999</v>
      </c>
      <c r="L106" s="137">
        <v>1750</v>
      </c>
      <c r="M106" s="75">
        <v>260</v>
      </c>
      <c r="N106" s="28">
        <f t="shared" si="5"/>
        <v>455000</v>
      </c>
      <c r="O106" s="153"/>
    </row>
    <row r="107" spans="1:23" s="2" customFormat="1" ht="18.600000000000001" customHeight="1">
      <c r="A107" s="9">
        <v>10</v>
      </c>
      <c r="B107" s="5" t="s">
        <v>20</v>
      </c>
      <c r="C107" s="23">
        <f>L107/100*95</f>
        <v>646</v>
      </c>
      <c r="D107" s="24">
        <f>C107/100*20</f>
        <v>129.19999999999999</v>
      </c>
      <c r="E107" s="25"/>
      <c r="F107" s="25">
        <f>C107/100*0.6</f>
        <v>3.8759999999999999</v>
      </c>
      <c r="G107" s="25"/>
      <c r="H107" s="25">
        <f>C107/100*0.2</f>
        <v>1.292</v>
      </c>
      <c r="I107" s="25">
        <f>C107/100*4</f>
        <v>25.84</v>
      </c>
      <c r="J107" s="71">
        <f>C107/100*12</f>
        <v>77.52</v>
      </c>
      <c r="K107" s="71">
        <f>C107/100*0.04</f>
        <v>0.25840000000000002</v>
      </c>
      <c r="L107" s="30">
        <v>680</v>
      </c>
      <c r="M107" s="75">
        <v>22</v>
      </c>
      <c r="N107" s="28">
        <f t="shared" si="5"/>
        <v>14960</v>
      </c>
      <c r="O107" s="153"/>
      <c r="Q107" s="3"/>
      <c r="R107" s="3"/>
    </row>
    <row r="108" spans="1:23" s="2" customFormat="1" ht="18.600000000000001" customHeight="1">
      <c r="A108" s="21" t="s">
        <v>118</v>
      </c>
      <c r="B108" s="22"/>
      <c r="C108" s="34"/>
      <c r="D108" s="121">
        <f>SUM(D98:D107)</f>
        <v>15952.403599999998</v>
      </c>
      <c r="E108" s="43"/>
      <c r="F108" s="43"/>
      <c r="G108" s="43"/>
      <c r="H108" s="43"/>
      <c r="I108" s="43"/>
      <c r="J108" s="43"/>
      <c r="K108" s="43"/>
      <c r="L108" s="44"/>
      <c r="M108" s="44"/>
      <c r="N108" s="193">
        <f>SUM(N98:N107)</f>
        <v>644244</v>
      </c>
      <c r="O108" s="153"/>
    </row>
    <row r="109" spans="1:23" ht="18.600000000000001" customHeight="1">
      <c r="A109" s="21" t="s">
        <v>37</v>
      </c>
      <c r="B109" s="22"/>
      <c r="C109" s="45"/>
      <c r="D109" s="46">
        <f>D108/D92</f>
        <v>284.86434999999994</v>
      </c>
      <c r="E109" s="46"/>
      <c r="F109" s="46"/>
      <c r="G109" s="46"/>
      <c r="H109" s="46"/>
      <c r="I109" s="46"/>
      <c r="J109" s="46"/>
      <c r="K109" s="46"/>
      <c r="L109" s="47"/>
      <c r="M109" s="47"/>
      <c r="N109" s="194"/>
      <c r="O109" s="4"/>
      <c r="P109" s="2"/>
      <c r="Q109" s="2"/>
      <c r="R109" s="2"/>
      <c r="S109" s="2"/>
      <c r="T109" s="2"/>
      <c r="U109" s="2"/>
      <c r="V109" s="2"/>
    </row>
    <row r="110" spans="1:23" ht="18.600000000000001" customHeight="1">
      <c r="A110" s="294" t="s">
        <v>53</v>
      </c>
      <c r="B110" s="226"/>
      <c r="C110" s="376" t="s">
        <v>151</v>
      </c>
      <c r="D110" s="20" t="s">
        <v>45</v>
      </c>
      <c r="E110" s="46"/>
      <c r="F110" s="46"/>
      <c r="G110" s="46"/>
      <c r="H110" s="46"/>
      <c r="I110" s="46"/>
      <c r="J110" s="48"/>
      <c r="K110" s="48"/>
      <c r="L110" s="47"/>
      <c r="M110" s="47"/>
      <c r="N110" s="177"/>
      <c r="O110" s="4"/>
      <c r="P110" s="2"/>
      <c r="Q110" s="2"/>
      <c r="R110" s="2"/>
      <c r="S110" s="2"/>
      <c r="T110" s="2"/>
      <c r="U110" s="2"/>
      <c r="V110" s="2"/>
      <c r="W110" s="2"/>
    </row>
    <row r="111" spans="1:23" ht="18.600000000000001" customHeight="1">
      <c r="A111" s="227"/>
      <c r="B111" s="228"/>
      <c r="C111" s="76" t="s">
        <v>60</v>
      </c>
      <c r="D111" s="78">
        <f>D109*100/930</f>
        <v>30.630575268817196</v>
      </c>
      <c r="E111" s="46"/>
      <c r="F111" s="46"/>
      <c r="G111" s="46"/>
      <c r="H111" s="46"/>
      <c r="I111" s="46"/>
      <c r="J111" s="48"/>
      <c r="K111" s="48"/>
      <c r="L111" s="47"/>
      <c r="M111" s="47"/>
      <c r="N111" s="177"/>
      <c r="O111" s="4"/>
      <c r="P111" s="2"/>
      <c r="Q111" s="2"/>
      <c r="R111" s="2"/>
      <c r="S111" s="2"/>
      <c r="T111" s="2"/>
      <c r="U111" s="2"/>
      <c r="V111" s="2"/>
      <c r="W111" s="2"/>
    </row>
    <row r="112" spans="1:23" s="2" customFormat="1" ht="18.600000000000001" customHeight="1">
      <c r="A112" s="236" t="s">
        <v>38</v>
      </c>
      <c r="B112" s="236"/>
      <c r="C112" s="56"/>
      <c r="D112" s="57"/>
      <c r="E112" s="58"/>
      <c r="F112" s="58"/>
      <c r="G112" s="58"/>
      <c r="H112" s="58"/>
      <c r="I112" s="58"/>
      <c r="J112" s="58"/>
      <c r="K112" s="58"/>
      <c r="L112" s="59"/>
      <c r="M112" s="59"/>
      <c r="N112" s="60"/>
      <c r="O112" s="153"/>
    </row>
    <row r="113" spans="1:23" s="2" customFormat="1" ht="18.600000000000001" customHeight="1">
      <c r="A113" s="14">
        <v>1</v>
      </c>
      <c r="B113" s="6" t="s">
        <v>123</v>
      </c>
      <c r="C113" s="39"/>
      <c r="D113" s="409"/>
      <c r="E113" s="40"/>
      <c r="F113" s="40"/>
      <c r="G113" s="40"/>
      <c r="H113" s="40"/>
      <c r="I113" s="40"/>
      <c r="J113" s="40"/>
      <c r="K113" s="40"/>
      <c r="L113" s="41"/>
      <c r="M113" s="41"/>
      <c r="N113" s="42">
        <v>3750</v>
      </c>
      <c r="O113" s="153"/>
    </row>
    <row r="114" spans="1:23" s="2" customFormat="1" ht="18.600000000000001" customHeight="1">
      <c r="A114" s="9">
        <v>2</v>
      </c>
      <c r="B114" s="5" t="s">
        <v>1</v>
      </c>
      <c r="C114" s="23">
        <f>L114/100*100</f>
        <v>2352</v>
      </c>
      <c r="D114" s="24">
        <f>C114/100*360</f>
        <v>8467.2000000000007</v>
      </c>
      <c r="E114" s="25"/>
      <c r="F114" s="25">
        <f>C114/100*7.9</f>
        <v>185.80799999999999</v>
      </c>
      <c r="G114" s="25"/>
      <c r="H114" s="25">
        <f>C114/100*1</f>
        <v>23.52</v>
      </c>
      <c r="I114" s="25">
        <f>C114/100*72.2</f>
        <v>1698.144</v>
      </c>
      <c r="J114" s="27">
        <f>C114/100*30</f>
        <v>705.6</v>
      </c>
      <c r="K114" s="27">
        <f>C114/100*0.1</f>
        <v>2.3519999999999999</v>
      </c>
      <c r="L114" s="26">
        <v>2352</v>
      </c>
      <c r="M114" s="75">
        <v>18</v>
      </c>
      <c r="N114" s="135">
        <f>L114*M114</f>
        <v>42336</v>
      </c>
      <c r="O114" s="375"/>
    </row>
    <row r="115" spans="1:23" s="2" customFormat="1" ht="18.600000000000001" customHeight="1">
      <c r="A115" s="9">
        <v>3</v>
      </c>
      <c r="B115" s="10" t="s">
        <v>2</v>
      </c>
      <c r="C115" s="23">
        <f>L115/100*100</f>
        <v>70</v>
      </c>
      <c r="D115" s="24">
        <f>C115/100*60</f>
        <v>42</v>
      </c>
      <c r="E115" s="25">
        <f>C115/100*15</f>
        <v>10.5</v>
      </c>
      <c r="F115" s="25"/>
      <c r="G115" s="25"/>
      <c r="H115" s="25"/>
      <c r="I115" s="25"/>
      <c r="J115" s="27">
        <f>C115/100*387</f>
        <v>270.89999999999998</v>
      </c>
      <c r="K115" s="27">
        <f>C115/100*0.09</f>
        <v>6.3E-2</v>
      </c>
      <c r="L115" s="26">
        <v>70</v>
      </c>
      <c r="M115" s="75">
        <v>20</v>
      </c>
      <c r="N115" s="135">
        <f t="shared" ref="N115:N121" si="6">L115*M115</f>
        <v>1400</v>
      </c>
      <c r="O115" s="375"/>
    </row>
    <row r="116" spans="1:23" s="2" customFormat="1" ht="18.600000000000001" customHeight="1">
      <c r="A116" s="9">
        <v>4</v>
      </c>
      <c r="B116" s="79" t="s">
        <v>141</v>
      </c>
      <c r="C116" s="23">
        <f>L116/100*100</f>
        <v>120</v>
      </c>
      <c r="D116" s="24">
        <f>C116/100*900</f>
        <v>1080</v>
      </c>
      <c r="E116" s="25"/>
      <c r="F116" s="25"/>
      <c r="G116" s="25">
        <f>C116/100*100</f>
        <v>120</v>
      </c>
      <c r="H116" s="25">
        <f>C116/100*100</f>
        <v>120</v>
      </c>
      <c r="I116" s="25"/>
      <c r="J116" s="27"/>
      <c r="K116" s="27"/>
      <c r="L116" s="26">
        <v>120</v>
      </c>
      <c r="M116" s="75">
        <v>68</v>
      </c>
      <c r="N116" s="135">
        <f t="shared" si="6"/>
        <v>8160</v>
      </c>
      <c r="O116" s="153"/>
    </row>
    <row r="117" spans="1:23" s="2" customFormat="1" ht="18.600000000000001" customHeight="1">
      <c r="A117" s="9">
        <v>5</v>
      </c>
      <c r="B117" s="10" t="s">
        <v>139</v>
      </c>
      <c r="C117" s="23">
        <f>L117/100*100</f>
        <v>290</v>
      </c>
      <c r="D117" s="24">
        <f>C117/100*53</f>
        <v>153.69999999999999</v>
      </c>
      <c r="E117" s="25"/>
      <c r="F117" s="25">
        <f>C117/100*6.3</f>
        <v>18.27</v>
      </c>
      <c r="G117" s="25"/>
      <c r="H117" s="25">
        <f>C117/100*0.04</f>
        <v>0.11599999999999999</v>
      </c>
      <c r="I117" s="25">
        <f>C117/100*6.8</f>
        <v>19.72</v>
      </c>
      <c r="J117" s="27">
        <f>C117/100*19</f>
        <v>55.1</v>
      </c>
      <c r="K117" s="27">
        <f>C117/100*0.03</f>
        <v>8.6999999999999994E-2</v>
      </c>
      <c r="L117" s="26">
        <v>290</v>
      </c>
      <c r="M117" s="75">
        <v>42.5</v>
      </c>
      <c r="N117" s="135">
        <f t="shared" si="6"/>
        <v>12325</v>
      </c>
      <c r="O117" s="375"/>
    </row>
    <row r="118" spans="1:23" s="2" customFormat="1" ht="18.600000000000001" customHeight="1">
      <c r="A118" s="9">
        <v>6</v>
      </c>
      <c r="B118" s="5" t="s">
        <v>75</v>
      </c>
      <c r="C118" s="23">
        <f>L118/100*75</f>
        <v>1005</v>
      </c>
      <c r="D118" s="24">
        <f>C118/100*12</f>
        <v>120.60000000000001</v>
      </c>
      <c r="E118" s="25">
        <f>C118/100*0.6</f>
        <v>6.03</v>
      </c>
      <c r="F118" s="25"/>
      <c r="G118" s="25"/>
      <c r="H118" s="25"/>
      <c r="I118" s="25">
        <f>C118/100*2.4</f>
        <v>24.12</v>
      </c>
      <c r="J118" s="27">
        <f>C118/100*26</f>
        <v>261.3</v>
      </c>
      <c r="K118" s="27">
        <f>C118/100*0.02</f>
        <v>0.20100000000000001</v>
      </c>
      <c r="L118" s="26">
        <v>1340</v>
      </c>
      <c r="M118" s="26">
        <v>25</v>
      </c>
      <c r="N118" s="135">
        <f t="shared" si="6"/>
        <v>33500</v>
      </c>
      <c r="O118" s="153"/>
    </row>
    <row r="119" spans="1:23" s="2" customFormat="1" ht="18.600000000000001" customHeight="1">
      <c r="A119" s="9">
        <v>7</v>
      </c>
      <c r="B119" s="5" t="s">
        <v>4</v>
      </c>
      <c r="C119" s="23">
        <f>L119/100*98.5</f>
        <v>433.40000000000003</v>
      </c>
      <c r="D119" s="24">
        <f>C119/100*39</f>
        <v>169.02600000000001</v>
      </c>
      <c r="E119" s="29"/>
      <c r="F119" s="29">
        <f>C119/100*1.5</f>
        <v>6.5010000000000012</v>
      </c>
      <c r="G119" s="410"/>
      <c r="H119" s="29">
        <f>C119/100*0.2</f>
        <v>0.86680000000000013</v>
      </c>
      <c r="I119" s="29">
        <f>C119/100*7.8</f>
        <v>33.805200000000006</v>
      </c>
      <c r="J119" s="71">
        <f>C119/100*43</f>
        <v>186.36200000000002</v>
      </c>
      <c r="K119" s="71">
        <f>C119/100*0.06</f>
        <v>0.26004000000000005</v>
      </c>
      <c r="L119" s="30">
        <v>440</v>
      </c>
      <c r="M119" s="26">
        <v>17</v>
      </c>
      <c r="N119" s="135">
        <f t="shared" si="6"/>
        <v>7480</v>
      </c>
      <c r="O119" s="153"/>
      <c r="Q119" s="3"/>
      <c r="R119" s="3"/>
      <c r="S119" s="4"/>
    </row>
    <row r="120" spans="1:23" s="2" customFormat="1" ht="18.600000000000001" customHeight="1">
      <c r="A120" s="9">
        <v>8</v>
      </c>
      <c r="B120" s="10" t="s">
        <v>64</v>
      </c>
      <c r="C120" s="23">
        <f>L120/100*40</f>
        <v>1460</v>
      </c>
      <c r="D120" s="24">
        <f>C120/100*276</f>
        <v>4029.6</v>
      </c>
      <c r="E120" s="25">
        <f>C120/100*17.8</f>
        <v>259.88</v>
      </c>
      <c r="F120" s="136"/>
      <c r="G120" s="25">
        <f>C120/100*21.8</f>
        <v>318.28000000000003</v>
      </c>
      <c r="H120" s="25"/>
      <c r="I120" s="25"/>
      <c r="J120" s="27">
        <f>C120/100*13</f>
        <v>189.79999999999998</v>
      </c>
      <c r="K120" s="27">
        <f>C120/100*0.07</f>
        <v>1.022</v>
      </c>
      <c r="L120" s="26">
        <v>3650</v>
      </c>
      <c r="M120" s="75">
        <v>63</v>
      </c>
      <c r="N120" s="135">
        <f t="shared" si="6"/>
        <v>229950</v>
      </c>
      <c r="O120" s="153"/>
    </row>
    <row r="121" spans="1:23" s="2" customFormat="1" ht="18.600000000000001" customHeight="1">
      <c r="A121" s="9">
        <v>9</v>
      </c>
      <c r="B121" s="5" t="s">
        <v>136</v>
      </c>
      <c r="C121" s="23">
        <f>L121/100*100</f>
        <v>40</v>
      </c>
      <c r="D121" s="24">
        <f>C121/100*247</f>
        <v>98.800000000000011</v>
      </c>
      <c r="E121" s="29"/>
      <c r="F121" s="29">
        <f>C121/100*17.5</f>
        <v>7</v>
      </c>
      <c r="G121" s="29"/>
      <c r="H121" s="29">
        <f>C121/100*1.6</f>
        <v>0.64000000000000012</v>
      </c>
      <c r="I121" s="29">
        <f>C121/100*39.2</f>
        <v>15.680000000000001</v>
      </c>
      <c r="J121" s="71"/>
      <c r="K121" s="71"/>
      <c r="L121" s="374">
        <v>40</v>
      </c>
      <c r="M121" s="75">
        <v>50</v>
      </c>
      <c r="N121" s="28">
        <f t="shared" si="6"/>
        <v>2000</v>
      </c>
      <c r="O121" s="153"/>
      <c r="Q121" s="3"/>
      <c r="R121" s="3"/>
      <c r="S121" s="4"/>
      <c r="T121" s="3"/>
    </row>
    <row r="122" spans="1:23" s="2" customFormat="1" ht="18.600000000000001" customHeight="1">
      <c r="A122" s="21" t="s">
        <v>119</v>
      </c>
      <c r="B122" s="22"/>
      <c r="C122" s="34"/>
      <c r="D122" s="121">
        <f>SUM(D113:D121)</f>
        <v>14160.926000000001</v>
      </c>
      <c r="E122" s="43"/>
      <c r="F122" s="43"/>
      <c r="G122" s="43"/>
      <c r="H122" s="43"/>
      <c r="I122" s="43"/>
      <c r="J122" s="43"/>
      <c r="K122" s="43"/>
      <c r="L122" s="44"/>
      <c r="M122" s="44"/>
      <c r="N122" s="193">
        <f>SUM(N113:N121)</f>
        <v>340901</v>
      </c>
      <c r="O122" s="153"/>
    </row>
    <row r="123" spans="1:23" ht="18.600000000000001" customHeight="1">
      <c r="A123" s="21" t="s">
        <v>36</v>
      </c>
      <c r="B123" s="22"/>
      <c r="C123" s="61"/>
      <c r="D123" s="48">
        <f>D122/D92</f>
        <v>252.8736785714286</v>
      </c>
      <c r="E123" s="48"/>
      <c r="F123" s="48"/>
      <c r="G123" s="48"/>
      <c r="H123" s="48"/>
      <c r="I123" s="48"/>
      <c r="J123" s="48"/>
      <c r="K123" s="48"/>
      <c r="L123" s="62"/>
      <c r="M123" s="47"/>
      <c r="N123" s="235"/>
      <c r="O123" s="4"/>
      <c r="P123" s="2"/>
      <c r="Q123" s="2"/>
      <c r="R123" s="2"/>
      <c r="S123" s="2"/>
      <c r="T123" s="2"/>
      <c r="U123" s="2"/>
      <c r="V123" s="2"/>
    </row>
    <row r="124" spans="1:23" ht="18.600000000000001" customHeight="1">
      <c r="A124" s="294" t="s">
        <v>54</v>
      </c>
      <c r="B124" s="226"/>
      <c r="C124" s="376" t="s">
        <v>151</v>
      </c>
      <c r="D124" s="20" t="s">
        <v>46</v>
      </c>
      <c r="E124" s="46"/>
      <c r="F124" s="46"/>
      <c r="G124" s="46"/>
      <c r="H124" s="46"/>
      <c r="I124" s="46"/>
      <c r="J124" s="48"/>
      <c r="K124" s="48"/>
      <c r="L124" s="47"/>
      <c r="M124" s="47"/>
      <c r="N124" s="177"/>
      <c r="O124" s="4"/>
      <c r="P124" s="2"/>
      <c r="Q124" s="2"/>
      <c r="R124" s="2"/>
      <c r="S124" s="2"/>
      <c r="T124" s="2"/>
      <c r="U124" s="2"/>
      <c r="V124" s="2"/>
      <c r="W124" s="2"/>
    </row>
    <row r="125" spans="1:23" ht="18.600000000000001" customHeight="1">
      <c r="A125" s="227"/>
      <c r="B125" s="228"/>
      <c r="C125" s="76" t="s">
        <v>60</v>
      </c>
      <c r="D125" s="78">
        <f>D123*100/930</f>
        <v>27.190718125960064</v>
      </c>
      <c r="E125" s="46"/>
      <c r="F125" s="46"/>
      <c r="G125" s="46"/>
      <c r="H125" s="46">
        <v>13</v>
      </c>
      <c r="I125" s="46"/>
      <c r="J125" s="48"/>
      <c r="K125" s="48"/>
      <c r="L125" s="47"/>
      <c r="M125" s="47"/>
      <c r="N125" s="177"/>
      <c r="O125" s="4"/>
      <c r="P125" s="2"/>
      <c r="Q125" s="2"/>
      <c r="R125" s="2"/>
      <c r="S125" s="2"/>
      <c r="T125" s="2"/>
      <c r="U125" s="2"/>
      <c r="V125" s="2"/>
      <c r="W125" s="2"/>
    </row>
    <row r="126" spans="1:23" ht="18.600000000000001" customHeight="1">
      <c r="A126" s="236" t="s">
        <v>35</v>
      </c>
      <c r="B126" s="236"/>
      <c r="C126" s="63"/>
      <c r="D126" s="64"/>
      <c r="E126" s="64"/>
      <c r="F126" s="64"/>
      <c r="G126" s="64"/>
      <c r="H126" s="64"/>
      <c r="I126" s="64"/>
      <c r="J126" s="64"/>
      <c r="K126" s="64"/>
      <c r="L126" s="65"/>
      <c r="M126" s="65"/>
      <c r="N126" s="66"/>
      <c r="O126" s="4"/>
      <c r="P126" s="2"/>
      <c r="Q126" s="2"/>
      <c r="R126" s="2"/>
      <c r="S126" s="2"/>
      <c r="T126" s="2"/>
      <c r="U126" s="2"/>
      <c r="V126" s="2"/>
    </row>
    <row r="127" spans="1:23" s="2" customFormat="1" ht="18.600000000000001" customHeight="1">
      <c r="A127" s="103">
        <v>1</v>
      </c>
      <c r="B127" s="156" t="s">
        <v>149</v>
      </c>
      <c r="C127" s="104">
        <f>L127/100*100</f>
        <v>950</v>
      </c>
      <c r="D127" s="105">
        <f>C127/100*487</f>
        <v>4626.5</v>
      </c>
      <c r="E127" s="106"/>
      <c r="F127" s="106">
        <f>C127/100*19.5</f>
        <v>185.25</v>
      </c>
      <c r="G127" s="106"/>
      <c r="H127" s="106">
        <f>C127/100*23.2</f>
        <v>220.4</v>
      </c>
      <c r="I127" s="106">
        <f>C127/100*46</f>
        <v>437</v>
      </c>
      <c r="J127" s="147">
        <f>C127/100*680</f>
        <v>6460</v>
      </c>
      <c r="K127" s="106">
        <f>C127/100*0.55</f>
        <v>5.2250000000000005</v>
      </c>
      <c r="L127" s="107">
        <v>950</v>
      </c>
      <c r="M127" s="157">
        <v>260</v>
      </c>
      <c r="N127" s="108">
        <f t="shared" ref="N127" si="7">L127*M127</f>
        <v>247000</v>
      </c>
      <c r="O127" s="153"/>
      <c r="P127" s="3"/>
    </row>
    <row r="128" spans="1:23" ht="19.2" customHeight="1">
      <c r="A128" s="209" t="s">
        <v>0</v>
      </c>
      <c r="B128" s="212" t="s">
        <v>19</v>
      </c>
      <c r="C128" s="215" t="s">
        <v>8</v>
      </c>
      <c r="D128" s="215" t="s">
        <v>9</v>
      </c>
      <c r="E128" s="218" t="s">
        <v>11</v>
      </c>
      <c r="F128" s="219"/>
      <c r="G128" s="218" t="s">
        <v>13</v>
      </c>
      <c r="H128" s="219"/>
      <c r="I128" s="222" t="s">
        <v>16</v>
      </c>
      <c r="J128" s="222" t="s">
        <v>41</v>
      </c>
      <c r="K128" s="222" t="s">
        <v>42</v>
      </c>
      <c r="L128" s="222" t="s">
        <v>17</v>
      </c>
      <c r="M128" s="222" t="s">
        <v>40</v>
      </c>
      <c r="N128" s="209" t="s">
        <v>18</v>
      </c>
      <c r="O128" s="373"/>
    </row>
    <row r="129" spans="1:23" ht="19.2" customHeight="1">
      <c r="A129" s="210"/>
      <c r="B129" s="213"/>
      <c r="C129" s="216"/>
      <c r="D129" s="216"/>
      <c r="E129" s="220"/>
      <c r="F129" s="221"/>
      <c r="G129" s="220"/>
      <c r="H129" s="221"/>
      <c r="I129" s="223"/>
      <c r="J129" s="223"/>
      <c r="K129" s="223"/>
      <c r="L129" s="223"/>
      <c r="M129" s="223"/>
      <c r="N129" s="210"/>
      <c r="O129" s="176"/>
    </row>
    <row r="130" spans="1:23" ht="19.2" customHeight="1">
      <c r="A130" s="210"/>
      <c r="B130" s="213"/>
      <c r="C130" s="216"/>
      <c r="D130" s="216"/>
      <c r="E130" s="222" t="s">
        <v>10</v>
      </c>
      <c r="F130" s="222" t="s">
        <v>12</v>
      </c>
      <c r="G130" s="222" t="s">
        <v>14</v>
      </c>
      <c r="H130" s="222" t="s">
        <v>15</v>
      </c>
      <c r="I130" s="223"/>
      <c r="J130" s="223"/>
      <c r="K130" s="223"/>
      <c r="L130" s="223"/>
      <c r="M130" s="223"/>
      <c r="N130" s="210"/>
      <c r="O130" s="176"/>
    </row>
    <row r="131" spans="1:23" ht="19.2" customHeight="1">
      <c r="A131" s="211"/>
      <c r="B131" s="214"/>
      <c r="C131" s="217"/>
      <c r="D131" s="217"/>
      <c r="E131" s="224"/>
      <c r="F131" s="224"/>
      <c r="G131" s="224"/>
      <c r="H131" s="224"/>
      <c r="I131" s="224"/>
      <c r="J131" s="224"/>
      <c r="K131" s="224"/>
      <c r="L131" s="224"/>
      <c r="M131" s="224"/>
      <c r="N131" s="211"/>
      <c r="O131" s="176"/>
    </row>
    <row r="132" spans="1:23" s="2" customFormat="1" ht="19.2" customHeight="1">
      <c r="A132" s="21" t="s">
        <v>106</v>
      </c>
      <c r="B132" s="22"/>
      <c r="C132" s="34"/>
      <c r="D132" s="35">
        <f>SUM(D126:D127)</f>
        <v>4626.5</v>
      </c>
      <c r="E132" s="43"/>
      <c r="F132" s="43"/>
      <c r="G132" s="43"/>
      <c r="H132" s="43"/>
      <c r="I132" s="43"/>
      <c r="J132" s="43"/>
      <c r="K132" s="43"/>
      <c r="L132" s="44"/>
      <c r="M132" s="44"/>
      <c r="N132" s="193">
        <f>SUM(N126:N127)</f>
        <v>247000</v>
      </c>
      <c r="O132" s="153"/>
    </row>
    <row r="133" spans="1:23" ht="19.2" customHeight="1">
      <c r="A133" s="21" t="s">
        <v>7</v>
      </c>
      <c r="B133" s="22"/>
      <c r="C133" s="45"/>
      <c r="D133" s="46">
        <f>D132/D92</f>
        <v>82.616071428571431</v>
      </c>
      <c r="E133" s="46"/>
      <c r="F133" s="46"/>
      <c r="G133" s="46"/>
      <c r="H133" s="46"/>
      <c r="I133" s="46"/>
      <c r="J133" s="46"/>
      <c r="K133" s="46"/>
      <c r="L133" s="47"/>
      <c r="M133" s="47"/>
      <c r="N133" s="194"/>
      <c r="O133" s="4"/>
      <c r="P133" s="2"/>
      <c r="Q133" s="2"/>
      <c r="R133" s="2"/>
      <c r="S133" s="2"/>
      <c r="T133" s="2"/>
      <c r="U133" s="2"/>
      <c r="V133" s="2"/>
    </row>
    <row r="134" spans="1:23" ht="19.2" customHeight="1">
      <c r="A134" s="294" t="s">
        <v>52</v>
      </c>
      <c r="B134" s="226"/>
      <c r="C134" s="376" t="s">
        <v>151</v>
      </c>
      <c r="D134" s="20" t="s">
        <v>50</v>
      </c>
      <c r="E134" s="46"/>
      <c r="F134" s="46"/>
      <c r="G134" s="46"/>
      <c r="H134" s="46"/>
      <c r="I134" s="46"/>
      <c r="J134" s="48"/>
      <c r="K134" s="48"/>
      <c r="L134" s="47"/>
      <c r="M134" s="47"/>
      <c r="N134" s="177"/>
      <c r="O134" s="4"/>
      <c r="P134" s="2"/>
      <c r="Q134" s="2"/>
      <c r="R134" s="2"/>
      <c r="S134" s="2"/>
      <c r="T134" s="2"/>
      <c r="U134" s="2"/>
      <c r="V134" s="2"/>
      <c r="W134" s="2"/>
    </row>
    <row r="135" spans="1:23" ht="19.2" customHeight="1">
      <c r="A135" s="227"/>
      <c r="B135" s="228"/>
      <c r="C135" s="76" t="s">
        <v>60</v>
      </c>
      <c r="D135" s="20">
        <f>D133*100/930</f>
        <v>8.8834485407066062</v>
      </c>
      <c r="E135" s="46"/>
      <c r="F135" s="46"/>
      <c r="G135" s="46"/>
      <c r="H135" s="46"/>
      <c r="I135" s="46"/>
      <c r="J135" s="48"/>
      <c r="K135" s="48"/>
      <c r="L135" s="47"/>
      <c r="M135" s="47"/>
      <c r="N135" s="177"/>
      <c r="O135" s="4"/>
      <c r="P135" s="2"/>
      <c r="Q135" s="2"/>
      <c r="R135" s="2"/>
      <c r="S135" s="2"/>
      <c r="T135" s="2"/>
      <c r="U135" s="2"/>
      <c r="V135" s="2"/>
      <c r="W135" s="2"/>
    </row>
    <row r="136" spans="1:23" ht="19.2" customHeight="1">
      <c r="A136" s="286" t="s">
        <v>107</v>
      </c>
      <c r="B136" s="287"/>
      <c r="C136" s="290"/>
      <c r="D136" s="302">
        <f>D108+D122+D132</f>
        <v>34739.829599999997</v>
      </c>
      <c r="E136" s="7">
        <f>SUM(E99:E126)</f>
        <v>728.62599999999998</v>
      </c>
      <c r="F136" s="7">
        <f>SUM(F98:F127)</f>
        <v>613.47723999999994</v>
      </c>
      <c r="G136" s="7">
        <f t="shared" ref="G136" si="8">SUM(G99:G126)</f>
        <v>972.94800000000009</v>
      </c>
      <c r="H136" s="7">
        <f>SUM(H98:H127)</f>
        <v>406.43468000000001</v>
      </c>
      <c r="I136" s="284">
        <f>SUM(I98:I127)</f>
        <v>4104.1682799999999</v>
      </c>
      <c r="J136" s="284">
        <f>SUM(J98:J127)</f>
        <v>9903.3811999999998</v>
      </c>
      <c r="K136" s="284">
        <f>SUM(K98:K127)</f>
        <v>18.323928000000002</v>
      </c>
      <c r="L136" s="268"/>
      <c r="M136" s="268"/>
      <c r="N136" s="304">
        <f>N108+N122+N132</f>
        <v>1232145</v>
      </c>
      <c r="U136" s="12"/>
      <c r="V136" s="12"/>
    </row>
    <row r="137" spans="1:23" ht="19.2" customHeight="1">
      <c r="A137" s="288"/>
      <c r="B137" s="289"/>
      <c r="C137" s="291"/>
      <c r="D137" s="303"/>
      <c r="E137" s="295">
        <f>E136+F136</f>
        <v>1342.1032399999999</v>
      </c>
      <c r="F137" s="296"/>
      <c r="G137" s="295">
        <f>G136+H136</f>
        <v>1379.3826800000002</v>
      </c>
      <c r="H137" s="296"/>
      <c r="I137" s="285"/>
      <c r="J137" s="285"/>
      <c r="K137" s="285"/>
      <c r="L137" s="268"/>
      <c r="M137" s="268"/>
      <c r="N137" s="304"/>
      <c r="U137" s="12"/>
      <c r="V137" s="12"/>
    </row>
    <row r="138" spans="1:23" ht="19.2" customHeight="1">
      <c r="A138" s="269" t="s">
        <v>77</v>
      </c>
      <c r="B138" s="270"/>
      <c r="C138" s="271"/>
      <c r="D138" s="133">
        <f>D136/D92</f>
        <v>620.3540999999999</v>
      </c>
      <c r="E138" s="400">
        <f>E136/D92</f>
        <v>13.011178571428571</v>
      </c>
      <c r="F138" s="399">
        <f>F136/D92</f>
        <v>10.954950714285713</v>
      </c>
      <c r="G138" s="400">
        <f>G136/D92</f>
        <v>17.37407142857143</v>
      </c>
      <c r="H138" s="399">
        <f>H136/D92</f>
        <v>7.2577621428571435</v>
      </c>
      <c r="I138" s="300">
        <f>I136/D92</f>
        <v>73.288719285714279</v>
      </c>
      <c r="J138" s="300">
        <f>J136/D92</f>
        <v>176.84609285714285</v>
      </c>
      <c r="K138" s="300">
        <f>K136/D92</f>
        <v>0.32721300000000003</v>
      </c>
      <c r="L138" s="268"/>
      <c r="M138" s="268"/>
      <c r="N138" s="304"/>
      <c r="P138" s="368"/>
      <c r="Q138" s="370"/>
      <c r="R138" s="370"/>
      <c r="S138" s="370"/>
      <c r="T138" s="370"/>
      <c r="U138" s="380"/>
      <c r="V138" s="380"/>
    </row>
    <row r="139" spans="1:23" ht="19.2" customHeight="1">
      <c r="A139" s="272"/>
      <c r="B139" s="273"/>
      <c r="C139" s="274"/>
      <c r="D139" s="127"/>
      <c r="E139" s="381">
        <f>E138+F138</f>
        <v>23.966129285714285</v>
      </c>
      <c r="F139" s="382"/>
      <c r="G139" s="381">
        <f>G138+H138</f>
        <v>24.631833571428572</v>
      </c>
      <c r="H139" s="382"/>
      <c r="I139" s="301"/>
      <c r="J139" s="301"/>
      <c r="K139" s="301"/>
      <c r="L139" s="268"/>
      <c r="M139" s="268"/>
      <c r="N139" s="304"/>
      <c r="P139" s="383"/>
      <c r="Q139" s="370"/>
      <c r="R139" s="370"/>
      <c r="S139" s="393"/>
      <c r="T139" s="393"/>
      <c r="U139" s="370"/>
      <c r="V139" s="370"/>
    </row>
    <row r="140" spans="1:23" ht="19.2" customHeight="1">
      <c r="A140" s="305" t="s">
        <v>80</v>
      </c>
      <c r="B140" s="306"/>
      <c r="C140" s="307"/>
      <c r="D140" s="179" t="s">
        <v>29</v>
      </c>
      <c r="E140" s="339" t="s">
        <v>24</v>
      </c>
      <c r="F140" s="339"/>
      <c r="G140" s="339" t="s">
        <v>25</v>
      </c>
      <c r="H140" s="339"/>
      <c r="I140" s="179" t="s">
        <v>26</v>
      </c>
      <c r="J140" s="174">
        <v>500</v>
      </c>
      <c r="K140" s="174">
        <v>0.5</v>
      </c>
      <c r="L140" s="268"/>
      <c r="M140" s="268"/>
      <c r="N140" s="304"/>
      <c r="O140" s="385"/>
      <c r="P140" s="368"/>
      <c r="Q140" s="369"/>
      <c r="R140" s="369"/>
      <c r="S140" s="369"/>
      <c r="T140" s="369"/>
      <c r="U140" s="368"/>
      <c r="V140" s="368"/>
    </row>
    <row r="141" spans="1:23" ht="19.2" customHeight="1">
      <c r="A141" s="243" t="s">
        <v>78</v>
      </c>
      <c r="B141" s="275"/>
      <c r="C141" s="244"/>
      <c r="D141" s="49"/>
      <c r="E141" s="276">
        <f>E139*4.1</f>
        <v>98.261130071428553</v>
      </c>
      <c r="F141" s="277"/>
      <c r="G141" s="276">
        <f>G139*9</f>
        <v>221.68650214285714</v>
      </c>
      <c r="H141" s="277"/>
      <c r="I141" s="85">
        <f>I138*4.1</f>
        <v>300.48374907142852</v>
      </c>
      <c r="J141" s="257"/>
      <c r="K141" s="257"/>
      <c r="L141" s="268"/>
      <c r="M141" s="268"/>
      <c r="N141" s="304"/>
      <c r="O141" s="385"/>
      <c r="P141" s="386"/>
      <c r="Q141" s="368"/>
      <c r="R141" s="368"/>
      <c r="S141" s="368"/>
      <c r="T141" s="368"/>
      <c r="U141" s="368"/>
      <c r="V141" s="368"/>
    </row>
    <row r="142" spans="1:23" ht="19.2" customHeight="1">
      <c r="A142" s="278" t="s">
        <v>87</v>
      </c>
      <c r="B142" s="279"/>
      <c r="C142" s="243" t="s">
        <v>59</v>
      </c>
      <c r="D142" s="244"/>
      <c r="E142" s="189">
        <f>E141*100/D138</f>
        <v>15.839522954942762</v>
      </c>
      <c r="F142" s="190"/>
      <c r="G142" s="189">
        <f>G141*100/D138</f>
        <v>35.735477873501146</v>
      </c>
      <c r="H142" s="190"/>
      <c r="I142" s="116">
        <f>I141*100/D138</f>
        <v>48.43745678015646</v>
      </c>
      <c r="J142" s="258"/>
      <c r="K142" s="258"/>
      <c r="L142" s="268"/>
      <c r="M142" s="268"/>
      <c r="N142" s="304"/>
      <c r="O142" s="385"/>
    </row>
    <row r="143" spans="1:23" ht="19.2" customHeight="1">
      <c r="A143" s="280"/>
      <c r="B143" s="281"/>
      <c r="C143" s="243" t="s">
        <v>79</v>
      </c>
      <c r="D143" s="244"/>
      <c r="E143" s="243" t="s">
        <v>82</v>
      </c>
      <c r="F143" s="244"/>
      <c r="G143" s="243" t="s">
        <v>85</v>
      </c>
      <c r="H143" s="244"/>
      <c r="I143" s="179" t="s">
        <v>86</v>
      </c>
      <c r="J143" s="259"/>
      <c r="K143" s="259"/>
      <c r="L143" s="268"/>
      <c r="M143" s="268"/>
      <c r="N143" s="304"/>
      <c r="O143" s="385"/>
      <c r="P143" s="132"/>
    </row>
    <row r="144" spans="1:23" ht="18" customHeight="1">
      <c r="A144" s="90"/>
      <c r="B144" s="93"/>
      <c r="C144" s="90"/>
      <c r="D144" s="90"/>
      <c r="E144" s="90"/>
      <c r="F144" s="90"/>
      <c r="G144" s="90"/>
      <c r="H144" s="90"/>
      <c r="I144" s="90"/>
      <c r="J144" s="90"/>
      <c r="K144" s="90"/>
      <c r="L144" s="91"/>
      <c r="M144" s="91"/>
      <c r="N144" s="92"/>
      <c r="O144" s="385"/>
    </row>
    <row r="145" spans="1:15" ht="21" customHeight="1">
      <c r="A145" s="184" t="s">
        <v>114</v>
      </c>
      <c r="B145" s="184"/>
      <c r="C145" s="184"/>
      <c r="D145" s="184"/>
      <c r="E145" s="184"/>
      <c r="F145" s="184"/>
      <c r="G145" s="184"/>
      <c r="H145" s="184"/>
      <c r="I145" s="184"/>
      <c r="J145" s="184"/>
      <c r="K145" s="184"/>
      <c r="L145" s="184"/>
      <c r="M145" s="184"/>
      <c r="N145" s="184"/>
      <c r="O145" s="385"/>
    </row>
    <row r="146" spans="1:15" ht="21" customHeight="1">
      <c r="A146" s="117" t="s">
        <v>115</v>
      </c>
      <c r="B146" s="185" t="s">
        <v>116</v>
      </c>
      <c r="C146" s="185"/>
      <c r="D146" s="185"/>
      <c r="E146" s="185"/>
      <c r="F146" s="185"/>
      <c r="G146" s="185"/>
      <c r="H146" s="185"/>
      <c r="I146" s="185"/>
      <c r="J146" s="185"/>
      <c r="K146" s="185"/>
      <c r="L146" s="185"/>
      <c r="M146" s="185"/>
      <c r="N146" s="185"/>
      <c r="O146" s="385"/>
    </row>
    <row r="147" spans="1:15" ht="21" customHeight="1">
      <c r="A147" s="118"/>
      <c r="B147" s="186" t="s">
        <v>202</v>
      </c>
      <c r="C147" s="186"/>
      <c r="D147" s="186"/>
      <c r="E147" s="186"/>
      <c r="F147" s="186"/>
      <c r="G147" s="186"/>
      <c r="H147" s="186"/>
      <c r="I147" s="186"/>
      <c r="J147" s="186"/>
      <c r="K147" s="186"/>
      <c r="L147" s="186"/>
      <c r="M147" s="186"/>
      <c r="N147" s="186"/>
      <c r="O147" s="385"/>
    </row>
    <row r="148" spans="1:15" ht="21" customHeight="1">
      <c r="A148" s="118"/>
      <c r="B148" s="186" t="s">
        <v>203</v>
      </c>
      <c r="C148" s="186"/>
      <c r="D148" s="186"/>
      <c r="E148" s="186"/>
      <c r="F148" s="186"/>
      <c r="G148" s="186"/>
      <c r="H148" s="186"/>
      <c r="I148" s="186"/>
      <c r="J148" s="186"/>
      <c r="K148" s="186"/>
      <c r="L148" s="186"/>
      <c r="M148" s="186"/>
      <c r="N148" s="186"/>
      <c r="O148" s="385"/>
    </row>
    <row r="149" spans="1:15" ht="21" customHeight="1">
      <c r="A149" s="118"/>
      <c r="B149" s="186" t="s">
        <v>204</v>
      </c>
      <c r="C149" s="186"/>
      <c r="D149" s="186"/>
      <c r="E149" s="186"/>
      <c r="F149" s="186"/>
      <c r="G149" s="186"/>
      <c r="H149" s="186"/>
      <c r="I149" s="186"/>
      <c r="J149" s="186"/>
      <c r="K149" s="186"/>
      <c r="L149" s="186"/>
      <c r="M149" s="186"/>
      <c r="N149" s="186"/>
      <c r="O149" s="385"/>
    </row>
    <row r="150" spans="1:15" ht="21" customHeight="1">
      <c r="A150" s="90"/>
      <c r="B150" s="187" t="s">
        <v>130</v>
      </c>
      <c r="C150" s="187"/>
      <c r="D150" s="187"/>
      <c r="E150" s="187"/>
      <c r="F150" s="187"/>
      <c r="G150" s="187"/>
      <c r="H150" s="187"/>
      <c r="I150" s="187"/>
      <c r="J150" s="187"/>
      <c r="K150" s="187"/>
      <c r="L150" s="187"/>
      <c r="M150" s="187"/>
      <c r="N150" s="187"/>
      <c r="O150" s="385"/>
    </row>
    <row r="151" spans="1:15" ht="21" customHeight="1">
      <c r="A151" s="90"/>
      <c r="B151" s="90"/>
      <c r="C151" s="90"/>
      <c r="D151" s="90"/>
      <c r="E151" s="90"/>
      <c r="F151" s="90"/>
      <c r="G151" s="90"/>
      <c r="H151" s="90"/>
      <c r="I151" s="90"/>
      <c r="J151" s="90"/>
      <c r="K151" s="90"/>
      <c r="L151" s="94"/>
      <c r="M151" s="94"/>
      <c r="N151" s="95"/>
      <c r="O151" s="385"/>
    </row>
    <row r="152" spans="1:15" ht="21" customHeight="1">
      <c r="A152" s="188" t="s">
        <v>62</v>
      </c>
      <c r="B152" s="188"/>
      <c r="C152" s="188"/>
      <c r="D152" s="188"/>
      <c r="E152" s="387"/>
      <c r="F152" s="387"/>
      <c r="G152" s="387"/>
      <c r="H152" s="387"/>
      <c r="I152" s="387"/>
      <c r="J152" s="388" t="s">
        <v>33</v>
      </c>
      <c r="K152" s="388"/>
      <c r="L152" s="388"/>
      <c r="M152" s="388"/>
      <c r="N152" s="388"/>
      <c r="O152" s="385"/>
    </row>
    <row r="153" spans="1:15" ht="21" customHeight="1">
      <c r="A153" s="176"/>
      <c r="B153" s="176"/>
      <c r="C153" s="176"/>
      <c r="D153" s="387"/>
      <c r="E153" s="387"/>
      <c r="F153" s="387"/>
      <c r="G153" s="387"/>
      <c r="H153" s="389"/>
      <c r="I153" s="389"/>
      <c r="J153" s="389"/>
      <c r="K153" s="389"/>
      <c r="L153" s="389"/>
      <c r="M153" s="389"/>
      <c r="N153" s="389"/>
      <c r="O153" s="385"/>
    </row>
    <row r="154" spans="1:15" ht="21" customHeight="1">
      <c r="A154" s="176"/>
      <c r="B154" s="176"/>
      <c r="C154" s="176"/>
      <c r="D154" s="387"/>
      <c r="E154" s="387"/>
      <c r="F154" s="387"/>
      <c r="G154" s="387"/>
      <c r="H154" s="389"/>
      <c r="I154" s="389"/>
      <c r="J154" s="389"/>
      <c r="K154" s="389"/>
      <c r="L154" s="389"/>
      <c r="M154" s="389"/>
      <c r="N154" s="389"/>
      <c r="O154" s="385"/>
    </row>
    <row r="155" spans="1:15" ht="21" customHeight="1">
      <c r="A155" s="176"/>
      <c r="B155" s="176"/>
      <c r="C155" s="176"/>
      <c r="D155" s="387"/>
      <c r="E155" s="387"/>
      <c r="F155" s="387"/>
      <c r="G155" s="387"/>
      <c r="H155" s="389"/>
      <c r="I155" s="389"/>
      <c r="J155" s="390" t="s">
        <v>124</v>
      </c>
      <c r="K155" s="390"/>
      <c r="L155" s="390"/>
      <c r="M155" s="390"/>
      <c r="N155" s="390"/>
      <c r="O155" s="385"/>
    </row>
    <row r="156" spans="1:15" ht="21" customHeight="1">
      <c r="A156" s="180" t="s">
        <v>91</v>
      </c>
      <c r="B156" s="180"/>
      <c r="C156" s="180"/>
      <c r="D156" s="180"/>
      <c r="E156" s="387"/>
      <c r="F156" s="387"/>
      <c r="G156" s="387"/>
      <c r="H156" s="389"/>
      <c r="I156" s="389"/>
      <c r="J156" s="390"/>
      <c r="K156" s="390"/>
      <c r="L156" s="390"/>
      <c r="M156" s="390"/>
      <c r="N156" s="390"/>
      <c r="O156" s="385"/>
    </row>
    <row r="157" spans="1:15" ht="21" customHeight="1"/>
    <row r="158" spans="1:15" ht="21" customHeight="1">
      <c r="J158" s="390" t="s">
        <v>127</v>
      </c>
      <c r="K158" s="390"/>
      <c r="L158" s="390"/>
      <c r="M158" s="390"/>
      <c r="N158" s="390"/>
    </row>
  </sheetData>
  <mergeCells count="203">
    <mergeCell ref="A8:D8"/>
    <mergeCell ref="J155:N155"/>
    <mergeCell ref="A156:D156"/>
    <mergeCell ref="J158:N158"/>
    <mergeCell ref="Q138:R138"/>
    <mergeCell ref="S138:T138"/>
    <mergeCell ref="U138:V138"/>
    <mergeCell ref="Q139:R139"/>
    <mergeCell ref="S139:T139"/>
    <mergeCell ref="U139:V139"/>
    <mergeCell ref="A140:C140"/>
    <mergeCell ref="A141:C141"/>
    <mergeCell ref="J141:J143"/>
    <mergeCell ref="K141:K143"/>
    <mergeCell ref="A142:B143"/>
    <mergeCell ref="C142:D142"/>
    <mergeCell ref="E142:F142"/>
    <mergeCell ref="G142:H142"/>
    <mergeCell ref="C143:D143"/>
    <mergeCell ref="E143:F143"/>
    <mergeCell ref="G143:H143"/>
    <mergeCell ref="J156:N156"/>
    <mergeCell ref="B146:N146"/>
    <mergeCell ref="B147:N147"/>
    <mergeCell ref="B148:N148"/>
    <mergeCell ref="N132:N133"/>
    <mergeCell ref="A136:B137"/>
    <mergeCell ref="C136:C137"/>
    <mergeCell ref="D136:D137"/>
    <mergeCell ref="L136:L143"/>
    <mergeCell ref="M136:M143"/>
    <mergeCell ref="N136:N143"/>
    <mergeCell ref="A138:C139"/>
    <mergeCell ref="I138:I139"/>
    <mergeCell ref="J138:J139"/>
    <mergeCell ref="K138:K139"/>
    <mergeCell ref="A134:B135"/>
    <mergeCell ref="A145:N145"/>
    <mergeCell ref="A112:B112"/>
    <mergeCell ref="N122:N123"/>
    <mergeCell ref="A124:B125"/>
    <mergeCell ref="A126:B126"/>
    <mergeCell ref="A128:A131"/>
    <mergeCell ref="B128:B131"/>
    <mergeCell ref="C128:C131"/>
    <mergeCell ref="D128:D131"/>
    <mergeCell ref="E128:F129"/>
    <mergeCell ref="G128:H129"/>
    <mergeCell ref="I128:I131"/>
    <mergeCell ref="J128:J131"/>
    <mergeCell ref="K128:K131"/>
    <mergeCell ref="L128:L131"/>
    <mergeCell ref="M128:M131"/>
    <mergeCell ref="N128:N131"/>
    <mergeCell ref="E130:E131"/>
    <mergeCell ref="F130:F131"/>
    <mergeCell ref="G130:G131"/>
    <mergeCell ref="H130:H131"/>
    <mergeCell ref="F83:N83"/>
    <mergeCell ref="A87:D88"/>
    <mergeCell ref="E87:N87"/>
    <mergeCell ref="E88:I88"/>
    <mergeCell ref="E89:I91"/>
    <mergeCell ref="A90:D90"/>
    <mergeCell ref="J90:N90"/>
    <mergeCell ref="A91:D91"/>
    <mergeCell ref="J91:N91"/>
    <mergeCell ref="A89:D89"/>
    <mergeCell ref="Q53:R53"/>
    <mergeCell ref="S53:T53"/>
    <mergeCell ref="U53:V53"/>
    <mergeCell ref="A56:C56"/>
    <mergeCell ref="J56:J58"/>
    <mergeCell ref="K56:K58"/>
    <mergeCell ref="A57:B58"/>
    <mergeCell ref="C58:D58"/>
    <mergeCell ref="E58:F58"/>
    <mergeCell ref="G58:H58"/>
    <mergeCell ref="A51:B52"/>
    <mergeCell ref="C51:C52"/>
    <mergeCell ref="D51:D52"/>
    <mergeCell ref="I51:I52"/>
    <mergeCell ref="J51:J52"/>
    <mergeCell ref="K51:K52"/>
    <mergeCell ref="L51:L58"/>
    <mergeCell ref="M51:M58"/>
    <mergeCell ref="N51:N58"/>
    <mergeCell ref="E52:F52"/>
    <mergeCell ref="G52:H52"/>
    <mergeCell ref="A53:C54"/>
    <mergeCell ref="I53:I54"/>
    <mergeCell ref="J53:J54"/>
    <mergeCell ref="K53:K54"/>
    <mergeCell ref="C57:D57"/>
    <mergeCell ref="L43:L46"/>
    <mergeCell ref="M43:M46"/>
    <mergeCell ref="N43:N46"/>
    <mergeCell ref="E45:E46"/>
    <mergeCell ref="F45:F46"/>
    <mergeCell ref="G45:G46"/>
    <mergeCell ref="H45:H46"/>
    <mergeCell ref="N47:N48"/>
    <mergeCell ref="A49:B50"/>
    <mergeCell ref="D11:D14"/>
    <mergeCell ref="E11:F12"/>
    <mergeCell ref="G11:H12"/>
    <mergeCell ref="I11:I14"/>
    <mergeCell ref="J11:J14"/>
    <mergeCell ref="K11:K14"/>
    <mergeCell ref="A30:B31"/>
    <mergeCell ref="A32:B32"/>
    <mergeCell ref="A43:A46"/>
    <mergeCell ref="B43:B46"/>
    <mergeCell ref="C43:C46"/>
    <mergeCell ref="D43:D46"/>
    <mergeCell ref="E43:F44"/>
    <mergeCell ref="G43:H44"/>
    <mergeCell ref="I43:I46"/>
    <mergeCell ref="J43:J46"/>
    <mergeCell ref="K43:K46"/>
    <mergeCell ref="U52:V52"/>
    <mergeCell ref="G54:H54"/>
    <mergeCell ref="F1:N1"/>
    <mergeCell ref="E54:F54"/>
    <mergeCell ref="G57:H57"/>
    <mergeCell ref="E55:F55"/>
    <mergeCell ref="E140:F140"/>
    <mergeCell ref="G140:H140"/>
    <mergeCell ref="E141:F141"/>
    <mergeCell ref="G141:H141"/>
    <mergeCell ref="E56:F56"/>
    <mergeCell ref="I136:I137"/>
    <mergeCell ref="E137:F137"/>
    <mergeCell ref="G137:H137"/>
    <mergeCell ref="Q52:R52"/>
    <mergeCell ref="S52:T52"/>
    <mergeCell ref="E139:F139"/>
    <mergeCell ref="G139:H139"/>
    <mergeCell ref="J88:N88"/>
    <mergeCell ref="J89:N89"/>
    <mergeCell ref="J136:J137"/>
    <mergeCell ref="K136:K137"/>
    <mergeCell ref="E57:F57"/>
    <mergeCell ref="A60:N60"/>
    <mergeCell ref="J74:N74"/>
    <mergeCell ref="A5:D5"/>
    <mergeCell ref="A6:D6"/>
    <mergeCell ref="A7:D7"/>
    <mergeCell ref="A55:C55"/>
    <mergeCell ref="G56:H56"/>
    <mergeCell ref="E5:N5"/>
    <mergeCell ref="E6:I9"/>
    <mergeCell ref="J6:N9"/>
    <mergeCell ref="A9:D9"/>
    <mergeCell ref="A10:C10"/>
    <mergeCell ref="G55:H55"/>
    <mergeCell ref="L11:L14"/>
    <mergeCell ref="M11:M14"/>
    <mergeCell ref="N11:N14"/>
    <mergeCell ref="E13:E14"/>
    <mergeCell ref="F13:F14"/>
    <mergeCell ref="G13:G14"/>
    <mergeCell ref="H13:H14"/>
    <mergeCell ref="A15:N15"/>
    <mergeCell ref="N28:N29"/>
    <mergeCell ref="A11:A14"/>
    <mergeCell ref="B11:B14"/>
    <mergeCell ref="C11:C14"/>
    <mergeCell ref="B61:N61"/>
    <mergeCell ref="B62:N62"/>
    <mergeCell ref="B63:N63"/>
    <mergeCell ref="B64:N64"/>
    <mergeCell ref="J70:N70"/>
    <mergeCell ref="J73:N73"/>
    <mergeCell ref="B65:N65"/>
    <mergeCell ref="A67:D67"/>
    <mergeCell ref="J67:N67"/>
    <mergeCell ref="A71:D71"/>
    <mergeCell ref="J71:N71"/>
    <mergeCell ref="B149:N149"/>
    <mergeCell ref="B150:N150"/>
    <mergeCell ref="A152:D152"/>
    <mergeCell ref="J152:N152"/>
    <mergeCell ref="A92:C92"/>
    <mergeCell ref="A93:A96"/>
    <mergeCell ref="B93:B96"/>
    <mergeCell ref="C93:C96"/>
    <mergeCell ref="D93:D96"/>
    <mergeCell ref="E93:F94"/>
    <mergeCell ref="G93:H94"/>
    <mergeCell ref="I93:I96"/>
    <mergeCell ref="J93:J96"/>
    <mergeCell ref="K93:K96"/>
    <mergeCell ref="L93:L96"/>
    <mergeCell ref="M93:M96"/>
    <mergeCell ref="N93:N96"/>
    <mergeCell ref="E95:E96"/>
    <mergeCell ref="F95:F96"/>
    <mergeCell ref="G95:G96"/>
    <mergeCell ref="H95:H96"/>
    <mergeCell ref="A97:N97"/>
    <mergeCell ref="N108:N109"/>
    <mergeCell ref="A110:B111"/>
  </mergeCells>
  <pageMargins left="0.15" right="0.10833333333333334" top="0.42708333333333331" bottom="0.39583333333333331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W156"/>
  <sheetViews>
    <sheetView workbookViewId="0">
      <selection activeCell="O1" sqref="O1"/>
    </sheetView>
  </sheetViews>
  <sheetFormatPr defaultColWidth="9.109375" defaultRowHeight="22.2" customHeight="1"/>
  <cols>
    <col min="1" max="1" width="4" style="1" customWidth="1"/>
    <col min="2" max="2" width="12.6640625" style="1" customWidth="1"/>
    <col min="3" max="3" width="6.88671875" style="1" customWidth="1"/>
    <col min="4" max="4" width="7.33203125" style="1" customWidth="1"/>
    <col min="5" max="8" width="6.6640625" style="1" customWidth="1"/>
    <col min="9" max="9" width="7.77734375" style="1" customWidth="1"/>
    <col min="10" max="10" width="8.21875" style="1" customWidth="1"/>
    <col min="11" max="11" width="8" style="1" customWidth="1"/>
    <col min="12" max="12" width="5.6640625" style="1" customWidth="1"/>
    <col min="13" max="13" width="6.6640625" style="1" customWidth="1"/>
    <col min="14" max="14" width="7.33203125" style="1" customWidth="1"/>
    <col min="15" max="15" width="11.88671875" style="1" customWidth="1"/>
    <col min="16" max="16" width="9.109375" style="1"/>
    <col min="17" max="22" width="8.6640625" style="1" customWidth="1"/>
    <col min="23" max="16384" width="9.109375" style="1"/>
  </cols>
  <sheetData>
    <row r="1" spans="1:20" ht="19.8" customHeight="1">
      <c r="A1" s="11" t="s">
        <v>61</v>
      </c>
      <c r="B1" s="8"/>
      <c r="C1" s="8"/>
      <c r="D1" s="8"/>
      <c r="E1" s="8"/>
      <c r="F1" s="293" t="s">
        <v>31</v>
      </c>
      <c r="G1" s="293"/>
      <c r="H1" s="293"/>
      <c r="I1" s="293"/>
      <c r="J1" s="293"/>
      <c r="K1" s="293"/>
      <c r="L1" s="293"/>
      <c r="M1" s="293"/>
      <c r="N1" s="293"/>
      <c r="O1" s="371"/>
      <c r="P1" s="371"/>
      <c r="Q1" s="2"/>
      <c r="R1" s="2"/>
      <c r="S1" s="2"/>
      <c r="T1" s="2"/>
    </row>
    <row r="2" spans="1:20" ht="19.8" customHeight="1">
      <c r="A2" s="11"/>
      <c r="B2" s="8"/>
      <c r="C2" s="8"/>
      <c r="D2" s="8"/>
      <c r="E2" s="8"/>
      <c r="F2" s="173"/>
      <c r="G2" s="173"/>
      <c r="H2" s="173"/>
      <c r="I2" s="173"/>
      <c r="J2" s="173"/>
      <c r="K2" s="173"/>
      <c r="L2" s="173"/>
      <c r="M2" s="173"/>
      <c r="N2" s="173"/>
      <c r="O2" s="371"/>
      <c r="P2" s="371"/>
      <c r="Q2" s="2"/>
      <c r="R2" s="2"/>
      <c r="S2" s="2"/>
      <c r="T2" s="2"/>
    </row>
    <row r="3" spans="1:20" ht="19.8" customHeight="1">
      <c r="A3" s="8" t="s">
        <v>205</v>
      </c>
      <c r="B3" s="8"/>
      <c r="C3" s="8"/>
      <c r="D3" s="8"/>
      <c r="E3" s="8"/>
      <c r="F3" s="173"/>
      <c r="G3" s="173"/>
      <c r="H3" s="173"/>
      <c r="I3" s="173"/>
      <c r="J3" s="173"/>
      <c r="K3" s="173"/>
      <c r="L3" s="173"/>
      <c r="M3" s="173"/>
      <c r="N3" s="173"/>
      <c r="O3" s="371"/>
      <c r="P3" s="371"/>
      <c r="T3" s="2"/>
    </row>
    <row r="4" spans="1:20" ht="19.8" customHeight="1">
      <c r="A4" s="8"/>
      <c r="B4" s="8"/>
      <c r="C4" s="8"/>
      <c r="D4" s="8"/>
      <c r="E4" s="8"/>
      <c r="F4" s="173"/>
      <c r="G4" s="173"/>
      <c r="H4" s="173"/>
      <c r="I4" s="173"/>
      <c r="J4" s="173"/>
      <c r="K4" s="173"/>
      <c r="L4" s="173"/>
      <c r="M4" s="173"/>
      <c r="N4" s="173"/>
      <c r="O4" s="371"/>
      <c r="P4" s="371"/>
      <c r="T4" s="2"/>
    </row>
    <row r="5" spans="1:20" s="2" customFormat="1" ht="19.8" customHeight="1">
      <c r="A5" s="195" t="s">
        <v>97</v>
      </c>
      <c r="B5" s="195"/>
      <c r="C5" s="195"/>
      <c r="D5" s="195"/>
      <c r="E5" s="195" t="s">
        <v>98</v>
      </c>
      <c r="F5" s="195"/>
      <c r="G5" s="195"/>
      <c r="H5" s="195"/>
      <c r="I5" s="195"/>
      <c r="J5" s="195"/>
      <c r="K5" s="195"/>
      <c r="L5" s="195"/>
      <c r="M5" s="195"/>
      <c r="N5" s="195"/>
      <c r="O5" s="372"/>
    </row>
    <row r="6" spans="1:20" s="2" customFormat="1" ht="19.8" customHeight="1">
      <c r="A6" s="196" t="s">
        <v>90</v>
      </c>
      <c r="B6" s="196"/>
      <c r="C6" s="196"/>
      <c r="D6" s="196"/>
      <c r="E6" s="199" t="s">
        <v>148</v>
      </c>
      <c r="F6" s="199"/>
      <c r="G6" s="199"/>
      <c r="H6" s="199"/>
      <c r="I6" s="199"/>
      <c r="J6" s="200" t="s">
        <v>145</v>
      </c>
      <c r="K6" s="201"/>
      <c r="L6" s="201"/>
      <c r="M6" s="201"/>
      <c r="N6" s="202"/>
      <c r="O6" s="372"/>
    </row>
    <row r="7" spans="1:20" s="2" customFormat="1" ht="19.8" customHeight="1">
      <c r="A7" s="313" t="s">
        <v>157</v>
      </c>
      <c r="B7" s="314"/>
      <c r="C7" s="314"/>
      <c r="D7" s="315"/>
      <c r="E7" s="199"/>
      <c r="F7" s="199"/>
      <c r="G7" s="199"/>
      <c r="H7" s="199"/>
      <c r="I7" s="199"/>
      <c r="J7" s="203"/>
      <c r="K7" s="204"/>
      <c r="L7" s="204"/>
      <c r="M7" s="204"/>
      <c r="N7" s="205"/>
      <c r="O7" s="372"/>
    </row>
    <row r="8" spans="1:20" s="2" customFormat="1" ht="19.8" customHeight="1">
      <c r="A8" s="197" t="s">
        <v>182</v>
      </c>
      <c r="B8" s="197"/>
      <c r="C8" s="197"/>
      <c r="D8" s="197"/>
      <c r="E8" s="199"/>
      <c r="F8" s="199"/>
      <c r="G8" s="199"/>
      <c r="H8" s="199"/>
      <c r="I8" s="199"/>
      <c r="J8" s="203"/>
      <c r="K8" s="204"/>
      <c r="L8" s="204"/>
      <c r="M8" s="204"/>
      <c r="N8" s="205"/>
      <c r="O8" s="372"/>
    </row>
    <row r="9" spans="1:20" s="2" customFormat="1" ht="19.8" customHeight="1">
      <c r="A9" s="198" t="s">
        <v>181</v>
      </c>
      <c r="B9" s="198"/>
      <c r="C9" s="198"/>
      <c r="D9" s="198"/>
      <c r="E9" s="199"/>
      <c r="F9" s="199"/>
      <c r="G9" s="199"/>
      <c r="H9" s="199"/>
      <c r="I9" s="199"/>
      <c r="J9" s="206"/>
      <c r="K9" s="207"/>
      <c r="L9" s="207"/>
      <c r="M9" s="207"/>
      <c r="N9" s="208"/>
      <c r="O9" s="372"/>
    </row>
    <row r="10" spans="1:20" s="2" customFormat="1" ht="19.8" customHeight="1">
      <c r="A10" s="229" t="s">
        <v>122</v>
      </c>
      <c r="B10" s="230"/>
      <c r="C10" s="231"/>
      <c r="D10" s="128">
        <v>211</v>
      </c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372"/>
    </row>
    <row r="11" spans="1:20" ht="19.8" customHeight="1">
      <c r="A11" s="209" t="s">
        <v>0</v>
      </c>
      <c r="B11" s="212" t="s">
        <v>19</v>
      </c>
      <c r="C11" s="215" t="s">
        <v>8</v>
      </c>
      <c r="D11" s="215" t="s">
        <v>9</v>
      </c>
      <c r="E11" s="218" t="s">
        <v>11</v>
      </c>
      <c r="F11" s="219"/>
      <c r="G11" s="218" t="s">
        <v>13</v>
      </c>
      <c r="H11" s="219"/>
      <c r="I11" s="222" t="s">
        <v>16</v>
      </c>
      <c r="J11" s="222" t="s">
        <v>41</v>
      </c>
      <c r="K11" s="222" t="s">
        <v>42</v>
      </c>
      <c r="L11" s="316" t="s">
        <v>17</v>
      </c>
      <c r="M11" s="222" t="s">
        <v>55</v>
      </c>
      <c r="N11" s="209" t="s">
        <v>18</v>
      </c>
      <c r="O11" s="373"/>
    </row>
    <row r="12" spans="1:20" ht="19.8" customHeight="1">
      <c r="A12" s="210"/>
      <c r="B12" s="213"/>
      <c r="C12" s="216"/>
      <c r="D12" s="216"/>
      <c r="E12" s="220"/>
      <c r="F12" s="221"/>
      <c r="G12" s="220"/>
      <c r="H12" s="221"/>
      <c r="I12" s="223"/>
      <c r="J12" s="223"/>
      <c r="K12" s="223"/>
      <c r="L12" s="317"/>
      <c r="M12" s="223"/>
      <c r="N12" s="210"/>
      <c r="O12" s="176"/>
    </row>
    <row r="13" spans="1:20" ht="19.8" customHeight="1">
      <c r="A13" s="210"/>
      <c r="B13" s="213"/>
      <c r="C13" s="216"/>
      <c r="D13" s="216"/>
      <c r="E13" s="222" t="s">
        <v>10</v>
      </c>
      <c r="F13" s="222" t="s">
        <v>12</v>
      </c>
      <c r="G13" s="222" t="s">
        <v>14</v>
      </c>
      <c r="H13" s="222" t="s">
        <v>15</v>
      </c>
      <c r="I13" s="223"/>
      <c r="J13" s="223"/>
      <c r="K13" s="223"/>
      <c r="L13" s="317"/>
      <c r="M13" s="223"/>
      <c r="N13" s="210"/>
      <c r="O13" s="176"/>
    </row>
    <row r="14" spans="1:20" ht="19.8" customHeight="1">
      <c r="A14" s="211"/>
      <c r="B14" s="214"/>
      <c r="C14" s="217"/>
      <c r="D14" s="217"/>
      <c r="E14" s="224"/>
      <c r="F14" s="224"/>
      <c r="G14" s="224"/>
      <c r="H14" s="224"/>
      <c r="I14" s="224"/>
      <c r="J14" s="224"/>
      <c r="K14" s="224"/>
      <c r="L14" s="318"/>
      <c r="M14" s="224"/>
      <c r="N14" s="211"/>
      <c r="O14" s="176"/>
    </row>
    <row r="15" spans="1:20" ht="20.399999999999999" customHeight="1">
      <c r="A15" s="238" t="s">
        <v>34</v>
      </c>
      <c r="B15" s="239"/>
      <c r="C15" s="239"/>
      <c r="D15" s="239"/>
      <c r="E15" s="239"/>
      <c r="F15" s="239"/>
      <c r="G15" s="239"/>
      <c r="H15" s="239"/>
      <c r="I15" s="239"/>
      <c r="J15" s="239"/>
      <c r="K15" s="239"/>
      <c r="L15" s="239"/>
      <c r="M15" s="239"/>
      <c r="N15" s="240"/>
      <c r="O15" s="176"/>
    </row>
    <row r="16" spans="1:20" s="2" customFormat="1" ht="20.399999999999999" customHeight="1">
      <c r="A16" s="9">
        <v>1</v>
      </c>
      <c r="B16" s="6" t="s">
        <v>123</v>
      </c>
      <c r="C16" s="23"/>
      <c r="D16" s="139"/>
      <c r="E16" s="25"/>
      <c r="F16" s="25"/>
      <c r="G16" s="25"/>
      <c r="H16" s="25"/>
      <c r="I16" s="25"/>
      <c r="J16" s="25"/>
      <c r="K16" s="25"/>
      <c r="L16" s="26"/>
      <c r="M16" s="26"/>
      <c r="N16" s="28">
        <v>16500</v>
      </c>
      <c r="O16" s="153"/>
    </row>
    <row r="17" spans="1:20" s="2" customFormat="1" ht="20.399999999999999" customHeight="1">
      <c r="A17" s="9">
        <v>2</v>
      </c>
      <c r="B17" s="10" t="s">
        <v>2</v>
      </c>
      <c r="C17" s="23">
        <f>L17/100*100</f>
        <v>280</v>
      </c>
      <c r="D17" s="24">
        <f>C17/100*60</f>
        <v>168</v>
      </c>
      <c r="E17" s="25">
        <f>C17/100*15</f>
        <v>42</v>
      </c>
      <c r="F17" s="25"/>
      <c r="G17" s="25"/>
      <c r="H17" s="25"/>
      <c r="I17" s="25"/>
      <c r="J17" s="27">
        <f>C17/100*387</f>
        <v>1083.5999999999999</v>
      </c>
      <c r="K17" s="27">
        <f>C17/100*0.09</f>
        <v>0.252</v>
      </c>
      <c r="L17" s="137">
        <v>280</v>
      </c>
      <c r="M17" s="75">
        <v>20</v>
      </c>
      <c r="N17" s="28">
        <f>L17*M17</f>
        <v>5600</v>
      </c>
      <c r="O17" s="153"/>
    </row>
    <row r="18" spans="1:20" s="2" customFormat="1" ht="20.399999999999999" customHeight="1">
      <c r="A18" s="9">
        <v>3</v>
      </c>
      <c r="B18" s="10" t="s">
        <v>141</v>
      </c>
      <c r="C18" s="23">
        <f>L18/100*100</f>
        <v>1520</v>
      </c>
      <c r="D18" s="120">
        <f>C18/100*899</f>
        <v>13664.8</v>
      </c>
      <c r="E18" s="25"/>
      <c r="F18" s="25"/>
      <c r="G18" s="119">
        <f>C18/100*100</f>
        <v>1520</v>
      </c>
      <c r="H18" s="25"/>
      <c r="I18" s="25"/>
      <c r="J18" s="25"/>
      <c r="K18" s="25"/>
      <c r="L18" s="137">
        <v>1520</v>
      </c>
      <c r="M18" s="24">
        <v>68</v>
      </c>
      <c r="N18" s="28">
        <f t="shared" ref="N18" si="0">L18*M18</f>
        <v>103360</v>
      </c>
      <c r="O18" s="377"/>
    </row>
    <row r="19" spans="1:20" s="2" customFormat="1" ht="20.399999999999999" customHeight="1">
      <c r="A19" s="9">
        <v>4</v>
      </c>
      <c r="B19" s="10" t="s">
        <v>5</v>
      </c>
      <c r="C19" s="23">
        <f>L19/100*90</f>
        <v>171</v>
      </c>
      <c r="D19" s="24">
        <f>C19/100*281</f>
        <v>480.51</v>
      </c>
      <c r="E19" s="25"/>
      <c r="F19" s="25">
        <f>C19/100*9.5</f>
        <v>16.245000000000001</v>
      </c>
      <c r="G19" s="25"/>
      <c r="H19" s="25">
        <f>C19/100*0.2</f>
        <v>0.34200000000000003</v>
      </c>
      <c r="I19" s="25">
        <f>C19/100*58.5</f>
        <v>100.035</v>
      </c>
      <c r="J19" s="27">
        <f>C19/100*321.3</f>
        <v>549.423</v>
      </c>
      <c r="K19" s="27">
        <f>C19/100*0.14</f>
        <v>0.23940000000000003</v>
      </c>
      <c r="L19" s="137">
        <v>190</v>
      </c>
      <c r="M19" s="75">
        <v>120</v>
      </c>
      <c r="N19" s="28">
        <f t="shared" ref="N19:N27" si="1">L19*M19</f>
        <v>22800</v>
      </c>
      <c r="O19" s="153"/>
    </row>
    <row r="20" spans="1:20" s="2" customFormat="1" ht="20.399999999999999" customHeight="1">
      <c r="A20" s="9">
        <v>5</v>
      </c>
      <c r="B20" s="10" t="s">
        <v>70</v>
      </c>
      <c r="C20" s="23">
        <f>L20/100*90</f>
        <v>117</v>
      </c>
      <c r="D20" s="24">
        <f>C20/100*253</f>
        <v>296.01</v>
      </c>
      <c r="E20" s="25"/>
      <c r="F20" s="25">
        <f>C20/100*32.4</f>
        <v>37.907999999999994</v>
      </c>
      <c r="G20" s="25"/>
      <c r="H20" s="25">
        <f>C20/100*3.6</f>
        <v>4.2119999999999997</v>
      </c>
      <c r="I20" s="25">
        <f>C20/100*21.1</f>
        <v>24.687000000000001</v>
      </c>
      <c r="J20" s="27">
        <f>C20/100*165.6</f>
        <v>193.75199999999998</v>
      </c>
      <c r="K20" s="27">
        <f>C20/100*0.14</f>
        <v>0.1638</v>
      </c>
      <c r="L20" s="137">
        <v>130</v>
      </c>
      <c r="M20" s="75">
        <v>275</v>
      </c>
      <c r="N20" s="28">
        <f t="shared" si="1"/>
        <v>35750</v>
      </c>
      <c r="O20" s="153"/>
    </row>
    <row r="21" spans="1:20" s="2" customFormat="1" ht="20.399999999999999" customHeight="1">
      <c r="A21" s="9">
        <v>6</v>
      </c>
      <c r="B21" s="5" t="s">
        <v>1</v>
      </c>
      <c r="C21" s="23">
        <f>L21/100*100</f>
        <v>20045</v>
      </c>
      <c r="D21" s="120">
        <f>C21/100*344</f>
        <v>68954.8</v>
      </c>
      <c r="E21" s="25"/>
      <c r="F21" s="140">
        <f>C21/100*7.9</f>
        <v>1583.5550000000001</v>
      </c>
      <c r="G21" s="25"/>
      <c r="H21" s="25">
        <f>C21/100*1</f>
        <v>200.45</v>
      </c>
      <c r="I21" s="140">
        <f>C21/100*73.3</f>
        <v>14692.984999999999</v>
      </c>
      <c r="J21" s="27">
        <f>C21/100*30</f>
        <v>6013.5</v>
      </c>
      <c r="K21" s="27">
        <f>C21/100*0.1</f>
        <v>20.045000000000002</v>
      </c>
      <c r="L21" s="395">
        <v>20045</v>
      </c>
      <c r="M21" s="75">
        <v>18</v>
      </c>
      <c r="N21" s="28">
        <f t="shared" si="1"/>
        <v>360810</v>
      </c>
      <c r="O21" s="153"/>
      <c r="R21" s="18"/>
      <c r="S21" s="18"/>
    </row>
    <row r="22" spans="1:20" s="2" customFormat="1" ht="20.399999999999999" customHeight="1">
      <c r="A22" s="9">
        <v>7</v>
      </c>
      <c r="B22" s="5" t="s">
        <v>63</v>
      </c>
      <c r="C22" s="23">
        <f>L22/100*86</f>
        <v>2726.2</v>
      </c>
      <c r="D22" s="24">
        <f>C22/100*166</f>
        <v>4525.4919999999993</v>
      </c>
      <c r="E22" s="25">
        <f>C22/100*14.8</f>
        <v>403.4776</v>
      </c>
      <c r="F22" s="25"/>
      <c r="G22" s="25">
        <f>C22/100*11.6</f>
        <v>316.23919999999998</v>
      </c>
      <c r="H22" s="25"/>
      <c r="I22" s="25">
        <f>C22/100*0.5</f>
        <v>13.630999999999998</v>
      </c>
      <c r="J22" s="27">
        <f>C22/100*55</f>
        <v>1499.4099999999999</v>
      </c>
      <c r="K22" s="27">
        <f>C22/100*0.16</f>
        <v>4.3619199999999996</v>
      </c>
      <c r="L22" s="137">
        <v>3170</v>
      </c>
      <c r="M22" s="75">
        <v>62</v>
      </c>
      <c r="N22" s="28">
        <f t="shared" si="1"/>
        <v>196540</v>
      </c>
      <c r="O22" s="153"/>
      <c r="Q22" s="3"/>
      <c r="R22" s="3"/>
      <c r="S22" s="4"/>
    </row>
    <row r="23" spans="1:20" s="2" customFormat="1" ht="20.399999999999999" customHeight="1">
      <c r="A23" s="9">
        <v>8</v>
      </c>
      <c r="B23" s="10" t="s">
        <v>71</v>
      </c>
      <c r="C23" s="23">
        <f>L23/100*98</f>
        <v>8271.2000000000007</v>
      </c>
      <c r="D23" s="120">
        <f>C23/100*139</f>
        <v>11496.968000000001</v>
      </c>
      <c r="E23" s="119">
        <f>C23/100*19</f>
        <v>1571.528</v>
      </c>
      <c r="F23" s="25"/>
      <c r="G23" s="25">
        <f>C23/100*7</f>
        <v>578.98400000000004</v>
      </c>
      <c r="H23" s="25"/>
      <c r="I23" s="25"/>
      <c r="J23" s="27">
        <f>C23/100*7</f>
        <v>578.98400000000004</v>
      </c>
      <c r="K23" s="27">
        <f>C23/100*0.9</f>
        <v>74.44080000000001</v>
      </c>
      <c r="L23" s="137">
        <v>8440</v>
      </c>
      <c r="M23" s="75">
        <v>137</v>
      </c>
      <c r="N23" s="124">
        <f t="shared" si="1"/>
        <v>1156280</v>
      </c>
      <c r="O23" s="153"/>
    </row>
    <row r="24" spans="1:20" s="2" customFormat="1" ht="20.399999999999999" customHeight="1">
      <c r="A24" s="9">
        <v>9</v>
      </c>
      <c r="B24" s="149" t="s">
        <v>96</v>
      </c>
      <c r="C24" s="23">
        <f>L24/100*90</f>
        <v>1602</v>
      </c>
      <c r="D24" s="24">
        <f>C24/100*90</f>
        <v>1441.8</v>
      </c>
      <c r="E24" s="25">
        <f>C24/100*18.4</f>
        <v>294.76799999999997</v>
      </c>
      <c r="F24" s="25"/>
      <c r="G24" s="25">
        <f>C24/100*1.8</f>
        <v>28.835999999999999</v>
      </c>
      <c r="H24" s="25"/>
      <c r="I24" s="25"/>
      <c r="J24" s="81">
        <f>C24/100*1120</f>
        <v>17942.399999999998</v>
      </c>
      <c r="K24" s="27">
        <f>C24/100*0.02</f>
        <v>0.32040000000000002</v>
      </c>
      <c r="L24" s="137">
        <v>1780</v>
      </c>
      <c r="M24" s="26">
        <v>260</v>
      </c>
      <c r="N24" s="124">
        <f t="shared" si="1"/>
        <v>462800</v>
      </c>
      <c r="O24" s="153"/>
      <c r="Q24" s="3"/>
      <c r="R24" s="3"/>
      <c r="S24" s="4"/>
    </row>
    <row r="25" spans="1:20" s="2" customFormat="1" ht="20.399999999999999" customHeight="1">
      <c r="A25" s="9">
        <v>10</v>
      </c>
      <c r="B25" s="5" t="s">
        <v>178</v>
      </c>
      <c r="C25" s="23">
        <f>L25/100*90</f>
        <v>6642</v>
      </c>
      <c r="D25" s="24">
        <f>C25/100*29</f>
        <v>1926.18</v>
      </c>
      <c r="E25" s="25"/>
      <c r="F25" s="25">
        <f>C25/100*1.8</f>
        <v>119.55600000000001</v>
      </c>
      <c r="G25" s="25"/>
      <c r="H25" s="25">
        <f>C25/100*0.1</f>
        <v>6.6420000000000003</v>
      </c>
      <c r="I25" s="25">
        <f>C25/100*5.3</f>
        <v>352.02600000000001</v>
      </c>
      <c r="J25" s="25">
        <f>C25/100*48</f>
        <v>3188.16</v>
      </c>
      <c r="K25" s="25">
        <f>C25/100*0.05</f>
        <v>3.3210000000000002</v>
      </c>
      <c r="L25" s="137">
        <v>7380</v>
      </c>
      <c r="M25" s="75">
        <v>13</v>
      </c>
      <c r="N25" s="28">
        <f t="shared" si="1"/>
        <v>95940</v>
      </c>
      <c r="O25" s="153"/>
    </row>
    <row r="26" spans="1:20" s="2" customFormat="1" ht="20.399999999999999" customHeight="1">
      <c r="A26" s="9">
        <v>11</v>
      </c>
      <c r="B26" s="5" t="s">
        <v>93</v>
      </c>
      <c r="C26" s="23">
        <f>L26/100*81.7</f>
        <v>3439.57</v>
      </c>
      <c r="D26" s="24">
        <f>C26/100*27</f>
        <v>928.68390000000011</v>
      </c>
      <c r="E26" s="29"/>
      <c r="F26" s="29">
        <f>C26/100*0.3</f>
        <v>10.318710000000001</v>
      </c>
      <c r="G26" s="29"/>
      <c r="H26" s="29">
        <f>C26/100*0.1</f>
        <v>3.4395700000000007</v>
      </c>
      <c r="I26" s="29">
        <f>C26/100*6.1</f>
        <v>209.81377000000001</v>
      </c>
      <c r="J26" s="71">
        <f>C26/100*24</f>
        <v>825.49680000000012</v>
      </c>
      <c r="K26" s="71">
        <f>C26/100*0.06</f>
        <v>2.0637420000000004</v>
      </c>
      <c r="L26" s="374">
        <v>4210</v>
      </c>
      <c r="M26" s="26">
        <v>22</v>
      </c>
      <c r="N26" s="28">
        <f t="shared" si="1"/>
        <v>92620</v>
      </c>
      <c r="O26" s="153"/>
      <c r="Q26" s="3"/>
      <c r="R26" s="3"/>
      <c r="S26" s="4"/>
    </row>
    <row r="27" spans="1:20" s="2" customFormat="1" ht="20.399999999999999" customHeight="1">
      <c r="A27" s="9">
        <v>12</v>
      </c>
      <c r="B27" s="5" t="s">
        <v>136</v>
      </c>
      <c r="C27" s="23">
        <f>L27/100*100</f>
        <v>220.00000000000003</v>
      </c>
      <c r="D27" s="24">
        <f>C27/100*247</f>
        <v>543.40000000000009</v>
      </c>
      <c r="E27" s="29"/>
      <c r="F27" s="29">
        <f>C27/100*17.5</f>
        <v>38.5</v>
      </c>
      <c r="G27" s="29"/>
      <c r="H27" s="29">
        <f>C27/100*1.6</f>
        <v>3.5200000000000005</v>
      </c>
      <c r="I27" s="29">
        <f>C27/100*39.2</f>
        <v>86.240000000000009</v>
      </c>
      <c r="J27" s="71"/>
      <c r="K27" s="71"/>
      <c r="L27" s="374">
        <v>220</v>
      </c>
      <c r="M27" s="75">
        <v>50</v>
      </c>
      <c r="N27" s="28">
        <f t="shared" si="1"/>
        <v>11000</v>
      </c>
      <c r="O27" s="153"/>
      <c r="Q27" s="3"/>
      <c r="R27" s="3"/>
      <c r="S27" s="4"/>
      <c r="T27" s="3"/>
    </row>
    <row r="28" spans="1:20" s="2" customFormat="1" ht="20.399999999999999" customHeight="1">
      <c r="A28" s="21" t="s">
        <v>105</v>
      </c>
      <c r="B28" s="22"/>
      <c r="C28" s="34"/>
      <c r="D28" s="172">
        <f>SUM(D16:D27)</f>
        <v>104426.64389999998</v>
      </c>
      <c r="E28" s="36"/>
      <c r="F28" s="36"/>
      <c r="G28" s="36"/>
      <c r="H28" s="36"/>
      <c r="I28" s="36"/>
      <c r="J28" s="36"/>
      <c r="K28" s="36"/>
      <c r="L28" s="37"/>
      <c r="M28" s="311"/>
      <c r="N28" s="241">
        <f>SUM(N16:N27)</f>
        <v>2560000</v>
      </c>
      <c r="O28" s="153"/>
    </row>
    <row r="29" spans="1:20" s="2" customFormat="1" ht="20.399999999999999" customHeight="1">
      <c r="A29" s="21" t="s">
        <v>6</v>
      </c>
      <c r="B29" s="22"/>
      <c r="C29" s="34"/>
      <c r="D29" s="35">
        <f>D28/D10</f>
        <v>494.91300426540278</v>
      </c>
      <c r="E29" s="36"/>
      <c r="F29" s="36"/>
      <c r="G29" s="36"/>
      <c r="H29" s="36"/>
      <c r="I29" s="36"/>
      <c r="J29" s="36"/>
      <c r="K29" s="36"/>
      <c r="L29" s="37"/>
      <c r="M29" s="312"/>
      <c r="N29" s="242"/>
      <c r="O29" s="153"/>
    </row>
    <row r="30" spans="1:20" s="2" customFormat="1" ht="20.399999999999999" customHeight="1">
      <c r="A30" s="294" t="s">
        <v>51</v>
      </c>
      <c r="B30" s="226"/>
      <c r="C30" s="376" t="s">
        <v>151</v>
      </c>
      <c r="D30" s="20" t="s">
        <v>45</v>
      </c>
      <c r="E30" s="36"/>
      <c r="F30" s="36"/>
      <c r="G30" s="36"/>
      <c r="H30" s="36"/>
      <c r="I30" s="36"/>
      <c r="J30" s="36"/>
      <c r="K30" s="36"/>
      <c r="L30" s="37"/>
      <c r="M30" s="37"/>
      <c r="N30" s="38"/>
      <c r="O30" s="153"/>
    </row>
    <row r="31" spans="1:20" s="2" customFormat="1" ht="20.399999999999999" customHeight="1">
      <c r="A31" s="227"/>
      <c r="B31" s="228"/>
      <c r="C31" s="76" t="s">
        <v>60</v>
      </c>
      <c r="D31" s="20">
        <f>D29*100/1320</f>
        <v>37.493409414045665</v>
      </c>
      <c r="E31" s="36"/>
      <c r="F31" s="36"/>
      <c r="G31" s="36"/>
      <c r="H31" s="36"/>
      <c r="I31" s="36"/>
      <c r="J31" s="36"/>
      <c r="K31" s="36"/>
      <c r="L31" s="37"/>
      <c r="M31" s="37"/>
      <c r="N31" s="38"/>
      <c r="O31" s="153"/>
    </row>
    <row r="32" spans="1:20" s="2" customFormat="1" ht="20.399999999999999" customHeight="1">
      <c r="A32" s="236" t="s">
        <v>35</v>
      </c>
      <c r="B32" s="236"/>
      <c r="C32" s="56"/>
      <c r="D32" s="57"/>
      <c r="E32" s="58"/>
      <c r="F32" s="58"/>
      <c r="G32" s="58"/>
      <c r="H32" s="58"/>
      <c r="I32" s="58"/>
      <c r="J32" s="58"/>
      <c r="K32" s="58"/>
      <c r="L32" s="59"/>
      <c r="M32" s="59"/>
      <c r="N32" s="69"/>
      <c r="O32" s="153"/>
    </row>
    <row r="33" spans="1:23" s="2" customFormat="1" ht="20.399999999999999" customHeight="1">
      <c r="A33" s="9">
        <v>1</v>
      </c>
      <c r="B33" s="6" t="s">
        <v>123</v>
      </c>
      <c r="C33" s="23"/>
      <c r="D33" s="139"/>
      <c r="E33" s="25"/>
      <c r="F33" s="25"/>
      <c r="G33" s="25"/>
      <c r="H33" s="25"/>
      <c r="I33" s="25">
        <v>49</v>
      </c>
      <c r="J33" s="25"/>
      <c r="K33" s="25"/>
      <c r="L33" s="26"/>
      <c r="M33" s="26"/>
      <c r="N33" s="28">
        <v>13750</v>
      </c>
      <c r="O33" s="153"/>
    </row>
    <row r="34" spans="1:23" s="2" customFormat="1" ht="20.399999999999999" customHeight="1">
      <c r="A34" s="9">
        <v>2</v>
      </c>
      <c r="B34" s="5" t="s">
        <v>1</v>
      </c>
      <c r="C34" s="23">
        <f>L34/100*100</f>
        <v>3165</v>
      </c>
      <c r="D34" s="120">
        <f>C34/100*344</f>
        <v>10887.6</v>
      </c>
      <c r="E34" s="25"/>
      <c r="F34" s="25">
        <f>C34/100*7.9</f>
        <v>250.035</v>
      </c>
      <c r="G34" s="25"/>
      <c r="H34" s="25">
        <f>C34/100*1</f>
        <v>31.65</v>
      </c>
      <c r="I34" s="25">
        <f>C34/100*73.3</f>
        <v>2319.9449999999997</v>
      </c>
      <c r="J34" s="27">
        <f>C34/100*30</f>
        <v>949.5</v>
      </c>
      <c r="K34" s="27">
        <f>C34/100*0.1</f>
        <v>3.165</v>
      </c>
      <c r="L34" s="137">
        <v>3165</v>
      </c>
      <c r="M34" s="77">
        <v>18</v>
      </c>
      <c r="N34" s="28">
        <f t="shared" ref="N34:N35" si="2">L34*M34</f>
        <v>56970</v>
      </c>
      <c r="O34" s="153"/>
    </row>
    <row r="35" spans="1:23" s="2" customFormat="1" ht="20.399999999999999" customHeight="1">
      <c r="A35" s="9">
        <v>3</v>
      </c>
      <c r="B35" s="5" t="s">
        <v>73</v>
      </c>
      <c r="C35" s="23">
        <f>L35/100*100</f>
        <v>2110</v>
      </c>
      <c r="D35" s="24">
        <f>C35/100*344</f>
        <v>7258.4000000000005</v>
      </c>
      <c r="E35" s="25"/>
      <c r="F35" s="25">
        <f>C35/100*8.6</f>
        <v>181.46</v>
      </c>
      <c r="G35" s="25"/>
      <c r="H35" s="25">
        <f>C35/100*1.5</f>
        <v>31.650000000000002</v>
      </c>
      <c r="I35" s="25">
        <f>C35/100*74.5</f>
        <v>1571.95</v>
      </c>
      <c r="J35" s="25">
        <f>C35/100*32</f>
        <v>675.2</v>
      </c>
      <c r="K35" s="25">
        <f>C35/100*0.14</f>
        <v>2.9540000000000006</v>
      </c>
      <c r="L35" s="137">
        <v>2110</v>
      </c>
      <c r="M35" s="75">
        <v>30</v>
      </c>
      <c r="N35" s="28">
        <f t="shared" si="2"/>
        <v>63300</v>
      </c>
      <c r="O35" s="153"/>
      <c r="P35" s="18"/>
    </row>
    <row r="36" spans="1:23" s="2" customFormat="1" ht="20.399999999999999" customHeight="1">
      <c r="A36" s="9">
        <v>4</v>
      </c>
      <c r="B36" s="10" t="s">
        <v>2</v>
      </c>
      <c r="C36" s="23">
        <f>L36/100*100</f>
        <v>250</v>
      </c>
      <c r="D36" s="24">
        <f>C36/100*60</f>
        <v>150</v>
      </c>
      <c r="E36" s="25">
        <f>C36/100*15</f>
        <v>37.5</v>
      </c>
      <c r="F36" s="25"/>
      <c r="G36" s="25"/>
      <c r="H36" s="25"/>
      <c r="I36" s="25"/>
      <c r="J36" s="27">
        <f>C36/100*387</f>
        <v>967.5</v>
      </c>
      <c r="K36" s="27">
        <f>C36/100*0.09</f>
        <v>0.22499999999999998</v>
      </c>
      <c r="L36" s="137">
        <v>250</v>
      </c>
      <c r="M36" s="75">
        <v>20</v>
      </c>
      <c r="N36" s="28">
        <f>L36*M36</f>
        <v>5000</v>
      </c>
      <c r="O36" s="153"/>
    </row>
    <row r="37" spans="1:23" s="2" customFormat="1" ht="20.399999999999999" customHeight="1">
      <c r="A37" s="9">
        <v>5</v>
      </c>
      <c r="B37" s="148" t="s">
        <v>146</v>
      </c>
      <c r="C37" s="23">
        <f t="shared" ref="C37" si="3">L37/100*100</f>
        <v>220.00000000000003</v>
      </c>
      <c r="D37" s="120">
        <f>C37/100*900</f>
        <v>1980.0000000000002</v>
      </c>
      <c r="E37" s="25"/>
      <c r="F37" s="25"/>
      <c r="G37" s="119"/>
      <c r="H37" s="25">
        <f>C37/100*100</f>
        <v>220.00000000000003</v>
      </c>
      <c r="I37" s="25"/>
      <c r="J37" s="25"/>
      <c r="K37" s="25"/>
      <c r="L37" s="137">
        <v>220</v>
      </c>
      <c r="M37" s="75">
        <v>63.5</v>
      </c>
      <c r="N37" s="28">
        <f t="shared" ref="N37" si="4">L37*M37</f>
        <v>13970</v>
      </c>
      <c r="O37" s="377"/>
    </row>
    <row r="38" spans="1:23" s="2" customFormat="1" ht="20.399999999999999" customHeight="1">
      <c r="A38" s="9">
        <v>6</v>
      </c>
      <c r="B38" s="5" t="s">
        <v>69</v>
      </c>
      <c r="C38" s="23">
        <f>L38/100*48</f>
        <v>5044.7999999999993</v>
      </c>
      <c r="D38" s="120">
        <f>C38/100*199</f>
        <v>10039.151999999998</v>
      </c>
      <c r="E38" s="119">
        <f>C38/100*20.3</f>
        <v>1024.0944</v>
      </c>
      <c r="F38" s="25"/>
      <c r="G38" s="25">
        <f>C38/100*13.1</f>
        <v>660.86879999999985</v>
      </c>
      <c r="H38" s="25"/>
      <c r="I38" s="25"/>
      <c r="J38" s="27">
        <f>C38/100*12</f>
        <v>605.37599999999998</v>
      </c>
      <c r="K38" s="27">
        <f>C38/100*0.15</f>
        <v>7.5671999999999988</v>
      </c>
      <c r="L38" s="403">
        <v>10510</v>
      </c>
      <c r="M38" s="137">
        <v>84</v>
      </c>
      <c r="N38" s="28">
        <f t="shared" ref="N38:N41" si="5">L38*M38</f>
        <v>882840</v>
      </c>
      <c r="O38" s="153"/>
      <c r="Q38" s="3"/>
      <c r="R38" s="3"/>
      <c r="S38" s="4"/>
    </row>
    <row r="39" spans="1:23" s="2" customFormat="1" ht="20.399999999999999" customHeight="1">
      <c r="A39" s="9">
        <v>7</v>
      </c>
      <c r="B39" s="5" t="s">
        <v>136</v>
      </c>
      <c r="C39" s="23">
        <f>L39/100*100</f>
        <v>130</v>
      </c>
      <c r="D39" s="24">
        <f>C39/100*247</f>
        <v>321.10000000000002</v>
      </c>
      <c r="E39" s="29"/>
      <c r="F39" s="29">
        <f>C39/100*17.5</f>
        <v>22.75</v>
      </c>
      <c r="G39" s="29"/>
      <c r="H39" s="29">
        <f>C39/100*1.6</f>
        <v>2.08</v>
      </c>
      <c r="I39" s="29">
        <f>C39/100*39.2</f>
        <v>50.960000000000008</v>
      </c>
      <c r="J39" s="71"/>
      <c r="K39" s="71"/>
      <c r="L39" s="374">
        <v>130</v>
      </c>
      <c r="M39" s="75">
        <v>50</v>
      </c>
      <c r="N39" s="28">
        <f t="shared" si="5"/>
        <v>6500</v>
      </c>
      <c r="O39" s="153"/>
      <c r="Q39" s="3"/>
      <c r="R39" s="3"/>
      <c r="S39" s="4"/>
      <c r="T39" s="3"/>
    </row>
    <row r="40" spans="1:23" s="2" customFormat="1" ht="20.399999999999999" customHeight="1">
      <c r="A40" s="9">
        <v>8</v>
      </c>
      <c r="B40" s="5" t="s">
        <v>75</v>
      </c>
      <c r="C40" s="23">
        <f>L40/100*75</f>
        <v>3187.5</v>
      </c>
      <c r="D40" s="24">
        <f>C40/100*12</f>
        <v>382.5</v>
      </c>
      <c r="E40" s="25"/>
      <c r="F40" s="25">
        <f>C40/100*0.6</f>
        <v>19.125</v>
      </c>
      <c r="G40" s="25"/>
      <c r="H40" s="25"/>
      <c r="I40" s="25">
        <f>C40/100*2.4</f>
        <v>76.5</v>
      </c>
      <c r="J40" s="25">
        <f>C40/100*26</f>
        <v>828.75</v>
      </c>
      <c r="K40" s="25">
        <f>C40/100*0.02</f>
        <v>0.63750000000000007</v>
      </c>
      <c r="L40" s="137">
        <v>4250</v>
      </c>
      <c r="M40" s="75">
        <v>25</v>
      </c>
      <c r="N40" s="28">
        <f t="shared" si="5"/>
        <v>106250</v>
      </c>
      <c r="O40" s="153"/>
    </row>
    <row r="41" spans="1:23" s="2" customFormat="1" ht="20.399999999999999" customHeight="1">
      <c r="A41" s="103">
        <v>9</v>
      </c>
      <c r="B41" s="156" t="s">
        <v>149</v>
      </c>
      <c r="C41" s="104">
        <f>L41/100*100</f>
        <v>3590</v>
      </c>
      <c r="D41" s="167">
        <f>C41/100*487</f>
        <v>17483.3</v>
      </c>
      <c r="E41" s="106"/>
      <c r="F41" s="106">
        <f>C41/100*19.5</f>
        <v>700.05</v>
      </c>
      <c r="G41" s="106"/>
      <c r="H41" s="106">
        <f>C41/100*23.2</f>
        <v>832.88</v>
      </c>
      <c r="I41" s="106">
        <f>C41/100*46</f>
        <v>1651.3999999999999</v>
      </c>
      <c r="J41" s="147">
        <f>C41/100*680</f>
        <v>24412</v>
      </c>
      <c r="K41" s="106">
        <f>C41/100*0.55</f>
        <v>19.745000000000001</v>
      </c>
      <c r="L41" s="107">
        <v>3590</v>
      </c>
      <c r="M41" s="157">
        <v>260</v>
      </c>
      <c r="N41" s="108">
        <f t="shared" si="5"/>
        <v>933400</v>
      </c>
      <c r="O41" s="153"/>
      <c r="P41" s="3"/>
    </row>
    <row r="42" spans="1:23" ht="19.2" customHeight="1">
      <c r="A42" s="209" t="s">
        <v>0</v>
      </c>
      <c r="B42" s="212" t="s">
        <v>19</v>
      </c>
      <c r="C42" s="215" t="s">
        <v>8</v>
      </c>
      <c r="D42" s="215" t="s">
        <v>9</v>
      </c>
      <c r="E42" s="218" t="s">
        <v>11</v>
      </c>
      <c r="F42" s="219"/>
      <c r="G42" s="218" t="s">
        <v>13</v>
      </c>
      <c r="H42" s="219"/>
      <c r="I42" s="222" t="s">
        <v>16</v>
      </c>
      <c r="J42" s="222" t="s">
        <v>41</v>
      </c>
      <c r="K42" s="222" t="s">
        <v>42</v>
      </c>
      <c r="L42" s="222" t="s">
        <v>17</v>
      </c>
      <c r="M42" s="222" t="s">
        <v>55</v>
      </c>
      <c r="N42" s="209" t="s">
        <v>18</v>
      </c>
      <c r="O42" s="373"/>
    </row>
    <row r="43" spans="1:23" ht="19.2" customHeight="1">
      <c r="A43" s="210"/>
      <c r="B43" s="213"/>
      <c r="C43" s="216"/>
      <c r="D43" s="216"/>
      <c r="E43" s="220"/>
      <c r="F43" s="221"/>
      <c r="G43" s="220"/>
      <c r="H43" s="221"/>
      <c r="I43" s="223"/>
      <c r="J43" s="223"/>
      <c r="K43" s="223"/>
      <c r="L43" s="223"/>
      <c r="M43" s="223"/>
      <c r="N43" s="210"/>
      <c r="O43" s="176"/>
    </row>
    <row r="44" spans="1:23" ht="19.2" customHeight="1">
      <c r="A44" s="210"/>
      <c r="B44" s="213"/>
      <c r="C44" s="216"/>
      <c r="D44" s="216"/>
      <c r="E44" s="222" t="s">
        <v>10</v>
      </c>
      <c r="F44" s="222" t="s">
        <v>12</v>
      </c>
      <c r="G44" s="222" t="s">
        <v>14</v>
      </c>
      <c r="H44" s="222" t="s">
        <v>15</v>
      </c>
      <c r="I44" s="223"/>
      <c r="J44" s="223"/>
      <c r="K44" s="223"/>
      <c r="L44" s="223"/>
      <c r="M44" s="223"/>
      <c r="N44" s="210"/>
      <c r="O44" s="176"/>
    </row>
    <row r="45" spans="1:23" ht="30.6" customHeight="1">
      <c r="A45" s="211"/>
      <c r="B45" s="214"/>
      <c r="C45" s="217"/>
      <c r="D45" s="217"/>
      <c r="E45" s="224"/>
      <c r="F45" s="224"/>
      <c r="G45" s="224"/>
      <c r="H45" s="224"/>
      <c r="I45" s="224"/>
      <c r="J45" s="224"/>
      <c r="K45" s="224"/>
      <c r="L45" s="224"/>
      <c r="M45" s="224"/>
      <c r="N45" s="211"/>
      <c r="O45" s="176"/>
    </row>
    <row r="46" spans="1:23" s="2" customFormat="1" ht="22.2" customHeight="1">
      <c r="A46" s="21" t="s">
        <v>106</v>
      </c>
      <c r="B46" s="22"/>
      <c r="C46" s="34"/>
      <c r="D46" s="121">
        <f>SUM(D33:D41)</f>
        <v>48502.051999999996</v>
      </c>
      <c r="E46" s="43"/>
      <c r="F46" s="43"/>
      <c r="G46" s="43"/>
      <c r="H46" s="43"/>
      <c r="I46" s="43"/>
      <c r="J46" s="43"/>
      <c r="K46" s="43"/>
      <c r="L46" s="44"/>
      <c r="M46" s="308"/>
      <c r="N46" s="241">
        <f>SUM(N33:N41)</f>
        <v>2081980</v>
      </c>
      <c r="O46" s="153"/>
    </row>
    <row r="47" spans="1:23" ht="22.2" customHeight="1">
      <c r="A47" s="21" t="s">
        <v>7</v>
      </c>
      <c r="B47" s="22"/>
      <c r="C47" s="45"/>
      <c r="D47" s="46">
        <f>D46/D10</f>
        <v>229.86754502369666</v>
      </c>
      <c r="E47" s="46"/>
      <c r="F47" s="46"/>
      <c r="G47" s="46"/>
      <c r="H47" s="46"/>
      <c r="I47" s="46"/>
      <c r="J47" s="46"/>
      <c r="K47" s="46"/>
      <c r="L47" s="47"/>
      <c r="M47" s="309"/>
      <c r="N47" s="242"/>
      <c r="O47" s="398"/>
      <c r="P47" s="2"/>
      <c r="Q47" s="2"/>
      <c r="R47" s="2"/>
      <c r="S47" s="2"/>
      <c r="T47" s="2"/>
      <c r="U47" s="2"/>
      <c r="V47" s="2"/>
    </row>
    <row r="48" spans="1:23" ht="22.2" customHeight="1">
      <c r="A48" s="294" t="s">
        <v>52</v>
      </c>
      <c r="B48" s="226"/>
      <c r="C48" s="376" t="s">
        <v>151</v>
      </c>
      <c r="D48" s="20" t="s">
        <v>58</v>
      </c>
      <c r="E48" s="46"/>
      <c r="F48" s="46"/>
      <c r="G48" s="46"/>
      <c r="H48" s="46"/>
      <c r="I48" s="46"/>
      <c r="J48" s="48"/>
      <c r="K48" s="48"/>
      <c r="L48" s="47"/>
      <c r="M48" s="47"/>
      <c r="N48" s="177"/>
      <c r="O48" s="4"/>
      <c r="P48" s="2"/>
      <c r="Q48" s="2"/>
      <c r="R48" s="2"/>
      <c r="S48" s="2"/>
      <c r="T48" s="2"/>
      <c r="U48" s="2"/>
      <c r="V48" s="2"/>
      <c r="W48" s="2"/>
    </row>
    <row r="49" spans="1:23" ht="22.2" customHeight="1">
      <c r="A49" s="227"/>
      <c r="B49" s="228"/>
      <c r="C49" s="76" t="s">
        <v>60</v>
      </c>
      <c r="D49" s="20">
        <f>D47*100/1320</f>
        <v>17.414207956340658</v>
      </c>
      <c r="E49" s="46"/>
      <c r="F49" s="46"/>
      <c r="G49" s="46"/>
      <c r="H49" s="46"/>
      <c r="I49" s="46"/>
      <c r="J49" s="48"/>
      <c r="K49" s="48"/>
      <c r="L49" s="47"/>
      <c r="M49" s="47"/>
      <c r="N49" s="177"/>
      <c r="O49" s="4"/>
      <c r="P49" s="2"/>
      <c r="Q49" s="2"/>
      <c r="R49" s="2"/>
      <c r="S49" s="2"/>
      <c r="T49" s="2"/>
      <c r="U49" s="2"/>
      <c r="V49" s="2"/>
      <c r="W49" s="2"/>
    </row>
    <row r="50" spans="1:23" ht="22.2" customHeight="1">
      <c r="A50" s="286" t="s">
        <v>107</v>
      </c>
      <c r="B50" s="287"/>
      <c r="C50" s="290"/>
      <c r="D50" s="297">
        <f>D28+D46</f>
        <v>152928.69589999999</v>
      </c>
      <c r="E50" s="123">
        <f>SUM(E16:E41)</f>
        <v>3373.3679999999999</v>
      </c>
      <c r="F50" s="123">
        <f>SUM(F17:F41)</f>
        <v>2979.5027099999998</v>
      </c>
      <c r="G50" s="123">
        <f>SUM(G17:G41)</f>
        <v>3104.9279999999994</v>
      </c>
      <c r="H50" s="123">
        <f>SUM(H17:H41)</f>
        <v>1336.8655699999999</v>
      </c>
      <c r="I50" s="254">
        <f>SUM(I17:I41)</f>
        <v>21199.172770000001</v>
      </c>
      <c r="J50" s="254">
        <f>SUM(J16:J41)</f>
        <v>60313.051799999994</v>
      </c>
      <c r="K50" s="284">
        <f>SUM(K16:K41)</f>
        <v>139.50176200000004</v>
      </c>
      <c r="L50" s="268"/>
      <c r="M50" s="268"/>
      <c r="N50" s="304">
        <f>N28+N46</f>
        <v>4641980</v>
      </c>
      <c r="U50" s="12"/>
      <c r="V50" s="12"/>
    </row>
    <row r="51" spans="1:23" ht="22.2" customHeight="1">
      <c r="A51" s="288"/>
      <c r="B51" s="289"/>
      <c r="C51" s="291"/>
      <c r="D51" s="298"/>
      <c r="E51" s="282">
        <f>E50+F50</f>
        <v>6352.8707099999992</v>
      </c>
      <c r="F51" s="283"/>
      <c r="G51" s="282">
        <f>G50+H50</f>
        <v>4441.7935699999998</v>
      </c>
      <c r="H51" s="283"/>
      <c r="I51" s="256"/>
      <c r="J51" s="256"/>
      <c r="K51" s="285"/>
      <c r="L51" s="268"/>
      <c r="M51" s="268"/>
      <c r="N51" s="304"/>
      <c r="U51" s="12"/>
      <c r="V51" s="12"/>
    </row>
    <row r="52" spans="1:23" ht="22.2" customHeight="1">
      <c r="A52" s="248" t="s">
        <v>77</v>
      </c>
      <c r="B52" s="249"/>
      <c r="C52" s="250"/>
      <c r="D52" s="138">
        <f>D50/D10</f>
        <v>724.78054928909944</v>
      </c>
      <c r="E52" s="378">
        <f>E50/D10</f>
        <v>15.987526066350711</v>
      </c>
      <c r="F52" s="379">
        <f>F50/D10</f>
        <v>14.120865924170616</v>
      </c>
      <c r="G52" s="378">
        <f>G50/D10</f>
        <v>14.71529857819905</v>
      </c>
      <c r="H52" s="399">
        <f>H50/D10</f>
        <v>6.3358557819905208</v>
      </c>
      <c r="I52" s="264">
        <f>I50/D10</f>
        <v>100.47001312796209</v>
      </c>
      <c r="J52" s="300">
        <f>J50/D10</f>
        <v>285.84384739336491</v>
      </c>
      <c r="K52" s="300">
        <f>K50/D10</f>
        <v>0.6611457914691945</v>
      </c>
      <c r="L52" s="268"/>
      <c r="M52" s="268"/>
      <c r="N52" s="304"/>
      <c r="P52" s="368"/>
      <c r="Q52" s="370"/>
      <c r="R52" s="370"/>
      <c r="S52" s="370"/>
      <c r="T52" s="370"/>
      <c r="U52" s="380"/>
      <c r="V52" s="380"/>
    </row>
    <row r="53" spans="1:23" ht="22.2" customHeight="1">
      <c r="A53" s="251"/>
      <c r="B53" s="252"/>
      <c r="C53" s="253"/>
      <c r="D53" s="404"/>
      <c r="E53" s="381">
        <f>E52+F52</f>
        <v>30.108391990521326</v>
      </c>
      <c r="F53" s="382"/>
      <c r="G53" s="381">
        <f>G52+H52</f>
        <v>21.051154360189571</v>
      </c>
      <c r="H53" s="382"/>
      <c r="I53" s="265"/>
      <c r="J53" s="301"/>
      <c r="K53" s="301"/>
      <c r="L53" s="268"/>
      <c r="M53" s="268"/>
      <c r="N53" s="304"/>
      <c r="P53" s="383"/>
      <c r="Q53" s="370"/>
      <c r="R53" s="370"/>
      <c r="S53" s="370"/>
      <c r="T53" s="370"/>
      <c r="U53" s="370"/>
      <c r="V53" s="370"/>
    </row>
    <row r="54" spans="1:23" ht="22.2" customHeight="1">
      <c r="A54" s="305" t="s">
        <v>80</v>
      </c>
      <c r="B54" s="306"/>
      <c r="C54" s="307"/>
      <c r="D54" s="179" t="s">
        <v>28</v>
      </c>
      <c r="E54" s="195" t="s">
        <v>21</v>
      </c>
      <c r="F54" s="195"/>
      <c r="G54" s="195" t="s">
        <v>22</v>
      </c>
      <c r="H54" s="195"/>
      <c r="I54" s="175" t="s">
        <v>23</v>
      </c>
      <c r="J54" s="384">
        <v>600</v>
      </c>
      <c r="K54" s="384">
        <v>0.7</v>
      </c>
      <c r="L54" s="268"/>
      <c r="M54" s="268"/>
      <c r="N54" s="304"/>
      <c r="O54" s="385"/>
      <c r="P54" s="368"/>
      <c r="Q54" s="369"/>
      <c r="R54" s="369"/>
      <c r="S54" s="369"/>
      <c r="T54" s="369"/>
      <c r="U54" s="368"/>
      <c r="V54" s="368"/>
    </row>
    <row r="55" spans="1:23" ht="22.2" customHeight="1">
      <c r="A55" s="243" t="s">
        <v>78</v>
      </c>
      <c r="B55" s="275"/>
      <c r="C55" s="244"/>
      <c r="D55" s="49"/>
      <c r="E55" s="276">
        <f>E53*4.1</f>
        <v>123.44440716113743</v>
      </c>
      <c r="F55" s="277"/>
      <c r="G55" s="276">
        <f>G53*9</f>
        <v>189.46038924170614</v>
      </c>
      <c r="H55" s="277"/>
      <c r="I55" s="85">
        <f>I52*4.1</f>
        <v>411.92705382464453</v>
      </c>
      <c r="J55" s="257"/>
      <c r="K55" s="257"/>
      <c r="L55" s="268"/>
      <c r="M55" s="268"/>
      <c r="N55" s="304"/>
      <c r="O55" s="385"/>
      <c r="P55" s="386"/>
      <c r="Q55" s="368"/>
      <c r="R55" s="368"/>
      <c r="S55" s="368"/>
      <c r="T55" s="368"/>
      <c r="U55" s="368"/>
      <c r="V55" s="368"/>
    </row>
    <row r="56" spans="1:23" ht="22.2" customHeight="1">
      <c r="A56" s="278" t="s">
        <v>81</v>
      </c>
      <c r="B56" s="279"/>
      <c r="C56" s="243" t="s">
        <v>59</v>
      </c>
      <c r="D56" s="244"/>
      <c r="E56" s="189">
        <f>E55*100/D52</f>
        <v>17.031970198733646</v>
      </c>
      <c r="F56" s="190"/>
      <c r="G56" s="189">
        <f>G55*100/D52</f>
        <v>26.140379929833692</v>
      </c>
      <c r="H56" s="190"/>
      <c r="I56" s="116">
        <f>I55*100/D52</f>
        <v>56.834728005419421</v>
      </c>
      <c r="J56" s="258"/>
      <c r="K56" s="258"/>
      <c r="L56" s="268"/>
      <c r="M56" s="268"/>
      <c r="N56" s="304"/>
      <c r="O56" s="385"/>
    </row>
    <row r="57" spans="1:23" ht="22.2" customHeight="1">
      <c r="A57" s="280"/>
      <c r="B57" s="281"/>
      <c r="C57" s="243" t="s">
        <v>79</v>
      </c>
      <c r="D57" s="244"/>
      <c r="E57" s="243" t="s">
        <v>82</v>
      </c>
      <c r="F57" s="244"/>
      <c r="G57" s="243" t="s">
        <v>83</v>
      </c>
      <c r="H57" s="244"/>
      <c r="I57" s="179" t="s">
        <v>84</v>
      </c>
      <c r="J57" s="259"/>
      <c r="K57" s="259"/>
      <c r="L57" s="268"/>
      <c r="M57" s="268"/>
      <c r="N57" s="304"/>
      <c r="O57" s="385"/>
      <c r="P57" s="132"/>
    </row>
    <row r="58" spans="1:23" ht="22.2" customHeight="1">
      <c r="A58" s="90"/>
      <c r="B58" s="93"/>
      <c r="C58" s="90"/>
      <c r="D58" s="90"/>
      <c r="E58" s="90"/>
      <c r="F58" s="90"/>
      <c r="G58" s="90"/>
      <c r="H58" s="90"/>
      <c r="I58" s="90"/>
      <c r="J58" s="90"/>
      <c r="K58" s="90"/>
      <c r="L58" s="91"/>
      <c r="M58" s="91"/>
      <c r="N58" s="92"/>
      <c r="O58" s="385"/>
    </row>
    <row r="59" spans="1:23" ht="21" customHeight="1">
      <c r="A59" s="184" t="s">
        <v>114</v>
      </c>
      <c r="B59" s="184"/>
      <c r="C59" s="184"/>
      <c r="D59" s="184"/>
      <c r="E59" s="184"/>
      <c r="F59" s="184"/>
      <c r="G59" s="184"/>
      <c r="H59" s="184"/>
      <c r="I59" s="184"/>
      <c r="J59" s="184"/>
      <c r="K59" s="184"/>
      <c r="L59" s="184"/>
      <c r="M59" s="184"/>
      <c r="N59" s="184"/>
      <c r="O59" s="385"/>
    </row>
    <row r="60" spans="1:23" ht="21" customHeight="1">
      <c r="A60" s="117" t="s">
        <v>115</v>
      </c>
      <c r="B60" s="185" t="s">
        <v>125</v>
      </c>
      <c r="C60" s="185"/>
      <c r="D60" s="185"/>
      <c r="E60" s="185"/>
      <c r="F60" s="185"/>
      <c r="G60" s="185"/>
      <c r="H60" s="185"/>
      <c r="I60" s="185"/>
      <c r="J60" s="185"/>
      <c r="K60" s="185"/>
      <c r="L60" s="185"/>
      <c r="M60" s="185"/>
      <c r="N60" s="185"/>
      <c r="O60" s="385"/>
    </row>
    <row r="61" spans="1:23" ht="21" customHeight="1">
      <c r="A61" s="118"/>
      <c r="B61" s="186" t="s">
        <v>206</v>
      </c>
      <c r="C61" s="186"/>
      <c r="D61" s="186"/>
      <c r="E61" s="186"/>
      <c r="F61" s="186"/>
      <c r="G61" s="186"/>
      <c r="H61" s="186"/>
      <c r="I61" s="186"/>
      <c r="J61" s="186"/>
      <c r="K61" s="186"/>
      <c r="L61" s="186"/>
      <c r="M61" s="186"/>
      <c r="N61" s="186"/>
      <c r="O61" s="385"/>
    </row>
    <row r="62" spans="1:23" ht="21" customHeight="1">
      <c r="A62" s="118"/>
      <c r="B62" s="186" t="s">
        <v>193</v>
      </c>
      <c r="C62" s="186"/>
      <c r="D62" s="186"/>
      <c r="E62" s="186"/>
      <c r="F62" s="186"/>
      <c r="G62" s="186"/>
      <c r="H62" s="186"/>
      <c r="I62" s="186"/>
      <c r="J62" s="186"/>
      <c r="K62" s="186"/>
      <c r="L62" s="186"/>
      <c r="M62" s="186"/>
      <c r="N62" s="186"/>
      <c r="O62" s="385"/>
    </row>
    <row r="63" spans="1:23" ht="21" customHeight="1">
      <c r="A63" s="118"/>
      <c r="B63" s="186" t="s">
        <v>194</v>
      </c>
      <c r="C63" s="186"/>
      <c r="D63" s="186"/>
      <c r="E63" s="186"/>
      <c r="F63" s="186"/>
      <c r="G63" s="186"/>
      <c r="H63" s="186"/>
      <c r="I63" s="186"/>
      <c r="J63" s="186"/>
      <c r="K63" s="186"/>
      <c r="L63" s="186"/>
      <c r="M63" s="186"/>
      <c r="N63" s="186"/>
      <c r="O63" s="385"/>
    </row>
    <row r="64" spans="1:23" ht="21" customHeight="1">
      <c r="A64" s="90"/>
      <c r="B64" s="187" t="s">
        <v>117</v>
      </c>
      <c r="C64" s="187"/>
      <c r="D64" s="187"/>
      <c r="E64" s="187"/>
      <c r="F64" s="187"/>
      <c r="G64" s="187"/>
      <c r="H64" s="187"/>
      <c r="I64" s="187"/>
      <c r="J64" s="187"/>
      <c r="K64" s="187"/>
      <c r="L64" s="187"/>
      <c r="M64" s="187"/>
      <c r="N64" s="187"/>
      <c r="O64" s="385"/>
    </row>
    <row r="65" spans="1:20" ht="21" customHeight="1">
      <c r="A65" s="90"/>
      <c r="B65" s="90"/>
      <c r="C65" s="90"/>
      <c r="D65" s="90"/>
      <c r="E65" s="90"/>
      <c r="F65" s="90"/>
      <c r="G65" s="90"/>
      <c r="H65" s="90"/>
      <c r="I65" s="90"/>
      <c r="J65" s="90"/>
      <c r="K65" s="90"/>
      <c r="L65" s="94"/>
      <c r="M65" s="94"/>
      <c r="N65" s="95"/>
      <c r="O65" s="385"/>
    </row>
    <row r="66" spans="1:20" ht="21" customHeight="1">
      <c r="A66" s="188" t="s">
        <v>62</v>
      </c>
      <c r="B66" s="188"/>
      <c r="C66" s="188"/>
      <c r="D66" s="188"/>
      <c r="E66" s="387"/>
      <c r="F66" s="387"/>
      <c r="G66" s="387"/>
      <c r="H66" s="387"/>
      <c r="I66" s="387"/>
      <c r="J66" s="388" t="s">
        <v>33</v>
      </c>
      <c r="K66" s="388"/>
      <c r="L66" s="388"/>
      <c r="M66" s="388"/>
      <c r="N66" s="388"/>
      <c r="O66" s="385"/>
    </row>
    <row r="67" spans="1:20" ht="21" customHeight="1">
      <c r="A67" s="176"/>
      <c r="B67" s="176"/>
      <c r="C67" s="176"/>
      <c r="D67" s="387"/>
      <c r="E67" s="387"/>
      <c r="F67" s="387"/>
      <c r="G67" s="387"/>
      <c r="H67" s="389"/>
      <c r="I67" s="389"/>
      <c r="J67" s="389"/>
      <c r="K67" s="389"/>
      <c r="L67" s="389"/>
      <c r="M67" s="389"/>
      <c r="N67" s="389"/>
      <c r="O67" s="385"/>
    </row>
    <row r="68" spans="1:20" ht="21" customHeight="1">
      <c r="A68" s="176"/>
      <c r="B68" s="176"/>
      <c r="C68" s="176"/>
      <c r="D68" s="387"/>
      <c r="E68" s="387"/>
      <c r="F68" s="387"/>
      <c r="G68" s="387"/>
      <c r="H68" s="389"/>
      <c r="I68" s="389"/>
      <c r="J68" s="389"/>
      <c r="K68" s="389"/>
      <c r="L68" s="389"/>
      <c r="M68" s="389"/>
      <c r="N68" s="389"/>
      <c r="O68" s="385"/>
    </row>
    <row r="69" spans="1:20" ht="21" customHeight="1">
      <c r="A69" s="176"/>
      <c r="B69" s="176"/>
      <c r="C69" s="176"/>
      <c r="D69" s="387"/>
      <c r="E69" s="387"/>
      <c r="F69" s="387"/>
      <c r="G69" s="387"/>
      <c r="H69" s="389"/>
      <c r="I69" s="389"/>
      <c r="J69" s="390" t="s">
        <v>124</v>
      </c>
      <c r="K69" s="390"/>
      <c r="L69" s="390"/>
      <c r="M69" s="390"/>
      <c r="N69" s="390"/>
      <c r="O69" s="385"/>
    </row>
    <row r="70" spans="1:20" ht="22.2" customHeight="1">
      <c r="A70" s="180" t="s">
        <v>91</v>
      </c>
      <c r="B70" s="180"/>
      <c r="C70" s="180"/>
      <c r="D70" s="180"/>
      <c r="E70" s="387"/>
      <c r="F70" s="387"/>
      <c r="G70" s="387"/>
      <c r="H70" s="389"/>
      <c r="I70" s="389"/>
      <c r="J70" s="390"/>
      <c r="K70" s="390"/>
      <c r="L70" s="390"/>
      <c r="M70" s="390"/>
      <c r="N70" s="390"/>
      <c r="O70" s="385"/>
    </row>
    <row r="71" spans="1:20" ht="22.2" customHeight="1">
      <c r="A71" s="90"/>
      <c r="B71" s="90"/>
      <c r="C71" s="90"/>
      <c r="D71" s="90"/>
      <c r="E71" s="90"/>
      <c r="F71" s="90"/>
      <c r="G71" s="90"/>
      <c r="H71" s="90"/>
      <c r="I71" s="90"/>
      <c r="J71" s="90"/>
      <c r="K71" s="90"/>
      <c r="L71" s="94"/>
      <c r="M71" s="94"/>
      <c r="N71" s="95"/>
      <c r="O71" s="385"/>
    </row>
    <row r="72" spans="1:20" ht="22.2" customHeight="1">
      <c r="A72" s="90"/>
      <c r="B72" s="90"/>
      <c r="C72" s="90"/>
      <c r="D72" s="90"/>
      <c r="E72" s="90"/>
      <c r="F72" s="90"/>
      <c r="G72" s="90"/>
      <c r="H72" s="90"/>
      <c r="I72" s="90"/>
      <c r="J72" s="390" t="s">
        <v>127</v>
      </c>
      <c r="K72" s="390"/>
      <c r="L72" s="390"/>
      <c r="M72" s="390"/>
      <c r="N72" s="390"/>
      <c r="O72" s="385"/>
    </row>
    <row r="73" spans="1:20" ht="22.2" customHeight="1">
      <c r="A73" s="90"/>
      <c r="B73" s="90"/>
      <c r="C73" s="90"/>
      <c r="D73" s="90"/>
      <c r="E73" s="90"/>
      <c r="F73" s="90"/>
      <c r="G73" s="90"/>
      <c r="H73" s="90"/>
      <c r="I73" s="90"/>
      <c r="J73" s="90"/>
      <c r="K73" s="90"/>
      <c r="L73" s="94"/>
      <c r="M73" s="94"/>
      <c r="N73" s="95"/>
      <c r="O73" s="385"/>
    </row>
    <row r="74" spans="1:20" ht="22.2" customHeight="1">
      <c r="A74" s="90"/>
      <c r="B74" s="90"/>
      <c r="C74" s="90"/>
      <c r="D74" s="90"/>
      <c r="E74" s="90"/>
      <c r="F74" s="90"/>
      <c r="G74" s="90"/>
      <c r="H74" s="90"/>
      <c r="I74" s="90"/>
      <c r="J74" s="90"/>
      <c r="K74" s="90"/>
      <c r="L74" s="94"/>
      <c r="M74" s="94"/>
      <c r="N74" s="95"/>
      <c r="O74" s="385"/>
    </row>
    <row r="75" spans="1:20" ht="22.2" customHeight="1">
      <c r="A75" s="90"/>
      <c r="B75" s="90"/>
      <c r="C75" s="90"/>
      <c r="D75" s="90"/>
      <c r="E75" s="90"/>
      <c r="F75" s="90"/>
      <c r="G75" s="90"/>
      <c r="H75" s="90"/>
      <c r="I75" s="90"/>
      <c r="J75" s="90"/>
      <c r="K75" s="90"/>
      <c r="L75" s="94"/>
      <c r="M75" s="94"/>
      <c r="N75" s="95"/>
      <c r="O75" s="385"/>
    </row>
    <row r="76" spans="1:20" ht="22.2" customHeight="1">
      <c r="A76" s="90"/>
      <c r="B76" s="90"/>
      <c r="C76" s="90"/>
      <c r="D76" s="90"/>
      <c r="E76" s="90"/>
      <c r="F76" s="90"/>
      <c r="G76" s="90"/>
      <c r="H76" s="90"/>
      <c r="I76" s="90"/>
      <c r="J76" s="90"/>
      <c r="K76" s="90"/>
      <c r="L76" s="94"/>
      <c r="M76" s="94"/>
      <c r="N76" s="95"/>
      <c r="O76" s="385"/>
    </row>
    <row r="77" spans="1:20" ht="22.2" customHeight="1">
      <c r="A77" s="90"/>
      <c r="B77" s="90"/>
      <c r="C77" s="90"/>
      <c r="D77" s="90"/>
      <c r="E77" s="90"/>
      <c r="F77" s="90"/>
      <c r="G77" s="90"/>
      <c r="H77" s="90"/>
      <c r="I77" s="90"/>
      <c r="J77" s="90"/>
      <c r="K77" s="90"/>
      <c r="L77" s="94"/>
      <c r="M77" s="94"/>
      <c r="N77" s="95"/>
      <c r="O77" s="385"/>
    </row>
    <row r="78" spans="1:20" ht="22.2" customHeight="1">
      <c r="A78" s="90"/>
      <c r="B78" s="90"/>
      <c r="C78" s="90"/>
      <c r="D78" s="90"/>
      <c r="E78" s="90"/>
      <c r="F78" s="90"/>
      <c r="G78" s="90"/>
      <c r="H78" s="90"/>
      <c r="I78" s="90"/>
      <c r="J78" s="90"/>
      <c r="K78" s="90"/>
      <c r="L78" s="94"/>
      <c r="M78" s="94"/>
      <c r="N78" s="95"/>
      <c r="O78" s="385"/>
    </row>
    <row r="79" spans="1:20" ht="22.2" customHeight="1">
      <c r="A79" s="90"/>
      <c r="B79" s="90"/>
      <c r="C79" s="90"/>
      <c r="D79" s="90"/>
      <c r="E79" s="90"/>
      <c r="F79" s="90"/>
      <c r="G79" s="90"/>
      <c r="H79" s="90"/>
      <c r="I79" s="90"/>
      <c r="J79" s="90"/>
      <c r="K79" s="90"/>
      <c r="L79" s="94"/>
      <c r="M79" s="94"/>
      <c r="N79" s="95"/>
      <c r="O79" s="385"/>
    </row>
    <row r="80" spans="1:20" ht="17.399999999999999" customHeight="1">
      <c r="A80" s="11" t="s">
        <v>61</v>
      </c>
      <c r="B80" s="8"/>
      <c r="C80" s="8"/>
      <c r="D80" s="8"/>
      <c r="E80" s="8"/>
      <c r="F80" s="293" t="s">
        <v>32</v>
      </c>
      <c r="G80" s="293"/>
      <c r="H80" s="293"/>
      <c r="I80" s="293"/>
      <c r="J80" s="293"/>
      <c r="K80" s="293"/>
      <c r="L80" s="293"/>
      <c r="M80" s="293"/>
      <c r="N80" s="293"/>
      <c r="O80" s="371"/>
      <c r="P80" s="405"/>
      <c r="Q80" s="405"/>
      <c r="R80" s="141"/>
      <c r="S80" s="141"/>
      <c r="T80" s="2"/>
    </row>
    <row r="81" spans="1:20" ht="17.399999999999999" customHeight="1">
      <c r="A81" s="8" t="s">
        <v>205</v>
      </c>
      <c r="B81" s="8"/>
      <c r="C81" s="8"/>
      <c r="D81" s="8"/>
      <c r="E81" s="8"/>
      <c r="F81" s="173"/>
      <c r="G81" s="173"/>
      <c r="H81" s="173"/>
      <c r="I81" s="173"/>
      <c r="J81" s="173"/>
      <c r="K81" s="173"/>
      <c r="L81" s="173"/>
      <c r="M81" s="173"/>
      <c r="N81" s="173"/>
      <c r="O81" s="371"/>
      <c r="P81" s="371"/>
      <c r="T81" s="2"/>
    </row>
    <row r="82" spans="1:20" s="2" customFormat="1" ht="17.399999999999999" customHeight="1">
      <c r="A82" s="195" t="s">
        <v>97</v>
      </c>
      <c r="B82" s="195"/>
      <c r="C82" s="195"/>
      <c r="D82" s="195"/>
      <c r="E82" s="195" t="s">
        <v>89</v>
      </c>
      <c r="F82" s="195"/>
      <c r="G82" s="195"/>
      <c r="H82" s="195"/>
      <c r="I82" s="195"/>
      <c r="J82" s="195"/>
      <c r="K82" s="195"/>
      <c r="L82" s="195"/>
      <c r="M82" s="195"/>
      <c r="N82" s="195"/>
      <c r="O82" s="372"/>
    </row>
    <row r="83" spans="1:20" s="2" customFormat="1" ht="17.399999999999999" customHeight="1">
      <c r="A83" s="195"/>
      <c r="B83" s="195"/>
      <c r="C83" s="195"/>
      <c r="D83" s="195"/>
      <c r="E83" s="195" t="s">
        <v>100</v>
      </c>
      <c r="F83" s="195"/>
      <c r="G83" s="195"/>
      <c r="H83" s="195"/>
      <c r="I83" s="195"/>
      <c r="J83" s="195" t="s">
        <v>101</v>
      </c>
      <c r="K83" s="195"/>
      <c r="L83" s="195"/>
      <c r="M83" s="195"/>
      <c r="N83" s="195"/>
      <c r="O83" s="372"/>
    </row>
    <row r="84" spans="1:20" s="2" customFormat="1" ht="17.399999999999999" customHeight="1">
      <c r="A84" s="196" t="s">
        <v>90</v>
      </c>
      <c r="B84" s="196"/>
      <c r="C84" s="196"/>
      <c r="D84" s="196"/>
      <c r="E84" s="199" t="s">
        <v>148</v>
      </c>
      <c r="F84" s="199"/>
      <c r="G84" s="199"/>
      <c r="H84" s="199"/>
      <c r="I84" s="199"/>
      <c r="J84" s="196" t="s">
        <v>90</v>
      </c>
      <c r="K84" s="196"/>
      <c r="L84" s="196"/>
      <c r="M84" s="196"/>
      <c r="N84" s="196"/>
      <c r="O84" s="372"/>
    </row>
    <row r="85" spans="1:20" s="2" customFormat="1" ht="17.399999999999999" customHeight="1">
      <c r="A85" s="313" t="s">
        <v>157</v>
      </c>
      <c r="B85" s="314"/>
      <c r="C85" s="314"/>
      <c r="D85" s="315"/>
      <c r="E85" s="199"/>
      <c r="F85" s="199"/>
      <c r="G85" s="199"/>
      <c r="H85" s="199"/>
      <c r="I85" s="199"/>
      <c r="J85" s="197" t="s">
        <v>102</v>
      </c>
      <c r="K85" s="197"/>
      <c r="L85" s="197"/>
      <c r="M85" s="197"/>
      <c r="N85" s="197"/>
      <c r="O85" s="372"/>
    </row>
    <row r="86" spans="1:20" s="2" customFormat="1" ht="17.399999999999999" customHeight="1">
      <c r="A86" s="198" t="s">
        <v>181</v>
      </c>
      <c r="B86" s="198"/>
      <c r="C86" s="198"/>
      <c r="D86" s="198"/>
      <c r="E86" s="199"/>
      <c r="F86" s="199"/>
      <c r="G86" s="199"/>
      <c r="H86" s="199"/>
      <c r="I86" s="199"/>
      <c r="J86" s="198" t="s">
        <v>165</v>
      </c>
      <c r="K86" s="198"/>
      <c r="L86" s="198"/>
      <c r="M86" s="198"/>
      <c r="N86" s="198"/>
      <c r="O86" s="204"/>
      <c r="P86" s="204"/>
      <c r="Q86" s="204"/>
      <c r="R86" s="204"/>
    </row>
    <row r="87" spans="1:20" ht="17.399999999999999" customHeight="1">
      <c r="A87" s="229" t="s">
        <v>122</v>
      </c>
      <c r="B87" s="230"/>
      <c r="C87" s="231"/>
      <c r="D87" s="128">
        <v>57</v>
      </c>
      <c r="E87" s="8"/>
      <c r="F87" s="173"/>
      <c r="G87" s="173"/>
      <c r="H87" s="173"/>
      <c r="I87" s="173"/>
      <c r="J87" s="173"/>
      <c r="K87" s="173"/>
      <c r="L87" s="173"/>
      <c r="M87" s="173"/>
      <c r="N87" s="173"/>
      <c r="O87" s="371"/>
      <c r="P87" s="371"/>
      <c r="T87" s="2"/>
    </row>
    <row r="88" spans="1:20" ht="17.399999999999999" customHeight="1">
      <c r="A88" s="209" t="s">
        <v>0</v>
      </c>
      <c r="B88" s="212" t="s">
        <v>19</v>
      </c>
      <c r="C88" s="215" t="s">
        <v>8</v>
      </c>
      <c r="D88" s="215" t="s">
        <v>9</v>
      </c>
      <c r="E88" s="218" t="s">
        <v>11</v>
      </c>
      <c r="F88" s="219"/>
      <c r="G88" s="218" t="s">
        <v>13</v>
      </c>
      <c r="H88" s="219"/>
      <c r="I88" s="222" t="s">
        <v>16</v>
      </c>
      <c r="J88" s="222" t="s">
        <v>41</v>
      </c>
      <c r="K88" s="222" t="s">
        <v>42</v>
      </c>
      <c r="L88" s="222" t="s">
        <v>17</v>
      </c>
      <c r="M88" s="222" t="s">
        <v>55</v>
      </c>
      <c r="N88" s="209" t="s">
        <v>18</v>
      </c>
      <c r="O88" s="373"/>
    </row>
    <row r="89" spans="1:20" ht="17.399999999999999" customHeight="1">
      <c r="A89" s="210"/>
      <c r="B89" s="213"/>
      <c r="C89" s="216"/>
      <c r="D89" s="216"/>
      <c r="E89" s="220"/>
      <c r="F89" s="221"/>
      <c r="G89" s="220"/>
      <c r="H89" s="221"/>
      <c r="I89" s="223"/>
      <c r="J89" s="223"/>
      <c r="K89" s="223"/>
      <c r="L89" s="223"/>
      <c r="M89" s="223"/>
      <c r="N89" s="210"/>
      <c r="O89" s="176"/>
    </row>
    <row r="90" spans="1:20" ht="17.399999999999999" customHeight="1">
      <c r="A90" s="210"/>
      <c r="B90" s="213"/>
      <c r="C90" s="216"/>
      <c r="D90" s="216"/>
      <c r="E90" s="222" t="s">
        <v>10</v>
      </c>
      <c r="F90" s="222" t="s">
        <v>12</v>
      </c>
      <c r="G90" s="222" t="s">
        <v>14</v>
      </c>
      <c r="H90" s="222" t="s">
        <v>15</v>
      </c>
      <c r="I90" s="223"/>
      <c r="J90" s="223"/>
      <c r="K90" s="223"/>
      <c r="L90" s="223"/>
      <c r="M90" s="223"/>
      <c r="N90" s="210"/>
      <c r="O90" s="176"/>
    </row>
    <row r="91" spans="1:20" ht="17.399999999999999" customHeight="1">
      <c r="A91" s="211"/>
      <c r="B91" s="214"/>
      <c r="C91" s="217"/>
      <c r="D91" s="217"/>
      <c r="E91" s="224"/>
      <c r="F91" s="224"/>
      <c r="G91" s="224"/>
      <c r="H91" s="224"/>
      <c r="I91" s="224"/>
      <c r="J91" s="224"/>
      <c r="K91" s="224"/>
      <c r="L91" s="224"/>
      <c r="M91" s="224"/>
      <c r="N91" s="211"/>
      <c r="O91" s="176"/>
    </row>
    <row r="92" spans="1:20" ht="18.600000000000001" customHeight="1">
      <c r="A92" s="238" t="s">
        <v>39</v>
      </c>
      <c r="B92" s="239"/>
      <c r="C92" s="239"/>
      <c r="D92" s="239"/>
      <c r="E92" s="239"/>
      <c r="F92" s="239"/>
      <c r="G92" s="239"/>
      <c r="H92" s="239"/>
      <c r="I92" s="239"/>
      <c r="J92" s="239"/>
      <c r="K92" s="239"/>
      <c r="L92" s="239"/>
      <c r="M92" s="239"/>
      <c r="N92" s="240"/>
      <c r="O92" s="176"/>
    </row>
    <row r="93" spans="1:20" s="2" customFormat="1" ht="18.600000000000001" customHeight="1">
      <c r="A93" s="9">
        <v>1</v>
      </c>
      <c r="B93" s="10" t="s">
        <v>2</v>
      </c>
      <c r="C93" s="23">
        <f>L93/100*100</f>
        <v>70</v>
      </c>
      <c r="D93" s="24">
        <f>C93/100*60</f>
        <v>42</v>
      </c>
      <c r="E93" s="25">
        <f>C93/100*15</f>
        <v>10.5</v>
      </c>
      <c r="F93" s="25"/>
      <c r="G93" s="25"/>
      <c r="H93" s="25"/>
      <c r="I93" s="25"/>
      <c r="J93" s="27">
        <f>C93/100*387</f>
        <v>270.89999999999998</v>
      </c>
      <c r="K93" s="27">
        <f>C93/100*0.09</f>
        <v>6.3E-2</v>
      </c>
      <c r="L93" s="137">
        <v>70</v>
      </c>
      <c r="M93" s="75">
        <v>20</v>
      </c>
      <c r="N93" s="28">
        <f>L93*M93</f>
        <v>1400</v>
      </c>
      <c r="O93" s="153"/>
    </row>
    <row r="94" spans="1:20" s="2" customFormat="1" ht="18.600000000000001" customHeight="1">
      <c r="A94" s="9">
        <v>2</v>
      </c>
      <c r="B94" s="148" t="s">
        <v>141</v>
      </c>
      <c r="C94" s="23">
        <f>L94/100*100</f>
        <v>290</v>
      </c>
      <c r="D94" s="24">
        <f>C94/100*899</f>
        <v>2607.1</v>
      </c>
      <c r="E94" s="25"/>
      <c r="F94" s="25"/>
      <c r="G94" s="25">
        <f>C94/100*100</f>
        <v>290</v>
      </c>
      <c r="H94" s="25"/>
      <c r="I94" s="25"/>
      <c r="J94" s="25"/>
      <c r="K94" s="25"/>
      <c r="L94" s="137">
        <v>290</v>
      </c>
      <c r="M94" s="24">
        <v>68</v>
      </c>
      <c r="N94" s="28">
        <f t="shared" ref="N94:N103" si="6">L94*M94</f>
        <v>19720</v>
      </c>
      <c r="O94" s="377"/>
    </row>
    <row r="95" spans="1:20" s="2" customFormat="1" ht="18.600000000000001" customHeight="1">
      <c r="A95" s="9">
        <v>3</v>
      </c>
      <c r="B95" s="148" t="s">
        <v>146</v>
      </c>
      <c r="C95" s="23">
        <f>L95/100*100</f>
        <v>140</v>
      </c>
      <c r="D95" s="120">
        <f>C95/100*900</f>
        <v>1260</v>
      </c>
      <c r="E95" s="25"/>
      <c r="F95" s="25"/>
      <c r="G95" s="119"/>
      <c r="H95" s="25">
        <f>C95/100*100</f>
        <v>140</v>
      </c>
      <c r="I95" s="25"/>
      <c r="J95" s="25"/>
      <c r="K95" s="25"/>
      <c r="L95" s="137">
        <v>140</v>
      </c>
      <c r="M95" s="75">
        <v>63.5</v>
      </c>
      <c r="N95" s="28">
        <f t="shared" si="6"/>
        <v>8890</v>
      </c>
      <c r="O95" s="377"/>
    </row>
    <row r="96" spans="1:20" s="2" customFormat="1" ht="18.600000000000001" customHeight="1">
      <c r="A96" s="9">
        <v>3</v>
      </c>
      <c r="B96" s="149" t="s">
        <v>1</v>
      </c>
      <c r="C96" s="23">
        <f>L96/100*100</f>
        <v>2451</v>
      </c>
      <c r="D96" s="120">
        <f>C96/100*352.8</f>
        <v>8647.1280000000006</v>
      </c>
      <c r="E96" s="25"/>
      <c r="F96" s="119">
        <f>C96/100*7.9</f>
        <v>193.62900000000002</v>
      </c>
      <c r="G96" s="25"/>
      <c r="H96" s="25">
        <f>C96/100*1</f>
        <v>24.51</v>
      </c>
      <c r="I96" s="119">
        <f>C96/100*75.9</f>
        <v>1860.3090000000002</v>
      </c>
      <c r="J96" s="27">
        <f>C96/100*30</f>
        <v>735.30000000000007</v>
      </c>
      <c r="K96" s="27">
        <f>C96/100*0.1</f>
        <v>2.4510000000000005</v>
      </c>
      <c r="L96" s="395">
        <v>2451</v>
      </c>
      <c r="M96" s="75">
        <v>18</v>
      </c>
      <c r="N96" s="28">
        <f t="shared" si="6"/>
        <v>44118</v>
      </c>
      <c r="O96" s="153"/>
    </row>
    <row r="97" spans="1:23" s="2" customFormat="1" ht="18.600000000000001" customHeight="1">
      <c r="A97" s="9">
        <v>4</v>
      </c>
      <c r="B97" s="148" t="s">
        <v>5</v>
      </c>
      <c r="C97" s="23">
        <f>L97/100*90</f>
        <v>11.700000000000001</v>
      </c>
      <c r="D97" s="24">
        <f>C97/100*281</f>
        <v>32.877000000000002</v>
      </c>
      <c r="E97" s="25"/>
      <c r="F97" s="25">
        <f>C97/100*9.5</f>
        <v>1.1115000000000002</v>
      </c>
      <c r="G97" s="25"/>
      <c r="H97" s="25">
        <f>C97/100*0.2</f>
        <v>2.3400000000000004E-2</v>
      </c>
      <c r="I97" s="25">
        <f>C97/100*58.5</f>
        <v>6.8445</v>
      </c>
      <c r="J97" s="27">
        <f>C97/100*321.3</f>
        <v>37.592100000000002</v>
      </c>
      <c r="K97" s="27">
        <f>C97/100*0.14</f>
        <v>1.6380000000000002E-2</v>
      </c>
      <c r="L97" s="137">
        <v>13</v>
      </c>
      <c r="M97" s="75">
        <v>120</v>
      </c>
      <c r="N97" s="28">
        <f t="shared" si="6"/>
        <v>1560</v>
      </c>
      <c r="O97" s="153"/>
    </row>
    <row r="98" spans="1:23" s="2" customFormat="1" ht="18.600000000000001" customHeight="1">
      <c r="A98" s="9">
        <v>5</v>
      </c>
      <c r="B98" s="148" t="s">
        <v>70</v>
      </c>
      <c r="C98" s="23">
        <f>L98/100*90</f>
        <v>13.5</v>
      </c>
      <c r="D98" s="24">
        <f>C98/100*253</f>
        <v>34.155000000000001</v>
      </c>
      <c r="E98" s="25"/>
      <c r="F98" s="25">
        <f>C98/100*32.4</f>
        <v>4.3739999999999997</v>
      </c>
      <c r="G98" s="25"/>
      <c r="H98" s="25">
        <f>C98/100*3.6</f>
        <v>0.48600000000000004</v>
      </c>
      <c r="I98" s="25">
        <f>C98/100*21.1</f>
        <v>2.8485000000000005</v>
      </c>
      <c r="J98" s="27">
        <f>C98/100*165.6</f>
        <v>22.356000000000002</v>
      </c>
      <c r="K98" s="27">
        <f>C98/100*0.14</f>
        <v>1.8900000000000004E-2</v>
      </c>
      <c r="L98" s="137">
        <v>15</v>
      </c>
      <c r="M98" s="75">
        <v>275</v>
      </c>
      <c r="N98" s="28">
        <f t="shared" si="6"/>
        <v>4125</v>
      </c>
      <c r="O98" s="153"/>
    </row>
    <row r="99" spans="1:23" s="2" customFormat="1" ht="18.600000000000001" customHeight="1">
      <c r="A99" s="9">
        <v>7</v>
      </c>
      <c r="B99" s="149" t="s">
        <v>63</v>
      </c>
      <c r="C99" s="23">
        <f>L99/100*86</f>
        <v>645</v>
      </c>
      <c r="D99" s="24">
        <f>C99/100*166</f>
        <v>1070.7</v>
      </c>
      <c r="E99" s="25">
        <f>C99/100*14.8</f>
        <v>95.460000000000008</v>
      </c>
      <c r="F99" s="25"/>
      <c r="G99" s="25">
        <f>C99/100*11.6</f>
        <v>74.819999999999993</v>
      </c>
      <c r="H99" s="25"/>
      <c r="I99" s="25">
        <f>C99/100*0.5</f>
        <v>3.2250000000000001</v>
      </c>
      <c r="J99" s="27">
        <f>C99/100*55</f>
        <v>354.75</v>
      </c>
      <c r="K99" s="27">
        <f>C99/100*0.16</f>
        <v>1.032</v>
      </c>
      <c r="L99" s="137">
        <v>750</v>
      </c>
      <c r="M99" s="75">
        <v>62</v>
      </c>
      <c r="N99" s="28">
        <f t="shared" si="6"/>
        <v>46500</v>
      </c>
      <c r="O99" s="153"/>
      <c r="Q99" s="3"/>
      <c r="R99" s="3"/>
      <c r="S99" s="4"/>
    </row>
    <row r="100" spans="1:23" s="2" customFormat="1" ht="18.600000000000001" customHeight="1">
      <c r="A100" s="9">
        <v>8</v>
      </c>
      <c r="B100" s="148" t="s">
        <v>71</v>
      </c>
      <c r="C100" s="23">
        <f>L100/100*98</f>
        <v>1450.4</v>
      </c>
      <c r="D100" s="24">
        <f>C100/100*139</f>
        <v>2016.0560000000003</v>
      </c>
      <c r="E100" s="25">
        <f>C100/100*19</f>
        <v>275.57600000000002</v>
      </c>
      <c r="F100" s="25"/>
      <c r="G100" s="25">
        <f>C100/100*7</f>
        <v>101.52800000000001</v>
      </c>
      <c r="H100" s="25"/>
      <c r="I100" s="25"/>
      <c r="J100" s="27">
        <f>C100/100*7</f>
        <v>101.52800000000001</v>
      </c>
      <c r="K100" s="27">
        <f>C100/100*0.9</f>
        <v>13.053600000000001</v>
      </c>
      <c r="L100" s="137">
        <v>1480</v>
      </c>
      <c r="M100" s="75">
        <v>137</v>
      </c>
      <c r="N100" s="28">
        <f t="shared" si="6"/>
        <v>202760</v>
      </c>
      <c r="O100" s="153"/>
    </row>
    <row r="101" spans="1:23" s="2" customFormat="1" ht="18.600000000000001" customHeight="1">
      <c r="A101" s="9">
        <v>9</v>
      </c>
      <c r="B101" s="149" t="s">
        <v>96</v>
      </c>
      <c r="C101" s="23">
        <f>L101/100*90</f>
        <v>405</v>
      </c>
      <c r="D101" s="24">
        <f>C101/100*90</f>
        <v>364.5</v>
      </c>
      <c r="E101" s="25">
        <f>C101/100*18.4</f>
        <v>74.52</v>
      </c>
      <c r="F101" s="25"/>
      <c r="G101" s="25">
        <f>C101/100*1.8</f>
        <v>7.29</v>
      </c>
      <c r="H101" s="25"/>
      <c r="I101" s="25"/>
      <c r="J101" s="81">
        <f>C101/100*1120</f>
        <v>4536</v>
      </c>
      <c r="K101" s="27">
        <f>C101/100*0.02</f>
        <v>8.1000000000000003E-2</v>
      </c>
      <c r="L101" s="137">
        <v>450</v>
      </c>
      <c r="M101" s="26">
        <v>260</v>
      </c>
      <c r="N101" s="124">
        <f t="shared" si="6"/>
        <v>117000</v>
      </c>
      <c r="O101" s="153"/>
      <c r="Q101" s="3"/>
      <c r="R101" s="3"/>
      <c r="S101" s="4"/>
    </row>
    <row r="102" spans="1:23" s="2" customFormat="1" ht="18" customHeight="1">
      <c r="A102" s="9">
        <v>10</v>
      </c>
      <c r="B102" s="5" t="s">
        <v>178</v>
      </c>
      <c r="C102" s="23">
        <f>L102/100*90</f>
        <v>1440</v>
      </c>
      <c r="D102" s="24">
        <f>C102/100*29</f>
        <v>417.6</v>
      </c>
      <c r="E102" s="25"/>
      <c r="F102" s="25">
        <f>C102/100*1.8</f>
        <v>25.92</v>
      </c>
      <c r="G102" s="25"/>
      <c r="H102" s="25">
        <f>C102/100*0.1</f>
        <v>1.4400000000000002</v>
      </c>
      <c r="I102" s="25">
        <f>C102/100*5.3</f>
        <v>76.319999999999993</v>
      </c>
      <c r="J102" s="25">
        <f>C102/100*48</f>
        <v>691.2</v>
      </c>
      <c r="K102" s="25">
        <f>C102/100*0.05</f>
        <v>0.72000000000000008</v>
      </c>
      <c r="L102" s="137">
        <v>1600</v>
      </c>
      <c r="M102" s="75">
        <v>13</v>
      </c>
      <c r="N102" s="28">
        <f t="shared" si="6"/>
        <v>20800</v>
      </c>
      <c r="O102" s="153"/>
    </row>
    <row r="103" spans="1:23" s="2" customFormat="1" ht="18.600000000000001" customHeight="1">
      <c r="A103" s="9">
        <v>11</v>
      </c>
      <c r="B103" s="5" t="s">
        <v>136</v>
      </c>
      <c r="C103" s="23">
        <f>L103/100*100</f>
        <v>40</v>
      </c>
      <c r="D103" s="24">
        <f>C103/100*247</f>
        <v>98.800000000000011</v>
      </c>
      <c r="E103" s="29"/>
      <c r="F103" s="29">
        <f>C103/100*17.5</f>
        <v>7</v>
      </c>
      <c r="G103" s="29"/>
      <c r="H103" s="29">
        <f>C103/100*1.6</f>
        <v>0.64000000000000012</v>
      </c>
      <c r="I103" s="29">
        <f>C103/100*39.2</f>
        <v>15.680000000000001</v>
      </c>
      <c r="J103" s="71"/>
      <c r="K103" s="71"/>
      <c r="L103" s="374">
        <v>40</v>
      </c>
      <c r="M103" s="75">
        <v>50</v>
      </c>
      <c r="N103" s="28">
        <f t="shared" si="6"/>
        <v>2000</v>
      </c>
      <c r="O103" s="153"/>
      <c r="Q103" s="3"/>
      <c r="R103" s="3"/>
      <c r="S103" s="4"/>
      <c r="T103" s="3"/>
    </row>
    <row r="104" spans="1:23" s="2" customFormat="1" ht="18.600000000000001" customHeight="1">
      <c r="A104" s="9">
        <v>12</v>
      </c>
      <c r="B104" s="6" t="s">
        <v>123</v>
      </c>
      <c r="C104" s="23"/>
      <c r="D104" s="139"/>
      <c r="E104" s="25"/>
      <c r="F104" s="25"/>
      <c r="G104" s="25"/>
      <c r="H104" s="25"/>
      <c r="I104" s="25"/>
      <c r="J104" s="27"/>
      <c r="K104" s="27"/>
      <c r="L104" s="26"/>
      <c r="M104" s="26"/>
      <c r="N104" s="28">
        <v>3950</v>
      </c>
      <c r="O104" s="153"/>
    </row>
    <row r="105" spans="1:23" s="2" customFormat="1" ht="18.600000000000001" customHeight="1">
      <c r="A105" s="21" t="s">
        <v>118</v>
      </c>
      <c r="B105" s="22"/>
      <c r="C105" s="34"/>
      <c r="D105" s="121">
        <f>SUM(D93:D104)</f>
        <v>16590.916000000001</v>
      </c>
      <c r="E105" s="43"/>
      <c r="F105" s="43"/>
      <c r="G105" s="43"/>
      <c r="H105" s="43"/>
      <c r="I105" s="43"/>
      <c r="J105" s="43"/>
      <c r="K105" s="43"/>
      <c r="L105" s="44"/>
      <c r="M105" s="308"/>
      <c r="N105" s="193">
        <f>SUM(N93:N104)</f>
        <v>472823</v>
      </c>
      <c r="O105" s="153"/>
    </row>
    <row r="106" spans="1:23" ht="18.600000000000001" customHeight="1">
      <c r="A106" s="21" t="s">
        <v>37</v>
      </c>
      <c r="B106" s="22"/>
      <c r="C106" s="45"/>
      <c r="D106" s="46">
        <f>D105/D87</f>
        <v>291.06870175438598</v>
      </c>
      <c r="E106" s="46"/>
      <c r="F106" s="46"/>
      <c r="G106" s="46"/>
      <c r="H106" s="46"/>
      <c r="I106" s="46"/>
      <c r="J106" s="46"/>
      <c r="K106" s="46"/>
      <c r="L106" s="47"/>
      <c r="M106" s="309"/>
      <c r="N106" s="194"/>
      <c r="O106" s="398"/>
      <c r="P106" s="2"/>
      <c r="Q106" s="2"/>
      <c r="R106" s="2"/>
      <c r="S106" s="2"/>
      <c r="T106" s="2"/>
      <c r="U106" s="2"/>
      <c r="V106" s="2"/>
    </row>
    <row r="107" spans="1:23" ht="18.600000000000001" customHeight="1">
      <c r="A107" s="294" t="s">
        <v>53</v>
      </c>
      <c r="B107" s="226"/>
      <c r="C107" s="376" t="s">
        <v>151</v>
      </c>
      <c r="D107" s="20" t="s">
        <v>45</v>
      </c>
      <c r="E107" s="46"/>
      <c r="F107" s="46"/>
      <c r="G107" s="46"/>
      <c r="H107" s="46"/>
      <c r="I107" s="46"/>
      <c r="J107" s="48"/>
      <c r="K107" s="48"/>
      <c r="L107" s="47"/>
      <c r="M107" s="47"/>
      <c r="N107" s="177"/>
      <c r="O107" s="4"/>
      <c r="P107" s="2"/>
      <c r="Q107" s="2"/>
      <c r="R107" s="2"/>
      <c r="S107" s="2"/>
      <c r="T107" s="2"/>
      <c r="U107" s="2"/>
      <c r="V107" s="2"/>
      <c r="W107" s="2"/>
    </row>
    <row r="108" spans="1:23" ht="18.600000000000001" customHeight="1">
      <c r="A108" s="227"/>
      <c r="B108" s="228"/>
      <c r="C108" s="76" t="s">
        <v>60</v>
      </c>
      <c r="D108" s="78">
        <f>D106*100/930</f>
        <v>31.297709866063009</v>
      </c>
      <c r="E108" s="46"/>
      <c r="F108" s="46"/>
      <c r="G108" s="46"/>
      <c r="H108" s="46"/>
      <c r="I108" s="46"/>
      <c r="J108" s="48"/>
      <c r="K108" s="48"/>
      <c r="L108" s="47"/>
      <c r="M108" s="47"/>
      <c r="N108" s="177"/>
      <c r="O108" s="4"/>
      <c r="P108" s="2"/>
      <c r="Q108" s="2"/>
      <c r="R108" s="2"/>
      <c r="S108" s="2"/>
      <c r="T108" s="2"/>
      <c r="U108" s="2"/>
      <c r="V108" s="2"/>
      <c r="W108" s="2"/>
    </row>
    <row r="109" spans="1:23" s="2" customFormat="1" ht="18.600000000000001" customHeight="1">
      <c r="A109" s="236" t="s">
        <v>38</v>
      </c>
      <c r="B109" s="236"/>
      <c r="C109" s="56"/>
      <c r="D109" s="57"/>
      <c r="E109" s="58"/>
      <c r="F109" s="58"/>
      <c r="G109" s="58"/>
      <c r="H109" s="58"/>
      <c r="I109" s="58"/>
      <c r="J109" s="58"/>
      <c r="K109" s="58"/>
      <c r="L109" s="59"/>
      <c r="M109" s="59"/>
      <c r="N109" s="60"/>
      <c r="O109" s="153"/>
    </row>
    <row r="110" spans="1:23" s="2" customFormat="1" ht="18.600000000000001" customHeight="1">
      <c r="A110" s="9">
        <v>1</v>
      </c>
      <c r="B110" s="10" t="s">
        <v>2</v>
      </c>
      <c r="C110" s="23">
        <f>L110/100*100</f>
        <v>70</v>
      </c>
      <c r="D110" s="24">
        <f>C110/100*60</f>
        <v>42</v>
      </c>
      <c r="E110" s="25">
        <f>C110/100*15</f>
        <v>10.5</v>
      </c>
      <c r="F110" s="25"/>
      <c r="G110" s="25"/>
      <c r="H110" s="25"/>
      <c r="I110" s="25"/>
      <c r="J110" s="27">
        <f>C110/100*387</f>
        <v>270.89999999999998</v>
      </c>
      <c r="K110" s="27">
        <f>C110/100*0.09</f>
        <v>6.3E-2</v>
      </c>
      <c r="L110" s="137">
        <v>70</v>
      </c>
      <c r="M110" s="75">
        <v>20</v>
      </c>
      <c r="N110" s="28">
        <f>L110*M110</f>
        <v>1400</v>
      </c>
      <c r="O110" s="153"/>
    </row>
    <row r="111" spans="1:23" s="2" customFormat="1" ht="18.600000000000001" customHeight="1">
      <c r="A111" s="9">
        <v>2</v>
      </c>
      <c r="B111" s="10" t="s">
        <v>141</v>
      </c>
      <c r="C111" s="23">
        <f>L111/100*100</f>
        <v>229.99999999999997</v>
      </c>
      <c r="D111" s="24">
        <f>C111/100*899</f>
        <v>2067.6999999999998</v>
      </c>
      <c r="E111" s="25"/>
      <c r="F111" s="25"/>
      <c r="G111" s="25">
        <f>C111/100*100</f>
        <v>229.99999999999997</v>
      </c>
      <c r="H111" s="25"/>
      <c r="I111" s="25"/>
      <c r="J111" s="27"/>
      <c r="K111" s="27"/>
      <c r="L111" s="137">
        <v>230</v>
      </c>
      <c r="M111" s="75">
        <v>68</v>
      </c>
      <c r="N111" s="28">
        <f t="shared" ref="N111" si="7">L111*M111</f>
        <v>15640</v>
      </c>
      <c r="O111" s="153"/>
    </row>
    <row r="112" spans="1:23" s="2" customFormat="1" ht="18.600000000000001" customHeight="1">
      <c r="A112" s="9">
        <v>3</v>
      </c>
      <c r="B112" s="5" t="s">
        <v>1</v>
      </c>
      <c r="C112" s="23">
        <f>L112/100*100</f>
        <v>2394</v>
      </c>
      <c r="D112" s="24">
        <f>C112/100*352.8</f>
        <v>8446.0320000000011</v>
      </c>
      <c r="E112" s="25"/>
      <c r="F112" s="25">
        <f>C112/100*7.9</f>
        <v>189.126</v>
      </c>
      <c r="G112" s="25"/>
      <c r="H112" s="25">
        <f>C112/100*1</f>
        <v>23.94</v>
      </c>
      <c r="I112" s="25">
        <f>C112/100*75.9</f>
        <v>1817.0460000000003</v>
      </c>
      <c r="J112" s="27">
        <f>C112/100*30</f>
        <v>718.2</v>
      </c>
      <c r="K112" s="27">
        <f>C112/100*0.1</f>
        <v>2.3940000000000001</v>
      </c>
      <c r="L112" s="137">
        <v>2394</v>
      </c>
      <c r="M112" s="75">
        <v>18</v>
      </c>
      <c r="N112" s="28">
        <f t="shared" ref="N112:N117" si="8">L112*M112</f>
        <v>43092</v>
      </c>
      <c r="O112" s="153"/>
    </row>
    <row r="113" spans="1:23" s="2" customFormat="1" ht="18.600000000000001" customHeight="1">
      <c r="A113" s="9">
        <v>4</v>
      </c>
      <c r="B113" s="5" t="s">
        <v>136</v>
      </c>
      <c r="C113" s="23">
        <f>L113/100*100</f>
        <v>40</v>
      </c>
      <c r="D113" s="24">
        <f>C113/100*247</f>
        <v>98.800000000000011</v>
      </c>
      <c r="E113" s="29"/>
      <c r="F113" s="29">
        <f>C113/100*17.5</f>
        <v>7</v>
      </c>
      <c r="G113" s="29"/>
      <c r="H113" s="29">
        <f>C113/100*1.6</f>
        <v>0.64000000000000012</v>
      </c>
      <c r="I113" s="29">
        <f>C113/100*39.2</f>
        <v>15.680000000000001</v>
      </c>
      <c r="J113" s="71"/>
      <c r="K113" s="71"/>
      <c r="L113" s="374">
        <v>40</v>
      </c>
      <c r="M113" s="75">
        <v>50</v>
      </c>
      <c r="N113" s="28">
        <f t="shared" si="8"/>
        <v>2000</v>
      </c>
      <c r="O113" s="153"/>
      <c r="Q113" s="3"/>
      <c r="R113" s="3"/>
      <c r="S113" s="4"/>
      <c r="T113" s="3"/>
    </row>
    <row r="114" spans="1:23" s="2" customFormat="1" ht="18.600000000000001" customHeight="1">
      <c r="A114" s="9">
        <v>5</v>
      </c>
      <c r="B114" s="10" t="s">
        <v>70</v>
      </c>
      <c r="C114" s="23">
        <f>L114/100*90</f>
        <v>13.5</v>
      </c>
      <c r="D114" s="24">
        <f>C114/100*253</f>
        <v>34.155000000000001</v>
      </c>
      <c r="E114" s="25"/>
      <c r="F114" s="25">
        <f>C114/100*32.4</f>
        <v>4.3739999999999997</v>
      </c>
      <c r="G114" s="25"/>
      <c r="H114" s="25">
        <f>C114/100*3.6</f>
        <v>0.48600000000000004</v>
      </c>
      <c r="I114" s="25">
        <f>C114/100*21.1</f>
        <v>2.8485000000000005</v>
      </c>
      <c r="J114" s="27">
        <f>C114/100*165.6</f>
        <v>22.356000000000002</v>
      </c>
      <c r="K114" s="27">
        <f>C114/100*0.14</f>
        <v>1.8900000000000004E-2</v>
      </c>
      <c r="L114" s="137">
        <v>15</v>
      </c>
      <c r="M114" s="75">
        <v>275</v>
      </c>
      <c r="N114" s="28">
        <f t="shared" si="8"/>
        <v>4125</v>
      </c>
      <c r="O114" s="153"/>
    </row>
    <row r="115" spans="1:23" s="2" customFormat="1" ht="18.600000000000001" customHeight="1">
      <c r="A115" s="9">
        <v>6</v>
      </c>
      <c r="B115" s="5" t="s">
        <v>75</v>
      </c>
      <c r="C115" s="23">
        <f>L115/100*75</f>
        <v>1365</v>
      </c>
      <c r="D115" s="24">
        <f>C115/100*12</f>
        <v>163.80000000000001</v>
      </c>
      <c r="E115" s="25"/>
      <c r="F115" s="25">
        <f>C115/100*0.6</f>
        <v>8.19</v>
      </c>
      <c r="G115" s="25"/>
      <c r="H115" s="25"/>
      <c r="I115" s="25">
        <f>C115/100*2.4</f>
        <v>32.76</v>
      </c>
      <c r="J115" s="25">
        <f>C115/100*26</f>
        <v>354.90000000000003</v>
      </c>
      <c r="K115" s="25">
        <f>C115/100*0.02</f>
        <v>0.27300000000000002</v>
      </c>
      <c r="L115" s="137">
        <v>1820</v>
      </c>
      <c r="M115" s="75">
        <v>25</v>
      </c>
      <c r="N115" s="28">
        <f t="shared" si="8"/>
        <v>45500</v>
      </c>
      <c r="O115" s="153"/>
    </row>
    <row r="116" spans="1:23" s="2" customFormat="1" ht="18.600000000000001" customHeight="1">
      <c r="A116" s="9">
        <v>7</v>
      </c>
      <c r="B116" s="10" t="s">
        <v>71</v>
      </c>
      <c r="C116" s="23">
        <f>L116/100*98</f>
        <v>558.6</v>
      </c>
      <c r="D116" s="24">
        <f>C116/100*139</f>
        <v>776.45400000000006</v>
      </c>
      <c r="E116" s="25">
        <f>C116/100*19</f>
        <v>106.134</v>
      </c>
      <c r="F116" s="25"/>
      <c r="G116" s="25">
        <f>C116/100*7</f>
        <v>39.102000000000004</v>
      </c>
      <c r="H116" s="25"/>
      <c r="I116" s="25"/>
      <c r="J116" s="27">
        <f>C116/100*7</f>
        <v>39.102000000000004</v>
      </c>
      <c r="K116" s="27">
        <f>C116/100*0.9</f>
        <v>5.0274000000000001</v>
      </c>
      <c r="L116" s="137">
        <v>570</v>
      </c>
      <c r="M116" s="75">
        <v>137</v>
      </c>
      <c r="N116" s="28">
        <f t="shared" si="8"/>
        <v>78090</v>
      </c>
      <c r="O116" s="153"/>
    </row>
    <row r="117" spans="1:23" s="2" customFormat="1" ht="18.600000000000001" customHeight="1">
      <c r="A117" s="9">
        <v>8</v>
      </c>
      <c r="B117" s="10" t="s">
        <v>92</v>
      </c>
      <c r="C117" s="23">
        <f>L117/100*48</f>
        <v>1915.1999999999998</v>
      </c>
      <c r="D117" s="24">
        <f>C117/100*199</f>
        <v>3811.2479999999996</v>
      </c>
      <c r="E117" s="25">
        <f>C117/100*20.3</f>
        <v>388.78559999999999</v>
      </c>
      <c r="F117" s="25"/>
      <c r="G117" s="25">
        <f>C117/100*13.1</f>
        <v>250.89119999999997</v>
      </c>
      <c r="H117" s="25"/>
      <c r="I117" s="25"/>
      <c r="J117" s="27">
        <f>C117/100*12</f>
        <v>229.82399999999996</v>
      </c>
      <c r="K117" s="27">
        <f>C117/100*0.15</f>
        <v>2.8727999999999994</v>
      </c>
      <c r="L117" s="137">
        <v>3990</v>
      </c>
      <c r="M117" s="75">
        <v>84</v>
      </c>
      <c r="N117" s="28">
        <f t="shared" si="8"/>
        <v>335160</v>
      </c>
      <c r="O117" s="153"/>
      <c r="Q117" s="153"/>
    </row>
    <row r="118" spans="1:23" s="2" customFormat="1" ht="18.600000000000001" customHeight="1">
      <c r="A118" s="9">
        <v>9</v>
      </c>
      <c r="B118" s="6" t="s">
        <v>123</v>
      </c>
      <c r="C118" s="23"/>
      <c r="D118" s="139"/>
      <c r="E118" s="25"/>
      <c r="F118" s="25"/>
      <c r="G118" s="25"/>
      <c r="H118" s="25"/>
      <c r="I118" s="25"/>
      <c r="J118" s="27"/>
      <c r="K118" s="27"/>
      <c r="L118" s="26"/>
      <c r="M118" s="26"/>
      <c r="N118" s="28">
        <v>3950</v>
      </c>
      <c r="O118" s="153"/>
    </row>
    <row r="119" spans="1:23" s="2" customFormat="1" ht="18.600000000000001" customHeight="1">
      <c r="A119" s="21" t="s">
        <v>119</v>
      </c>
      <c r="B119" s="22"/>
      <c r="C119" s="34"/>
      <c r="D119" s="121">
        <f>SUM(D110:D118)</f>
        <v>15440.188999999998</v>
      </c>
      <c r="E119" s="43"/>
      <c r="F119" s="43"/>
      <c r="G119" s="43"/>
      <c r="H119" s="43"/>
      <c r="I119" s="43"/>
      <c r="J119" s="43"/>
      <c r="K119" s="43"/>
      <c r="L119" s="44"/>
      <c r="M119" s="308"/>
      <c r="N119" s="193">
        <f>SUM(N110:N118)</f>
        <v>528957</v>
      </c>
      <c r="O119" s="153"/>
    </row>
    <row r="120" spans="1:23" ht="18.600000000000001" customHeight="1">
      <c r="A120" s="21" t="s">
        <v>36</v>
      </c>
      <c r="B120" s="22"/>
      <c r="C120" s="61"/>
      <c r="D120" s="48">
        <f>D119/D87</f>
        <v>270.88050877192978</v>
      </c>
      <c r="E120" s="48"/>
      <c r="F120" s="48"/>
      <c r="G120" s="48"/>
      <c r="H120" s="48"/>
      <c r="I120" s="48"/>
      <c r="J120" s="48"/>
      <c r="K120" s="48"/>
      <c r="L120" s="62"/>
      <c r="M120" s="309"/>
      <c r="N120" s="235"/>
      <c r="O120" s="398"/>
      <c r="P120" s="2"/>
      <c r="Q120" s="2"/>
      <c r="R120" s="2"/>
      <c r="S120" s="2"/>
      <c r="T120" s="2"/>
      <c r="U120" s="2"/>
      <c r="V120" s="2"/>
    </row>
    <row r="121" spans="1:23" ht="18.600000000000001" customHeight="1">
      <c r="A121" s="294" t="s">
        <v>54</v>
      </c>
      <c r="B121" s="226"/>
      <c r="C121" s="376" t="s">
        <v>151</v>
      </c>
      <c r="D121" s="20" t="s">
        <v>46</v>
      </c>
      <c r="E121" s="46"/>
      <c r="F121" s="46"/>
      <c r="G121" s="46"/>
      <c r="H121" s="46"/>
      <c r="I121" s="46"/>
      <c r="J121" s="48"/>
      <c r="K121" s="48"/>
      <c r="L121" s="47"/>
      <c r="M121" s="47"/>
      <c r="N121" s="177"/>
      <c r="O121" s="4"/>
      <c r="P121" s="2"/>
      <c r="Q121" s="2"/>
      <c r="R121" s="2"/>
      <c r="S121" s="2"/>
      <c r="T121" s="2"/>
      <c r="U121" s="2"/>
      <c r="V121" s="2"/>
      <c r="W121" s="2"/>
    </row>
    <row r="122" spans="1:23" ht="18.600000000000001" customHeight="1">
      <c r="A122" s="227"/>
      <c r="B122" s="228"/>
      <c r="C122" s="76" t="s">
        <v>60</v>
      </c>
      <c r="D122" s="78">
        <f>D120*100/930</f>
        <v>29.126936427089223</v>
      </c>
      <c r="E122" s="46"/>
      <c r="F122" s="46"/>
      <c r="G122" s="46"/>
      <c r="H122" s="46"/>
      <c r="I122" s="46"/>
      <c r="J122" s="48"/>
      <c r="K122" s="48"/>
      <c r="L122" s="47"/>
      <c r="M122" s="47"/>
      <c r="N122" s="177"/>
      <c r="O122" s="4"/>
      <c r="P122" s="2"/>
      <c r="Q122" s="2"/>
      <c r="R122" s="2"/>
      <c r="S122" s="2"/>
      <c r="T122" s="2"/>
      <c r="U122" s="2"/>
      <c r="V122" s="2"/>
      <c r="W122" s="2"/>
    </row>
    <row r="123" spans="1:23" ht="18.600000000000001" customHeight="1">
      <c r="A123" s="236" t="s">
        <v>35</v>
      </c>
      <c r="B123" s="236"/>
      <c r="C123" s="63"/>
      <c r="D123" s="64"/>
      <c r="E123" s="64"/>
      <c r="F123" s="64"/>
      <c r="G123" s="64"/>
      <c r="H123" s="64"/>
      <c r="I123" s="64"/>
      <c r="J123" s="64"/>
      <c r="K123" s="64"/>
      <c r="L123" s="65"/>
      <c r="M123" s="65"/>
      <c r="N123" s="66"/>
      <c r="O123" s="398"/>
      <c r="P123" s="2"/>
      <c r="Q123" s="2"/>
      <c r="R123" s="2"/>
      <c r="S123" s="2"/>
      <c r="T123" s="2"/>
      <c r="U123" s="2"/>
      <c r="V123" s="2"/>
    </row>
    <row r="124" spans="1:23" s="2" customFormat="1" ht="18.600000000000001" customHeight="1">
      <c r="A124" s="103">
        <v>1</v>
      </c>
      <c r="B124" s="156" t="s">
        <v>149</v>
      </c>
      <c r="C124" s="104">
        <f>L124/100*100</f>
        <v>969.99999999999989</v>
      </c>
      <c r="D124" s="105">
        <f>C124/100*487</f>
        <v>4723.8999999999996</v>
      </c>
      <c r="E124" s="106"/>
      <c r="F124" s="106">
        <f>C124/100*19.5</f>
        <v>189.14999999999998</v>
      </c>
      <c r="G124" s="106"/>
      <c r="H124" s="106">
        <f>C124/100*23.2</f>
        <v>225.03999999999996</v>
      </c>
      <c r="I124" s="106">
        <f>C124/100*46</f>
        <v>446.2</v>
      </c>
      <c r="J124" s="147">
        <f>C124/100*680</f>
        <v>6595.9999999999991</v>
      </c>
      <c r="K124" s="106">
        <f>C124/100*0.55</f>
        <v>5.335</v>
      </c>
      <c r="L124" s="107">
        <v>970</v>
      </c>
      <c r="M124" s="157">
        <v>260</v>
      </c>
      <c r="N124" s="108">
        <f t="shared" ref="N124" si="9">L124*M124</f>
        <v>252200</v>
      </c>
      <c r="O124" s="153"/>
      <c r="P124" s="3"/>
    </row>
    <row r="125" spans="1:23" ht="17.399999999999999" customHeight="1">
      <c r="A125" s="209" t="s">
        <v>0</v>
      </c>
      <c r="B125" s="212" t="s">
        <v>19</v>
      </c>
      <c r="C125" s="215" t="s">
        <v>8</v>
      </c>
      <c r="D125" s="215" t="s">
        <v>9</v>
      </c>
      <c r="E125" s="218" t="s">
        <v>11</v>
      </c>
      <c r="F125" s="219"/>
      <c r="G125" s="218" t="s">
        <v>13</v>
      </c>
      <c r="H125" s="219"/>
      <c r="I125" s="222" t="s">
        <v>16</v>
      </c>
      <c r="J125" s="222" t="s">
        <v>41</v>
      </c>
      <c r="K125" s="222" t="s">
        <v>42</v>
      </c>
      <c r="L125" s="222" t="s">
        <v>17</v>
      </c>
      <c r="M125" s="222" t="s">
        <v>55</v>
      </c>
      <c r="N125" s="209" t="s">
        <v>18</v>
      </c>
      <c r="O125" s="373"/>
    </row>
    <row r="126" spans="1:23" ht="17.399999999999999" customHeight="1">
      <c r="A126" s="210"/>
      <c r="B126" s="213"/>
      <c r="C126" s="216"/>
      <c r="D126" s="216"/>
      <c r="E126" s="220"/>
      <c r="F126" s="221"/>
      <c r="G126" s="220"/>
      <c r="H126" s="221"/>
      <c r="I126" s="223"/>
      <c r="J126" s="223"/>
      <c r="K126" s="223"/>
      <c r="L126" s="223"/>
      <c r="M126" s="223"/>
      <c r="N126" s="210"/>
      <c r="O126" s="176"/>
    </row>
    <row r="127" spans="1:23" ht="17.399999999999999" customHeight="1">
      <c r="A127" s="210"/>
      <c r="B127" s="213"/>
      <c r="C127" s="216"/>
      <c r="D127" s="216"/>
      <c r="E127" s="222" t="s">
        <v>10</v>
      </c>
      <c r="F127" s="222" t="s">
        <v>12</v>
      </c>
      <c r="G127" s="222" t="s">
        <v>14</v>
      </c>
      <c r="H127" s="222" t="s">
        <v>15</v>
      </c>
      <c r="I127" s="223"/>
      <c r="J127" s="223"/>
      <c r="K127" s="223"/>
      <c r="L127" s="223"/>
      <c r="M127" s="223"/>
      <c r="N127" s="210"/>
      <c r="O127" s="176"/>
    </row>
    <row r="128" spans="1:23" ht="17.399999999999999" customHeight="1">
      <c r="A128" s="211"/>
      <c r="B128" s="214"/>
      <c r="C128" s="217"/>
      <c r="D128" s="217"/>
      <c r="E128" s="224"/>
      <c r="F128" s="224"/>
      <c r="G128" s="224"/>
      <c r="H128" s="224"/>
      <c r="I128" s="224"/>
      <c r="J128" s="224"/>
      <c r="K128" s="224"/>
      <c r="L128" s="224"/>
      <c r="M128" s="224"/>
      <c r="N128" s="211"/>
      <c r="O128" s="176"/>
    </row>
    <row r="129" spans="1:23" s="2" customFormat="1" ht="18" customHeight="1">
      <c r="A129" s="21" t="s">
        <v>106</v>
      </c>
      <c r="B129" s="22"/>
      <c r="C129" s="34"/>
      <c r="D129" s="35">
        <f>SUM(D123:D124)</f>
        <v>4723.8999999999996</v>
      </c>
      <c r="E129" s="43"/>
      <c r="F129" s="43"/>
      <c r="G129" s="43"/>
      <c r="H129" s="43"/>
      <c r="I129" s="43"/>
      <c r="J129" s="43"/>
      <c r="K129" s="43"/>
      <c r="L129" s="44"/>
      <c r="M129" s="308"/>
      <c r="N129" s="193">
        <f>SUM(N123:N124)</f>
        <v>252200</v>
      </c>
      <c r="O129" s="153"/>
    </row>
    <row r="130" spans="1:23" ht="18" customHeight="1">
      <c r="A130" s="21" t="s">
        <v>7</v>
      </c>
      <c r="B130" s="22"/>
      <c r="C130" s="45"/>
      <c r="D130" s="46">
        <f>D129/D87</f>
        <v>82.875438596491222</v>
      </c>
      <c r="E130" s="46"/>
      <c r="F130" s="46"/>
      <c r="G130" s="46"/>
      <c r="H130" s="46"/>
      <c r="I130" s="46"/>
      <c r="J130" s="46"/>
      <c r="K130" s="46"/>
      <c r="L130" s="47"/>
      <c r="M130" s="309"/>
      <c r="N130" s="194"/>
      <c r="O130" s="398"/>
      <c r="P130" s="2"/>
      <c r="Q130" s="2"/>
      <c r="R130" s="2"/>
      <c r="S130" s="2"/>
      <c r="T130" s="2"/>
      <c r="U130" s="2"/>
      <c r="V130" s="2"/>
    </row>
    <row r="131" spans="1:23" ht="18" customHeight="1">
      <c r="A131" s="294" t="s">
        <v>52</v>
      </c>
      <c r="B131" s="226"/>
      <c r="C131" s="376" t="s">
        <v>151</v>
      </c>
      <c r="D131" s="20" t="s">
        <v>50</v>
      </c>
      <c r="E131" s="46"/>
      <c r="F131" s="46"/>
      <c r="G131" s="46"/>
      <c r="H131" s="46"/>
      <c r="I131" s="46"/>
      <c r="J131" s="48"/>
      <c r="K131" s="48"/>
      <c r="L131" s="47"/>
      <c r="M131" s="47"/>
      <c r="N131" s="177"/>
      <c r="O131" s="4"/>
      <c r="P131" s="2"/>
      <c r="Q131" s="2"/>
      <c r="R131" s="2"/>
      <c r="S131" s="2"/>
      <c r="T131" s="2"/>
      <c r="U131" s="2"/>
      <c r="V131" s="2"/>
      <c r="W131" s="2"/>
    </row>
    <row r="132" spans="1:23" ht="18" customHeight="1">
      <c r="A132" s="227"/>
      <c r="B132" s="228"/>
      <c r="C132" s="76" t="s">
        <v>60</v>
      </c>
      <c r="D132" s="20">
        <f>D130*100/930</f>
        <v>8.9113374834936803</v>
      </c>
      <c r="E132" s="46"/>
      <c r="F132" s="46"/>
      <c r="G132" s="46"/>
      <c r="H132" s="46"/>
      <c r="I132" s="46"/>
      <c r="J132" s="48"/>
      <c r="K132" s="48"/>
      <c r="L132" s="47"/>
      <c r="M132" s="47"/>
      <c r="N132" s="177"/>
      <c r="O132" s="4"/>
      <c r="P132" s="2"/>
      <c r="Q132" s="2"/>
      <c r="R132" s="2"/>
      <c r="S132" s="2"/>
      <c r="T132" s="2"/>
      <c r="U132" s="2"/>
      <c r="V132" s="2"/>
      <c r="W132" s="2"/>
    </row>
    <row r="133" spans="1:23" ht="18" customHeight="1">
      <c r="A133" s="286" t="s">
        <v>107</v>
      </c>
      <c r="B133" s="287"/>
      <c r="C133" s="290"/>
      <c r="D133" s="302">
        <f>D105+D119+D129</f>
        <v>36755.004999999997</v>
      </c>
      <c r="E133" s="7">
        <f>SUM(E93:E130)</f>
        <v>961.47559999999999</v>
      </c>
      <c r="F133" s="7">
        <f>SUM(F93:F130)</f>
        <v>629.87450000000013</v>
      </c>
      <c r="G133" s="7">
        <f>SUM(G93:G130)</f>
        <v>993.63120000000004</v>
      </c>
      <c r="H133" s="7">
        <f>SUM(H93:H130)</f>
        <v>417.20539999999994</v>
      </c>
      <c r="I133" s="284">
        <f>SUM(I93:I130)</f>
        <v>4279.7615000000005</v>
      </c>
      <c r="J133" s="254">
        <f>SUM(J93:J124)</f>
        <v>14980.908099999997</v>
      </c>
      <c r="K133" s="284">
        <f>SUM(K93:K124)</f>
        <v>33.419979999999995</v>
      </c>
      <c r="L133" s="268"/>
      <c r="M133" s="268"/>
      <c r="N133" s="304">
        <f>N105+N119+N129</f>
        <v>1253980</v>
      </c>
      <c r="U133" s="12"/>
      <c r="V133" s="12"/>
    </row>
    <row r="134" spans="1:23" ht="18" customHeight="1">
      <c r="A134" s="288"/>
      <c r="B134" s="289"/>
      <c r="C134" s="291"/>
      <c r="D134" s="303"/>
      <c r="E134" s="282">
        <f>E133+F133</f>
        <v>1591.3501000000001</v>
      </c>
      <c r="F134" s="283"/>
      <c r="G134" s="282">
        <f>G133+H133</f>
        <v>1410.8366000000001</v>
      </c>
      <c r="H134" s="283"/>
      <c r="I134" s="406"/>
      <c r="J134" s="310"/>
      <c r="K134" s="406"/>
      <c r="L134" s="268"/>
      <c r="M134" s="268"/>
      <c r="N134" s="304"/>
      <c r="P134" s="368"/>
      <c r="Q134" s="370"/>
      <c r="R134" s="370"/>
      <c r="S134" s="370"/>
      <c r="T134" s="370"/>
      <c r="U134" s="380"/>
      <c r="V134" s="380"/>
    </row>
    <row r="135" spans="1:23" ht="18" customHeight="1">
      <c r="A135" s="269" t="s">
        <v>77</v>
      </c>
      <c r="B135" s="270"/>
      <c r="C135" s="271"/>
      <c r="D135" s="138">
        <f>D133/D87</f>
        <v>644.82464912280693</v>
      </c>
      <c r="E135" s="400">
        <f>E133/D87</f>
        <v>16.867992982456141</v>
      </c>
      <c r="F135" s="399">
        <f>F133/D87</f>
        <v>11.050429824561405</v>
      </c>
      <c r="G135" s="400">
        <f>G133/D87</f>
        <v>17.432126315789475</v>
      </c>
      <c r="H135" s="399">
        <f>H133/D87</f>
        <v>7.3193929824561392</v>
      </c>
      <c r="I135" s="300">
        <f>I133/D87</f>
        <v>75.083535087719312</v>
      </c>
      <c r="J135" s="300">
        <f>J133/D87</f>
        <v>262.82294912280696</v>
      </c>
      <c r="K135" s="300">
        <f>K133/D87</f>
        <v>0.58631543859649116</v>
      </c>
      <c r="L135" s="268"/>
      <c r="M135" s="268"/>
      <c r="N135" s="304"/>
      <c r="P135" s="383"/>
      <c r="Q135" s="370"/>
      <c r="R135" s="370"/>
      <c r="S135" s="393"/>
      <c r="T135" s="393"/>
      <c r="U135" s="370"/>
      <c r="V135" s="370"/>
    </row>
    <row r="136" spans="1:23" ht="18" customHeight="1">
      <c r="A136" s="272"/>
      <c r="B136" s="273"/>
      <c r="C136" s="274"/>
      <c r="D136" s="127"/>
      <c r="E136" s="381">
        <f>E135+F135</f>
        <v>27.918422807017546</v>
      </c>
      <c r="F136" s="382"/>
      <c r="G136" s="381">
        <f>G135+H135</f>
        <v>24.751519298245615</v>
      </c>
      <c r="H136" s="382"/>
      <c r="I136" s="406"/>
      <c r="J136" s="406"/>
      <c r="K136" s="406"/>
      <c r="L136" s="268"/>
      <c r="M136" s="268"/>
      <c r="N136" s="304"/>
      <c r="P136" s="368"/>
      <c r="Q136" s="368"/>
      <c r="R136" s="368"/>
      <c r="S136" s="368"/>
      <c r="T136" s="368"/>
      <c r="U136" s="368"/>
      <c r="V136" s="368"/>
    </row>
    <row r="137" spans="1:23" ht="18" customHeight="1">
      <c r="A137" s="305" t="s">
        <v>80</v>
      </c>
      <c r="B137" s="306"/>
      <c r="C137" s="307"/>
      <c r="D137" s="179" t="s">
        <v>29</v>
      </c>
      <c r="E137" s="339" t="s">
        <v>24</v>
      </c>
      <c r="F137" s="339"/>
      <c r="G137" s="339" t="s">
        <v>25</v>
      </c>
      <c r="H137" s="339"/>
      <c r="I137" s="179" t="s">
        <v>26</v>
      </c>
      <c r="J137" s="174">
        <v>500</v>
      </c>
      <c r="K137" s="174">
        <v>0.5</v>
      </c>
      <c r="L137" s="268"/>
      <c r="M137" s="268"/>
      <c r="N137" s="304"/>
      <c r="O137" s="385"/>
      <c r="P137" s="368"/>
      <c r="Q137" s="369"/>
      <c r="R137" s="369"/>
      <c r="S137" s="369"/>
      <c r="T137" s="368"/>
      <c r="U137" s="368"/>
      <c r="V137" s="368"/>
    </row>
    <row r="138" spans="1:23" ht="18" customHeight="1">
      <c r="A138" s="243" t="s">
        <v>78</v>
      </c>
      <c r="B138" s="275"/>
      <c r="C138" s="244"/>
      <c r="D138" s="49"/>
      <c r="E138" s="276">
        <f>E136*4.1</f>
        <v>114.46553350877193</v>
      </c>
      <c r="F138" s="277"/>
      <c r="G138" s="276">
        <f>G136*9</f>
        <v>222.76367368421054</v>
      </c>
      <c r="H138" s="277"/>
      <c r="I138" s="85">
        <f>I135*4.1</f>
        <v>307.84249385964915</v>
      </c>
      <c r="J138" s="257"/>
      <c r="K138" s="257"/>
      <c r="L138" s="268"/>
      <c r="M138" s="268"/>
      <c r="N138" s="304"/>
      <c r="O138" s="385"/>
      <c r="P138" s="386"/>
      <c r="Q138" s="368"/>
      <c r="R138" s="368"/>
      <c r="S138" s="368"/>
      <c r="T138" s="368"/>
      <c r="U138" s="368"/>
      <c r="V138" s="368"/>
    </row>
    <row r="139" spans="1:23" ht="18" customHeight="1">
      <c r="A139" s="278" t="s">
        <v>87</v>
      </c>
      <c r="B139" s="279"/>
      <c r="C139" s="243" t="s">
        <v>59</v>
      </c>
      <c r="D139" s="244"/>
      <c r="E139" s="245">
        <f>E138*100/D135</f>
        <v>17.751420275959699</v>
      </c>
      <c r="F139" s="246"/>
      <c r="G139" s="245">
        <f>G138*100/D135</f>
        <v>34.546395518106998</v>
      </c>
      <c r="H139" s="246"/>
      <c r="I139" s="115">
        <f>I138*100/D135</f>
        <v>47.740497246565475</v>
      </c>
      <c r="J139" s="258"/>
      <c r="K139" s="258"/>
      <c r="L139" s="268"/>
      <c r="M139" s="268"/>
      <c r="N139" s="304"/>
      <c r="O139" s="385"/>
    </row>
    <row r="140" spans="1:23" ht="18" customHeight="1">
      <c r="A140" s="280"/>
      <c r="B140" s="281"/>
      <c r="C140" s="243" t="s">
        <v>79</v>
      </c>
      <c r="D140" s="244"/>
      <c r="E140" s="243" t="s">
        <v>82</v>
      </c>
      <c r="F140" s="244"/>
      <c r="G140" s="243" t="s">
        <v>85</v>
      </c>
      <c r="H140" s="244"/>
      <c r="I140" s="179" t="s">
        <v>86</v>
      </c>
      <c r="J140" s="259"/>
      <c r="K140" s="259"/>
      <c r="L140" s="268"/>
      <c r="M140" s="268"/>
      <c r="N140" s="304"/>
      <c r="O140" s="385"/>
      <c r="P140" s="132"/>
    </row>
    <row r="141" spans="1:23" ht="22.2" customHeight="1">
      <c r="A141" s="90"/>
      <c r="B141" s="93"/>
      <c r="C141" s="90"/>
      <c r="D141" s="90"/>
      <c r="E141" s="90"/>
      <c r="F141" s="90"/>
      <c r="G141" s="90"/>
      <c r="H141" s="90"/>
      <c r="I141" s="90"/>
      <c r="J141" s="90"/>
      <c r="K141" s="90"/>
      <c r="L141" s="91"/>
      <c r="M141" s="91"/>
      <c r="N141" s="92"/>
      <c r="O141" s="385"/>
    </row>
    <row r="142" spans="1:23" ht="21" customHeight="1">
      <c r="A142" s="184" t="s">
        <v>114</v>
      </c>
      <c r="B142" s="184"/>
      <c r="C142" s="184"/>
      <c r="D142" s="184"/>
      <c r="E142" s="184"/>
      <c r="F142" s="184"/>
      <c r="G142" s="184"/>
      <c r="H142" s="184"/>
      <c r="I142" s="184"/>
      <c r="J142" s="184"/>
      <c r="K142" s="184"/>
      <c r="L142" s="184"/>
      <c r="M142" s="184"/>
      <c r="N142" s="184"/>
      <c r="O142" s="385"/>
    </row>
    <row r="143" spans="1:23" ht="21" customHeight="1">
      <c r="A143" s="117" t="s">
        <v>115</v>
      </c>
      <c r="B143" s="185" t="s">
        <v>126</v>
      </c>
      <c r="C143" s="185"/>
      <c r="D143" s="185"/>
      <c r="E143" s="185"/>
      <c r="F143" s="185"/>
      <c r="G143" s="185"/>
      <c r="H143" s="185"/>
      <c r="I143" s="185"/>
      <c r="J143" s="185"/>
      <c r="K143" s="185"/>
      <c r="L143" s="185"/>
      <c r="M143" s="185"/>
      <c r="N143" s="185"/>
      <c r="O143" s="385"/>
    </row>
    <row r="144" spans="1:23" ht="21" customHeight="1">
      <c r="A144" s="118"/>
      <c r="B144" s="186" t="s">
        <v>207</v>
      </c>
      <c r="C144" s="186"/>
      <c r="D144" s="186"/>
      <c r="E144" s="186"/>
      <c r="F144" s="186"/>
      <c r="G144" s="186"/>
      <c r="H144" s="186"/>
      <c r="I144" s="186"/>
      <c r="J144" s="186"/>
      <c r="K144" s="186"/>
      <c r="L144" s="186"/>
      <c r="M144" s="186"/>
      <c r="N144" s="186"/>
      <c r="O144" s="385"/>
    </row>
    <row r="145" spans="1:15" ht="21" customHeight="1">
      <c r="A145" s="118"/>
      <c r="B145" s="186" t="s">
        <v>208</v>
      </c>
      <c r="C145" s="186"/>
      <c r="D145" s="186"/>
      <c r="E145" s="186"/>
      <c r="F145" s="186"/>
      <c r="G145" s="186"/>
      <c r="H145" s="186"/>
      <c r="I145" s="186"/>
      <c r="J145" s="186"/>
      <c r="K145" s="186"/>
      <c r="L145" s="186"/>
      <c r="M145" s="186"/>
      <c r="N145" s="186"/>
      <c r="O145" s="385"/>
    </row>
    <row r="146" spans="1:15" ht="21" customHeight="1">
      <c r="A146" s="118"/>
      <c r="B146" s="186" t="s">
        <v>209</v>
      </c>
      <c r="C146" s="186"/>
      <c r="D146" s="186"/>
      <c r="E146" s="186"/>
      <c r="F146" s="186"/>
      <c r="G146" s="186"/>
      <c r="H146" s="186"/>
      <c r="I146" s="186"/>
      <c r="J146" s="186"/>
      <c r="K146" s="186"/>
      <c r="L146" s="186"/>
      <c r="M146" s="186"/>
      <c r="N146" s="186"/>
      <c r="O146" s="385"/>
    </row>
    <row r="147" spans="1:15" ht="21" customHeight="1">
      <c r="A147" s="90"/>
      <c r="B147" s="187" t="s">
        <v>117</v>
      </c>
      <c r="C147" s="187"/>
      <c r="D147" s="187"/>
      <c r="E147" s="187"/>
      <c r="F147" s="187"/>
      <c r="G147" s="187"/>
      <c r="H147" s="187"/>
      <c r="I147" s="187"/>
      <c r="J147" s="187"/>
      <c r="K147" s="187"/>
      <c r="L147" s="187"/>
      <c r="M147" s="187"/>
      <c r="N147" s="187"/>
      <c r="O147" s="385"/>
    </row>
    <row r="148" spans="1:15" ht="21" customHeight="1">
      <c r="A148" s="90"/>
      <c r="B148" s="90"/>
      <c r="C148" s="90"/>
      <c r="D148" s="90"/>
      <c r="E148" s="90"/>
      <c r="F148" s="90"/>
      <c r="G148" s="90"/>
      <c r="H148" s="90"/>
      <c r="I148" s="90"/>
      <c r="J148" s="90"/>
      <c r="K148" s="90"/>
      <c r="L148" s="94"/>
      <c r="M148" s="94"/>
      <c r="N148" s="95"/>
      <c r="O148" s="385"/>
    </row>
    <row r="149" spans="1:15" ht="21" customHeight="1">
      <c r="A149" s="188" t="s">
        <v>62</v>
      </c>
      <c r="B149" s="188"/>
      <c r="C149" s="188"/>
      <c r="D149" s="188"/>
      <c r="E149" s="387"/>
      <c r="F149" s="387"/>
      <c r="G149" s="387"/>
      <c r="H149" s="387"/>
      <c r="I149" s="387"/>
      <c r="J149" s="388" t="s">
        <v>33</v>
      </c>
      <c r="K149" s="388"/>
      <c r="L149" s="388"/>
      <c r="M149" s="388"/>
      <c r="N149" s="388"/>
      <c r="O149" s="385"/>
    </row>
    <row r="150" spans="1:15" ht="21" customHeight="1">
      <c r="A150" s="176"/>
      <c r="B150" s="176"/>
      <c r="C150" s="176"/>
      <c r="D150" s="387"/>
      <c r="E150" s="387"/>
      <c r="F150" s="387"/>
      <c r="G150" s="387"/>
      <c r="H150" s="389"/>
      <c r="I150" s="389"/>
      <c r="J150" s="389"/>
      <c r="K150" s="389"/>
      <c r="L150" s="389"/>
      <c r="M150" s="389"/>
      <c r="N150" s="389"/>
      <c r="O150" s="385"/>
    </row>
    <row r="151" spans="1:15" ht="21" customHeight="1">
      <c r="A151" s="176"/>
      <c r="B151" s="176"/>
      <c r="C151" s="176"/>
      <c r="D151" s="387"/>
      <c r="E151" s="387"/>
      <c r="F151" s="387"/>
      <c r="G151" s="387"/>
      <c r="H151" s="389"/>
      <c r="I151" s="389"/>
      <c r="J151" s="389"/>
      <c r="K151" s="389"/>
      <c r="L151" s="389"/>
      <c r="M151" s="389"/>
      <c r="N151" s="389"/>
      <c r="O151" s="385"/>
    </row>
    <row r="152" spans="1:15" ht="21" customHeight="1">
      <c r="A152" s="176"/>
      <c r="B152" s="176"/>
      <c r="C152" s="176"/>
      <c r="D152" s="387"/>
      <c r="E152" s="387"/>
      <c r="F152" s="387"/>
      <c r="G152" s="387"/>
      <c r="H152" s="389"/>
      <c r="I152" s="389"/>
      <c r="J152" s="390" t="s">
        <v>124</v>
      </c>
      <c r="K152" s="390"/>
      <c r="L152" s="390"/>
      <c r="M152" s="390"/>
      <c r="N152" s="390"/>
      <c r="O152" s="385"/>
    </row>
    <row r="153" spans="1:15" ht="22.2" customHeight="1">
      <c r="A153" s="180" t="s">
        <v>91</v>
      </c>
      <c r="B153" s="180"/>
      <c r="C153" s="180"/>
      <c r="D153" s="180"/>
      <c r="E153" s="387"/>
      <c r="F153" s="387"/>
      <c r="G153" s="387"/>
      <c r="H153" s="389"/>
      <c r="I153" s="389"/>
      <c r="O153" s="385"/>
    </row>
    <row r="155" spans="1:15" ht="22.2" customHeight="1">
      <c r="J155" s="390" t="s">
        <v>127</v>
      </c>
      <c r="K155" s="390"/>
      <c r="L155" s="390"/>
      <c r="M155" s="390"/>
      <c r="N155" s="390"/>
    </row>
    <row r="156" spans="1:15" ht="22.2" customHeight="1">
      <c r="J156" s="390"/>
      <c r="K156" s="390"/>
      <c r="L156" s="390"/>
      <c r="M156" s="390"/>
      <c r="N156" s="390"/>
    </row>
  </sheetData>
  <mergeCells count="208">
    <mergeCell ref="A7:D7"/>
    <mergeCell ref="A82:D83"/>
    <mergeCell ref="E82:N82"/>
    <mergeCell ref="E83:I83"/>
    <mergeCell ref="J83:N83"/>
    <mergeCell ref="A11:A14"/>
    <mergeCell ref="B11:B14"/>
    <mergeCell ref="C11:C14"/>
    <mergeCell ref="N28:N29"/>
    <mergeCell ref="D11:D14"/>
    <mergeCell ref="G11:H12"/>
    <mergeCell ref="I11:I14"/>
    <mergeCell ref="L11:L14"/>
    <mergeCell ref="N11:N14"/>
    <mergeCell ref="E13:E14"/>
    <mergeCell ref="F13:F14"/>
    <mergeCell ref="G13:G14"/>
    <mergeCell ref="H13:H14"/>
    <mergeCell ref="J42:J45"/>
    <mergeCell ref="K42:K45"/>
    <mergeCell ref="G44:G45"/>
    <mergeCell ref="H44:H45"/>
    <mergeCell ref="C57:D57"/>
    <mergeCell ref="G42:H43"/>
    <mergeCell ref="A153:D153"/>
    <mergeCell ref="J156:N156"/>
    <mergeCell ref="A8:D8"/>
    <mergeCell ref="A9:D9"/>
    <mergeCell ref="K125:K128"/>
    <mergeCell ref="L125:L128"/>
    <mergeCell ref="M125:M128"/>
    <mergeCell ref="A85:D85"/>
    <mergeCell ref="J11:J14"/>
    <mergeCell ref="K11:K14"/>
    <mergeCell ref="M11:M14"/>
    <mergeCell ref="A42:A45"/>
    <mergeCell ref="J86:N86"/>
    <mergeCell ref="E55:F55"/>
    <mergeCell ref="G51:H51"/>
    <mergeCell ref="I52:I53"/>
    <mergeCell ref="E51:F51"/>
    <mergeCell ref="A50:B51"/>
    <mergeCell ref="A10:C10"/>
    <mergeCell ref="A66:D66"/>
    <mergeCell ref="B61:N61"/>
    <mergeCell ref="B64:N64"/>
    <mergeCell ref="F44:F45"/>
    <mergeCell ref="F90:F91"/>
    <mergeCell ref="L42:L45"/>
    <mergeCell ref="M42:M45"/>
    <mergeCell ref="A52:C53"/>
    <mergeCell ref="A54:C54"/>
    <mergeCell ref="A87:C87"/>
    <mergeCell ref="A86:D86"/>
    <mergeCell ref="B88:B91"/>
    <mergeCell ref="I42:I45"/>
    <mergeCell ref="E57:F57"/>
    <mergeCell ref="A48:B49"/>
    <mergeCell ref="J85:N85"/>
    <mergeCell ref="C50:C51"/>
    <mergeCell ref="D50:D51"/>
    <mergeCell ref="J55:J57"/>
    <mergeCell ref="K55:K57"/>
    <mergeCell ref="A56:B57"/>
    <mergeCell ref="C56:D56"/>
    <mergeCell ref="E56:F56"/>
    <mergeCell ref="G56:H56"/>
    <mergeCell ref="E53:F53"/>
    <mergeCell ref="M50:M57"/>
    <mergeCell ref="A59:N59"/>
    <mergeCell ref="B60:N60"/>
    <mergeCell ref="G53:H53"/>
    <mergeCell ref="E54:F54"/>
    <mergeCell ref="G54:H54"/>
    <mergeCell ref="B62:N62"/>
    <mergeCell ref="B63:N63"/>
    <mergeCell ref="E88:F89"/>
    <mergeCell ref="G88:H89"/>
    <mergeCell ref="A84:D84"/>
    <mergeCell ref="E84:I86"/>
    <mergeCell ref="J84:N84"/>
    <mergeCell ref="J66:N66"/>
    <mergeCell ref="A70:D70"/>
    <mergeCell ref="J70:N70"/>
    <mergeCell ref="J69:N69"/>
    <mergeCell ref="J72:N72"/>
    <mergeCell ref="F1:N1"/>
    <mergeCell ref="F80:N80"/>
    <mergeCell ref="I50:I51"/>
    <mergeCell ref="M46:M47"/>
    <mergeCell ref="L88:L91"/>
    <mergeCell ref="A15:N15"/>
    <mergeCell ref="A30:B31"/>
    <mergeCell ref="M28:M29"/>
    <mergeCell ref="J50:J51"/>
    <mergeCell ref="K50:K51"/>
    <mergeCell ref="J52:J53"/>
    <mergeCell ref="K52:K53"/>
    <mergeCell ref="J88:J91"/>
    <mergeCell ref="K88:K91"/>
    <mergeCell ref="M88:M91"/>
    <mergeCell ref="A55:C55"/>
    <mergeCell ref="N42:N45"/>
    <mergeCell ref="E44:E45"/>
    <mergeCell ref="A32:B32"/>
    <mergeCell ref="G55:H55"/>
    <mergeCell ref="L50:L57"/>
    <mergeCell ref="N46:N47"/>
    <mergeCell ref="E11:F12"/>
    <mergeCell ref="A88:A91"/>
    <mergeCell ref="A5:D5"/>
    <mergeCell ref="E5:N5"/>
    <mergeCell ref="A6:D6"/>
    <mergeCell ref="E6:I9"/>
    <mergeCell ref="J6:N9"/>
    <mergeCell ref="M133:M140"/>
    <mergeCell ref="B42:B45"/>
    <mergeCell ref="C42:C45"/>
    <mergeCell ref="D42:D45"/>
    <mergeCell ref="E42:F43"/>
    <mergeCell ref="A107:B108"/>
    <mergeCell ref="A121:B122"/>
    <mergeCell ref="G57:H57"/>
    <mergeCell ref="N50:N57"/>
    <mergeCell ref="A138:C138"/>
    <mergeCell ref="E138:F138"/>
    <mergeCell ref="G138:H138"/>
    <mergeCell ref="J138:J140"/>
    <mergeCell ref="K138:K140"/>
    <mergeCell ref="A139:B140"/>
    <mergeCell ref="C139:D139"/>
    <mergeCell ref="E139:F139"/>
    <mergeCell ref="G139:H139"/>
    <mergeCell ref="C140:D140"/>
    <mergeCell ref="A123:B123"/>
    <mergeCell ref="C133:C134"/>
    <mergeCell ref="M129:M130"/>
    <mergeCell ref="J125:J128"/>
    <mergeCell ref="E127:E128"/>
    <mergeCell ref="F127:F128"/>
    <mergeCell ref="G127:G128"/>
    <mergeCell ref="G136:H136"/>
    <mergeCell ref="N88:N91"/>
    <mergeCell ref="E90:E91"/>
    <mergeCell ref="K133:K134"/>
    <mergeCell ref="A133:B134"/>
    <mergeCell ref="N125:N128"/>
    <mergeCell ref="A92:N92"/>
    <mergeCell ref="N105:N106"/>
    <mergeCell ref="E134:F134"/>
    <mergeCell ref="G134:H134"/>
    <mergeCell ref="I135:I136"/>
    <mergeCell ref="E125:F126"/>
    <mergeCell ref="G125:H126"/>
    <mergeCell ref="I125:I128"/>
    <mergeCell ref="M119:M120"/>
    <mergeCell ref="A125:A128"/>
    <mergeCell ref="B125:B128"/>
    <mergeCell ref="U52:V52"/>
    <mergeCell ref="U53:V53"/>
    <mergeCell ref="Q135:R135"/>
    <mergeCell ref="S135:T135"/>
    <mergeCell ref="Q52:R52"/>
    <mergeCell ref="S52:T52"/>
    <mergeCell ref="Q53:R53"/>
    <mergeCell ref="S53:T53"/>
    <mergeCell ref="Q134:R134"/>
    <mergeCell ref="S134:T134"/>
    <mergeCell ref="U134:V134"/>
    <mergeCell ref="U135:V135"/>
    <mergeCell ref="O86:R86"/>
    <mergeCell ref="N133:N140"/>
    <mergeCell ref="C125:C128"/>
    <mergeCell ref="D125:D128"/>
    <mergeCell ref="H127:H128"/>
    <mergeCell ref="A135:C136"/>
    <mergeCell ref="N129:N130"/>
    <mergeCell ref="L133:L140"/>
    <mergeCell ref="D133:D134"/>
    <mergeCell ref="J135:J136"/>
    <mergeCell ref="K135:K136"/>
    <mergeCell ref="J133:J134"/>
    <mergeCell ref="E140:F140"/>
    <mergeCell ref="G140:H140"/>
    <mergeCell ref="J152:N152"/>
    <mergeCell ref="J155:N155"/>
    <mergeCell ref="B145:N145"/>
    <mergeCell ref="B146:N146"/>
    <mergeCell ref="B147:N147"/>
    <mergeCell ref="A149:D149"/>
    <mergeCell ref="J149:N149"/>
    <mergeCell ref="C88:C91"/>
    <mergeCell ref="D88:D91"/>
    <mergeCell ref="G90:G91"/>
    <mergeCell ref="H90:H91"/>
    <mergeCell ref="A109:B109"/>
    <mergeCell ref="I88:I91"/>
    <mergeCell ref="A142:N142"/>
    <mergeCell ref="B143:N143"/>
    <mergeCell ref="B144:N144"/>
    <mergeCell ref="A137:C137"/>
    <mergeCell ref="I133:I134"/>
    <mergeCell ref="E137:F137"/>
    <mergeCell ref="G137:H137"/>
    <mergeCell ref="N119:N120"/>
    <mergeCell ref="A131:B132"/>
    <mergeCell ref="M105:M106"/>
    <mergeCell ref="E136:F136"/>
  </mergeCells>
  <pageMargins left="0.125" right="0.11666666666666667" top="0.44791666666666669" bottom="0.4062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W157"/>
  <sheetViews>
    <sheetView topLeftCell="A4" zoomScale="106" zoomScaleNormal="106" workbookViewId="0">
      <selection activeCell="P53" sqref="P53:V56"/>
    </sheetView>
  </sheetViews>
  <sheetFormatPr defaultColWidth="9.109375" defaultRowHeight="19.2" customHeight="1"/>
  <cols>
    <col min="1" max="1" width="2.88671875" style="1" customWidth="1"/>
    <col min="2" max="2" width="11.77734375" style="1" customWidth="1"/>
    <col min="3" max="3" width="6.21875" style="1" customWidth="1"/>
    <col min="4" max="4" width="7.33203125" style="1" customWidth="1"/>
    <col min="5" max="6" width="6.109375" style="1" customWidth="1"/>
    <col min="7" max="8" width="6.6640625" style="1" customWidth="1"/>
    <col min="9" max="9" width="7.6640625" style="1" customWidth="1"/>
    <col min="10" max="10" width="8.33203125" style="1" customWidth="1"/>
    <col min="11" max="11" width="6.33203125" style="1" customWidth="1"/>
    <col min="12" max="12" width="6.44140625" style="1" customWidth="1"/>
    <col min="13" max="13" width="5" style="1" customWidth="1"/>
    <col min="14" max="14" width="6.88671875" style="1" customWidth="1"/>
    <col min="15" max="15" width="11.88671875" style="1" customWidth="1"/>
    <col min="16" max="16" width="9.109375" style="1"/>
    <col min="17" max="22" width="8.6640625" style="1" customWidth="1"/>
    <col min="23" max="16384" width="9.109375" style="1"/>
  </cols>
  <sheetData>
    <row r="1" spans="1:20" ht="19.8" customHeight="1">
      <c r="A1" s="11" t="s">
        <v>65</v>
      </c>
      <c r="B1" s="8"/>
      <c r="C1" s="8"/>
      <c r="D1" s="8"/>
      <c r="E1" s="8"/>
      <c r="F1" s="293" t="s">
        <v>31</v>
      </c>
      <c r="G1" s="293"/>
      <c r="H1" s="293"/>
      <c r="I1" s="293"/>
      <c r="J1" s="293"/>
      <c r="K1" s="293"/>
      <c r="L1" s="293"/>
      <c r="M1" s="293"/>
      <c r="N1" s="293"/>
      <c r="O1" s="371"/>
      <c r="P1" s="371"/>
      <c r="T1" s="2"/>
    </row>
    <row r="2" spans="1:20" ht="10.199999999999999" customHeight="1">
      <c r="A2" s="11"/>
      <c r="B2" s="8"/>
      <c r="C2" s="8"/>
      <c r="D2" s="8"/>
      <c r="E2" s="8"/>
      <c r="F2" s="173"/>
      <c r="G2" s="173"/>
      <c r="H2" s="173"/>
      <c r="I2" s="173"/>
      <c r="J2" s="173"/>
      <c r="K2" s="173"/>
      <c r="L2" s="173"/>
      <c r="M2" s="173"/>
      <c r="N2" s="173"/>
      <c r="O2" s="371"/>
      <c r="P2" s="371"/>
      <c r="T2" s="2"/>
    </row>
    <row r="3" spans="1:20" ht="19.8" customHeight="1">
      <c r="A3" s="8" t="s">
        <v>210</v>
      </c>
      <c r="B3" s="8"/>
      <c r="C3" s="8"/>
      <c r="D3" s="8"/>
      <c r="E3" s="8"/>
      <c r="F3" s="173"/>
      <c r="G3" s="173"/>
      <c r="H3" s="173"/>
      <c r="I3" s="173"/>
      <c r="J3" s="173"/>
      <c r="K3" s="173"/>
      <c r="L3" s="173"/>
      <c r="M3" s="173"/>
      <c r="N3" s="173"/>
      <c r="O3" s="371"/>
      <c r="P3" s="371"/>
      <c r="T3" s="2"/>
    </row>
    <row r="4" spans="1:20" ht="10.199999999999999" customHeight="1">
      <c r="A4" s="8"/>
      <c r="B4" s="8"/>
      <c r="C4" s="8"/>
      <c r="D4" s="8"/>
      <c r="E4" s="8"/>
      <c r="F4" s="173"/>
      <c r="G4" s="173"/>
      <c r="H4" s="173"/>
      <c r="I4" s="173"/>
      <c r="J4" s="173"/>
      <c r="K4" s="173"/>
      <c r="L4" s="173"/>
      <c r="M4" s="173"/>
      <c r="N4" s="173"/>
      <c r="O4" s="371"/>
      <c r="P4" s="371"/>
      <c r="T4" s="2"/>
    </row>
    <row r="5" spans="1:20" s="2" customFormat="1" ht="19.8" customHeight="1">
      <c r="A5" s="195" t="s">
        <v>97</v>
      </c>
      <c r="B5" s="195"/>
      <c r="C5" s="195"/>
      <c r="D5" s="195"/>
      <c r="E5" s="195" t="s">
        <v>98</v>
      </c>
      <c r="F5" s="195"/>
      <c r="G5" s="195"/>
      <c r="H5" s="195"/>
      <c r="I5" s="195"/>
      <c r="J5" s="195"/>
      <c r="K5" s="195"/>
      <c r="L5" s="195"/>
      <c r="M5" s="195"/>
      <c r="N5" s="195"/>
      <c r="O5" s="372"/>
    </row>
    <row r="6" spans="1:20" s="2" customFormat="1" ht="19.8" customHeight="1">
      <c r="A6" s="196" t="s">
        <v>90</v>
      </c>
      <c r="B6" s="196"/>
      <c r="C6" s="196"/>
      <c r="D6" s="196"/>
      <c r="E6" s="199" t="s">
        <v>76</v>
      </c>
      <c r="F6" s="199"/>
      <c r="G6" s="199"/>
      <c r="H6" s="199"/>
      <c r="I6" s="199"/>
      <c r="J6" s="319" t="s">
        <v>160</v>
      </c>
      <c r="K6" s="201"/>
      <c r="L6" s="201"/>
      <c r="M6" s="201"/>
      <c r="N6" s="202"/>
      <c r="O6" s="372"/>
    </row>
    <row r="7" spans="1:20" s="2" customFormat="1" ht="19.8" customHeight="1">
      <c r="A7" s="232" t="s">
        <v>161</v>
      </c>
      <c r="B7" s="233"/>
      <c r="C7" s="233"/>
      <c r="D7" s="234"/>
      <c r="E7" s="199"/>
      <c r="F7" s="199"/>
      <c r="G7" s="199"/>
      <c r="H7" s="199"/>
      <c r="I7" s="199"/>
      <c r="J7" s="203"/>
      <c r="K7" s="204"/>
      <c r="L7" s="204"/>
      <c r="M7" s="204"/>
      <c r="N7" s="205"/>
      <c r="O7" s="372"/>
    </row>
    <row r="8" spans="1:20" s="2" customFormat="1" ht="19.8" customHeight="1">
      <c r="A8" s="197" t="s">
        <v>158</v>
      </c>
      <c r="B8" s="197"/>
      <c r="C8" s="197"/>
      <c r="D8" s="197"/>
      <c r="E8" s="199"/>
      <c r="F8" s="199"/>
      <c r="G8" s="199"/>
      <c r="H8" s="199"/>
      <c r="I8" s="199"/>
      <c r="J8" s="203"/>
      <c r="K8" s="204"/>
      <c r="L8" s="204"/>
      <c r="M8" s="204"/>
      <c r="N8" s="205"/>
      <c r="O8" s="372"/>
    </row>
    <row r="9" spans="1:20" s="2" customFormat="1" ht="19.8" customHeight="1">
      <c r="A9" s="198" t="s">
        <v>159</v>
      </c>
      <c r="B9" s="198"/>
      <c r="C9" s="198"/>
      <c r="D9" s="198"/>
      <c r="E9" s="199"/>
      <c r="F9" s="199"/>
      <c r="G9" s="199"/>
      <c r="H9" s="199"/>
      <c r="I9" s="199"/>
      <c r="J9" s="206"/>
      <c r="K9" s="207"/>
      <c r="L9" s="207"/>
      <c r="M9" s="207"/>
      <c r="N9" s="208"/>
      <c r="O9" s="372"/>
    </row>
    <row r="10" spans="1:20" s="2" customFormat="1" ht="19.8" customHeight="1">
      <c r="A10" s="229" t="s">
        <v>122</v>
      </c>
      <c r="B10" s="230"/>
      <c r="C10" s="231"/>
      <c r="D10" s="128">
        <v>218</v>
      </c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372"/>
    </row>
    <row r="11" spans="1:20" ht="19.8" customHeight="1">
      <c r="A11" s="209" t="s">
        <v>66</v>
      </c>
      <c r="B11" s="212" t="s">
        <v>19</v>
      </c>
      <c r="C11" s="320" t="s">
        <v>8</v>
      </c>
      <c r="D11" s="215" t="s">
        <v>9</v>
      </c>
      <c r="E11" s="218" t="s">
        <v>11</v>
      </c>
      <c r="F11" s="219"/>
      <c r="G11" s="218" t="s">
        <v>13</v>
      </c>
      <c r="H11" s="219"/>
      <c r="I11" s="222" t="s">
        <v>16</v>
      </c>
      <c r="J11" s="222" t="s">
        <v>41</v>
      </c>
      <c r="K11" s="222" t="s">
        <v>42</v>
      </c>
      <c r="L11" s="222" t="s">
        <v>17</v>
      </c>
      <c r="M11" s="222" t="s">
        <v>55</v>
      </c>
      <c r="N11" s="209" t="s">
        <v>18</v>
      </c>
      <c r="O11" s="373"/>
    </row>
    <row r="12" spans="1:20" ht="19.8" customHeight="1">
      <c r="A12" s="210"/>
      <c r="B12" s="213"/>
      <c r="C12" s="321"/>
      <c r="D12" s="216"/>
      <c r="E12" s="220"/>
      <c r="F12" s="221"/>
      <c r="G12" s="220"/>
      <c r="H12" s="221"/>
      <c r="I12" s="223"/>
      <c r="J12" s="223"/>
      <c r="K12" s="223"/>
      <c r="L12" s="223"/>
      <c r="M12" s="223"/>
      <c r="N12" s="210"/>
      <c r="O12" s="176"/>
    </row>
    <row r="13" spans="1:20" ht="19.8" customHeight="1">
      <c r="A13" s="210"/>
      <c r="B13" s="213"/>
      <c r="C13" s="321"/>
      <c r="D13" s="216"/>
      <c r="E13" s="222" t="s">
        <v>10</v>
      </c>
      <c r="F13" s="222" t="s">
        <v>12</v>
      </c>
      <c r="G13" s="222" t="s">
        <v>14</v>
      </c>
      <c r="H13" s="222" t="s">
        <v>15</v>
      </c>
      <c r="I13" s="223"/>
      <c r="J13" s="223"/>
      <c r="K13" s="223"/>
      <c r="L13" s="223"/>
      <c r="M13" s="223"/>
      <c r="N13" s="210"/>
      <c r="O13" s="176"/>
    </row>
    <row r="14" spans="1:20" ht="19.8" customHeight="1">
      <c r="A14" s="211"/>
      <c r="B14" s="214"/>
      <c r="C14" s="322"/>
      <c r="D14" s="217"/>
      <c r="E14" s="224"/>
      <c r="F14" s="224"/>
      <c r="G14" s="224"/>
      <c r="H14" s="224"/>
      <c r="I14" s="224"/>
      <c r="J14" s="224"/>
      <c r="K14" s="224"/>
      <c r="L14" s="224"/>
      <c r="M14" s="224"/>
      <c r="N14" s="211"/>
      <c r="O14" s="176"/>
    </row>
    <row r="15" spans="1:20" ht="19.8" customHeight="1">
      <c r="A15" s="238" t="s">
        <v>34</v>
      </c>
      <c r="B15" s="239"/>
      <c r="C15" s="239"/>
      <c r="D15" s="239"/>
      <c r="E15" s="239"/>
      <c r="F15" s="239"/>
      <c r="G15" s="239"/>
      <c r="H15" s="239"/>
      <c r="I15" s="239"/>
      <c r="J15" s="239"/>
      <c r="K15" s="239"/>
      <c r="L15" s="239"/>
      <c r="M15" s="239"/>
      <c r="N15" s="240"/>
      <c r="O15" s="176"/>
    </row>
    <row r="16" spans="1:20" s="2" customFormat="1" ht="21" customHeight="1">
      <c r="A16" s="9">
        <v>1</v>
      </c>
      <c r="B16" s="10" t="s">
        <v>2</v>
      </c>
      <c r="C16" s="23">
        <f>L16/100*100</f>
        <v>280</v>
      </c>
      <c r="D16" s="24">
        <f>C16/100*60</f>
        <v>168</v>
      </c>
      <c r="E16" s="25">
        <f>C16/100*15</f>
        <v>42</v>
      </c>
      <c r="F16" s="25"/>
      <c r="G16" s="25"/>
      <c r="H16" s="25"/>
      <c r="I16" s="25"/>
      <c r="J16" s="27">
        <f>C16/100*387</f>
        <v>1083.5999999999999</v>
      </c>
      <c r="K16" s="27">
        <f>C16/100*0.09</f>
        <v>0.252</v>
      </c>
      <c r="L16" s="137">
        <v>280</v>
      </c>
      <c r="M16" s="75">
        <v>20</v>
      </c>
      <c r="N16" s="135">
        <f>L16*M16</f>
        <v>5600</v>
      </c>
      <c r="O16" s="153"/>
    </row>
    <row r="17" spans="1:20" s="2" customFormat="1" ht="21" customHeight="1">
      <c r="A17" s="9">
        <v>2</v>
      </c>
      <c r="B17" s="146" t="s">
        <v>141</v>
      </c>
      <c r="C17" s="23">
        <f>L17/100*100</f>
        <v>919.99999999999989</v>
      </c>
      <c r="D17" s="24">
        <f>C17/100*899</f>
        <v>8270.7999999999993</v>
      </c>
      <c r="E17" s="25"/>
      <c r="F17" s="25"/>
      <c r="G17" s="25">
        <f>C17/100*100</f>
        <v>919.99999999999989</v>
      </c>
      <c r="H17" s="25"/>
      <c r="I17" s="25"/>
      <c r="J17" s="27"/>
      <c r="K17" s="27"/>
      <c r="L17" s="137">
        <v>920</v>
      </c>
      <c r="M17" s="75">
        <v>68</v>
      </c>
      <c r="N17" s="135">
        <f t="shared" ref="N17:N26" si="0">L17*M17</f>
        <v>62560</v>
      </c>
      <c r="O17" s="153"/>
    </row>
    <row r="18" spans="1:20" s="2" customFormat="1" ht="21" customHeight="1">
      <c r="A18" s="9">
        <v>3</v>
      </c>
      <c r="B18" s="5" t="s">
        <v>1</v>
      </c>
      <c r="C18" s="23">
        <f>L18/100*100</f>
        <v>20805</v>
      </c>
      <c r="D18" s="120">
        <f>C18/100*331.6</f>
        <v>68989.38</v>
      </c>
      <c r="E18" s="25"/>
      <c r="F18" s="130">
        <f>C18/100*7.9</f>
        <v>1643.5950000000003</v>
      </c>
      <c r="G18" s="25"/>
      <c r="H18" s="25">
        <f>C18/100*1</f>
        <v>208.05</v>
      </c>
      <c r="I18" s="119">
        <f>C18/100*75.9</f>
        <v>15790.995000000003</v>
      </c>
      <c r="J18" s="27">
        <f>C18/100*30</f>
        <v>6241.5</v>
      </c>
      <c r="K18" s="27">
        <f>C18/100*0.1</f>
        <v>20.805000000000003</v>
      </c>
      <c r="L18" s="137">
        <v>20805</v>
      </c>
      <c r="M18" s="75">
        <v>18</v>
      </c>
      <c r="N18" s="168">
        <f t="shared" si="0"/>
        <v>374490</v>
      </c>
      <c r="O18" s="153"/>
    </row>
    <row r="19" spans="1:20" s="2" customFormat="1" ht="21" customHeight="1">
      <c r="A19" s="9">
        <v>4</v>
      </c>
      <c r="B19" s="10" t="s">
        <v>71</v>
      </c>
      <c r="C19" s="23">
        <f>L19/100*98</f>
        <v>4723.6000000000004</v>
      </c>
      <c r="D19" s="24">
        <f>C19/100*139</f>
        <v>6565.804000000001</v>
      </c>
      <c r="E19" s="119">
        <f>C19/100*19</f>
        <v>897.48400000000004</v>
      </c>
      <c r="F19" s="25"/>
      <c r="G19" s="25">
        <f>C19/100*7</f>
        <v>330.65200000000004</v>
      </c>
      <c r="H19" s="25"/>
      <c r="I19" s="25"/>
      <c r="J19" s="27">
        <f>C19/100*7</f>
        <v>330.65200000000004</v>
      </c>
      <c r="K19" s="27">
        <f>C19/100*0.9</f>
        <v>42.512400000000007</v>
      </c>
      <c r="L19" s="137">
        <v>4820</v>
      </c>
      <c r="M19" s="143">
        <v>137</v>
      </c>
      <c r="N19" s="168">
        <f t="shared" si="0"/>
        <v>660340</v>
      </c>
      <c r="O19" s="153"/>
    </row>
    <row r="20" spans="1:20" s="2" customFormat="1" ht="21" customHeight="1">
      <c r="A20" s="9">
        <v>5</v>
      </c>
      <c r="B20" s="10" t="s">
        <v>143</v>
      </c>
      <c r="C20" s="23">
        <f>L20/100*43</f>
        <v>1130.9000000000001</v>
      </c>
      <c r="D20" s="24">
        <f>C20/100*83</f>
        <v>938.64700000000005</v>
      </c>
      <c r="E20" s="25">
        <f>C20/100*7.7</f>
        <v>87.079300000000003</v>
      </c>
      <c r="F20" s="25"/>
      <c r="G20" s="25">
        <f>C20/100*5.5</f>
        <v>62.199500000000008</v>
      </c>
      <c r="H20" s="25"/>
      <c r="I20" s="25"/>
      <c r="J20" s="27"/>
      <c r="K20" s="27"/>
      <c r="L20" s="137">
        <v>2630</v>
      </c>
      <c r="M20" s="143">
        <v>137</v>
      </c>
      <c r="N20" s="168">
        <f>L20*M20</f>
        <v>360310</v>
      </c>
      <c r="O20" s="153"/>
    </row>
    <row r="21" spans="1:20" s="2" customFormat="1" ht="21" customHeight="1">
      <c r="A21" s="9">
        <v>6</v>
      </c>
      <c r="B21" s="5" t="s">
        <v>30</v>
      </c>
      <c r="C21" s="23">
        <f>L21/100*88</f>
        <v>5403.2</v>
      </c>
      <c r="D21" s="24">
        <f>C21/100*184</f>
        <v>9941.887999999999</v>
      </c>
      <c r="E21" s="119">
        <f>C21/100*13</f>
        <v>702.41599999999994</v>
      </c>
      <c r="F21" s="25"/>
      <c r="G21" s="25">
        <f>C21/100*14.2</f>
        <v>767.25439999999992</v>
      </c>
      <c r="H21" s="25"/>
      <c r="I21" s="25">
        <f>C21/100*1</f>
        <v>54.031999999999996</v>
      </c>
      <c r="J21" s="27">
        <f>C21/100*71</f>
        <v>3836.2719999999999</v>
      </c>
      <c r="K21" s="27">
        <f>C21/100*0.15</f>
        <v>8.1047999999999991</v>
      </c>
      <c r="L21" s="137">
        <v>6140</v>
      </c>
      <c r="M21" s="75">
        <v>62</v>
      </c>
      <c r="N21" s="168">
        <f t="shared" si="0"/>
        <v>380680</v>
      </c>
      <c r="O21" s="153"/>
      <c r="Q21" s="3"/>
      <c r="R21" s="3"/>
      <c r="S21" s="4"/>
    </row>
    <row r="22" spans="1:20" s="2" customFormat="1" ht="21" customHeight="1">
      <c r="A22" s="9">
        <v>7</v>
      </c>
      <c r="B22" s="10" t="s">
        <v>3</v>
      </c>
      <c r="C22" s="23">
        <f>L22/100*98</f>
        <v>2146.1999999999998</v>
      </c>
      <c r="D22" s="24">
        <f>C22/100*118</f>
        <v>2532.5160000000001</v>
      </c>
      <c r="E22" s="119">
        <f>C22/100*21</f>
        <v>450.702</v>
      </c>
      <c r="F22" s="25"/>
      <c r="G22" s="25">
        <f>C22/100*3.8</f>
        <v>81.555599999999998</v>
      </c>
      <c r="H22" s="25"/>
      <c r="I22" s="25"/>
      <c r="J22" s="25">
        <f>C22/100*12</f>
        <v>257.54399999999998</v>
      </c>
      <c r="K22" s="25">
        <f>C22/100*0.1</f>
        <v>2.1461999999999999</v>
      </c>
      <c r="L22" s="137">
        <v>2190</v>
      </c>
      <c r="M22" s="143">
        <v>260</v>
      </c>
      <c r="N22" s="168">
        <f t="shared" si="0"/>
        <v>569400</v>
      </c>
      <c r="O22" s="153"/>
    </row>
    <row r="23" spans="1:20" s="2" customFormat="1" ht="21" customHeight="1">
      <c r="A23" s="9">
        <v>8</v>
      </c>
      <c r="B23" s="5" t="s">
        <v>4</v>
      </c>
      <c r="C23" s="23">
        <f>L23/100*98.5</f>
        <v>2157.1499999999996</v>
      </c>
      <c r="D23" s="24">
        <f>C23/100*39</f>
        <v>841.28849999999989</v>
      </c>
      <c r="E23" s="29"/>
      <c r="F23" s="29">
        <f>C23/100*1.5</f>
        <v>32.357249999999993</v>
      </c>
      <c r="G23" s="29"/>
      <c r="H23" s="29">
        <f>C23/100*0.2</f>
        <v>4.3142999999999994</v>
      </c>
      <c r="I23" s="29">
        <f>C23/100*7.8</f>
        <v>168.25769999999997</v>
      </c>
      <c r="J23" s="29">
        <f>C23/100*43</f>
        <v>927.57449999999983</v>
      </c>
      <c r="K23" s="29">
        <f>C23/100*0.06</f>
        <v>1.2942899999999997</v>
      </c>
      <c r="L23" s="374">
        <v>2190</v>
      </c>
      <c r="M23" s="26">
        <v>17</v>
      </c>
      <c r="N23" s="135">
        <f t="shared" si="0"/>
        <v>37230</v>
      </c>
      <c r="O23" s="153"/>
      <c r="Q23" s="3"/>
      <c r="R23" s="3"/>
      <c r="S23" s="4"/>
    </row>
    <row r="24" spans="1:20" s="2" customFormat="1" ht="21" customHeight="1">
      <c r="A24" s="9">
        <v>9</v>
      </c>
      <c r="B24" s="5" t="s">
        <v>142</v>
      </c>
      <c r="C24" s="23">
        <f>L24/100*87</f>
        <v>5698.5</v>
      </c>
      <c r="D24" s="24">
        <f>C24/100*21</f>
        <v>1196.6849999999999</v>
      </c>
      <c r="E24" s="29"/>
      <c r="F24" s="29">
        <f>C24/100*1.5</f>
        <v>85.477499999999992</v>
      </c>
      <c r="G24" s="29"/>
      <c r="H24" s="29">
        <f>C24/100*0.1</f>
        <v>5.6985000000000001</v>
      </c>
      <c r="I24" s="29">
        <f>C24/100*3.6</f>
        <v>205.14600000000002</v>
      </c>
      <c r="J24" s="29">
        <f>C24/100*40</f>
        <v>2279.4</v>
      </c>
      <c r="K24" s="29">
        <f>C24/100*0.06</f>
        <v>3.4190999999999998</v>
      </c>
      <c r="L24" s="374">
        <v>6550</v>
      </c>
      <c r="M24" s="26">
        <v>18</v>
      </c>
      <c r="N24" s="168">
        <f t="shared" si="0"/>
        <v>117900</v>
      </c>
      <c r="O24" s="153"/>
      <c r="Q24" s="3"/>
      <c r="R24" s="3"/>
      <c r="S24" s="4"/>
    </row>
    <row r="25" spans="1:20" s="2" customFormat="1" ht="21" customHeight="1">
      <c r="A25" s="86">
        <v>10</v>
      </c>
      <c r="B25" s="5" t="s">
        <v>75</v>
      </c>
      <c r="C25" s="23">
        <f>L25/100*75</f>
        <v>3285</v>
      </c>
      <c r="D25" s="24">
        <f>C25/100*12</f>
        <v>394.20000000000005</v>
      </c>
      <c r="E25" s="25"/>
      <c r="F25" s="25">
        <f>C25/100*0.6</f>
        <v>19.71</v>
      </c>
      <c r="G25" s="25"/>
      <c r="H25" s="25"/>
      <c r="I25" s="25">
        <f>C25/100*2.4</f>
        <v>78.84</v>
      </c>
      <c r="J25" s="25">
        <f>C25/100*26</f>
        <v>854.1</v>
      </c>
      <c r="K25" s="25">
        <f>C25/100*0.02</f>
        <v>0.65700000000000003</v>
      </c>
      <c r="L25" s="137">
        <v>4380</v>
      </c>
      <c r="M25" s="75">
        <v>25</v>
      </c>
      <c r="N25" s="168">
        <f t="shared" si="0"/>
        <v>109500</v>
      </c>
      <c r="O25" s="153"/>
    </row>
    <row r="26" spans="1:20" s="2" customFormat="1" ht="21" customHeight="1">
      <c r="A26" s="86">
        <v>11</v>
      </c>
      <c r="B26" s="5" t="s">
        <v>136</v>
      </c>
      <c r="C26" s="23">
        <f>L26/100*100</f>
        <v>220.00000000000003</v>
      </c>
      <c r="D26" s="24">
        <f>C26/100*247</f>
        <v>543.40000000000009</v>
      </c>
      <c r="E26" s="29"/>
      <c r="F26" s="29">
        <f>C26/100*17.5</f>
        <v>38.5</v>
      </c>
      <c r="G26" s="29"/>
      <c r="H26" s="29">
        <f>C26/100*1.6</f>
        <v>3.5200000000000005</v>
      </c>
      <c r="I26" s="29">
        <f>C26/100*39.2</f>
        <v>86.240000000000009</v>
      </c>
      <c r="J26" s="71"/>
      <c r="K26" s="71"/>
      <c r="L26" s="374">
        <v>220</v>
      </c>
      <c r="M26" s="75">
        <v>50</v>
      </c>
      <c r="N26" s="28">
        <f t="shared" si="0"/>
        <v>11000</v>
      </c>
      <c r="O26" s="153"/>
      <c r="Q26" s="3"/>
      <c r="R26" s="3"/>
      <c r="S26" s="4"/>
      <c r="T26" s="3"/>
    </row>
    <row r="27" spans="1:20" s="2" customFormat="1" ht="21" customHeight="1">
      <c r="A27" s="86">
        <v>12</v>
      </c>
      <c r="B27" s="6" t="s">
        <v>123</v>
      </c>
      <c r="C27" s="23"/>
      <c r="D27" s="24"/>
      <c r="E27" s="25"/>
      <c r="F27" s="25"/>
      <c r="G27" s="25"/>
      <c r="H27" s="25"/>
      <c r="I27" s="25"/>
      <c r="J27" s="27"/>
      <c r="K27" s="27"/>
      <c r="L27" s="26"/>
      <c r="M27" s="26"/>
      <c r="N27" s="28">
        <v>16500</v>
      </c>
      <c r="O27" s="153"/>
    </row>
    <row r="28" spans="1:20" s="2" customFormat="1" ht="21" customHeight="1">
      <c r="A28" s="21" t="s">
        <v>120</v>
      </c>
      <c r="B28" s="22"/>
      <c r="C28" s="34"/>
      <c r="D28" s="172">
        <f>SUM(D16:D27)</f>
        <v>100382.60849999999</v>
      </c>
      <c r="E28" s="36"/>
      <c r="F28" s="36"/>
      <c r="G28" s="36"/>
      <c r="H28" s="36"/>
      <c r="I28" s="36"/>
      <c r="J28" s="36"/>
      <c r="K28" s="36"/>
      <c r="L28" s="37"/>
      <c r="M28" s="73"/>
      <c r="N28" s="241">
        <f>SUM(N16:N27)</f>
        <v>2705510</v>
      </c>
      <c r="O28" s="153"/>
    </row>
    <row r="29" spans="1:20" s="2" customFormat="1" ht="21" customHeight="1">
      <c r="A29" s="21" t="s">
        <v>6</v>
      </c>
      <c r="B29" s="22"/>
      <c r="C29" s="34"/>
      <c r="D29" s="35">
        <f>D28/D10</f>
        <v>460.47068119266049</v>
      </c>
      <c r="E29" s="36"/>
      <c r="F29" s="36"/>
      <c r="G29" s="36"/>
      <c r="H29" s="36"/>
      <c r="I29" s="36"/>
      <c r="J29" s="36"/>
      <c r="K29" s="36"/>
      <c r="L29" s="37"/>
      <c r="M29" s="74"/>
      <c r="N29" s="242"/>
      <c r="O29" s="153"/>
    </row>
    <row r="30" spans="1:20" s="2" customFormat="1" ht="21" customHeight="1">
      <c r="A30" s="294" t="s">
        <v>51</v>
      </c>
      <c r="B30" s="226"/>
      <c r="C30" s="376" t="s">
        <v>151</v>
      </c>
      <c r="D30" s="20" t="s">
        <v>45</v>
      </c>
      <c r="E30" s="36"/>
      <c r="F30" s="36"/>
      <c r="G30" s="36"/>
      <c r="H30" s="36"/>
      <c r="I30" s="36"/>
      <c r="J30" s="36"/>
      <c r="K30" s="36"/>
      <c r="L30" s="37"/>
      <c r="M30" s="37"/>
      <c r="N30" s="38"/>
      <c r="O30" s="153"/>
    </row>
    <row r="31" spans="1:20" s="2" customFormat="1" ht="21" customHeight="1">
      <c r="A31" s="227"/>
      <c r="B31" s="228"/>
      <c r="C31" s="76" t="s">
        <v>60</v>
      </c>
      <c r="D31" s="20">
        <f>D29*100/1320</f>
        <v>34.884142514595489</v>
      </c>
      <c r="E31" s="36"/>
      <c r="F31" s="36"/>
      <c r="G31" s="36"/>
      <c r="H31" s="36"/>
      <c r="I31" s="36"/>
      <c r="J31" s="36"/>
      <c r="K31" s="36"/>
      <c r="L31" s="37"/>
      <c r="M31" s="37"/>
      <c r="N31" s="38"/>
      <c r="O31" s="153"/>
    </row>
    <row r="32" spans="1:20" s="2" customFormat="1" ht="21" customHeight="1">
      <c r="A32" s="236" t="s">
        <v>35</v>
      </c>
      <c r="B32" s="236"/>
      <c r="C32" s="56"/>
      <c r="D32" s="57"/>
      <c r="E32" s="58"/>
      <c r="F32" s="58"/>
      <c r="G32" s="58"/>
      <c r="H32" s="58"/>
      <c r="I32" s="58"/>
      <c r="J32" s="58"/>
      <c r="K32" s="58"/>
      <c r="L32" s="59"/>
      <c r="M32" s="59"/>
      <c r="N32" s="69"/>
      <c r="O32" s="153"/>
    </row>
    <row r="33" spans="1:23" s="2" customFormat="1" ht="21" customHeight="1">
      <c r="A33" s="9">
        <v>1</v>
      </c>
      <c r="B33" s="10" t="s">
        <v>2</v>
      </c>
      <c r="C33" s="23">
        <f>L33/100*100</f>
        <v>270</v>
      </c>
      <c r="D33" s="24">
        <f>C33/100*60</f>
        <v>162</v>
      </c>
      <c r="E33" s="25">
        <f>C33/100*15</f>
        <v>40.5</v>
      </c>
      <c r="F33" s="25"/>
      <c r="G33" s="25"/>
      <c r="H33" s="25"/>
      <c r="I33" s="25"/>
      <c r="J33" s="27">
        <f>C33/100*387</f>
        <v>1044.9000000000001</v>
      </c>
      <c r="K33" s="27">
        <f>C33/100*0.09</f>
        <v>0.24299999999999999</v>
      </c>
      <c r="L33" s="137">
        <v>270</v>
      </c>
      <c r="M33" s="75">
        <v>20</v>
      </c>
      <c r="N33" s="28">
        <f>L33*M33</f>
        <v>5400</v>
      </c>
      <c r="O33" s="153"/>
    </row>
    <row r="34" spans="1:23" s="2" customFormat="1" ht="20.399999999999999" customHeight="1">
      <c r="A34" s="9">
        <v>2</v>
      </c>
      <c r="B34" s="5" t="s">
        <v>73</v>
      </c>
      <c r="C34" s="23">
        <f>L34/100*100</f>
        <v>6130</v>
      </c>
      <c r="D34" s="120">
        <f>C34/100*344</f>
        <v>21087.200000000001</v>
      </c>
      <c r="E34" s="119"/>
      <c r="F34" s="119">
        <f>C34/100*8.6</f>
        <v>527.17999999999995</v>
      </c>
      <c r="G34" s="25"/>
      <c r="H34" s="25">
        <f>C34/100*1.5</f>
        <v>91.949999999999989</v>
      </c>
      <c r="I34" s="25">
        <f>C34/100*74.5</f>
        <v>4566.8499999999995</v>
      </c>
      <c r="J34" s="25">
        <f>C34/100*32</f>
        <v>1961.6</v>
      </c>
      <c r="K34" s="25">
        <f>C34/100*0.14</f>
        <v>8.5820000000000007</v>
      </c>
      <c r="L34" s="137">
        <v>6130</v>
      </c>
      <c r="M34" s="75">
        <v>30</v>
      </c>
      <c r="N34" s="124">
        <f t="shared" ref="N34" si="1">L34*M34</f>
        <v>183900</v>
      </c>
      <c r="O34" s="153"/>
      <c r="P34" s="18"/>
    </row>
    <row r="35" spans="1:23" s="2" customFormat="1" ht="20.399999999999999" customHeight="1">
      <c r="A35" s="9">
        <v>3</v>
      </c>
      <c r="B35" s="5" t="s">
        <v>189</v>
      </c>
      <c r="C35" s="23">
        <f>L35/100*98</f>
        <v>862.40000000000009</v>
      </c>
      <c r="D35" s="24">
        <f>C35/100*328</f>
        <v>2828.672</v>
      </c>
      <c r="E35" s="25"/>
      <c r="F35" s="119">
        <f>C35/100*23.4</f>
        <v>201.80160000000001</v>
      </c>
      <c r="G35" s="25"/>
      <c r="H35" s="25">
        <f>C35/100*2.4</f>
        <v>20.697600000000001</v>
      </c>
      <c r="I35" s="25">
        <f>C35/100*53.1</f>
        <v>457.93440000000004</v>
      </c>
      <c r="J35" s="25">
        <f>C35/100*62</f>
        <v>534.68799999999999</v>
      </c>
      <c r="K35" s="25">
        <f>C35/100*0.72</f>
        <v>6.2092800000000006</v>
      </c>
      <c r="L35" s="137">
        <v>880</v>
      </c>
      <c r="M35" s="75">
        <v>50</v>
      </c>
      <c r="N35" s="28">
        <f t="shared" ref="N35" si="2">L35*M35</f>
        <v>44000</v>
      </c>
      <c r="O35" s="153"/>
      <c r="P35" s="18"/>
    </row>
    <row r="36" spans="1:23" s="2" customFormat="1" ht="21" customHeight="1">
      <c r="A36" s="9">
        <v>4</v>
      </c>
      <c r="B36" s="146" t="s">
        <v>141</v>
      </c>
      <c r="C36" s="23">
        <f>L36/100*100</f>
        <v>500</v>
      </c>
      <c r="D36" s="24">
        <f>C36/100*899</f>
        <v>4495</v>
      </c>
      <c r="E36" s="25"/>
      <c r="F36" s="25"/>
      <c r="G36" s="25">
        <f>C36/100*100</f>
        <v>500</v>
      </c>
      <c r="H36" s="25"/>
      <c r="I36" s="25"/>
      <c r="J36" s="25"/>
      <c r="K36" s="25"/>
      <c r="L36" s="137">
        <v>500</v>
      </c>
      <c r="M36" s="144">
        <v>68</v>
      </c>
      <c r="N36" s="28">
        <f t="shared" ref="N36:N40" si="3">L36*M36</f>
        <v>34000</v>
      </c>
      <c r="O36" s="377"/>
    </row>
    <row r="37" spans="1:23" s="2" customFormat="1" ht="19.2" customHeight="1">
      <c r="A37" s="9">
        <v>5</v>
      </c>
      <c r="B37" s="148" t="s">
        <v>146</v>
      </c>
      <c r="C37" s="23">
        <f>L37/100*100</f>
        <v>960</v>
      </c>
      <c r="D37" s="120">
        <f>C37/100*900</f>
        <v>8640</v>
      </c>
      <c r="E37" s="25"/>
      <c r="F37" s="25"/>
      <c r="G37" s="119"/>
      <c r="H37" s="25">
        <f>C37/100*100</f>
        <v>960</v>
      </c>
      <c r="I37" s="25"/>
      <c r="J37" s="25"/>
      <c r="K37" s="25"/>
      <c r="L37" s="137">
        <v>960</v>
      </c>
      <c r="M37" s="75">
        <v>63.5</v>
      </c>
      <c r="N37" s="28">
        <f t="shared" si="3"/>
        <v>60960</v>
      </c>
      <c r="O37" s="377"/>
    </row>
    <row r="38" spans="1:23" s="2" customFormat="1" ht="21" customHeight="1">
      <c r="A38" s="9">
        <v>6</v>
      </c>
      <c r="B38" s="5" t="s">
        <v>136</v>
      </c>
      <c r="C38" s="23">
        <f>L38/100*100</f>
        <v>120</v>
      </c>
      <c r="D38" s="24">
        <f>C38/100*247</f>
        <v>296.39999999999998</v>
      </c>
      <c r="E38" s="29"/>
      <c r="F38" s="29">
        <f>C38/100*17.5</f>
        <v>21</v>
      </c>
      <c r="G38" s="29"/>
      <c r="H38" s="29">
        <f>C38/100*1.6</f>
        <v>1.92</v>
      </c>
      <c r="I38" s="29">
        <f>C38/100*39.2</f>
        <v>47.04</v>
      </c>
      <c r="J38" s="71"/>
      <c r="K38" s="71"/>
      <c r="L38" s="374">
        <v>120</v>
      </c>
      <c r="M38" s="75">
        <v>50</v>
      </c>
      <c r="N38" s="28">
        <f t="shared" si="3"/>
        <v>6000</v>
      </c>
      <c r="O38" s="153"/>
      <c r="Q38" s="3"/>
      <c r="R38" s="3"/>
      <c r="S38" s="4"/>
      <c r="T38" s="3"/>
    </row>
    <row r="39" spans="1:23" s="2" customFormat="1" ht="21" customHeight="1">
      <c r="A39" s="9">
        <v>7</v>
      </c>
      <c r="B39" s="10" t="s">
        <v>71</v>
      </c>
      <c r="C39" s="23">
        <f>L39/100*98</f>
        <v>5850.6</v>
      </c>
      <c r="D39" s="24">
        <f>C39/100*139</f>
        <v>8132.3339999999998</v>
      </c>
      <c r="E39" s="119">
        <f>C39/100*19</f>
        <v>1111.614</v>
      </c>
      <c r="F39" s="25"/>
      <c r="G39" s="25">
        <f>C39/100*7</f>
        <v>409.54200000000003</v>
      </c>
      <c r="H39" s="25"/>
      <c r="I39" s="25"/>
      <c r="J39" s="27">
        <f>C39/100*7</f>
        <v>409.54200000000003</v>
      </c>
      <c r="K39" s="27">
        <f>C39/100*0.9</f>
        <v>52.6554</v>
      </c>
      <c r="L39" s="137">
        <v>5970</v>
      </c>
      <c r="M39" s="143">
        <v>137</v>
      </c>
      <c r="N39" s="124">
        <f t="shared" si="3"/>
        <v>817890</v>
      </c>
      <c r="O39" s="153"/>
    </row>
    <row r="40" spans="1:23" s="2" customFormat="1" ht="20.399999999999999" customHeight="1">
      <c r="A40" s="9">
        <v>8</v>
      </c>
      <c r="B40" s="5" t="s">
        <v>76</v>
      </c>
      <c r="C40" s="23">
        <f>L40/100*80</f>
        <v>23656</v>
      </c>
      <c r="D40" s="24">
        <f>C40/100*40</f>
        <v>9462.4</v>
      </c>
      <c r="E40" s="25"/>
      <c r="F40" s="119">
        <f>C40/100*1.3</f>
        <v>307.52800000000002</v>
      </c>
      <c r="G40" s="25"/>
      <c r="H40" s="25"/>
      <c r="I40" s="25">
        <f>C40/100*2.8</f>
        <v>662.36799999999994</v>
      </c>
      <c r="J40" s="25">
        <f>C40/100*11</f>
        <v>2602.16</v>
      </c>
      <c r="K40" s="25"/>
      <c r="L40" s="395">
        <v>29570</v>
      </c>
      <c r="M40" s="75">
        <v>32</v>
      </c>
      <c r="N40" s="124">
        <f t="shared" si="3"/>
        <v>946240</v>
      </c>
      <c r="O40" s="396"/>
      <c r="P40" s="401"/>
    </row>
    <row r="41" spans="1:23" s="2" customFormat="1" ht="21" customHeight="1">
      <c r="A41" s="113">
        <v>9</v>
      </c>
      <c r="B41" s="112" t="s">
        <v>123</v>
      </c>
      <c r="C41" s="104"/>
      <c r="D41" s="105"/>
      <c r="E41" s="106"/>
      <c r="F41" s="106"/>
      <c r="G41" s="106"/>
      <c r="H41" s="106"/>
      <c r="I41" s="106"/>
      <c r="J41" s="106"/>
      <c r="K41" s="106"/>
      <c r="L41" s="107"/>
      <c r="M41" s="107"/>
      <c r="N41" s="108">
        <v>13750</v>
      </c>
      <c r="O41" s="153"/>
    </row>
    <row r="42" spans="1:23" ht="19.8" customHeight="1">
      <c r="A42" s="209" t="s">
        <v>66</v>
      </c>
      <c r="B42" s="212" t="s">
        <v>19</v>
      </c>
      <c r="C42" s="320" t="s">
        <v>8</v>
      </c>
      <c r="D42" s="215" t="s">
        <v>9</v>
      </c>
      <c r="E42" s="218" t="s">
        <v>11</v>
      </c>
      <c r="F42" s="219"/>
      <c r="G42" s="218" t="s">
        <v>13</v>
      </c>
      <c r="H42" s="219"/>
      <c r="I42" s="222" t="s">
        <v>16</v>
      </c>
      <c r="J42" s="222" t="s">
        <v>41</v>
      </c>
      <c r="K42" s="222" t="s">
        <v>42</v>
      </c>
      <c r="L42" s="222" t="s">
        <v>17</v>
      </c>
      <c r="M42" s="222" t="s">
        <v>55</v>
      </c>
      <c r="N42" s="209" t="s">
        <v>18</v>
      </c>
      <c r="O42" s="373"/>
    </row>
    <row r="43" spans="1:23" ht="19.8" customHeight="1">
      <c r="A43" s="210"/>
      <c r="B43" s="213"/>
      <c r="C43" s="321"/>
      <c r="D43" s="216"/>
      <c r="E43" s="220"/>
      <c r="F43" s="221"/>
      <c r="G43" s="220"/>
      <c r="H43" s="221"/>
      <c r="I43" s="223"/>
      <c r="J43" s="223"/>
      <c r="K43" s="223"/>
      <c r="L43" s="223"/>
      <c r="M43" s="223"/>
      <c r="N43" s="210"/>
      <c r="O43" s="176"/>
    </row>
    <row r="44" spans="1:23" ht="19.8" customHeight="1">
      <c r="A44" s="210"/>
      <c r="B44" s="213"/>
      <c r="C44" s="321"/>
      <c r="D44" s="216"/>
      <c r="E44" s="222" t="s">
        <v>10</v>
      </c>
      <c r="F44" s="222" t="s">
        <v>12</v>
      </c>
      <c r="G44" s="222" t="s">
        <v>14</v>
      </c>
      <c r="H44" s="222" t="s">
        <v>15</v>
      </c>
      <c r="I44" s="223"/>
      <c r="J44" s="223"/>
      <c r="K44" s="223"/>
      <c r="L44" s="223"/>
      <c r="M44" s="223"/>
      <c r="N44" s="210"/>
      <c r="O44" s="176"/>
    </row>
    <row r="45" spans="1:23" ht="19.8" customHeight="1">
      <c r="A45" s="211"/>
      <c r="B45" s="214"/>
      <c r="C45" s="322"/>
      <c r="D45" s="217"/>
      <c r="E45" s="224"/>
      <c r="F45" s="224"/>
      <c r="G45" s="224"/>
      <c r="H45" s="224"/>
      <c r="I45" s="224"/>
      <c r="J45" s="224"/>
      <c r="K45" s="224"/>
      <c r="L45" s="224"/>
      <c r="M45" s="224"/>
      <c r="N45" s="211"/>
      <c r="O45" s="176"/>
    </row>
    <row r="46" spans="1:23" s="2" customFormat="1" ht="19.2" customHeight="1">
      <c r="A46" s="21" t="s">
        <v>110</v>
      </c>
      <c r="B46" s="22"/>
      <c r="C46" s="34"/>
      <c r="D46" s="121">
        <f>SUM(D33:D41)</f>
        <v>55104.006000000008</v>
      </c>
      <c r="E46" s="43"/>
      <c r="F46" s="43"/>
      <c r="G46" s="43"/>
      <c r="H46" s="43"/>
      <c r="I46" s="43"/>
      <c r="J46" s="43"/>
      <c r="K46" s="43"/>
      <c r="L46" s="44"/>
      <c r="M46" s="308"/>
      <c r="N46" s="241">
        <f>SUM(N33:N41)</f>
        <v>2112140</v>
      </c>
      <c r="O46" s="153"/>
    </row>
    <row r="47" spans="1:23" ht="19.2" customHeight="1">
      <c r="A47" s="21" t="s">
        <v>7</v>
      </c>
      <c r="B47" s="22"/>
      <c r="C47" s="45"/>
      <c r="D47" s="46">
        <f>D46/D10</f>
        <v>252.77066972477067</v>
      </c>
      <c r="E47" s="46"/>
      <c r="F47" s="46"/>
      <c r="G47" s="46"/>
      <c r="H47" s="46"/>
      <c r="I47" s="46"/>
      <c r="J47" s="46"/>
      <c r="K47" s="46"/>
      <c r="L47" s="47"/>
      <c r="M47" s="309"/>
      <c r="N47" s="242"/>
      <c r="O47" s="4"/>
      <c r="P47" s="2"/>
      <c r="Q47" s="2"/>
      <c r="R47" s="2"/>
      <c r="S47" s="2"/>
      <c r="T47" s="2"/>
      <c r="U47" s="2"/>
      <c r="V47" s="2"/>
    </row>
    <row r="48" spans="1:23" ht="19.2" customHeight="1">
      <c r="A48" s="294" t="s">
        <v>52</v>
      </c>
      <c r="B48" s="226"/>
      <c r="C48" s="376" t="s">
        <v>151</v>
      </c>
      <c r="D48" s="20" t="s">
        <v>58</v>
      </c>
      <c r="E48" s="46"/>
      <c r="F48" s="46"/>
      <c r="G48" s="46"/>
      <c r="H48" s="46"/>
      <c r="I48" s="46"/>
      <c r="J48" s="48"/>
      <c r="K48" s="48"/>
      <c r="L48" s="47"/>
      <c r="M48" s="47"/>
      <c r="N48" s="177"/>
      <c r="O48" s="4"/>
      <c r="P48" s="2"/>
      <c r="Q48" s="2"/>
      <c r="R48" s="2"/>
      <c r="S48" s="2"/>
      <c r="T48" s="2"/>
      <c r="U48" s="2"/>
      <c r="V48" s="2"/>
      <c r="W48" s="2"/>
    </row>
    <row r="49" spans="1:23" ht="19.2" customHeight="1">
      <c r="A49" s="227"/>
      <c r="B49" s="228"/>
      <c r="C49" s="76" t="s">
        <v>60</v>
      </c>
      <c r="D49" s="20">
        <f>D47*100/1320</f>
        <v>19.149293160967474</v>
      </c>
      <c r="E49" s="46"/>
      <c r="F49" s="46"/>
      <c r="G49" s="46"/>
      <c r="H49" s="46"/>
      <c r="I49" s="46"/>
      <c r="J49" s="48"/>
      <c r="K49" s="48"/>
      <c r="L49" s="47"/>
      <c r="M49" s="47"/>
      <c r="N49" s="177"/>
      <c r="O49" s="4"/>
      <c r="P49" s="2"/>
      <c r="Q49" s="2"/>
      <c r="R49" s="2"/>
      <c r="S49" s="2"/>
      <c r="T49" s="2"/>
      <c r="U49" s="2"/>
      <c r="V49" s="2"/>
      <c r="W49" s="2"/>
    </row>
    <row r="50" spans="1:23" ht="19.2" customHeight="1">
      <c r="A50" s="323" t="s">
        <v>107</v>
      </c>
      <c r="B50" s="324"/>
      <c r="C50" s="290"/>
      <c r="D50" s="297">
        <f>D28+D46</f>
        <v>155486.6145</v>
      </c>
      <c r="E50" s="123">
        <f>SUM(E16:E41)</f>
        <v>3331.7953000000002</v>
      </c>
      <c r="F50" s="123">
        <f t="shared" ref="F50:H50" si="4">SUM(F16:F41)</f>
        <v>2877.1493500000006</v>
      </c>
      <c r="G50" s="123">
        <f t="shared" si="4"/>
        <v>3071.2035000000001</v>
      </c>
      <c r="H50" s="123">
        <f t="shared" si="4"/>
        <v>1296.1504</v>
      </c>
      <c r="I50" s="254">
        <f>SUM(I16:I41)</f>
        <v>22117.703099999999</v>
      </c>
      <c r="J50" s="254">
        <f>SUM(J16:J41)</f>
        <v>22363.532500000001</v>
      </c>
      <c r="K50" s="284">
        <f>SUM(K16:K41)</f>
        <v>146.88047</v>
      </c>
      <c r="L50" s="268"/>
      <c r="M50" s="268"/>
      <c r="N50" s="304">
        <f>N28+N46</f>
        <v>4817650</v>
      </c>
      <c r="P50" s="2"/>
      <c r="Q50" s="2"/>
      <c r="R50" s="2"/>
      <c r="S50" s="2"/>
      <c r="T50" s="2"/>
      <c r="U50" s="2"/>
      <c r="V50" s="2"/>
    </row>
    <row r="51" spans="1:23" ht="19.2" customHeight="1">
      <c r="A51" s="325"/>
      <c r="B51" s="326"/>
      <c r="C51" s="291"/>
      <c r="D51" s="298"/>
      <c r="E51" s="327">
        <f>E50+F50</f>
        <v>6208.9446500000013</v>
      </c>
      <c r="F51" s="328"/>
      <c r="G51" s="282">
        <f>G50+H50</f>
        <v>4367.3539000000001</v>
      </c>
      <c r="H51" s="283"/>
      <c r="I51" s="256"/>
      <c r="J51" s="255"/>
      <c r="K51" s="299"/>
      <c r="L51" s="268"/>
      <c r="M51" s="268"/>
      <c r="N51" s="304"/>
      <c r="U51" s="12"/>
      <c r="V51" s="12"/>
    </row>
    <row r="52" spans="1:23" ht="19.2" customHeight="1">
      <c r="A52" s="248" t="s">
        <v>77</v>
      </c>
      <c r="B52" s="249"/>
      <c r="C52" s="250"/>
      <c r="D52" s="138">
        <f>D50/D10</f>
        <v>713.24135091743119</v>
      </c>
      <c r="E52" s="378">
        <f>E50/D10</f>
        <v>15.283464678899083</v>
      </c>
      <c r="F52" s="379">
        <f>F50/D10</f>
        <v>13.197932798165141</v>
      </c>
      <c r="G52" s="378">
        <f>G50/D10</f>
        <v>14.088089449541284</v>
      </c>
      <c r="H52" s="399">
        <f>H50/D10</f>
        <v>5.9456440366972476</v>
      </c>
      <c r="I52" s="264">
        <f>I50/D10</f>
        <v>101.45735366972477</v>
      </c>
      <c r="J52" s="329">
        <f>J50/D10</f>
        <v>102.58501146788991</v>
      </c>
      <c r="K52" s="329">
        <f>K50/D10</f>
        <v>0.67376362385321098</v>
      </c>
      <c r="L52" s="268"/>
      <c r="M52" s="268"/>
      <c r="N52" s="304"/>
      <c r="U52" s="12"/>
      <c r="V52" s="12"/>
    </row>
    <row r="53" spans="1:23" ht="19.2" customHeight="1">
      <c r="A53" s="251"/>
      <c r="B53" s="252"/>
      <c r="C53" s="253"/>
      <c r="D53" s="127"/>
      <c r="E53" s="381">
        <f>E52+F52</f>
        <v>28.481397477064224</v>
      </c>
      <c r="F53" s="382"/>
      <c r="G53" s="381">
        <f>G52+H52</f>
        <v>20.033733486238532</v>
      </c>
      <c r="H53" s="382"/>
      <c r="I53" s="265"/>
      <c r="J53" s="329"/>
      <c r="K53" s="329"/>
      <c r="L53" s="268"/>
      <c r="M53" s="268"/>
      <c r="N53" s="304"/>
      <c r="P53" s="368"/>
      <c r="Q53" s="370"/>
      <c r="R53" s="370"/>
      <c r="S53" s="370"/>
      <c r="T53" s="370"/>
      <c r="U53" s="380"/>
      <c r="V53" s="380"/>
    </row>
    <row r="54" spans="1:23" ht="19.2" customHeight="1">
      <c r="A54" s="305" t="s">
        <v>80</v>
      </c>
      <c r="B54" s="306"/>
      <c r="C54" s="307"/>
      <c r="D54" s="179" t="s">
        <v>28</v>
      </c>
      <c r="E54" s="195" t="s">
        <v>21</v>
      </c>
      <c r="F54" s="195"/>
      <c r="G54" s="195" t="s">
        <v>22</v>
      </c>
      <c r="H54" s="195"/>
      <c r="I54" s="175" t="s">
        <v>23</v>
      </c>
      <c r="J54" s="384">
        <v>600</v>
      </c>
      <c r="K54" s="384">
        <v>0.7</v>
      </c>
      <c r="L54" s="268"/>
      <c r="M54" s="268"/>
      <c r="N54" s="304"/>
      <c r="O54" s="385"/>
      <c r="P54" s="383"/>
      <c r="Q54" s="370"/>
      <c r="R54" s="370"/>
      <c r="S54" s="370"/>
      <c r="T54" s="370"/>
      <c r="U54" s="370"/>
      <c r="V54" s="370"/>
    </row>
    <row r="55" spans="1:23" ht="19.2" customHeight="1">
      <c r="A55" s="243" t="s">
        <v>78</v>
      </c>
      <c r="B55" s="275"/>
      <c r="C55" s="244"/>
      <c r="D55" s="49"/>
      <c r="E55" s="276">
        <f>E53*4.1</f>
        <v>116.77372965596331</v>
      </c>
      <c r="F55" s="277"/>
      <c r="G55" s="276">
        <f>G53*9</f>
        <v>180.30360137614679</v>
      </c>
      <c r="H55" s="277"/>
      <c r="I55" s="85">
        <f>I52*4.1</f>
        <v>415.97515004587149</v>
      </c>
      <c r="J55" s="257"/>
      <c r="K55" s="257"/>
      <c r="L55" s="268"/>
      <c r="M55" s="268"/>
      <c r="N55" s="304"/>
      <c r="O55" s="385"/>
      <c r="P55" s="386"/>
      <c r="Q55" s="369"/>
      <c r="R55" s="369"/>
      <c r="S55" s="369"/>
      <c r="T55" s="368"/>
      <c r="U55" s="368"/>
      <c r="V55" s="368"/>
    </row>
    <row r="56" spans="1:23" ht="19.2" customHeight="1">
      <c r="A56" s="278" t="s">
        <v>87</v>
      </c>
      <c r="B56" s="279"/>
      <c r="C56" s="243" t="s">
        <v>59</v>
      </c>
      <c r="D56" s="244"/>
      <c r="E56" s="245">
        <f>E55*100/D52</f>
        <v>16.372260176132396</v>
      </c>
      <c r="F56" s="246"/>
      <c r="G56" s="245">
        <f>G55*100/D52</f>
        <v>25.279465519522262</v>
      </c>
      <c r="H56" s="246"/>
      <c r="I56" s="115">
        <f>I55*100/D52</f>
        <v>58.321793809460033</v>
      </c>
      <c r="J56" s="258"/>
      <c r="K56" s="258"/>
      <c r="L56" s="268"/>
      <c r="M56" s="268"/>
      <c r="N56" s="304"/>
      <c r="O56" s="385"/>
      <c r="P56" s="368"/>
      <c r="Q56" s="368"/>
      <c r="R56" s="368"/>
      <c r="S56" s="368"/>
      <c r="T56" s="368"/>
      <c r="U56" s="368"/>
      <c r="V56" s="368"/>
    </row>
    <row r="57" spans="1:23" ht="19.2" customHeight="1">
      <c r="A57" s="280"/>
      <c r="B57" s="281"/>
      <c r="C57" s="243" t="s">
        <v>79</v>
      </c>
      <c r="D57" s="244"/>
      <c r="E57" s="243" t="s">
        <v>82</v>
      </c>
      <c r="F57" s="244"/>
      <c r="G57" s="243" t="s">
        <v>83</v>
      </c>
      <c r="H57" s="244"/>
      <c r="I57" s="179" t="s">
        <v>84</v>
      </c>
      <c r="J57" s="259"/>
      <c r="K57" s="259"/>
      <c r="L57" s="268"/>
      <c r="M57" s="268"/>
      <c r="N57" s="304"/>
      <c r="O57" s="385"/>
    </row>
    <row r="58" spans="1:23" ht="19.2" customHeight="1">
      <c r="A58" s="90"/>
      <c r="B58" s="90"/>
      <c r="C58" s="90"/>
      <c r="D58" s="90"/>
      <c r="E58" s="90"/>
      <c r="F58" s="90"/>
      <c r="G58" s="90"/>
      <c r="H58" s="90"/>
      <c r="I58" s="90"/>
      <c r="J58" s="90"/>
      <c r="K58" s="90"/>
      <c r="L58" s="94"/>
      <c r="M58" s="94"/>
      <c r="N58" s="95"/>
      <c r="O58" s="385"/>
      <c r="P58" s="132"/>
    </row>
    <row r="59" spans="1:23" ht="21" customHeight="1">
      <c r="A59" s="184" t="s">
        <v>114</v>
      </c>
      <c r="B59" s="184"/>
      <c r="C59" s="184"/>
      <c r="D59" s="184"/>
      <c r="E59" s="184"/>
      <c r="F59" s="184"/>
      <c r="G59" s="184"/>
      <c r="H59" s="184"/>
      <c r="I59" s="184"/>
      <c r="J59" s="184"/>
      <c r="K59" s="184"/>
      <c r="L59" s="184"/>
      <c r="M59" s="184"/>
      <c r="N59" s="184"/>
      <c r="O59" s="385"/>
    </row>
    <row r="60" spans="1:23" ht="21" customHeight="1">
      <c r="A60" s="117" t="s">
        <v>115</v>
      </c>
      <c r="B60" s="185" t="s">
        <v>116</v>
      </c>
      <c r="C60" s="185"/>
      <c r="D60" s="185"/>
      <c r="E60" s="185"/>
      <c r="F60" s="185"/>
      <c r="G60" s="185"/>
      <c r="H60" s="185"/>
      <c r="I60" s="185"/>
      <c r="J60" s="185"/>
      <c r="K60" s="185"/>
      <c r="L60" s="185"/>
      <c r="M60" s="185"/>
      <c r="N60" s="185"/>
      <c r="O60" s="385"/>
    </row>
    <row r="61" spans="1:23" ht="21" customHeight="1">
      <c r="A61" s="118"/>
      <c r="B61" s="186" t="s">
        <v>211</v>
      </c>
      <c r="C61" s="186"/>
      <c r="D61" s="186"/>
      <c r="E61" s="186"/>
      <c r="F61" s="186"/>
      <c r="G61" s="186"/>
      <c r="H61" s="186"/>
      <c r="I61" s="186"/>
      <c r="J61" s="186"/>
      <c r="K61" s="186"/>
      <c r="L61" s="186"/>
      <c r="M61" s="186"/>
      <c r="N61" s="186"/>
      <c r="O61" s="385"/>
    </row>
    <row r="62" spans="1:23" ht="21" customHeight="1">
      <c r="A62" s="118"/>
      <c r="B62" s="186" t="s">
        <v>212</v>
      </c>
      <c r="C62" s="186"/>
      <c r="D62" s="186"/>
      <c r="E62" s="186"/>
      <c r="F62" s="186"/>
      <c r="G62" s="186"/>
      <c r="H62" s="186"/>
      <c r="I62" s="186"/>
      <c r="J62" s="186"/>
      <c r="K62" s="186"/>
      <c r="L62" s="186"/>
      <c r="M62" s="186"/>
      <c r="N62" s="186"/>
      <c r="O62" s="385"/>
    </row>
    <row r="63" spans="1:23" ht="21" customHeight="1">
      <c r="A63" s="118"/>
      <c r="B63" s="186" t="s">
        <v>190</v>
      </c>
      <c r="C63" s="186"/>
      <c r="D63" s="186"/>
      <c r="E63" s="186"/>
      <c r="F63" s="186"/>
      <c r="G63" s="186"/>
      <c r="H63" s="186"/>
      <c r="I63" s="186"/>
      <c r="J63" s="186"/>
      <c r="K63" s="186"/>
      <c r="L63" s="186"/>
      <c r="M63" s="186"/>
      <c r="N63" s="186"/>
      <c r="O63" s="385"/>
    </row>
    <row r="64" spans="1:23" ht="21" customHeight="1">
      <c r="A64" s="90"/>
      <c r="B64" s="187" t="s">
        <v>117</v>
      </c>
      <c r="C64" s="187"/>
      <c r="D64" s="187"/>
      <c r="E64" s="187"/>
      <c r="F64" s="187"/>
      <c r="G64" s="187"/>
      <c r="H64" s="187"/>
      <c r="I64" s="187"/>
      <c r="J64" s="187"/>
      <c r="K64" s="187"/>
      <c r="L64" s="187"/>
      <c r="M64" s="187"/>
      <c r="N64" s="187"/>
      <c r="O64" s="385"/>
    </row>
    <row r="65" spans="1:15" ht="21" customHeight="1">
      <c r="A65" s="90"/>
      <c r="B65" s="90"/>
      <c r="C65" s="90"/>
      <c r="D65" s="90"/>
      <c r="E65" s="90"/>
      <c r="F65" s="90"/>
      <c r="G65" s="90"/>
      <c r="H65" s="90"/>
      <c r="I65" s="90"/>
      <c r="J65" s="90"/>
      <c r="K65" s="90"/>
      <c r="L65" s="94"/>
      <c r="M65" s="94"/>
      <c r="N65" s="95"/>
      <c r="O65" s="385"/>
    </row>
    <row r="66" spans="1:15" ht="21" customHeight="1">
      <c r="A66" s="188" t="s">
        <v>62</v>
      </c>
      <c r="B66" s="188"/>
      <c r="C66" s="188"/>
      <c r="D66" s="188"/>
      <c r="E66" s="387"/>
      <c r="F66" s="387"/>
      <c r="G66" s="387"/>
      <c r="H66" s="387"/>
      <c r="I66" s="387"/>
      <c r="J66" s="388" t="s">
        <v>33</v>
      </c>
      <c r="K66" s="388"/>
      <c r="L66" s="388"/>
      <c r="M66" s="388"/>
      <c r="N66" s="388"/>
      <c r="O66" s="385"/>
    </row>
    <row r="67" spans="1:15" ht="21" customHeight="1">
      <c r="A67" s="176"/>
      <c r="B67" s="176"/>
      <c r="C67" s="176"/>
      <c r="D67" s="387"/>
      <c r="E67" s="387"/>
      <c r="F67" s="387"/>
      <c r="G67" s="387"/>
      <c r="H67" s="389"/>
      <c r="I67" s="389"/>
      <c r="J67" s="389"/>
      <c r="K67" s="389"/>
      <c r="L67" s="389"/>
      <c r="M67" s="389"/>
      <c r="N67" s="389"/>
      <c r="O67" s="385"/>
    </row>
    <row r="68" spans="1:15" ht="21" customHeight="1">
      <c r="A68" s="176"/>
      <c r="B68" s="176"/>
      <c r="C68" s="176"/>
      <c r="D68" s="387"/>
      <c r="E68" s="387"/>
      <c r="F68" s="387"/>
      <c r="G68" s="387"/>
      <c r="H68" s="389"/>
      <c r="I68" s="389"/>
      <c r="J68" s="389"/>
      <c r="K68" s="389"/>
      <c r="L68" s="389"/>
      <c r="M68" s="389"/>
      <c r="N68" s="389"/>
      <c r="O68" s="385"/>
    </row>
    <row r="69" spans="1:15" ht="21" customHeight="1">
      <c r="A69" s="176"/>
      <c r="B69" s="176"/>
      <c r="C69" s="176"/>
      <c r="D69" s="387"/>
      <c r="E69" s="387"/>
      <c r="F69" s="387"/>
      <c r="G69" s="387"/>
      <c r="H69" s="389"/>
      <c r="I69" s="389"/>
      <c r="J69" s="390" t="s">
        <v>124</v>
      </c>
      <c r="K69" s="390"/>
      <c r="L69" s="390"/>
      <c r="M69" s="390"/>
      <c r="N69" s="390"/>
      <c r="O69" s="385"/>
    </row>
    <row r="70" spans="1:15" ht="21" customHeight="1">
      <c r="A70" s="180" t="s">
        <v>91</v>
      </c>
      <c r="B70" s="180"/>
      <c r="C70" s="180"/>
      <c r="D70" s="180"/>
      <c r="E70" s="387"/>
      <c r="F70" s="387"/>
      <c r="G70" s="387"/>
      <c r="H70" s="389"/>
      <c r="I70" s="389"/>
      <c r="O70" s="385"/>
    </row>
    <row r="71" spans="1:15" ht="19.2" customHeight="1">
      <c r="A71" s="176"/>
      <c r="B71" s="176"/>
      <c r="C71" s="176"/>
      <c r="D71" s="387"/>
      <c r="E71" s="387"/>
      <c r="F71" s="387"/>
      <c r="G71" s="387"/>
      <c r="H71" s="389"/>
      <c r="I71" s="389"/>
      <c r="J71" s="389"/>
      <c r="K71" s="389"/>
      <c r="L71" s="389"/>
      <c r="M71" s="389"/>
      <c r="N71" s="389"/>
      <c r="O71" s="385"/>
    </row>
    <row r="72" spans="1:15" ht="19.2" customHeight="1">
      <c r="A72" s="176"/>
      <c r="B72" s="176"/>
      <c r="C72" s="176"/>
      <c r="D72" s="387"/>
      <c r="E72" s="387"/>
      <c r="F72" s="387"/>
      <c r="G72" s="387"/>
      <c r="H72" s="389"/>
      <c r="I72" s="389"/>
      <c r="J72" s="389"/>
      <c r="K72" s="389"/>
      <c r="L72" s="389"/>
      <c r="M72" s="389"/>
      <c r="N72" s="389"/>
      <c r="O72" s="385"/>
    </row>
    <row r="73" spans="1:15" ht="19.2" customHeight="1">
      <c r="A73" s="176"/>
      <c r="B73" s="176"/>
      <c r="C73" s="176"/>
      <c r="D73" s="387"/>
      <c r="E73" s="387"/>
      <c r="F73" s="387"/>
      <c r="G73" s="387"/>
      <c r="H73" s="389"/>
      <c r="I73" s="389"/>
      <c r="J73" s="390" t="s">
        <v>127</v>
      </c>
      <c r="K73" s="390"/>
      <c r="L73" s="390"/>
      <c r="M73" s="390"/>
      <c r="N73" s="390"/>
      <c r="O73" s="385"/>
    </row>
    <row r="74" spans="1:15" ht="19.2" customHeight="1">
      <c r="A74" s="176"/>
      <c r="B74" s="176"/>
      <c r="C74" s="176"/>
      <c r="D74" s="387"/>
      <c r="E74" s="387"/>
      <c r="F74" s="387"/>
      <c r="G74" s="387"/>
      <c r="H74" s="389"/>
      <c r="I74" s="389"/>
      <c r="J74" s="389"/>
      <c r="K74" s="389"/>
      <c r="L74" s="389"/>
      <c r="M74" s="389"/>
      <c r="N74" s="389"/>
      <c r="O74" s="385"/>
    </row>
    <row r="75" spans="1:15" ht="19.2" customHeight="1">
      <c r="A75" s="176"/>
      <c r="B75" s="176"/>
      <c r="C75" s="176"/>
      <c r="D75" s="387"/>
      <c r="E75" s="387"/>
      <c r="F75" s="387"/>
      <c r="G75" s="387"/>
      <c r="H75" s="389"/>
      <c r="I75" s="389"/>
      <c r="J75" s="389"/>
      <c r="K75" s="389"/>
      <c r="L75" s="389"/>
      <c r="M75" s="389"/>
      <c r="N75" s="389"/>
      <c r="O75" s="385"/>
    </row>
    <row r="76" spans="1:15" ht="19.2" customHeight="1">
      <c r="A76" s="176"/>
      <c r="B76" s="176"/>
      <c r="C76" s="176"/>
      <c r="D76" s="387"/>
      <c r="E76" s="387"/>
      <c r="F76" s="387"/>
      <c r="G76" s="387"/>
      <c r="H76" s="389"/>
      <c r="I76" s="389"/>
      <c r="J76" s="389"/>
      <c r="K76" s="389"/>
      <c r="L76" s="389"/>
      <c r="M76" s="389"/>
      <c r="N76" s="389"/>
      <c r="O76" s="385"/>
    </row>
    <row r="77" spans="1:15" ht="19.2" customHeight="1">
      <c r="A77" s="176"/>
      <c r="B77" s="176"/>
      <c r="C77" s="176"/>
      <c r="D77" s="387"/>
      <c r="E77" s="387"/>
      <c r="F77" s="387"/>
      <c r="G77" s="387"/>
      <c r="H77" s="389"/>
      <c r="I77" s="389"/>
      <c r="J77" s="389"/>
      <c r="K77" s="389"/>
      <c r="L77" s="389"/>
      <c r="M77" s="389"/>
      <c r="N77" s="389"/>
      <c r="O77" s="385"/>
    </row>
    <row r="78" spans="1:15" ht="19.2" customHeight="1">
      <c r="A78" s="176"/>
      <c r="B78" s="176"/>
      <c r="C78" s="176"/>
      <c r="D78" s="387"/>
      <c r="E78" s="387"/>
      <c r="F78" s="387"/>
      <c r="G78" s="387"/>
      <c r="H78" s="389"/>
      <c r="I78" s="389"/>
      <c r="J78" s="389"/>
      <c r="K78" s="389"/>
      <c r="L78" s="389"/>
      <c r="M78" s="389"/>
      <c r="N78" s="389"/>
      <c r="O78" s="385"/>
    </row>
    <row r="79" spans="1:15" ht="19.2" customHeight="1">
      <c r="A79" s="176"/>
      <c r="B79" s="176"/>
      <c r="C79" s="176"/>
      <c r="D79" s="387"/>
      <c r="E79" s="387"/>
      <c r="F79" s="387"/>
      <c r="G79" s="387"/>
      <c r="H79" s="389"/>
      <c r="I79" s="389"/>
      <c r="J79" s="389"/>
      <c r="K79" s="389"/>
      <c r="L79" s="389"/>
      <c r="M79" s="389"/>
      <c r="N79" s="389"/>
      <c r="O79" s="385"/>
    </row>
    <row r="80" spans="1:15" ht="19.2" customHeight="1">
      <c r="A80" s="176"/>
      <c r="B80" s="176"/>
      <c r="C80" s="176"/>
      <c r="D80" s="387"/>
      <c r="E80" s="387"/>
      <c r="F80" s="387"/>
      <c r="G80" s="387"/>
      <c r="H80" s="389"/>
      <c r="I80" s="389"/>
      <c r="J80" s="389"/>
      <c r="K80" s="389"/>
      <c r="L80" s="389"/>
      <c r="M80" s="389"/>
      <c r="N80" s="389"/>
      <c r="O80" s="385"/>
    </row>
    <row r="81" spans="1:20" ht="19.2" customHeight="1">
      <c r="A81" s="176"/>
      <c r="B81" s="176"/>
      <c r="C81" s="176"/>
      <c r="D81" s="387"/>
      <c r="E81" s="387"/>
      <c r="F81" s="387"/>
      <c r="G81" s="387"/>
      <c r="H81" s="389"/>
      <c r="I81" s="389"/>
      <c r="J81" s="389"/>
      <c r="K81" s="389"/>
      <c r="L81" s="389"/>
      <c r="M81" s="389"/>
      <c r="N81" s="389"/>
      <c r="O81" s="385"/>
    </row>
    <row r="82" spans="1:20" ht="19.2" customHeight="1">
      <c r="A82" s="176"/>
      <c r="B82" s="176"/>
      <c r="C82" s="176"/>
      <c r="D82" s="387"/>
      <c r="E82" s="387"/>
      <c r="F82" s="387"/>
      <c r="G82" s="387"/>
      <c r="H82" s="389"/>
      <c r="I82" s="389"/>
      <c r="J82" s="389"/>
      <c r="K82" s="389"/>
      <c r="L82" s="389"/>
      <c r="M82" s="389"/>
      <c r="N82" s="389"/>
      <c r="O82" s="385"/>
    </row>
    <row r="83" spans="1:20" ht="19.2" customHeight="1">
      <c r="A83" s="176"/>
      <c r="B83" s="176"/>
      <c r="C83" s="176"/>
      <c r="D83" s="387"/>
      <c r="E83" s="387"/>
      <c r="F83" s="387"/>
      <c r="G83" s="387"/>
      <c r="H83" s="389"/>
      <c r="I83" s="389"/>
      <c r="J83" s="389"/>
      <c r="K83" s="389"/>
      <c r="L83" s="389"/>
      <c r="M83" s="389"/>
      <c r="N83" s="389"/>
      <c r="O83" s="385"/>
    </row>
    <row r="84" spans="1:20" ht="19.2" customHeight="1">
      <c r="A84" s="11" t="s">
        <v>61</v>
      </c>
      <c r="B84" s="8"/>
      <c r="C84" s="8"/>
      <c r="D84" s="8"/>
      <c r="E84" s="8"/>
      <c r="F84" s="293" t="s">
        <v>32</v>
      </c>
      <c r="G84" s="293"/>
      <c r="H84" s="293"/>
      <c r="I84" s="293"/>
      <c r="J84" s="293"/>
      <c r="K84" s="293"/>
      <c r="L84" s="293"/>
      <c r="M84" s="293"/>
      <c r="N84" s="293"/>
      <c r="O84" s="371"/>
      <c r="P84" s="371"/>
      <c r="T84" s="2"/>
    </row>
    <row r="85" spans="1:20" ht="19.2" customHeight="1">
      <c r="A85" s="8" t="s">
        <v>210</v>
      </c>
      <c r="B85" s="8"/>
      <c r="C85" s="8"/>
      <c r="D85" s="8"/>
      <c r="E85" s="8"/>
      <c r="F85" s="173"/>
      <c r="G85" s="173"/>
      <c r="H85" s="173"/>
      <c r="I85" s="173"/>
      <c r="J85" s="173"/>
      <c r="K85" s="173"/>
      <c r="L85" s="173"/>
      <c r="M85" s="173"/>
      <c r="N85" s="173"/>
      <c r="O85" s="371"/>
      <c r="P85" s="371"/>
      <c r="T85" s="2"/>
    </row>
    <row r="86" spans="1:20" s="2" customFormat="1" ht="19.2" customHeight="1">
      <c r="A86" s="195" t="s">
        <v>97</v>
      </c>
      <c r="B86" s="195"/>
      <c r="C86" s="195"/>
      <c r="D86" s="195"/>
      <c r="E86" s="195" t="s">
        <v>89</v>
      </c>
      <c r="F86" s="195"/>
      <c r="G86" s="195"/>
      <c r="H86" s="195"/>
      <c r="I86" s="195"/>
      <c r="J86" s="195"/>
      <c r="K86" s="195"/>
      <c r="L86" s="195"/>
      <c r="M86" s="195"/>
      <c r="N86" s="195"/>
      <c r="O86" s="372"/>
    </row>
    <row r="87" spans="1:20" s="2" customFormat="1" ht="19.2" customHeight="1">
      <c r="A87" s="195"/>
      <c r="B87" s="195"/>
      <c r="C87" s="195"/>
      <c r="D87" s="195"/>
      <c r="E87" s="195" t="s">
        <v>100</v>
      </c>
      <c r="F87" s="195"/>
      <c r="G87" s="195"/>
      <c r="H87" s="195"/>
      <c r="I87" s="195"/>
      <c r="J87" s="195" t="s">
        <v>101</v>
      </c>
      <c r="K87" s="195"/>
      <c r="L87" s="195"/>
      <c r="M87" s="195"/>
      <c r="N87" s="195"/>
      <c r="O87" s="372"/>
    </row>
    <row r="88" spans="1:20" s="2" customFormat="1" ht="19.2" customHeight="1">
      <c r="A88" s="196" t="s">
        <v>90</v>
      </c>
      <c r="B88" s="196"/>
      <c r="C88" s="196"/>
      <c r="D88" s="196"/>
      <c r="E88" s="199" t="s">
        <v>76</v>
      </c>
      <c r="F88" s="199"/>
      <c r="G88" s="199"/>
      <c r="H88" s="199"/>
      <c r="I88" s="199"/>
      <c r="J88" s="330" t="s">
        <v>90</v>
      </c>
      <c r="K88" s="331"/>
      <c r="L88" s="331"/>
      <c r="M88" s="331"/>
      <c r="N88" s="332"/>
      <c r="O88" s="372"/>
    </row>
    <row r="89" spans="1:20" s="2" customFormat="1" ht="19.2" customHeight="1">
      <c r="A89" s="232" t="s">
        <v>162</v>
      </c>
      <c r="B89" s="233"/>
      <c r="C89" s="233"/>
      <c r="D89" s="234"/>
      <c r="E89" s="199"/>
      <c r="F89" s="199"/>
      <c r="G89" s="199"/>
      <c r="H89" s="199"/>
      <c r="I89" s="199"/>
      <c r="J89" s="232" t="s">
        <v>163</v>
      </c>
      <c r="K89" s="233"/>
      <c r="L89" s="233"/>
      <c r="M89" s="233"/>
      <c r="N89" s="234"/>
      <c r="O89" s="372"/>
    </row>
    <row r="90" spans="1:20" s="2" customFormat="1" ht="19.2" customHeight="1">
      <c r="A90" s="198" t="s">
        <v>159</v>
      </c>
      <c r="B90" s="198"/>
      <c r="C90" s="198"/>
      <c r="D90" s="198"/>
      <c r="E90" s="199"/>
      <c r="F90" s="199"/>
      <c r="G90" s="199"/>
      <c r="H90" s="199"/>
      <c r="I90" s="199"/>
      <c r="J90" s="333" t="s">
        <v>164</v>
      </c>
      <c r="K90" s="334"/>
      <c r="L90" s="334"/>
      <c r="M90" s="334"/>
      <c r="N90" s="335"/>
      <c r="O90" s="372"/>
    </row>
    <row r="91" spans="1:20" ht="19.2" customHeight="1">
      <c r="A91" s="229" t="s">
        <v>122</v>
      </c>
      <c r="B91" s="230"/>
      <c r="C91" s="231"/>
      <c r="D91" s="128">
        <v>59</v>
      </c>
      <c r="E91" s="8"/>
      <c r="F91" s="173"/>
      <c r="G91" s="173"/>
      <c r="H91" s="173"/>
      <c r="I91" s="173"/>
      <c r="J91" s="173"/>
      <c r="K91" s="173"/>
      <c r="L91" s="173"/>
      <c r="M91" s="173"/>
      <c r="N91" s="173"/>
      <c r="O91" s="371"/>
      <c r="P91" s="371"/>
      <c r="T91" s="2"/>
    </row>
    <row r="92" spans="1:20" ht="19.2" customHeight="1">
      <c r="A92" s="209" t="s">
        <v>66</v>
      </c>
      <c r="B92" s="212" t="s">
        <v>19</v>
      </c>
      <c r="C92" s="320" t="s">
        <v>8</v>
      </c>
      <c r="D92" s="215" t="s">
        <v>9</v>
      </c>
      <c r="E92" s="218" t="s">
        <v>11</v>
      </c>
      <c r="F92" s="219"/>
      <c r="G92" s="218" t="s">
        <v>13</v>
      </c>
      <c r="H92" s="219"/>
      <c r="I92" s="222" t="s">
        <v>16</v>
      </c>
      <c r="J92" s="222" t="s">
        <v>41</v>
      </c>
      <c r="K92" s="222" t="s">
        <v>42</v>
      </c>
      <c r="L92" s="222" t="s">
        <v>17</v>
      </c>
      <c r="M92" s="222" t="s">
        <v>56</v>
      </c>
      <c r="N92" s="209" t="s">
        <v>18</v>
      </c>
      <c r="O92" s="373"/>
    </row>
    <row r="93" spans="1:20" ht="19.2" customHeight="1">
      <c r="A93" s="210"/>
      <c r="B93" s="213"/>
      <c r="C93" s="321"/>
      <c r="D93" s="216"/>
      <c r="E93" s="220"/>
      <c r="F93" s="221"/>
      <c r="G93" s="220"/>
      <c r="H93" s="221"/>
      <c r="I93" s="223"/>
      <c r="J93" s="223"/>
      <c r="K93" s="223"/>
      <c r="L93" s="223"/>
      <c r="M93" s="223"/>
      <c r="N93" s="210"/>
      <c r="O93" s="176"/>
    </row>
    <row r="94" spans="1:20" ht="19.2" customHeight="1">
      <c r="A94" s="210"/>
      <c r="B94" s="213"/>
      <c r="C94" s="321"/>
      <c r="D94" s="216"/>
      <c r="E94" s="222" t="s">
        <v>10</v>
      </c>
      <c r="F94" s="222" t="s">
        <v>12</v>
      </c>
      <c r="G94" s="222" t="s">
        <v>14</v>
      </c>
      <c r="H94" s="222" t="s">
        <v>15</v>
      </c>
      <c r="I94" s="223"/>
      <c r="J94" s="223"/>
      <c r="K94" s="223"/>
      <c r="L94" s="223"/>
      <c r="M94" s="223"/>
      <c r="N94" s="210"/>
      <c r="O94" s="176"/>
    </row>
    <row r="95" spans="1:20" ht="19.2" customHeight="1">
      <c r="A95" s="211"/>
      <c r="B95" s="214"/>
      <c r="C95" s="322"/>
      <c r="D95" s="217"/>
      <c r="E95" s="224"/>
      <c r="F95" s="224"/>
      <c r="G95" s="224"/>
      <c r="H95" s="224"/>
      <c r="I95" s="224"/>
      <c r="J95" s="224"/>
      <c r="K95" s="224"/>
      <c r="L95" s="224"/>
      <c r="M95" s="224"/>
      <c r="N95" s="211"/>
      <c r="O95" s="176"/>
    </row>
    <row r="96" spans="1:20" ht="19.2" customHeight="1">
      <c r="A96" s="238" t="s">
        <v>39</v>
      </c>
      <c r="B96" s="239"/>
      <c r="C96" s="239"/>
      <c r="D96" s="239"/>
      <c r="E96" s="239"/>
      <c r="F96" s="239"/>
      <c r="G96" s="239"/>
      <c r="H96" s="239"/>
      <c r="I96" s="239"/>
      <c r="J96" s="239"/>
      <c r="K96" s="239"/>
      <c r="L96" s="239"/>
      <c r="M96" s="239"/>
      <c r="N96" s="240"/>
      <c r="O96" s="176"/>
    </row>
    <row r="97" spans="1:23" s="2" customFormat="1" ht="19.2" customHeight="1">
      <c r="A97" s="9">
        <v>1</v>
      </c>
      <c r="B97" s="10" t="s">
        <v>2</v>
      </c>
      <c r="C97" s="23">
        <f>L97/100*100</f>
        <v>80</v>
      </c>
      <c r="D97" s="24">
        <f>C97/100*60</f>
        <v>48</v>
      </c>
      <c r="E97" s="25">
        <f>C97/100*15</f>
        <v>12</v>
      </c>
      <c r="F97" s="25"/>
      <c r="G97" s="25"/>
      <c r="H97" s="25"/>
      <c r="I97" s="25"/>
      <c r="J97" s="27">
        <f>C97/100*387</f>
        <v>309.60000000000002</v>
      </c>
      <c r="K97" s="27">
        <f>C97/100*0.09</f>
        <v>7.1999999999999995E-2</v>
      </c>
      <c r="L97" s="137">
        <v>80</v>
      </c>
      <c r="M97" s="75">
        <v>20</v>
      </c>
      <c r="N97" s="28">
        <f>L97*M97</f>
        <v>1600</v>
      </c>
      <c r="O97" s="153"/>
    </row>
    <row r="98" spans="1:23" s="2" customFormat="1" ht="19.2" customHeight="1">
      <c r="A98" s="9">
        <v>2</v>
      </c>
      <c r="B98" s="146" t="s">
        <v>141</v>
      </c>
      <c r="C98" s="23">
        <f>L98/100*100</f>
        <v>380</v>
      </c>
      <c r="D98" s="24">
        <f>C98/100*899</f>
        <v>3416.2</v>
      </c>
      <c r="E98" s="25"/>
      <c r="F98" s="25"/>
      <c r="G98" s="25">
        <f>C98/100*100</f>
        <v>380</v>
      </c>
      <c r="H98" s="25"/>
      <c r="I98" s="25"/>
      <c r="J98" s="25"/>
      <c r="K98" s="25"/>
      <c r="L98" s="137">
        <v>380</v>
      </c>
      <c r="M98" s="144">
        <v>68</v>
      </c>
      <c r="N98" s="28">
        <f t="shared" ref="N98:N105" si="5">L98*M98</f>
        <v>25840</v>
      </c>
      <c r="O98" s="377"/>
    </row>
    <row r="99" spans="1:23" s="2" customFormat="1" ht="19.2" customHeight="1">
      <c r="A99" s="9">
        <v>3</v>
      </c>
      <c r="B99" s="5" t="s">
        <v>1</v>
      </c>
      <c r="C99" s="23">
        <f>L99/100*100</f>
        <v>2494</v>
      </c>
      <c r="D99" s="24">
        <f>C99/100*344</f>
        <v>8579.36</v>
      </c>
      <c r="E99" s="25"/>
      <c r="F99" s="119">
        <f>C99/100*7.9</f>
        <v>197.02600000000001</v>
      </c>
      <c r="G99" s="25"/>
      <c r="H99" s="25">
        <f>C99/100*1</f>
        <v>24.94</v>
      </c>
      <c r="I99" s="25">
        <f>C99/100*73</f>
        <v>1820.6200000000001</v>
      </c>
      <c r="J99" s="27">
        <f>C99/100*30</f>
        <v>748.2</v>
      </c>
      <c r="K99" s="27">
        <f>C99/100*0.1</f>
        <v>2.4940000000000002</v>
      </c>
      <c r="L99" s="137">
        <v>2494</v>
      </c>
      <c r="M99" s="75">
        <v>18</v>
      </c>
      <c r="N99" s="28">
        <f t="shared" si="5"/>
        <v>44892</v>
      </c>
      <c r="O99" s="153"/>
    </row>
    <row r="100" spans="1:23" s="2" customFormat="1" ht="19.2" customHeight="1">
      <c r="A100" s="9">
        <v>4</v>
      </c>
      <c r="B100" s="10" t="s">
        <v>71</v>
      </c>
      <c r="C100" s="23">
        <f>L100/100*98</f>
        <v>1254.4000000000001</v>
      </c>
      <c r="D100" s="24">
        <f>C100/100*139</f>
        <v>1743.616</v>
      </c>
      <c r="E100" s="119">
        <f>C100/100*19</f>
        <v>238.33600000000001</v>
      </c>
      <c r="F100" s="25"/>
      <c r="G100" s="25">
        <f>C100/100*7</f>
        <v>87.808000000000007</v>
      </c>
      <c r="H100" s="25"/>
      <c r="I100" s="25"/>
      <c r="J100" s="27">
        <f>C100/100*7</f>
        <v>87.808000000000007</v>
      </c>
      <c r="K100" s="27">
        <f>C100/100*0.9</f>
        <v>11.2896</v>
      </c>
      <c r="L100" s="137">
        <v>1280</v>
      </c>
      <c r="M100" s="143">
        <v>137</v>
      </c>
      <c r="N100" s="124">
        <f t="shared" si="5"/>
        <v>175360</v>
      </c>
      <c r="O100" s="153"/>
    </row>
    <row r="101" spans="1:23" s="2" customFormat="1" ht="19.2" customHeight="1">
      <c r="A101" s="9">
        <v>5</v>
      </c>
      <c r="B101" s="5" t="s">
        <v>30</v>
      </c>
      <c r="C101" s="23">
        <f>L101/100*88</f>
        <v>1425.6</v>
      </c>
      <c r="D101" s="24">
        <f>C101/100*184</f>
        <v>2623.1039999999998</v>
      </c>
      <c r="E101" s="119">
        <f>C101/100*13</f>
        <v>185.32799999999997</v>
      </c>
      <c r="F101" s="25"/>
      <c r="G101" s="25">
        <f>C101/100*14.2</f>
        <v>202.43519999999998</v>
      </c>
      <c r="H101" s="25"/>
      <c r="I101" s="25">
        <f>C101/100*1</f>
        <v>14.255999999999998</v>
      </c>
      <c r="J101" s="27">
        <f>C101/100*71</f>
        <v>1012.1759999999999</v>
      </c>
      <c r="K101" s="27">
        <f>C101/100*0.15</f>
        <v>2.1383999999999999</v>
      </c>
      <c r="L101" s="137">
        <v>1620</v>
      </c>
      <c r="M101" s="26">
        <v>62</v>
      </c>
      <c r="N101" s="124">
        <f t="shared" si="5"/>
        <v>100440</v>
      </c>
      <c r="O101" s="153"/>
      <c r="Q101" s="3"/>
      <c r="R101" s="3"/>
      <c r="S101" s="4"/>
    </row>
    <row r="102" spans="1:23" s="2" customFormat="1" ht="19.2" customHeight="1">
      <c r="A102" s="9">
        <v>5</v>
      </c>
      <c r="B102" s="10" t="s">
        <v>143</v>
      </c>
      <c r="C102" s="23">
        <f>L102/100*43</f>
        <v>382.7</v>
      </c>
      <c r="D102" s="24">
        <f>C102/100*83</f>
        <v>317.64100000000002</v>
      </c>
      <c r="E102" s="25">
        <f>C102/100*7.7</f>
        <v>29.4679</v>
      </c>
      <c r="F102" s="25"/>
      <c r="G102" s="25">
        <f>C102/100*5.5</f>
        <v>21.048500000000001</v>
      </c>
      <c r="H102" s="25"/>
      <c r="I102" s="25"/>
      <c r="J102" s="27"/>
      <c r="K102" s="27"/>
      <c r="L102" s="137">
        <v>890</v>
      </c>
      <c r="M102" s="143">
        <v>137</v>
      </c>
      <c r="N102" s="168">
        <f>L102*M102</f>
        <v>121930</v>
      </c>
      <c r="O102" s="153"/>
    </row>
    <row r="103" spans="1:23" s="2" customFormat="1" ht="19.2" customHeight="1">
      <c r="A103" s="9">
        <v>9</v>
      </c>
      <c r="B103" s="5" t="s">
        <v>142</v>
      </c>
      <c r="C103" s="23">
        <f>L103/100*87</f>
        <v>1200.6000000000001</v>
      </c>
      <c r="D103" s="24">
        <f>C103/100*21</f>
        <v>252.12600000000003</v>
      </c>
      <c r="E103" s="29"/>
      <c r="F103" s="29">
        <f>C103/100*1.5</f>
        <v>18.009000000000004</v>
      </c>
      <c r="G103" s="29"/>
      <c r="H103" s="29">
        <f>C103/100*0.1</f>
        <v>1.2006000000000003</v>
      </c>
      <c r="I103" s="29">
        <f>C103/100*3.6</f>
        <v>43.221600000000009</v>
      </c>
      <c r="J103" s="29">
        <f>C103/100*40</f>
        <v>480.24000000000007</v>
      </c>
      <c r="K103" s="29">
        <f>C103/100*0.06</f>
        <v>0.72036000000000011</v>
      </c>
      <c r="L103" s="374">
        <v>1380</v>
      </c>
      <c r="M103" s="26">
        <v>18</v>
      </c>
      <c r="N103" s="135">
        <f t="shared" ref="N103:N104" si="6">L103*M103</f>
        <v>24840</v>
      </c>
      <c r="O103" s="153"/>
      <c r="Q103" s="3"/>
      <c r="R103" s="3"/>
      <c r="S103" s="4"/>
    </row>
    <row r="104" spans="1:23" s="2" customFormat="1" ht="19.2" customHeight="1">
      <c r="A104" s="9">
        <v>8</v>
      </c>
      <c r="B104" s="5" t="s">
        <v>4</v>
      </c>
      <c r="C104" s="23">
        <f>L104/100*98.5</f>
        <v>443.25</v>
      </c>
      <c r="D104" s="24">
        <f>C104/100*39</f>
        <v>172.86750000000001</v>
      </c>
      <c r="E104" s="29"/>
      <c r="F104" s="29">
        <f>C104/100*1.5</f>
        <v>6.6487499999999997</v>
      </c>
      <c r="G104" s="29"/>
      <c r="H104" s="29">
        <f>C104/100*0.2</f>
        <v>0.88650000000000007</v>
      </c>
      <c r="I104" s="29">
        <f>C104/100*7.8</f>
        <v>34.573500000000003</v>
      </c>
      <c r="J104" s="29">
        <f>C104/100*43</f>
        <v>190.5975</v>
      </c>
      <c r="K104" s="29">
        <f>C104/100*0.06</f>
        <v>0.26595000000000002</v>
      </c>
      <c r="L104" s="374">
        <v>450</v>
      </c>
      <c r="M104" s="26">
        <v>17</v>
      </c>
      <c r="N104" s="135">
        <f t="shared" si="6"/>
        <v>7650</v>
      </c>
      <c r="O104" s="153"/>
      <c r="Q104" s="3"/>
      <c r="R104" s="3"/>
      <c r="S104" s="4"/>
    </row>
    <row r="105" spans="1:23" s="2" customFormat="1" ht="19.2" customHeight="1">
      <c r="A105" s="9">
        <v>9</v>
      </c>
      <c r="B105" s="5" t="s">
        <v>136</v>
      </c>
      <c r="C105" s="23">
        <f>L105/100*100</f>
        <v>40</v>
      </c>
      <c r="D105" s="24">
        <f>C105/100*247</f>
        <v>98.800000000000011</v>
      </c>
      <c r="E105" s="29"/>
      <c r="F105" s="29">
        <f>C105/100*17.5</f>
        <v>7</v>
      </c>
      <c r="G105" s="29"/>
      <c r="H105" s="29">
        <f>C105/100*1.6</f>
        <v>0.64000000000000012</v>
      </c>
      <c r="I105" s="29">
        <f>C105/100*39.2</f>
        <v>15.680000000000001</v>
      </c>
      <c r="J105" s="71"/>
      <c r="K105" s="71"/>
      <c r="L105" s="374">
        <v>40</v>
      </c>
      <c r="M105" s="75">
        <v>50</v>
      </c>
      <c r="N105" s="28">
        <f t="shared" si="5"/>
        <v>2000</v>
      </c>
      <c r="O105" s="153"/>
      <c r="Q105" s="3"/>
      <c r="R105" s="3"/>
      <c r="S105" s="4"/>
      <c r="T105" s="3"/>
    </row>
    <row r="106" spans="1:23" s="2" customFormat="1" ht="19.2" customHeight="1">
      <c r="A106" s="80">
        <v>10</v>
      </c>
      <c r="B106" s="6" t="s">
        <v>123</v>
      </c>
      <c r="C106" s="23"/>
      <c r="D106" s="24"/>
      <c r="E106" s="25"/>
      <c r="F106" s="25"/>
      <c r="G106" s="25"/>
      <c r="H106" s="25"/>
      <c r="I106" s="25"/>
      <c r="J106" s="27"/>
      <c r="K106" s="27"/>
      <c r="L106" s="26"/>
      <c r="M106" s="26"/>
      <c r="N106" s="28">
        <v>3950</v>
      </c>
      <c r="O106" s="153"/>
    </row>
    <row r="107" spans="1:23" s="2" customFormat="1" ht="19.2" customHeight="1">
      <c r="A107" s="21" t="s">
        <v>118</v>
      </c>
      <c r="B107" s="22"/>
      <c r="C107" s="34"/>
      <c r="D107" s="121">
        <f>SUM(D97:D106)</f>
        <v>17251.714500000002</v>
      </c>
      <c r="E107" s="43"/>
      <c r="F107" s="43"/>
      <c r="G107" s="43"/>
      <c r="H107" s="43"/>
      <c r="I107" s="43"/>
      <c r="J107" s="43"/>
      <c r="K107" s="43"/>
      <c r="L107" s="44"/>
      <c r="M107" s="308"/>
      <c r="N107" s="336">
        <f>SUM(N97:N106)</f>
        <v>508502</v>
      </c>
      <c r="O107" s="153"/>
    </row>
    <row r="108" spans="1:23" ht="19.2" customHeight="1">
      <c r="A108" s="21" t="s">
        <v>37</v>
      </c>
      <c r="B108" s="22"/>
      <c r="C108" s="45"/>
      <c r="D108" s="46">
        <f>D107/D91</f>
        <v>292.40194067796614</v>
      </c>
      <c r="E108" s="46"/>
      <c r="F108" s="46"/>
      <c r="G108" s="46"/>
      <c r="H108" s="46"/>
      <c r="I108" s="46"/>
      <c r="J108" s="46"/>
      <c r="K108" s="46"/>
      <c r="L108" s="47"/>
      <c r="M108" s="309"/>
      <c r="N108" s="337"/>
      <c r="O108" s="4"/>
      <c r="P108" s="2"/>
      <c r="Q108" s="2"/>
      <c r="R108" s="2"/>
      <c r="S108" s="2"/>
      <c r="T108" s="2"/>
      <c r="U108" s="2"/>
      <c r="V108" s="2"/>
    </row>
    <row r="109" spans="1:23" ht="19.2" customHeight="1">
      <c r="A109" s="294" t="s">
        <v>53</v>
      </c>
      <c r="B109" s="226"/>
      <c r="C109" s="376" t="s">
        <v>151</v>
      </c>
      <c r="D109" s="20" t="s">
        <v>45</v>
      </c>
      <c r="E109" s="46"/>
      <c r="F109" s="46"/>
      <c r="G109" s="46"/>
      <c r="H109" s="46"/>
      <c r="I109" s="46"/>
      <c r="J109" s="48"/>
      <c r="K109" s="48"/>
      <c r="L109" s="47"/>
      <c r="M109" s="47"/>
      <c r="N109" s="177"/>
      <c r="O109" s="4"/>
      <c r="P109" s="2"/>
      <c r="Q109" s="2"/>
      <c r="R109" s="2"/>
      <c r="S109" s="2"/>
      <c r="T109" s="2"/>
      <c r="U109" s="2"/>
      <c r="V109" s="2"/>
      <c r="W109" s="2"/>
    </row>
    <row r="110" spans="1:23" ht="19.2" customHeight="1">
      <c r="A110" s="227"/>
      <c r="B110" s="228"/>
      <c r="C110" s="76" t="s">
        <v>60</v>
      </c>
      <c r="D110" s="78">
        <f>D108*100/930</f>
        <v>31.441068890103885</v>
      </c>
      <c r="E110" s="46"/>
      <c r="F110" s="46"/>
      <c r="G110" s="46"/>
      <c r="H110" s="46"/>
      <c r="I110" s="46"/>
      <c r="J110" s="48"/>
      <c r="K110" s="48"/>
      <c r="L110" s="47"/>
      <c r="M110" s="47"/>
      <c r="N110" s="177"/>
      <c r="O110" s="4"/>
      <c r="P110" s="2"/>
      <c r="Q110" s="2"/>
      <c r="R110" s="2"/>
      <c r="S110" s="2"/>
      <c r="T110" s="2"/>
      <c r="U110" s="2"/>
      <c r="V110" s="2"/>
      <c r="W110" s="2"/>
    </row>
    <row r="111" spans="1:23" s="2" customFormat="1" ht="19.2" customHeight="1">
      <c r="A111" s="236" t="s">
        <v>38</v>
      </c>
      <c r="B111" s="236"/>
      <c r="C111" s="56"/>
      <c r="D111" s="57"/>
      <c r="E111" s="58"/>
      <c r="F111" s="58"/>
      <c r="G111" s="58"/>
      <c r="H111" s="58"/>
      <c r="I111" s="58"/>
      <c r="J111" s="58"/>
      <c r="K111" s="58"/>
      <c r="L111" s="59"/>
      <c r="M111" s="59"/>
      <c r="N111" s="60"/>
      <c r="O111" s="153"/>
    </row>
    <row r="112" spans="1:23" s="2" customFormat="1" ht="19.2" customHeight="1">
      <c r="A112" s="9">
        <v>1</v>
      </c>
      <c r="B112" s="10" t="s">
        <v>2</v>
      </c>
      <c r="C112" s="23">
        <f>L112/100*100</f>
        <v>70</v>
      </c>
      <c r="D112" s="24">
        <f>C112/100*60</f>
        <v>42</v>
      </c>
      <c r="E112" s="25">
        <f>C112/100*15</f>
        <v>10.5</v>
      </c>
      <c r="F112" s="25"/>
      <c r="G112" s="25"/>
      <c r="H112" s="25"/>
      <c r="I112" s="25"/>
      <c r="J112" s="27">
        <f>C112/100*387</f>
        <v>270.89999999999998</v>
      </c>
      <c r="K112" s="27">
        <f>C112/100*0.09</f>
        <v>6.3E-2</v>
      </c>
      <c r="L112" s="137">
        <v>70</v>
      </c>
      <c r="M112" s="75">
        <v>20</v>
      </c>
      <c r="N112" s="28">
        <f>L112*M112</f>
        <v>1400</v>
      </c>
      <c r="O112" s="153"/>
    </row>
    <row r="113" spans="1:23" s="2" customFormat="1" ht="19.2" customHeight="1">
      <c r="A113" s="9">
        <v>2</v>
      </c>
      <c r="B113" s="150" t="s">
        <v>141</v>
      </c>
      <c r="C113" s="23">
        <f>L113/100*100</f>
        <v>90</v>
      </c>
      <c r="D113" s="24">
        <f>C113/100*899</f>
        <v>809.1</v>
      </c>
      <c r="E113" s="25"/>
      <c r="F113" s="25"/>
      <c r="G113" s="25">
        <f>C113/100*100</f>
        <v>90</v>
      </c>
      <c r="H113" s="25"/>
      <c r="I113" s="25"/>
      <c r="J113" s="27"/>
      <c r="K113" s="27"/>
      <c r="L113" s="137">
        <v>90</v>
      </c>
      <c r="M113" s="75">
        <v>68</v>
      </c>
      <c r="N113" s="28">
        <f t="shared" ref="N113:N119" si="7">L113*M113</f>
        <v>6120</v>
      </c>
      <c r="O113" s="153"/>
    </row>
    <row r="114" spans="1:23" s="2" customFormat="1" ht="19.2" customHeight="1">
      <c r="A114" s="9">
        <v>3</v>
      </c>
      <c r="B114" s="148" t="s">
        <v>146</v>
      </c>
      <c r="C114" s="23">
        <f>L114/100*100</f>
        <v>260</v>
      </c>
      <c r="D114" s="120">
        <f>C114/100*900</f>
        <v>2340</v>
      </c>
      <c r="E114" s="25"/>
      <c r="F114" s="25"/>
      <c r="G114" s="119"/>
      <c r="H114" s="25">
        <f>C114/100*100</f>
        <v>260</v>
      </c>
      <c r="I114" s="25"/>
      <c r="J114" s="25"/>
      <c r="K114" s="25"/>
      <c r="L114" s="137">
        <v>260</v>
      </c>
      <c r="M114" s="75">
        <v>63.5</v>
      </c>
      <c r="N114" s="28">
        <f t="shared" si="7"/>
        <v>16510</v>
      </c>
      <c r="O114" s="377"/>
    </row>
    <row r="115" spans="1:23" s="2" customFormat="1" ht="19.2" customHeight="1">
      <c r="A115" s="9">
        <v>4</v>
      </c>
      <c r="B115" s="149" t="s">
        <v>68</v>
      </c>
      <c r="C115" s="23">
        <f>L115/100*98</f>
        <v>225.39999999999998</v>
      </c>
      <c r="D115" s="24">
        <f>C115/100*573</f>
        <v>1291.5419999999997</v>
      </c>
      <c r="E115" s="29"/>
      <c r="F115" s="29">
        <f>C115/100*27.5</f>
        <v>61.984999999999985</v>
      </c>
      <c r="G115" s="29"/>
      <c r="H115" s="29">
        <f>C115/100*44.5</f>
        <v>100.30299999999998</v>
      </c>
      <c r="I115" s="29">
        <f>C115/100*15.5</f>
        <v>34.936999999999991</v>
      </c>
      <c r="J115" s="71">
        <f>C115/100*68</f>
        <v>153.27199999999996</v>
      </c>
      <c r="K115" s="71">
        <f>C115/100*0.44</f>
        <v>0.99175999999999986</v>
      </c>
      <c r="L115" s="374">
        <v>230</v>
      </c>
      <c r="M115" s="26">
        <v>70</v>
      </c>
      <c r="N115" s="28">
        <f t="shared" si="7"/>
        <v>16100</v>
      </c>
      <c r="O115" s="153"/>
      <c r="Q115" s="3"/>
      <c r="R115" s="3"/>
      <c r="S115" s="4"/>
    </row>
    <row r="116" spans="1:23" s="2" customFormat="1" ht="19.2" customHeight="1">
      <c r="A116" s="9">
        <v>5</v>
      </c>
      <c r="B116" s="149" t="s">
        <v>1</v>
      </c>
      <c r="C116" s="23">
        <f>L116/100*100</f>
        <v>2436</v>
      </c>
      <c r="D116" s="24">
        <f>C116/100*344</f>
        <v>8379.84</v>
      </c>
      <c r="E116" s="25"/>
      <c r="F116" s="119">
        <f>C116/100*7.9</f>
        <v>192.44400000000002</v>
      </c>
      <c r="G116" s="25"/>
      <c r="H116" s="25">
        <f>C116/100*1</f>
        <v>24.36</v>
      </c>
      <c r="I116" s="25">
        <f>C116/100*73</f>
        <v>1778.28</v>
      </c>
      <c r="J116" s="27">
        <f>C116/100*30</f>
        <v>730.8</v>
      </c>
      <c r="K116" s="27">
        <f>C116/100*0.1</f>
        <v>2.4359999999999999</v>
      </c>
      <c r="L116" s="137">
        <v>2436</v>
      </c>
      <c r="M116" s="75">
        <v>18</v>
      </c>
      <c r="N116" s="28">
        <f t="shared" si="7"/>
        <v>43848</v>
      </c>
      <c r="O116" s="153"/>
    </row>
    <row r="117" spans="1:23" s="2" customFormat="1" ht="19.2" customHeight="1">
      <c r="A117" s="9">
        <v>6</v>
      </c>
      <c r="B117" s="149" t="s">
        <v>103</v>
      </c>
      <c r="C117" s="23">
        <f>L117/100*87</f>
        <v>1409.3999999999999</v>
      </c>
      <c r="D117" s="24">
        <f>C117/100*14</f>
        <v>197.316</v>
      </c>
      <c r="E117" s="25"/>
      <c r="F117" s="25">
        <f>C117/100*1.9</f>
        <v>26.778599999999997</v>
      </c>
      <c r="G117" s="25"/>
      <c r="H117" s="25"/>
      <c r="I117" s="25">
        <f>C117/100*1.6</f>
        <v>22.5504</v>
      </c>
      <c r="J117" s="119">
        <f>C117/100*48.7</f>
        <v>686.37779999999998</v>
      </c>
      <c r="K117" s="25">
        <f>C117/100*0.03</f>
        <v>0.42281999999999997</v>
      </c>
      <c r="L117" s="26">
        <v>1620</v>
      </c>
      <c r="M117" s="75">
        <v>25</v>
      </c>
      <c r="N117" s="28">
        <f t="shared" si="7"/>
        <v>40500</v>
      </c>
      <c r="O117" s="153"/>
    </row>
    <row r="118" spans="1:23" s="2" customFormat="1" ht="19.2" customHeight="1">
      <c r="A118" s="9">
        <v>7</v>
      </c>
      <c r="B118" s="5" t="s">
        <v>136</v>
      </c>
      <c r="C118" s="23">
        <f>L118/100*100</f>
        <v>40</v>
      </c>
      <c r="D118" s="24">
        <f>C118/100*247</f>
        <v>98.800000000000011</v>
      </c>
      <c r="E118" s="29"/>
      <c r="F118" s="29">
        <f>C118/100*17.5</f>
        <v>7</v>
      </c>
      <c r="G118" s="29"/>
      <c r="H118" s="29">
        <f>C118/100*1.6</f>
        <v>0.64000000000000012</v>
      </c>
      <c r="I118" s="29">
        <f>C118/100*39.2</f>
        <v>15.680000000000001</v>
      </c>
      <c r="J118" s="71"/>
      <c r="K118" s="71"/>
      <c r="L118" s="374">
        <v>40</v>
      </c>
      <c r="M118" s="75">
        <v>50</v>
      </c>
      <c r="N118" s="28">
        <f t="shared" si="7"/>
        <v>2000</v>
      </c>
      <c r="O118" s="153"/>
      <c r="Q118" s="3"/>
      <c r="R118" s="3"/>
      <c r="S118" s="4"/>
      <c r="T118" s="3"/>
    </row>
    <row r="119" spans="1:23" s="2" customFormat="1" ht="19.2" customHeight="1">
      <c r="A119" s="9">
        <v>8</v>
      </c>
      <c r="B119" s="10" t="s">
        <v>71</v>
      </c>
      <c r="C119" s="23">
        <f>L119/100*98</f>
        <v>2567.6</v>
      </c>
      <c r="D119" s="24">
        <f>C119/100*139</f>
        <v>3568.9639999999999</v>
      </c>
      <c r="E119" s="119">
        <f>C119/100*19</f>
        <v>487.84399999999999</v>
      </c>
      <c r="F119" s="25"/>
      <c r="G119" s="25">
        <f>C119/100*7</f>
        <v>179.732</v>
      </c>
      <c r="H119" s="25"/>
      <c r="I119" s="25"/>
      <c r="J119" s="27">
        <f>C119/100*7</f>
        <v>179.732</v>
      </c>
      <c r="K119" s="27">
        <f>C119/100*0.9</f>
        <v>23.1084</v>
      </c>
      <c r="L119" s="137">
        <v>2620</v>
      </c>
      <c r="M119" s="143">
        <v>137</v>
      </c>
      <c r="N119" s="124">
        <f t="shared" si="7"/>
        <v>358940</v>
      </c>
      <c r="O119" s="153"/>
    </row>
    <row r="120" spans="1:23" s="2" customFormat="1" ht="19.2" customHeight="1">
      <c r="A120" s="80">
        <v>9</v>
      </c>
      <c r="B120" s="6" t="s">
        <v>123</v>
      </c>
      <c r="C120" s="23"/>
      <c r="D120" s="24"/>
      <c r="E120" s="25"/>
      <c r="F120" s="25"/>
      <c r="G120" s="25"/>
      <c r="H120" s="25"/>
      <c r="I120" s="25"/>
      <c r="J120" s="25"/>
      <c r="K120" s="25"/>
      <c r="L120" s="26"/>
      <c r="M120" s="26"/>
      <c r="N120" s="28">
        <v>3950</v>
      </c>
      <c r="O120" s="153"/>
    </row>
    <row r="121" spans="1:23" s="2" customFormat="1" ht="19.2" customHeight="1">
      <c r="A121" s="21" t="s">
        <v>119</v>
      </c>
      <c r="B121" s="22"/>
      <c r="C121" s="34"/>
      <c r="D121" s="121">
        <f>SUM(D112:D120)</f>
        <v>16727.561999999998</v>
      </c>
      <c r="E121" s="43"/>
      <c r="F121" s="43"/>
      <c r="G121" s="43"/>
      <c r="H121" s="43"/>
      <c r="I121" s="43"/>
      <c r="J121" s="43"/>
      <c r="K121" s="43"/>
      <c r="L121" s="44"/>
      <c r="M121" s="308"/>
      <c r="N121" s="336">
        <f>SUM(N112:N120)</f>
        <v>489368</v>
      </c>
      <c r="O121" s="153"/>
    </row>
    <row r="122" spans="1:23" ht="19.2" customHeight="1">
      <c r="A122" s="21" t="s">
        <v>36</v>
      </c>
      <c r="B122" s="22"/>
      <c r="C122" s="61"/>
      <c r="D122" s="48">
        <f>D121/D91</f>
        <v>283.51799999999997</v>
      </c>
      <c r="E122" s="48"/>
      <c r="F122" s="48"/>
      <c r="G122" s="48"/>
      <c r="H122" s="48"/>
      <c r="I122" s="48"/>
      <c r="J122" s="48"/>
      <c r="K122" s="48"/>
      <c r="L122" s="62"/>
      <c r="M122" s="309"/>
      <c r="N122" s="338"/>
      <c r="O122" s="4"/>
      <c r="P122" s="2"/>
      <c r="Q122" s="2"/>
      <c r="R122" s="2"/>
      <c r="S122" s="2"/>
      <c r="T122" s="2"/>
      <c r="U122" s="2"/>
      <c r="V122" s="2"/>
    </row>
    <row r="123" spans="1:23" ht="19.2" customHeight="1">
      <c r="A123" s="294" t="s">
        <v>54</v>
      </c>
      <c r="B123" s="226"/>
      <c r="C123" s="376" t="s">
        <v>151</v>
      </c>
      <c r="D123" s="20" t="s">
        <v>46</v>
      </c>
      <c r="E123" s="46"/>
      <c r="F123" s="46"/>
      <c r="G123" s="46"/>
      <c r="H123" s="46"/>
      <c r="I123" s="46"/>
      <c r="J123" s="48"/>
      <c r="K123" s="48"/>
      <c r="L123" s="47"/>
      <c r="M123" s="47"/>
      <c r="N123" s="177"/>
      <c r="O123" s="4"/>
      <c r="P123" s="2"/>
      <c r="Q123" s="2"/>
      <c r="R123" s="2"/>
      <c r="S123" s="2"/>
      <c r="T123" s="2"/>
      <c r="U123" s="2"/>
      <c r="V123" s="2"/>
      <c r="W123" s="2"/>
    </row>
    <row r="124" spans="1:23" ht="19.2" customHeight="1">
      <c r="A124" s="227"/>
      <c r="B124" s="228"/>
      <c r="C124" s="76" t="s">
        <v>60</v>
      </c>
      <c r="D124" s="78">
        <f>D122*100/930</f>
        <v>30.485806451612898</v>
      </c>
      <c r="E124" s="46"/>
      <c r="F124" s="46"/>
      <c r="G124" s="46"/>
      <c r="H124" s="46"/>
      <c r="I124" s="46"/>
      <c r="J124" s="48"/>
      <c r="K124" s="48"/>
      <c r="L124" s="47"/>
      <c r="M124" s="47"/>
      <c r="N124" s="177"/>
      <c r="O124" s="4"/>
      <c r="P124" s="2"/>
      <c r="Q124" s="2"/>
      <c r="R124" s="2"/>
      <c r="S124" s="2"/>
      <c r="T124" s="2"/>
      <c r="U124" s="2"/>
      <c r="V124" s="2"/>
      <c r="W124" s="2"/>
    </row>
    <row r="125" spans="1:23" ht="19.2" customHeight="1">
      <c r="A125" s="236" t="s">
        <v>35</v>
      </c>
      <c r="B125" s="236"/>
      <c r="C125" s="63"/>
      <c r="D125" s="64"/>
      <c r="E125" s="64"/>
      <c r="F125" s="64"/>
      <c r="G125" s="64"/>
      <c r="H125" s="64"/>
      <c r="I125" s="64"/>
      <c r="J125" s="64"/>
      <c r="K125" s="64"/>
      <c r="L125" s="65"/>
      <c r="M125" s="65"/>
      <c r="N125" s="66"/>
      <c r="O125" s="4"/>
      <c r="P125" s="2"/>
      <c r="Q125" s="2"/>
      <c r="R125" s="2"/>
      <c r="S125" s="2"/>
      <c r="T125" s="2"/>
      <c r="U125" s="2"/>
      <c r="V125" s="2"/>
    </row>
    <row r="126" spans="1:23" s="2" customFormat="1" ht="19.2" customHeight="1">
      <c r="A126" s="103">
        <v>1</v>
      </c>
      <c r="B126" s="112" t="s">
        <v>76</v>
      </c>
      <c r="C126" s="104">
        <f>L126/100*80</f>
        <v>6960</v>
      </c>
      <c r="D126" s="105">
        <f>C126/100*40</f>
        <v>2784</v>
      </c>
      <c r="E126" s="106"/>
      <c r="F126" s="106">
        <f>C126/100*1.3</f>
        <v>90.47999999999999</v>
      </c>
      <c r="G126" s="106"/>
      <c r="H126" s="106"/>
      <c r="I126" s="106">
        <f>C126/100*8.7</f>
        <v>605.51999999999987</v>
      </c>
      <c r="J126" s="106">
        <f>C126/100*11</f>
        <v>765.59999999999991</v>
      </c>
      <c r="K126" s="106"/>
      <c r="L126" s="402">
        <v>8700</v>
      </c>
      <c r="M126" s="145">
        <v>32</v>
      </c>
      <c r="N126" s="169">
        <f t="shared" ref="N126" si="8">L126*M126</f>
        <v>278400</v>
      </c>
      <c r="O126" s="153"/>
      <c r="P126" s="3"/>
    </row>
    <row r="127" spans="1:23" ht="19.2" customHeight="1">
      <c r="A127" s="209" t="s">
        <v>66</v>
      </c>
      <c r="B127" s="212" t="s">
        <v>19</v>
      </c>
      <c r="C127" s="320" t="s">
        <v>8</v>
      </c>
      <c r="D127" s="215" t="s">
        <v>9</v>
      </c>
      <c r="E127" s="218" t="s">
        <v>11</v>
      </c>
      <c r="F127" s="219"/>
      <c r="G127" s="218" t="s">
        <v>13</v>
      </c>
      <c r="H127" s="219"/>
      <c r="I127" s="222" t="s">
        <v>16</v>
      </c>
      <c r="J127" s="222" t="s">
        <v>41</v>
      </c>
      <c r="K127" s="222" t="s">
        <v>42</v>
      </c>
      <c r="L127" s="222" t="s">
        <v>17</v>
      </c>
      <c r="M127" s="222" t="s">
        <v>56</v>
      </c>
      <c r="N127" s="209" t="s">
        <v>18</v>
      </c>
      <c r="O127" s="373"/>
    </row>
    <row r="128" spans="1:23" ht="19.2" customHeight="1">
      <c r="A128" s="210"/>
      <c r="B128" s="213"/>
      <c r="C128" s="321"/>
      <c r="D128" s="216"/>
      <c r="E128" s="220"/>
      <c r="F128" s="221"/>
      <c r="G128" s="220"/>
      <c r="H128" s="221"/>
      <c r="I128" s="223"/>
      <c r="J128" s="223"/>
      <c r="K128" s="223"/>
      <c r="L128" s="223"/>
      <c r="M128" s="223"/>
      <c r="N128" s="210"/>
      <c r="O128" s="176"/>
    </row>
    <row r="129" spans="1:23" ht="19.2" customHeight="1">
      <c r="A129" s="210"/>
      <c r="B129" s="213"/>
      <c r="C129" s="321"/>
      <c r="D129" s="216"/>
      <c r="E129" s="222" t="s">
        <v>10</v>
      </c>
      <c r="F129" s="222" t="s">
        <v>12</v>
      </c>
      <c r="G129" s="222" t="s">
        <v>14</v>
      </c>
      <c r="H129" s="222" t="s">
        <v>15</v>
      </c>
      <c r="I129" s="223"/>
      <c r="J129" s="223"/>
      <c r="K129" s="223"/>
      <c r="L129" s="223"/>
      <c r="M129" s="223"/>
      <c r="N129" s="210"/>
      <c r="O129" s="176"/>
    </row>
    <row r="130" spans="1:23" ht="19.2" customHeight="1">
      <c r="A130" s="211"/>
      <c r="B130" s="214"/>
      <c r="C130" s="322"/>
      <c r="D130" s="217"/>
      <c r="E130" s="224"/>
      <c r="F130" s="224"/>
      <c r="G130" s="224"/>
      <c r="H130" s="224"/>
      <c r="I130" s="224"/>
      <c r="J130" s="224"/>
      <c r="K130" s="224"/>
      <c r="L130" s="224"/>
      <c r="M130" s="224"/>
      <c r="N130" s="211"/>
      <c r="O130" s="176"/>
    </row>
    <row r="131" spans="1:23" s="2" customFormat="1" ht="19.2" customHeight="1">
      <c r="A131" s="21" t="s">
        <v>106</v>
      </c>
      <c r="B131" s="22"/>
      <c r="C131" s="34"/>
      <c r="D131" s="35">
        <f>SUM(D125:D126)</f>
        <v>2784</v>
      </c>
      <c r="E131" s="43"/>
      <c r="F131" s="43"/>
      <c r="G131" s="43"/>
      <c r="H131" s="43"/>
      <c r="I131" s="43"/>
      <c r="J131" s="43"/>
      <c r="K131" s="43"/>
      <c r="L131" s="44"/>
      <c r="M131" s="308"/>
      <c r="N131" s="336">
        <f>SUM(N125:N126)</f>
        <v>278400</v>
      </c>
      <c r="O131" s="153"/>
    </row>
    <row r="132" spans="1:23" ht="19.2" customHeight="1">
      <c r="A132" s="21" t="s">
        <v>7</v>
      </c>
      <c r="B132" s="22"/>
      <c r="C132" s="45"/>
      <c r="D132" s="46">
        <f>D131/D91</f>
        <v>47.186440677966104</v>
      </c>
      <c r="E132" s="46"/>
      <c r="F132" s="46"/>
      <c r="G132" s="46"/>
      <c r="H132" s="46"/>
      <c r="I132" s="46"/>
      <c r="J132" s="46"/>
      <c r="K132" s="46"/>
      <c r="L132" s="47"/>
      <c r="M132" s="309"/>
      <c r="N132" s="337"/>
      <c r="O132" s="4"/>
      <c r="P132" s="2"/>
      <c r="Q132" s="2"/>
      <c r="R132" s="2"/>
      <c r="S132" s="2"/>
      <c r="T132" s="2"/>
      <c r="U132" s="2"/>
      <c r="V132" s="2"/>
    </row>
    <row r="133" spans="1:23" ht="19.2" customHeight="1">
      <c r="A133" s="294" t="s">
        <v>52</v>
      </c>
      <c r="B133" s="226"/>
      <c r="C133" s="376" t="s">
        <v>151</v>
      </c>
      <c r="D133" s="20" t="s">
        <v>50</v>
      </c>
      <c r="E133" s="46"/>
      <c r="F133" s="46"/>
      <c r="G133" s="46"/>
      <c r="H133" s="46"/>
      <c r="I133" s="46"/>
      <c r="J133" s="48"/>
      <c r="K133" s="48"/>
      <c r="L133" s="47"/>
      <c r="M133" s="47"/>
      <c r="N133" s="177"/>
      <c r="O133" s="4"/>
      <c r="P133" s="2"/>
      <c r="Q133" s="2"/>
      <c r="R133" s="2"/>
      <c r="S133" s="2"/>
      <c r="T133" s="2"/>
      <c r="U133" s="2"/>
      <c r="V133" s="2"/>
      <c r="W133" s="2"/>
    </row>
    <row r="134" spans="1:23" ht="19.2" customHeight="1">
      <c r="A134" s="227"/>
      <c r="B134" s="228"/>
      <c r="C134" s="76" t="s">
        <v>60</v>
      </c>
      <c r="D134" s="78">
        <f>D132*100/930</f>
        <v>5.0738108255877528</v>
      </c>
      <c r="E134" s="46"/>
      <c r="F134" s="46"/>
      <c r="G134" s="46"/>
      <c r="H134" s="46"/>
      <c r="I134" s="46"/>
      <c r="J134" s="48"/>
      <c r="K134" s="48"/>
      <c r="L134" s="47"/>
      <c r="M134" s="47"/>
      <c r="N134" s="177"/>
      <c r="O134" s="4"/>
      <c r="P134" s="2"/>
      <c r="Q134" s="2"/>
      <c r="R134" s="2"/>
      <c r="S134" s="2"/>
      <c r="T134" s="2"/>
      <c r="U134" s="2"/>
      <c r="V134" s="2"/>
      <c r="W134" s="2"/>
    </row>
    <row r="135" spans="1:23" ht="19.2" customHeight="1">
      <c r="A135" s="286" t="s">
        <v>113</v>
      </c>
      <c r="B135" s="287"/>
      <c r="C135" s="290"/>
      <c r="D135" s="302">
        <f>D107+D121+D131</f>
        <v>36763.2765</v>
      </c>
      <c r="E135" s="50">
        <f>SUM(E97:E132)</f>
        <v>963.47589999999991</v>
      </c>
      <c r="F135" s="50">
        <f>SUM(F97:F132)</f>
        <v>607.37135000000012</v>
      </c>
      <c r="G135" s="7">
        <f>SUM(G97:G132)</f>
        <v>961.02369999999996</v>
      </c>
      <c r="H135" s="7">
        <f>SUM(H97:H132)</f>
        <v>412.9701</v>
      </c>
      <c r="I135" s="284">
        <f>SUM(I97:I132)</f>
        <v>4385.3185000000003</v>
      </c>
      <c r="J135" s="284">
        <f>SUM(J97:J126)</f>
        <v>5615.3032999999996</v>
      </c>
      <c r="K135" s="284">
        <f>SUM(K97:K126)</f>
        <v>44.002290000000002</v>
      </c>
      <c r="L135" s="268"/>
      <c r="M135" s="268"/>
      <c r="N135" s="304">
        <f>N107+N121+N131</f>
        <v>1276270</v>
      </c>
      <c r="U135" s="12"/>
      <c r="V135" s="12"/>
    </row>
    <row r="136" spans="1:23" ht="19.2" customHeight="1">
      <c r="A136" s="288"/>
      <c r="B136" s="289"/>
      <c r="C136" s="291"/>
      <c r="D136" s="303"/>
      <c r="E136" s="327">
        <f>E135+F135</f>
        <v>1570.84725</v>
      </c>
      <c r="F136" s="328"/>
      <c r="G136" s="282">
        <f>G135+H135</f>
        <v>1373.9938</v>
      </c>
      <c r="H136" s="283"/>
      <c r="I136" s="285"/>
      <c r="J136" s="285"/>
      <c r="K136" s="285"/>
      <c r="L136" s="268"/>
      <c r="M136" s="268"/>
      <c r="N136" s="304"/>
      <c r="P136" s="368"/>
      <c r="Q136" s="370"/>
      <c r="R136" s="370"/>
      <c r="S136" s="370"/>
      <c r="T136" s="370"/>
      <c r="U136" s="380"/>
      <c r="V136" s="380"/>
    </row>
    <row r="137" spans="1:23" ht="19.2" customHeight="1">
      <c r="A137" s="269" t="s">
        <v>77</v>
      </c>
      <c r="B137" s="270"/>
      <c r="C137" s="271"/>
      <c r="D137" s="138">
        <f>D135/D91</f>
        <v>623.10638135593217</v>
      </c>
      <c r="E137" s="378">
        <f>E135/D91</f>
        <v>16.330099999999998</v>
      </c>
      <c r="F137" s="379">
        <f>F135/D91</f>
        <v>10.294429661016951</v>
      </c>
      <c r="G137" s="400">
        <f>G135/D91</f>
        <v>16.288537288135593</v>
      </c>
      <c r="H137" s="399">
        <f>H135/D91</f>
        <v>6.9994932203389828</v>
      </c>
      <c r="I137" s="300">
        <f>I135/D91</f>
        <v>74.327432203389833</v>
      </c>
      <c r="J137" s="300">
        <f>J135/D91</f>
        <v>95.17463220338982</v>
      </c>
      <c r="K137" s="300">
        <f>K135/D91</f>
        <v>0.74580152542372879</v>
      </c>
      <c r="L137" s="268"/>
      <c r="M137" s="268"/>
      <c r="N137" s="304"/>
      <c r="P137" s="383"/>
      <c r="Q137" s="370"/>
      <c r="R137" s="370"/>
      <c r="S137" s="393"/>
      <c r="T137" s="393"/>
      <c r="U137" s="370"/>
      <c r="V137" s="370"/>
    </row>
    <row r="138" spans="1:23" ht="19.2" customHeight="1">
      <c r="A138" s="272"/>
      <c r="B138" s="273"/>
      <c r="C138" s="274"/>
      <c r="D138" s="127"/>
      <c r="E138" s="381">
        <f>E137+F137</f>
        <v>26.62452966101695</v>
      </c>
      <c r="F138" s="382"/>
      <c r="G138" s="381">
        <f>G137+H137</f>
        <v>23.288030508474577</v>
      </c>
      <c r="H138" s="382"/>
      <c r="I138" s="301"/>
      <c r="J138" s="301"/>
      <c r="K138" s="301"/>
      <c r="L138" s="268"/>
      <c r="M138" s="268"/>
      <c r="N138" s="304"/>
      <c r="P138" s="368"/>
      <c r="Q138" s="368"/>
      <c r="R138" s="368"/>
      <c r="S138" s="368"/>
      <c r="T138" s="368"/>
      <c r="U138" s="368"/>
      <c r="V138" s="368"/>
    </row>
    <row r="139" spans="1:23" ht="19.2" customHeight="1">
      <c r="A139" s="305" t="s">
        <v>80</v>
      </c>
      <c r="B139" s="306"/>
      <c r="C139" s="307"/>
      <c r="D139" s="179" t="s">
        <v>29</v>
      </c>
      <c r="E139" s="339" t="s">
        <v>24</v>
      </c>
      <c r="F139" s="339"/>
      <c r="G139" s="339" t="s">
        <v>25</v>
      </c>
      <c r="H139" s="339"/>
      <c r="I139" s="179" t="s">
        <v>26</v>
      </c>
      <c r="J139" s="174">
        <v>500</v>
      </c>
      <c r="K139" s="174">
        <v>0.5</v>
      </c>
      <c r="L139" s="268"/>
      <c r="M139" s="268"/>
      <c r="N139" s="304"/>
      <c r="O139" s="385"/>
      <c r="P139" s="368"/>
      <c r="Q139" s="368"/>
      <c r="R139" s="368"/>
      <c r="S139" s="368"/>
      <c r="T139" s="368"/>
      <c r="U139" s="368"/>
      <c r="V139" s="368"/>
    </row>
    <row r="140" spans="1:23" ht="19.2" customHeight="1">
      <c r="A140" s="243" t="s">
        <v>78</v>
      </c>
      <c r="B140" s="275"/>
      <c r="C140" s="244"/>
      <c r="D140" s="49"/>
      <c r="E140" s="276">
        <f>E138*4.1</f>
        <v>109.16057161016948</v>
      </c>
      <c r="F140" s="277"/>
      <c r="G140" s="276">
        <f>G138*9</f>
        <v>209.59227457627119</v>
      </c>
      <c r="H140" s="277"/>
      <c r="I140" s="85">
        <f>I137*4.1</f>
        <v>304.74247203389831</v>
      </c>
      <c r="J140" s="257"/>
      <c r="K140" s="257"/>
      <c r="L140" s="268"/>
      <c r="M140" s="268"/>
      <c r="N140" s="304"/>
      <c r="O140" s="385"/>
      <c r="P140" s="386"/>
      <c r="Q140" s="369"/>
      <c r="R140" s="369"/>
      <c r="S140" s="369"/>
      <c r="T140" s="368"/>
      <c r="U140" s="368"/>
      <c r="V140" s="368"/>
    </row>
    <row r="141" spans="1:23" ht="19.2" customHeight="1">
      <c r="A141" s="278" t="s">
        <v>87</v>
      </c>
      <c r="B141" s="279"/>
      <c r="C141" s="243" t="s">
        <v>59</v>
      </c>
      <c r="D141" s="244"/>
      <c r="E141" s="245">
        <f>E140*100/D137</f>
        <v>17.518769647748886</v>
      </c>
      <c r="F141" s="246"/>
      <c r="G141" s="245">
        <f>G140*100/D137</f>
        <v>33.636675991053195</v>
      </c>
      <c r="H141" s="246"/>
      <c r="I141" s="115">
        <f>I140*100/D137</f>
        <v>48.906973375999286</v>
      </c>
      <c r="J141" s="258"/>
      <c r="K141" s="258"/>
      <c r="L141" s="268"/>
      <c r="M141" s="268"/>
      <c r="N141" s="304"/>
      <c r="O141" s="385"/>
      <c r="P141" s="368"/>
      <c r="Q141" s="368"/>
      <c r="R141" s="368"/>
      <c r="S141" s="368"/>
      <c r="T141" s="368"/>
      <c r="U141" s="368"/>
      <c r="V141" s="368"/>
    </row>
    <row r="142" spans="1:23" ht="19.2" customHeight="1">
      <c r="A142" s="280"/>
      <c r="B142" s="281"/>
      <c r="C142" s="243" t="s">
        <v>79</v>
      </c>
      <c r="D142" s="244"/>
      <c r="E142" s="243" t="s">
        <v>82</v>
      </c>
      <c r="F142" s="244"/>
      <c r="G142" s="243" t="s">
        <v>85</v>
      </c>
      <c r="H142" s="244"/>
      <c r="I142" s="179" t="s">
        <v>86</v>
      </c>
      <c r="J142" s="259"/>
      <c r="K142" s="259"/>
      <c r="L142" s="268"/>
      <c r="M142" s="268"/>
      <c r="N142" s="304"/>
      <c r="O142" s="385"/>
      <c r="P142" s="132"/>
    </row>
    <row r="143" spans="1:23" ht="19.2" customHeight="1">
      <c r="A143" s="90"/>
      <c r="B143" s="90"/>
      <c r="C143" s="90"/>
      <c r="D143" s="90"/>
      <c r="E143" s="90"/>
      <c r="F143" s="90"/>
      <c r="G143" s="90"/>
      <c r="H143" s="90"/>
      <c r="I143" s="90"/>
      <c r="J143" s="90"/>
      <c r="K143" s="90"/>
      <c r="L143" s="94"/>
      <c r="M143" s="94"/>
      <c r="N143" s="95"/>
      <c r="O143" s="385"/>
    </row>
    <row r="144" spans="1:23" ht="21" customHeight="1">
      <c r="A144" s="184" t="s">
        <v>114</v>
      </c>
      <c r="B144" s="184"/>
      <c r="C144" s="184"/>
      <c r="D144" s="184"/>
      <c r="E144" s="184"/>
      <c r="F144" s="184"/>
      <c r="G144" s="184"/>
      <c r="H144" s="184"/>
      <c r="I144" s="184"/>
      <c r="J144" s="184"/>
      <c r="K144" s="184"/>
      <c r="L144" s="184"/>
      <c r="M144" s="184"/>
      <c r="N144" s="184"/>
      <c r="O144" s="385"/>
    </row>
    <row r="145" spans="1:15" ht="21" customHeight="1">
      <c r="A145" s="117" t="s">
        <v>115</v>
      </c>
      <c r="B145" s="185" t="s">
        <v>116</v>
      </c>
      <c r="C145" s="185"/>
      <c r="D145" s="185"/>
      <c r="E145" s="185"/>
      <c r="F145" s="185"/>
      <c r="G145" s="185"/>
      <c r="H145" s="185"/>
      <c r="I145" s="185"/>
      <c r="J145" s="185"/>
      <c r="K145" s="185"/>
      <c r="L145" s="185"/>
      <c r="M145" s="185"/>
      <c r="N145" s="185"/>
      <c r="O145" s="385"/>
    </row>
    <row r="146" spans="1:15" ht="21" customHeight="1">
      <c r="A146" s="118"/>
      <c r="B146" s="186" t="s">
        <v>213</v>
      </c>
      <c r="C146" s="186"/>
      <c r="D146" s="186"/>
      <c r="E146" s="186"/>
      <c r="F146" s="186"/>
      <c r="G146" s="186"/>
      <c r="H146" s="186"/>
      <c r="I146" s="186"/>
      <c r="J146" s="186"/>
      <c r="K146" s="186"/>
      <c r="L146" s="186"/>
      <c r="M146" s="186"/>
      <c r="N146" s="186"/>
      <c r="O146" s="385"/>
    </row>
    <row r="147" spans="1:15" ht="21" customHeight="1">
      <c r="A147" s="118"/>
      <c r="B147" s="186" t="s">
        <v>214</v>
      </c>
      <c r="C147" s="186"/>
      <c r="D147" s="186"/>
      <c r="E147" s="186"/>
      <c r="F147" s="186"/>
      <c r="G147" s="186"/>
      <c r="H147" s="186"/>
      <c r="I147" s="186"/>
      <c r="J147" s="186"/>
      <c r="K147" s="186"/>
      <c r="L147" s="186"/>
      <c r="M147" s="186"/>
      <c r="N147" s="186"/>
      <c r="O147" s="385"/>
    </row>
    <row r="148" spans="1:15" ht="21" customHeight="1">
      <c r="A148" s="118"/>
      <c r="B148" s="186" t="s">
        <v>215</v>
      </c>
      <c r="C148" s="186"/>
      <c r="D148" s="186"/>
      <c r="E148" s="186"/>
      <c r="F148" s="186"/>
      <c r="G148" s="186"/>
      <c r="H148" s="186"/>
      <c r="I148" s="186"/>
      <c r="J148" s="186"/>
      <c r="K148" s="186"/>
      <c r="L148" s="186"/>
      <c r="M148" s="186"/>
      <c r="N148" s="186"/>
      <c r="O148" s="385"/>
    </row>
    <row r="149" spans="1:15" ht="21" customHeight="1">
      <c r="A149" s="90"/>
      <c r="B149" s="187" t="s">
        <v>128</v>
      </c>
      <c r="C149" s="187"/>
      <c r="D149" s="187"/>
      <c r="E149" s="187"/>
      <c r="F149" s="187"/>
      <c r="G149" s="187"/>
      <c r="H149" s="187"/>
      <c r="I149" s="187"/>
      <c r="J149" s="187"/>
      <c r="K149" s="187"/>
      <c r="L149" s="187"/>
      <c r="M149" s="187"/>
      <c r="N149" s="187"/>
      <c r="O149" s="385"/>
    </row>
    <row r="150" spans="1:15" ht="21" customHeight="1">
      <c r="A150" s="90"/>
      <c r="B150" s="90"/>
      <c r="C150" s="90"/>
      <c r="D150" s="90"/>
      <c r="E150" s="90"/>
      <c r="F150" s="90"/>
      <c r="G150" s="90"/>
      <c r="H150" s="90"/>
      <c r="I150" s="90"/>
      <c r="J150" s="90"/>
      <c r="K150" s="90"/>
      <c r="L150" s="94"/>
      <c r="M150" s="94"/>
      <c r="N150" s="95"/>
      <c r="O150" s="385"/>
    </row>
    <row r="151" spans="1:15" ht="21" customHeight="1">
      <c r="A151" s="188" t="s">
        <v>62</v>
      </c>
      <c r="B151" s="188"/>
      <c r="C151" s="188"/>
      <c r="D151" s="188"/>
      <c r="E151" s="387"/>
      <c r="F151" s="387"/>
      <c r="G151" s="387"/>
      <c r="H151" s="387"/>
      <c r="I151" s="387"/>
      <c r="J151" s="388" t="s">
        <v>33</v>
      </c>
      <c r="K151" s="388"/>
      <c r="L151" s="388"/>
      <c r="M151" s="388"/>
      <c r="N151" s="388"/>
      <c r="O151" s="385"/>
    </row>
    <row r="152" spans="1:15" ht="21" customHeight="1">
      <c r="A152" s="176"/>
      <c r="B152" s="176"/>
      <c r="C152" s="176"/>
      <c r="D152" s="387"/>
      <c r="E152" s="387"/>
      <c r="F152" s="387"/>
      <c r="G152" s="387"/>
      <c r="H152" s="389"/>
      <c r="I152" s="389"/>
      <c r="J152" s="389"/>
      <c r="K152" s="389"/>
      <c r="L152" s="389"/>
      <c r="M152" s="389"/>
      <c r="N152" s="389"/>
      <c r="O152" s="385"/>
    </row>
    <row r="153" spans="1:15" ht="21" customHeight="1">
      <c r="A153" s="176"/>
      <c r="B153" s="176"/>
      <c r="C153" s="176"/>
      <c r="D153" s="387"/>
      <c r="E153" s="387"/>
      <c r="F153" s="387"/>
      <c r="G153" s="387"/>
      <c r="H153" s="389"/>
      <c r="I153" s="389"/>
      <c r="J153" s="389"/>
      <c r="K153" s="389"/>
      <c r="L153" s="389"/>
      <c r="M153" s="389"/>
      <c r="N153" s="389"/>
      <c r="O153" s="385"/>
    </row>
    <row r="154" spans="1:15" ht="21" customHeight="1">
      <c r="A154" s="176"/>
      <c r="B154" s="176"/>
      <c r="C154" s="176"/>
      <c r="D154" s="387"/>
      <c r="E154" s="387"/>
      <c r="F154" s="387"/>
      <c r="G154" s="387"/>
      <c r="H154" s="389"/>
      <c r="I154" s="389"/>
      <c r="J154" s="390" t="s">
        <v>124</v>
      </c>
      <c r="K154" s="390"/>
      <c r="L154" s="390"/>
      <c r="M154" s="390"/>
      <c r="N154" s="390"/>
      <c r="O154" s="385"/>
    </row>
    <row r="155" spans="1:15" ht="21" customHeight="1">
      <c r="A155" s="180" t="s">
        <v>91</v>
      </c>
      <c r="B155" s="180"/>
      <c r="C155" s="180"/>
      <c r="D155" s="180"/>
      <c r="E155" s="387"/>
      <c r="F155" s="387"/>
      <c r="G155" s="387"/>
      <c r="H155" s="389"/>
      <c r="I155" s="389"/>
      <c r="J155" s="390"/>
      <c r="K155" s="390"/>
      <c r="L155" s="390"/>
      <c r="M155" s="390"/>
      <c r="N155" s="390"/>
      <c r="O155" s="385"/>
    </row>
    <row r="157" spans="1:15" ht="19.2" customHeight="1">
      <c r="J157" s="390" t="s">
        <v>127</v>
      </c>
      <c r="K157" s="390"/>
      <c r="L157" s="390"/>
      <c r="M157" s="390"/>
      <c r="N157" s="390"/>
    </row>
  </sheetData>
  <mergeCells count="205">
    <mergeCell ref="B148:N148"/>
    <mergeCell ref="B149:N149"/>
    <mergeCell ref="A151:D151"/>
    <mergeCell ref="J151:N151"/>
    <mergeCell ref="J154:N154"/>
    <mergeCell ref="A155:D155"/>
    <mergeCell ref="J155:N155"/>
    <mergeCell ref="J157:N157"/>
    <mergeCell ref="E141:F141"/>
    <mergeCell ref="G141:H141"/>
    <mergeCell ref="C142:D142"/>
    <mergeCell ref="E142:F142"/>
    <mergeCell ref="G142:H142"/>
    <mergeCell ref="A144:N144"/>
    <mergeCell ref="B145:N145"/>
    <mergeCell ref="B146:N146"/>
    <mergeCell ref="B147:N147"/>
    <mergeCell ref="Q136:R136"/>
    <mergeCell ref="S136:T136"/>
    <mergeCell ref="U136:V136"/>
    <mergeCell ref="A137:C138"/>
    <mergeCell ref="I137:I138"/>
    <mergeCell ref="J137:J138"/>
    <mergeCell ref="K137:K138"/>
    <mergeCell ref="Q137:R137"/>
    <mergeCell ref="S137:T137"/>
    <mergeCell ref="U137:V137"/>
    <mergeCell ref="E138:F138"/>
    <mergeCell ref="G138:H138"/>
    <mergeCell ref="M131:M132"/>
    <mergeCell ref="N131:N132"/>
    <mergeCell ref="A133:B134"/>
    <mergeCell ref="A135:B136"/>
    <mergeCell ref="C135:C136"/>
    <mergeCell ref="D135:D136"/>
    <mergeCell ref="I135:I136"/>
    <mergeCell ref="J135:J136"/>
    <mergeCell ref="K135:K136"/>
    <mergeCell ref="L135:L142"/>
    <mergeCell ref="M135:M142"/>
    <mergeCell ref="N135:N142"/>
    <mergeCell ref="E136:F136"/>
    <mergeCell ref="G136:H136"/>
    <mergeCell ref="A139:C139"/>
    <mergeCell ref="E139:F139"/>
    <mergeCell ref="G139:H139"/>
    <mergeCell ref="A140:C140"/>
    <mergeCell ref="E140:F140"/>
    <mergeCell ref="G140:H140"/>
    <mergeCell ref="J140:J142"/>
    <mergeCell ref="K140:K142"/>
    <mergeCell ref="A141:B142"/>
    <mergeCell ref="C141:D141"/>
    <mergeCell ref="M107:M108"/>
    <mergeCell ref="N107:N108"/>
    <mergeCell ref="A109:B110"/>
    <mergeCell ref="A111:B111"/>
    <mergeCell ref="M121:M122"/>
    <mergeCell ref="N121:N122"/>
    <mergeCell ref="A123:B124"/>
    <mergeCell ref="A125:B125"/>
    <mergeCell ref="A127:A130"/>
    <mergeCell ref="B127:B130"/>
    <mergeCell ref="C127:C130"/>
    <mergeCell ref="D127:D130"/>
    <mergeCell ref="E127:F128"/>
    <mergeCell ref="G127:H128"/>
    <mergeCell ref="I127:I130"/>
    <mergeCell ref="J127:J130"/>
    <mergeCell ref="K127:K130"/>
    <mergeCell ref="L127:L130"/>
    <mergeCell ref="M127:M130"/>
    <mergeCell ref="N127:N130"/>
    <mergeCell ref="E129:E130"/>
    <mergeCell ref="F129:F130"/>
    <mergeCell ref="G129:G130"/>
    <mergeCell ref="H129:H130"/>
    <mergeCell ref="K92:K95"/>
    <mergeCell ref="L92:L95"/>
    <mergeCell ref="M92:M95"/>
    <mergeCell ref="N92:N95"/>
    <mergeCell ref="E94:E95"/>
    <mergeCell ref="F94:F95"/>
    <mergeCell ref="G94:G95"/>
    <mergeCell ref="H94:H95"/>
    <mergeCell ref="A96:N96"/>
    <mergeCell ref="A91:C91"/>
    <mergeCell ref="A92:A95"/>
    <mergeCell ref="B92:B95"/>
    <mergeCell ref="C92:C95"/>
    <mergeCell ref="D92:D95"/>
    <mergeCell ref="E92:F93"/>
    <mergeCell ref="G92:H93"/>
    <mergeCell ref="I92:I95"/>
    <mergeCell ref="J92:J95"/>
    <mergeCell ref="J73:N73"/>
    <mergeCell ref="F84:N84"/>
    <mergeCell ref="A86:D87"/>
    <mergeCell ref="E86:N86"/>
    <mergeCell ref="E87:I87"/>
    <mergeCell ref="J87:N87"/>
    <mergeCell ref="A88:D88"/>
    <mergeCell ref="E88:I90"/>
    <mergeCell ref="J88:N88"/>
    <mergeCell ref="A89:D89"/>
    <mergeCell ref="J89:N89"/>
    <mergeCell ref="A90:D90"/>
    <mergeCell ref="J90:N90"/>
    <mergeCell ref="B60:N60"/>
    <mergeCell ref="B61:N61"/>
    <mergeCell ref="B62:N62"/>
    <mergeCell ref="B63:N63"/>
    <mergeCell ref="B64:N64"/>
    <mergeCell ref="A66:D66"/>
    <mergeCell ref="J66:N66"/>
    <mergeCell ref="J69:N69"/>
    <mergeCell ref="A70:D70"/>
    <mergeCell ref="K55:K57"/>
    <mergeCell ref="A56:B57"/>
    <mergeCell ref="C56:D56"/>
    <mergeCell ref="E56:F56"/>
    <mergeCell ref="G56:H56"/>
    <mergeCell ref="C57:D57"/>
    <mergeCell ref="E57:F57"/>
    <mergeCell ref="G57:H57"/>
    <mergeCell ref="A59:N59"/>
    <mergeCell ref="Q53:R53"/>
    <mergeCell ref="S53:T53"/>
    <mergeCell ref="U53:V53"/>
    <mergeCell ref="A54:C54"/>
    <mergeCell ref="E54:F54"/>
    <mergeCell ref="G54:H54"/>
    <mergeCell ref="Q54:R54"/>
    <mergeCell ref="S54:T54"/>
    <mergeCell ref="U54:V54"/>
    <mergeCell ref="M46:M47"/>
    <mergeCell ref="N46:N47"/>
    <mergeCell ref="A48:B49"/>
    <mergeCell ref="A50:B51"/>
    <mergeCell ref="C50:C51"/>
    <mergeCell ref="D50:D51"/>
    <mergeCell ref="I50:I51"/>
    <mergeCell ref="J50:J51"/>
    <mergeCell ref="K50:K51"/>
    <mergeCell ref="L50:L57"/>
    <mergeCell ref="M50:M57"/>
    <mergeCell ref="N50:N57"/>
    <mergeCell ref="E51:F51"/>
    <mergeCell ref="G51:H51"/>
    <mergeCell ref="A52:C53"/>
    <mergeCell ref="I52:I53"/>
    <mergeCell ref="J52:J53"/>
    <mergeCell ref="K52:K53"/>
    <mergeCell ref="E53:F53"/>
    <mergeCell ref="G53:H53"/>
    <mergeCell ref="A55:C55"/>
    <mergeCell ref="E55:F55"/>
    <mergeCell ref="G55:H55"/>
    <mergeCell ref="J55:J57"/>
    <mergeCell ref="N28:N29"/>
    <mergeCell ref="A30:B31"/>
    <mergeCell ref="A32:B32"/>
    <mergeCell ref="A42:A45"/>
    <mergeCell ref="B42:B45"/>
    <mergeCell ref="C42:C45"/>
    <mergeCell ref="D42:D45"/>
    <mergeCell ref="E42:F43"/>
    <mergeCell ref="G42:H43"/>
    <mergeCell ref="I42:I45"/>
    <mergeCell ref="J42:J45"/>
    <mergeCell ref="K42:K45"/>
    <mergeCell ref="L42:L45"/>
    <mergeCell ref="M42:M45"/>
    <mergeCell ref="N42:N45"/>
    <mergeCell ref="E44:E45"/>
    <mergeCell ref="F44:F45"/>
    <mergeCell ref="G44:G45"/>
    <mergeCell ref="H44:H45"/>
    <mergeCell ref="K11:K14"/>
    <mergeCell ref="L11:L14"/>
    <mergeCell ref="M11:M14"/>
    <mergeCell ref="N11:N14"/>
    <mergeCell ref="E13:E14"/>
    <mergeCell ref="F13:F14"/>
    <mergeCell ref="G13:G14"/>
    <mergeCell ref="H13:H14"/>
    <mergeCell ref="A15:N15"/>
    <mergeCell ref="A10:C10"/>
    <mergeCell ref="A11:A14"/>
    <mergeCell ref="B11:B14"/>
    <mergeCell ref="C11:C14"/>
    <mergeCell ref="D11:D14"/>
    <mergeCell ref="E11:F12"/>
    <mergeCell ref="G11:H12"/>
    <mergeCell ref="I11:I14"/>
    <mergeCell ref="J11:J14"/>
    <mergeCell ref="F1:N1"/>
    <mergeCell ref="A5:D5"/>
    <mergeCell ref="E5:N5"/>
    <mergeCell ref="A6:D6"/>
    <mergeCell ref="E6:I9"/>
    <mergeCell ref="J6:N9"/>
    <mergeCell ref="A7:D7"/>
    <mergeCell ref="A8:D8"/>
    <mergeCell ref="A9:D9"/>
  </mergeCells>
  <pageMargins left="0.5" right="7.4999999999999997E-2" top="0.44166666666666665" bottom="0.47499999999999998" header="0.3" footer="0.3"/>
  <pageSetup paperSize="9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W165"/>
  <sheetViews>
    <sheetView workbookViewId="0">
      <selection activeCell="P1" sqref="P1"/>
    </sheetView>
  </sheetViews>
  <sheetFormatPr defaultColWidth="9.109375" defaultRowHeight="20.399999999999999" customHeight="1"/>
  <cols>
    <col min="1" max="1" width="3.21875" style="1" customWidth="1"/>
    <col min="2" max="2" width="12.44140625" style="1" customWidth="1"/>
    <col min="3" max="3" width="7.109375" style="1" customWidth="1"/>
    <col min="4" max="4" width="7.6640625" style="1" customWidth="1"/>
    <col min="5" max="8" width="6.5546875" style="1" customWidth="1"/>
    <col min="9" max="9" width="6.6640625" style="1" customWidth="1"/>
    <col min="10" max="10" width="7.5546875" style="1" customWidth="1"/>
    <col min="11" max="11" width="6.77734375" style="1" customWidth="1"/>
    <col min="12" max="12" width="5" style="1" customWidth="1"/>
    <col min="13" max="13" width="5.21875" style="1" customWidth="1"/>
    <col min="14" max="14" width="6.44140625" style="1" customWidth="1"/>
    <col min="15" max="15" width="11.88671875" style="1" customWidth="1"/>
    <col min="16" max="16" width="9.109375" style="1"/>
    <col min="17" max="22" width="9" style="1" customWidth="1"/>
    <col min="23" max="16384" width="9.109375" style="1"/>
  </cols>
  <sheetData>
    <row r="1" spans="1:20" ht="23.4" customHeight="1">
      <c r="A1" s="11" t="s">
        <v>61</v>
      </c>
      <c r="B1" s="8"/>
      <c r="C1" s="8"/>
      <c r="D1" s="8"/>
      <c r="E1" s="8"/>
      <c r="F1" s="293" t="s">
        <v>31</v>
      </c>
      <c r="G1" s="293"/>
      <c r="H1" s="293"/>
      <c r="I1" s="293"/>
      <c r="J1" s="293"/>
      <c r="K1" s="293"/>
      <c r="L1" s="293"/>
      <c r="M1" s="293"/>
      <c r="N1" s="293"/>
      <c r="O1" s="371"/>
      <c r="P1" s="371"/>
      <c r="T1" s="2"/>
    </row>
    <row r="2" spans="1:20" ht="12.6" customHeight="1">
      <c r="A2" s="11"/>
      <c r="B2" s="8"/>
      <c r="C2" s="8"/>
      <c r="D2" s="8"/>
      <c r="E2" s="8"/>
      <c r="F2" s="173"/>
      <c r="G2" s="173"/>
      <c r="H2" s="173"/>
      <c r="I2" s="173"/>
      <c r="J2" s="173"/>
      <c r="K2" s="173"/>
      <c r="L2" s="173"/>
      <c r="M2" s="173"/>
      <c r="N2" s="173"/>
      <c r="O2" s="371"/>
      <c r="P2" s="371"/>
      <c r="T2" s="2"/>
    </row>
    <row r="3" spans="1:20" ht="23.4" customHeight="1">
      <c r="A3" s="8" t="s">
        <v>216</v>
      </c>
      <c r="B3" s="8"/>
      <c r="C3" s="8"/>
      <c r="D3" s="8"/>
      <c r="E3" s="8"/>
      <c r="F3" s="173"/>
      <c r="G3" s="173"/>
      <c r="H3" s="173"/>
      <c r="I3" s="173"/>
      <c r="J3" s="173"/>
      <c r="K3" s="173"/>
      <c r="L3" s="173"/>
      <c r="M3" s="173"/>
      <c r="N3" s="173"/>
      <c r="O3" s="371"/>
      <c r="P3" s="371"/>
      <c r="T3" s="2"/>
    </row>
    <row r="4" spans="1:20" ht="12.6" customHeight="1">
      <c r="A4" s="8"/>
      <c r="B4" s="8"/>
      <c r="C4" s="8"/>
      <c r="D4" s="8"/>
      <c r="E4" s="8"/>
      <c r="F4" s="173"/>
      <c r="G4" s="173"/>
      <c r="H4" s="173"/>
      <c r="I4" s="173"/>
      <c r="J4" s="173"/>
      <c r="K4" s="173"/>
      <c r="L4" s="173"/>
      <c r="M4" s="173"/>
      <c r="N4" s="173"/>
      <c r="O4" s="371"/>
      <c r="P4" s="371"/>
      <c r="T4" s="2"/>
    </row>
    <row r="5" spans="1:20" s="2" customFormat="1" ht="19.2" customHeight="1">
      <c r="A5" s="195" t="s">
        <v>97</v>
      </c>
      <c r="B5" s="195"/>
      <c r="C5" s="195"/>
      <c r="D5" s="195"/>
      <c r="E5" s="195" t="s">
        <v>98</v>
      </c>
      <c r="F5" s="195"/>
      <c r="G5" s="195"/>
      <c r="H5" s="195"/>
      <c r="I5" s="195"/>
      <c r="J5" s="195"/>
      <c r="K5" s="195"/>
      <c r="L5" s="195"/>
      <c r="M5" s="195"/>
      <c r="N5" s="195"/>
      <c r="O5" s="372"/>
    </row>
    <row r="6" spans="1:20" s="2" customFormat="1" ht="19.2" customHeight="1">
      <c r="A6" s="196" t="s">
        <v>90</v>
      </c>
      <c r="B6" s="196"/>
      <c r="C6" s="196"/>
      <c r="D6" s="196"/>
      <c r="E6" s="200" t="s">
        <v>168</v>
      </c>
      <c r="F6" s="201"/>
      <c r="G6" s="201"/>
      <c r="H6" s="201"/>
      <c r="I6" s="202"/>
      <c r="J6" s="200" t="s">
        <v>137</v>
      </c>
      <c r="K6" s="201"/>
      <c r="L6" s="201"/>
      <c r="M6" s="201"/>
      <c r="N6" s="202"/>
      <c r="O6" s="372"/>
    </row>
    <row r="7" spans="1:20" s="2" customFormat="1" ht="19.2" customHeight="1">
      <c r="A7" s="345" t="s">
        <v>167</v>
      </c>
      <c r="B7" s="346"/>
      <c r="C7" s="346"/>
      <c r="D7" s="347"/>
      <c r="E7" s="203"/>
      <c r="F7" s="204"/>
      <c r="G7" s="204"/>
      <c r="H7" s="204"/>
      <c r="I7" s="205"/>
      <c r="J7" s="203"/>
      <c r="K7" s="204"/>
      <c r="L7" s="204"/>
      <c r="M7" s="204"/>
      <c r="N7" s="205"/>
      <c r="O7" s="372"/>
    </row>
    <row r="8" spans="1:20" s="2" customFormat="1" ht="19.2" customHeight="1">
      <c r="A8" s="345" t="s">
        <v>183</v>
      </c>
      <c r="B8" s="346"/>
      <c r="C8" s="346"/>
      <c r="D8" s="347"/>
      <c r="E8" s="203"/>
      <c r="F8" s="204"/>
      <c r="G8" s="204"/>
      <c r="H8" s="204"/>
      <c r="I8" s="205"/>
      <c r="J8" s="203"/>
      <c r="K8" s="204"/>
      <c r="L8" s="204"/>
      <c r="M8" s="204"/>
      <c r="N8" s="205"/>
      <c r="O8" s="372"/>
    </row>
    <row r="9" spans="1:20" s="2" customFormat="1" ht="19.2" customHeight="1">
      <c r="A9" s="357" t="s">
        <v>184</v>
      </c>
      <c r="B9" s="357"/>
      <c r="C9" s="357"/>
      <c r="D9" s="357"/>
      <c r="E9" s="206"/>
      <c r="F9" s="207"/>
      <c r="G9" s="207"/>
      <c r="H9" s="207"/>
      <c r="I9" s="208"/>
      <c r="J9" s="206"/>
      <c r="K9" s="207"/>
      <c r="L9" s="207"/>
      <c r="M9" s="207"/>
      <c r="N9" s="208"/>
      <c r="O9" s="372"/>
    </row>
    <row r="10" spans="1:20" s="2" customFormat="1" ht="19.2" customHeight="1">
      <c r="A10" s="229" t="s">
        <v>122</v>
      </c>
      <c r="B10" s="230"/>
      <c r="C10" s="231"/>
      <c r="D10" s="128">
        <v>212</v>
      </c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372"/>
    </row>
    <row r="11" spans="1:20" ht="21" customHeight="1">
      <c r="A11" s="209" t="s">
        <v>0</v>
      </c>
      <c r="B11" s="212" t="s">
        <v>19</v>
      </c>
      <c r="C11" s="215" t="s">
        <v>8</v>
      </c>
      <c r="D11" s="215" t="s">
        <v>9</v>
      </c>
      <c r="E11" s="218" t="s">
        <v>11</v>
      </c>
      <c r="F11" s="219"/>
      <c r="G11" s="218" t="s">
        <v>13</v>
      </c>
      <c r="H11" s="219"/>
      <c r="I11" s="222" t="s">
        <v>16</v>
      </c>
      <c r="J11" s="222" t="s">
        <v>41</v>
      </c>
      <c r="K11" s="222" t="s">
        <v>42</v>
      </c>
      <c r="L11" s="340" t="s">
        <v>17</v>
      </c>
      <c r="M11" s="222" t="s">
        <v>57</v>
      </c>
      <c r="N11" s="209" t="s">
        <v>18</v>
      </c>
      <c r="O11" s="373"/>
    </row>
    <row r="12" spans="1:20" ht="21" customHeight="1">
      <c r="A12" s="210"/>
      <c r="B12" s="213"/>
      <c r="C12" s="216"/>
      <c r="D12" s="216"/>
      <c r="E12" s="220"/>
      <c r="F12" s="221"/>
      <c r="G12" s="220"/>
      <c r="H12" s="221"/>
      <c r="I12" s="223"/>
      <c r="J12" s="223"/>
      <c r="K12" s="223"/>
      <c r="L12" s="341"/>
      <c r="M12" s="223"/>
      <c r="N12" s="210"/>
      <c r="O12" s="176"/>
    </row>
    <row r="13" spans="1:20" ht="21" customHeight="1">
      <c r="A13" s="210"/>
      <c r="B13" s="213"/>
      <c r="C13" s="216"/>
      <c r="D13" s="216"/>
      <c r="E13" s="222" t="s">
        <v>10</v>
      </c>
      <c r="F13" s="222" t="s">
        <v>12</v>
      </c>
      <c r="G13" s="222" t="s">
        <v>14</v>
      </c>
      <c r="H13" s="222" t="s">
        <v>15</v>
      </c>
      <c r="I13" s="223"/>
      <c r="J13" s="223"/>
      <c r="K13" s="223"/>
      <c r="L13" s="341"/>
      <c r="M13" s="223"/>
      <c r="N13" s="210"/>
      <c r="O13" s="176"/>
    </row>
    <row r="14" spans="1:20" ht="21" customHeight="1">
      <c r="A14" s="211"/>
      <c r="B14" s="214"/>
      <c r="C14" s="217"/>
      <c r="D14" s="217"/>
      <c r="E14" s="224"/>
      <c r="F14" s="224"/>
      <c r="G14" s="224"/>
      <c r="H14" s="224"/>
      <c r="I14" s="224"/>
      <c r="J14" s="224"/>
      <c r="K14" s="224"/>
      <c r="L14" s="342"/>
      <c r="M14" s="224"/>
      <c r="N14" s="211"/>
      <c r="O14" s="176"/>
    </row>
    <row r="15" spans="1:20" ht="18.600000000000001" customHeight="1">
      <c r="A15" s="238" t="s">
        <v>34</v>
      </c>
      <c r="B15" s="239"/>
      <c r="C15" s="239"/>
      <c r="D15" s="239"/>
      <c r="E15" s="239"/>
      <c r="F15" s="239"/>
      <c r="G15" s="239"/>
      <c r="H15" s="239"/>
      <c r="I15" s="239"/>
      <c r="J15" s="239"/>
      <c r="K15" s="239"/>
      <c r="L15" s="239"/>
      <c r="M15" s="239"/>
      <c r="N15" s="240"/>
      <c r="O15" s="176"/>
    </row>
    <row r="16" spans="1:20" s="2" customFormat="1" ht="18.600000000000001" customHeight="1">
      <c r="A16" s="9">
        <v>1</v>
      </c>
      <c r="B16" s="10" t="s">
        <v>2</v>
      </c>
      <c r="C16" s="23">
        <f>L16/100*100</f>
        <v>280</v>
      </c>
      <c r="D16" s="24">
        <f>C16/100*60</f>
        <v>168</v>
      </c>
      <c r="E16" s="25">
        <f>C16/100*15</f>
        <v>42</v>
      </c>
      <c r="F16" s="25"/>
      <c r="G16" s="25"/>
      <c r="H16" s="25"/>
      <c r="I16" s="25"/>
      <c r="J16" s="81">
        <f>C16/100*387</f>
        <v>1083.5999999999999</v>
      </c>
      <c r="K16" s="27">
        <f>C16/100*0.09</f>
        <v>0.252</v>
      </c>
      <c r="L16" s="137">
        <v>280</v>
      </c>
      <c r="M16" s="75">
        <v>20</v>
      </c>
      <c r="N16" s="28">
        <f>L16*M16</f>
        <v>5600</v>
      </c>
      <c r="O16" s="153"/>
    </row>
    <row r="17" spans="1:20" s="2" customFormat="1" ht="18.600000000000001" customHeight="1">
      <c r="A17" s="9">
        <v>3</v>
      </c>
      <c r="B17" s="148" t="s">
        <v>146</v>
      </c>
      <c r="C17" s="23">
        <f>L17/100*100</f>
        <v>960</v>
      </c>
      <c r="D17" s="120">
        <f>C17/100*900</f>
        <v>8640</v>
      </c>
      <c r="E17" s="25"/>
      <c r="F17" s="25"/>
      <c r="G17" s="119"/>
      <c r="H17" s="25">
        <f>C17/100*100</f>
        <v>960</v>
      </c>
      <c r="I17" s="25"/>
      <c r="J17" s="25"/>
      <c r="K17" s="25"/>
      <c r="L17" s="137">
        <v>960</v>
      </c>
      <c r="M17" s="75">
        <v>63.5</v>
      </c>
      <c r="N17" s="28">
        <f t="shared" ref="N17:N25" si="0">L17*M17</f>
        <v>60960</v>
      </c>
      <c r="O17" s="377"/>
    </row>
    <row r="18" spans="1:20" s="2" customFormat="1" ht="18.600000000000001" customHeight="1">
      <c r="A18" s="9">
        <v>4</v>
      </c>
      <c r="B18" s="5" t="s">
        <v>1</v>
      </c>
      <c r="C18" s="23">
        <f>L18/100*100</f>
        <v>20140</v>
      </c>
      <c r="D18" s="120">
        <f>C18/100*344</f>
        <v>69281.600000000006</v>
      </c>
      <c r="E18" s="25"/>
      <c r="F18" s="119">
        <f>C18/100*7.9</f>
        <v>1591.0600000000002</v>
      </c>
      <c r="G18" s="25"/>
      <c r="H18" s="25">
        <f>C18/100*1</f>
        <v>201.4</v>
      </c>
      <c r="I18" s="130">
        <f>C18/100*73.2</f>
        <v>14742.480000000001</v>
      </c>
      <c r="J18" s="81">
        <f>C18/100*30</f>
        <v>6042</v>
      </c>
      <c r="K18" s="27">
        <f>C18/100*0.1</f>
        <v>20.14</v>
      </c>
      <c r="L18" s="395">
        <v>20140</v>
      </c>
      <c r="M18" s="75">
        <v>18</v>
      </c>
      <c r="N18" s="124">
        <f t="shared" si="0"/>
        <v>362520</v>
      </c>
      <c r="O18" s="153"/>
    </row>
    <row r="19" spans="1:20" s="2" customFormat="1" ht="18.600000000000001" customHeight="1">
      <c r="A19" s="9">
        <v>5</v>
      </c>
      <c r="B19" s="5" t="s">
        <v>96</v>
      </c>
      <c r="C19" s="23">
        <f>L19/100*90</f>
        <v>3996</v>
      </c>
      <c r="D19" s="24">
        <f>C19/100*90</f>
        <v>3596.4</v>
      </c>
      <c r="E19" s="25">
        <f>C19/100*18.4</f>
        <v>735.26400000000001</v>
      </c>
      <c r="F19" s="25"/>
      <c r="G19" s="25">
        <f>C19/100*1.8</f>
        <v>71.927999999999997</v>
      </c>
      <c r="H19" s="25"/>
      <c r="I19" s="25"/>
      <c r="J19" s="81">
        <f>C19/100*1120</f>
        <v>44755.200000000004</v>
      </c>
      <c r="K19" s="27">
        <f>C19/100*0.02</f>
        <v>0.79920000000000002</v>
      </c>
      <c r="L19" s="137">
        <v>4440</v>
      </c>
      <c r="M19" s="75">
        <v>260</v>
      </c>
      <c r="N19" s="170">
        <f t="shared" si="0"/>
        <v>1154400</v>
      </c>
      <c r="O19" s="153"/>
      <c r="Q19" s="3"/>
      <c r="R19" s="3"/>
      <c r="S19" s="4"/>
    </row>
    <row r="20" spans="1:20" s="2" customFormat="1" ht="18.600000000000001" customHeight="1">
      <c r="A20" s="9">
        <v>6</v>
      </c>
      <c r="B20" s="10" t="s">
        <v>71</v>
      </c>
      <c r="C20" s="23">
        <f>L20/100*98</f>
        <v>8104.6</v>
      </c>
      <c r="D20" s="120">
        <f>C20/100*139</f>
        <v>11265.394</v>
      </c>
      <c r="E20" s="119">
        <f>C20/100*19</f>
        <v>1539.874</v>
      </c>
      <c r="F20" s="25"/>
      <c r="G20" s="25">
        <f>C20/100*7</f>
        <v>567.322</v>
      </c>
      <c r="H20" s="25"/>
      <c r="I20" s="25"/>
      <c r="J20" s="27">
        <f>C20/100*7</f>
        <v>567.322</v>
      </c>
      <c r="K20" s="27">
        <f>C20/100*0.9</f>
        <v>72.941400000000002</v>
      </c>
      <c r="L20" s="137">
        <v>8270</v>
      </c>
      <c r="M20" s="143">
        <v>137</v>
      </c>
      <c r="N20" s="170">
        <f t="shared" si="0"/>
        <v>1132990</v>
      </c>
      <c r="O20" s="153"/>
    </row>
    <row r="21" spans="1:20" s="141" customFormat="1" ht="18.600000000000001" customHeight="1">
      <c r="A21" s="163">
        <v>7</v>
      </c>
      <c r="B21" s="149" t="s">
        <v>177</v>
      </c>
      <c r="C21" s="164">
        <f>L21/100*78</f>
        <v>3293.9399999999996</v>
      </c>
      <c r="D21" s="139">
        <f>C21/100*37</f>
        <v>1218.7577999999999</v>
      </c>
      <c r="E21" s="136"/>
      <c r="F21" s="136">
        <f>C21/100*2.8</f>
        <v>92.230319999999992</v>
      </c>
      <c r="G21" s="136"/>
      <c r="H21" s="136">
        <f>C21/100*0.1</f>
        <v>3.2939400000000001</v>
      </c>
      <c r="I21" s="136">
        <f>C21/100*6.2</f>
        <v>204.22427999999999</v>
      </c>
      <c r="J21" s="140">
        <f>C21/100*46</f>
        <v>1515.2123999999999</v>
      </c>
      <c r="K21" s="136">
        <f>C21/100*0.02</f>
        <v>0.65878800000000004</v>
      </c>
      <c r="L21" s="137">
        <v>4223</v>
      </c>
      <c r="M21" s="165">
        <v>20</v>
      </c>
      <c r="N21" s="135">
        <f t="shared" si="0"/>
        <v>84460</v>
      </c>
      <c r="O21" s="396"/>
    </row>
    <row r="22" spans="1:20" s="2" customFormat="1" ht="18.600000000000001" customHeight="1">
      <c r="A22" s="9">
        <v>8</v>
      </c>
      <c r="B22" s="5" t="s">
        <v>20</v>
      </c>
      <c r="C22" s="23">
        <f>L22/100*95</f>
        <v>1615</v>
      </c>
      <c r="D22" s="24">
        <f>C22/100*20</f>
        <v>323</v>
      </c>
      <c r="E22" s="25"/>
      <c r="F22" s="25">
        <f>C22/100*0.6</f>
        <v>9.69</v>
      </c>
      <c r="G22" s="25"/>
      <c r="H22" s="25">
        <f>C22/100*0.2</f>
        <v>3.23</v>
      </c>
      <c r="I22" s="25">
        <f>C22/100*4</f>
        <v>64.599999999999994</v>
      </c>
      <c r="J22" s="27">
        <f>C22/100*12</f>
        <v>193.79999999999998</v>
      </c>
      <c r="K22" s="24">
        <f>C22/100*0.04</f>
        <v>0.64599999999999991</v>
      </c>
      <c r="L22" s="137">
        <v>1700</v>
      </c>
      <c r="M22" s="77">
        <v>22</v>
      </c>
      <c r="N22" s="28">
        <f t="shared" si="0"/>
        <v>37400</v>
      </c>
      <c r="O22" s="375"/>
      <c r="Q22" s="3"/>
      <c r="R22" s="3"/>
      <c r="S22" s="4"/>
    </row>
    <row r="23" spans="1:20" s="2" customFormat="1" ht="18.600000000000001" customHeight="1">
      <c r="A23" s="9">
        <v>9</v>
      </c>
      <c r="B23" s="5" t="s">
        <v>154</v>
      </c>
      <c r="C23" s="23">
        <f>L23/100*81</f>
        <v>1887.3</v>
      </c>
      <c r="D23" s="24">
        <f>C23/100*17</f>
        <v>320.84100000000001</v>
      </c>
      <c r="E23" s="29"/>
      <c r="F23" s="29">
        <f>C23/100*0.9</f>
        <v>16.985700000000001</v>
      </c>
      <c r="G23" s="29"/>
      <c r="H23" s="29">
        <f>C23/100*0.2</f>
        <v>3.7746000000000004</v>
      </c>
      <c r="I23" s="29">
        <f>C23/100*2.8</f>
        <v>52.8444</v>
      </c>
      <c r="J23" s="25">
        <f>C23/100*28</f>
        <v>528.44400000000007</v>
      </c>
      <c r="K23" s="27">
        <f>C23/100*0.04</f>
        <v>0.75492000000000004</v>
      </c>
      <c r="L23" s="374">
        <v>2330</v>
      </c>
      <c r="M23" s="75">
        <v>20</v>
      </c>
      <c r="N23" s="28">
        <f t="shared" si="0"/>
        <v>46600</v>
      </c>
      <c r="O23" s="153"/>
      <c r="P23" s="3"/>
    </row>
    <row r="24" spans="1:20" s="141" customFormat="1" ht="16.2" customHeight="1">
      <c r="A24" s="163">
        <v>10</v>
      </c>
      <c r="B24" s="149" t="s">
        <v>185</v>
      </c>
      <c r="C24" s="164">
        <f>L24/100*65</f>
        <v>4407</v>
      </c>
      <c r="D24" s="139">
        <f>C24/100*14</f>
        <v>616.98</v>
      </c>
      <c r="E24" s="136"/>
      <c r="F24" s="136">
        <f>C24/100*1.6</f>
        <v>70.512</v>
      </c>
      <c r="G24" s="136"/>
      <c r="H24" s="136"/>
      <c r="I24" s="136">
        <f>C24/100*1.9</f>
        <v>83.73299999999999</v>
      </c>
      <c r="J24" s="140">
        <f>C24/100*63</f>
        <v>2776.41</v>
      </c>
      <c r="K24" s="136">
        <f>C24/100*0.01</f>
        <v>0.44070000000000004</v>
      </c>
      <c r="L24" s="137">
        <v>6780</v>
      </c>
      <c r="M24" s="165">
        <v>24</v>
      </c>
      <c r="N24" s="168">
        <f t="shared" si="0"/>
        <v>162720</v>
      </c>
      <c r="O24" s="396"/>
    </row>
    <row r="25" spans="1:20" s="2" customFormat="1" ht="18.600000000000001" customHeight="1">
      <c r="A25" s="9">
        <v>11</v>
      </c>
      <c r="B25" s="5" t="s">
        <v>136</v>
      </c>
      <c r="C25" s="23">
        <f>L25/100*100</f>
        <v>210</v>
      </c>
      <c r="D25" s="24">
        <f>C25/100*247</f>
        <v>518.70000000000005</v>
      </c>
      <c r="E25" s="29"/>
      <c r="F25" s="29">
        <f>C25/100*17.5</f>
        <v>36.75</v>
      </c>
      <c r="G25" s="29"/>
      <c r="H25" s="29">
        <f>C25/100*1.6</f>
        <v>3.3600000000000003</v>
      </c>
      <c r="I25" s="29">
        <f>C25/100*39.2</f>
        <v>82.320000000000007</v>
      </c>
      <c r="J25" s="71"/>
      <c r="K25" s="71"/>
      <c r="L25" s="374">
        <v>210</v>
      </c>
      <c r="M25" s="75">
        <v>50</v>
      </c>
      <c r="N25" s="28">
        <f t="shared" si="0"/>
        <v>10500</v>
      </c>
      <c r="O25" s="153"/>
      <c r="Q25" s="3"/>
      <c r="R25" s="3"/>
      <c r="S25" s="4"/>
      <c r="T25" s="3"/>
    </row>
    <row r="26" spans="1:20" s="2" customFormat="1" ht="18.600000000000001" customHeight="1">
      <c r="A26" s="9">
        <v>12</v>
      </c>
      <c r="B26" s="6" t="s">
        <v>123</v>
      </c>
      <c r="C26" s="23"/>
      <c r="D26" s="24"/>
      <c r="E26" s="29"/>
      <c r="F26" s="29"/>
      <c r="G26" s="29"/>
      <c r="H26" s="29"/>
      <c r="I26" s="29"/>
      <c r="J26" s="71"/>
      <c r="K26" s="71"/>
      <c r="L26" s="30"/>
      <c r="M26" s="26"/>
      <c r="N26" s="28">
        <v>15750</v>
      </c>
      <c r="O26" s="153"/>
    </row>
    <row r="27" spans="1:20" s="2" customFormat="1" ht="18.600000000000001" customHeight="1">
      <c r="A27" s="21" t="s">
        <v>121</v>
      </c>
      <c r="B27" s="22"/>
      <c r="C27" s="34"/>
      <c r="D27" s="121">
        <f>SUM(D16:D26)</f>
        <v>95949.6728</v>
      </c>
      <c r="E27" s="36"/>
      <c r="F27" s="36"/>
      <c r="G27" s="36"/>
      <c r="H27" s="36"/>
      <c r="I27" s="36"/>
      <c r="J27" s="36"/>
      <c r="K27" s="36"/>
      <c r="L27" s="37"/>
      <c r="M27" s="311"/>
      <c r="N27" s="350">
        <f>SUM(N16:N26)</f>
        <v>3073900</v>
      </c>
      <c r="O27" s="153"/>
    </row>
    <row r="28" spans="1:20" s="2" customFormat="1" ht="18.600000000000001" customHeight="1">
      <c r="A28" s="21" t="s">
        <v>6</v>
      </c>
      <c r="B28" s="22"/>
      <c r="C28" s="34"/>
      <c r="D28" s="35">
        <f>D27/D10</f>
        <v>452.59279622641509</v>
      </c>
      <c r="E28" s="36"/>
      <c r="F28" s="36"/>
      <c r="G28" s="36"/>
      <c r="H28" s="36"/>
      <c r="I28" s="36"/>
      <c r="J28" s="36"/>
      <c r="K28" s="36"/>
      <c r="L28" s="37"/>
      <c r="M28" s="312"/>
      <c r="N28" s="351"/>
      <c r="O28" s="153"/>
    </row>
    <row r="29" spans="1:20" s="2" customFormat="1" ht="18.600000000000001" customHeight="1">
      <c r="A29" s="294" t="s">
        <v>51</v>
      </c>
      <c r="B29" s="352"/>
      <c r="C29" s="376" t="s">
        <v>151</v>
      </c>
      <c r="D29" s="20" t="s">
        <v>45</v>
      </c>
      <c r="E29" s="36"/>
      <c r="F29" s="36"/>
      <c r="G29" s="36"/>
      <c r="H29" s="36"/>
      <c r="I29" s="36"/>
      <c r="J29" s="36"/>
      <c r="K29" s="36"/>
      <c r="L29" s="37"/>
      <c r="M29" s="37"/>
      <c r="N29" s="38"/>
      <c r="O29" s="153"/>
    </row>
    <row r="30" spans="1:20" s="2" customFormat="1" ht="18.600000000000001" customHeight="1">
      <c r="A30" s="353"/>
      <c r="B30" s="354"/>
      <c r="C30" s="76" t="s">
        <v>60</v>
      </c>
      <c r="D30" s="20">
        <f>D28*100/1320</f>
        <v>34.287333047455689</v>
      </c>
      <c r="E30" s="36"/>
      <c r="F30" s="36"/>
      <c r="G30" s="36"/>
      <c r="H30" s="36"/>
      <c r="I30" s="36"/>
      <c r="J30" s="36"/>
      <c r="K30" s="36"/>
      <c r="L30" s="37"/>
      <c r="M30" s="37"/>
      <c r="N30" s="38"/>
      <c r="O30" s="153"/>
    </row>
    <row r="31" spans="1:20" s="2" customFormat="1" ht="18.600000000000001" customHeight="1">
      <c r="A31" s="236" t="s">
        <v>35</v>
      </c>
      <c r="B31" s="236"/>
      <c r="C31" s="56"/>
      <c r="D31" s="57"/>
      <c r="E31" s="58"/>
      <c r="F31" s="58"/>
      <c r="G31" s="58"/>
      <c r="H31" s="58"/>
      <c r="I31" s="58"/>
      <c r="J31" s="58"/>
      <c r="K31" s="58"/>
      <c r="L31" s="59"/>
      <c r="M31" s="59"/>
      <c r="N31" s="69"/>
      <c r="O31" s="153"/>
    </row>
    <row r="32" spans="1:20" s="2" customFormat="1" ht="18.600000000000001" customHeight="1">
      <c r="A32" s="14">
        <v>1</v>
      </c>
      <c r="B32" s="158" t="s">
        <v>123</v>
      </c>
      <c r="C32" s="159"/>
      <c r="D32" s="160"/>
      <c r="E32" s="161"/>
      <c r="F32" s="161"/>
      <c r="G32" s="161"/>
      <c r="H32" s="161"/>
      <c r="I32" s="161"/>
      <c r="J32" s="161"/>
      <c r="K32" s="161"/>
      <c r="L32" s="162"/>
      <c r="M32" s="162"/>
      <c r="N32" s="42">
        <v>14100</v>
      </c>
      <c r="O32" s="153"/>
    </row>
    <row r="33" spans="1:20" s="2" customFormat="1" ht="18.600000000000001" customHeight="1">
      <c r="A33" s="9">
        <v>2</v>
      </c>
      <c r="B33" s="10" t="s">
        <v>2</v>
      </c>
      <c r="C33" s="23">
        <f>L33/100*100</f>
        <v>260</v>
      </c>
      <c r="D33" s="24">
        <f>C33/100*60</f>
        <v>156</v>
      </c>
      <c r="E33" s="25">
        <f>C33/100*15</f>
        <v>39</v>
      </c>
      <c r="F33" s="25"/>
      <c r="G33" s="25"/>
      <c r="H33" s="25"/>
      <c r="I33" s="25"/>
      <c r="J33" s="81">
        <f>C33/100*387</f>
        <v>1006.2</v>
      </c>
      <c r="K33" s="27">
        <f>C33/100*0.09</f>
        <v>0.23399999999999999</v>
      </c>
      <c r="L33" s="137">
        <v>260</v>
      </c>
      <c r="M33" s="75">
        <v>20</v>
      </c>
      <c r="N33" s="28">
        <f>L33*M33</f>
        <v>5200</v>
      </c>
      <c r="O33" s="153"/>
    </row>
    <row r="34" spans="1:20" s="2" customFormat="1" ht="18.600000000000001" customHeight="1">
      <c r="A34" s="9">
        <v>3</v>
      </c>
      <c r="B34" s="5" t="s">
        <v>1</v>
      </c>
      <c r="C34" s="23">
        <f>L34/100*100</f>
        <v>3180</v>
      </c>
      <c r="D34" s="120">
        <f>C34/100*344</f>
        <v>10939.2</v>
      </c>
      <c r="E34" s="25"/>
      <c r="F34" s="25">
        <f>C34/100*7.9</f>
        <v>251.22000000000003</v>
      </c>
      <c r="G34" s="25"/>
      <c r="H34" s="25">
        <f>C34/100*1</f>
        <v>31.8</v>
      </c>
      <c r="I34" s="119">
        <f>C34/100*73.2</f>
        <v>2327.7600000000002</v>
      </c>
      <c r="J34" s="27">
        <f>C34/100*30</f>
        <v>954</v>
      </c>
      <c r="K34" s="27">
        <f>C34/100*0.1</f>
        <v>3.18</v>
      </c>
      <c r="L34" s="137">
        <v>3180</v>
      </c>
      <c r="M34" s="75">
        <v>18</v>
      </c>
      <c r="N34" s="28">
        <f t="shared" ref="N34:N35" si="1">L34*M34</f>
        <v>57240</v>
      </c>
      <c r="O34" s="153"/>
    </row>
    <row r="35" spans="1:20" s="2" customFormat="1" ht="18.600000000000001" customHeight="1">
      <c r="A35" s="9">
        <v>4</v>
      </c>
      <c r="B35" s="5" t="s">
        <v>73</v>
      </c>
      <c r="C35" s="23">
        <f>L35/100*100</f>
        <v>2120</v>
      </c>
      <c r="D35" s="24">
        <f>C35/100*344</f>
        <v>7292.8</v>
      </c>
      <c r="E35" s="25"/>
      <c r="F35" s="25">
        <f>C35/100*8.6</f>
        <v>182.32</v>
      </c>
      <c r="G35" s="25"/>
      <c r="H35" s="25">
        <f>C35/100*1.5</f>
        <v>31.799999999999997</v>
      </c>
      <c r="I35" s="119">
        <f>C35/100*74.5</f>
        <v>1579.3999999999999</v>
      </c>
      <c r="J35" s="25">
        <f>C35/100*32</f>
        <v>678.4</v>
      </c>
      <c r="K35" s="25">
        <f>C35/100*0.14</f>
        <v>2.968</v>
      </c>
      <c r="L35" s="137">
        <v>2120</v>
      </c>
      <c r="M35" s="75">
        <v>30</v>
      </c>
      <c r="N35" s="28">
        <f t="shared" si="1"/>
        <v>63600</v>
      </c>
      <c r="O35" s="153"/>
      <c r="P35" s="18"/>
    </row>
    <row r="36" spans="1:20" s="2" customFormat="1" ht="18.600000000000001" customHeight="1">
      <c r="A36" s="9">
        <v>5</v>
      </c>
      <c r="B36" s="146" t="s">
        <v>141</v>
      </c>
      <c r="C36" s="23">
        <f>L36/100*100</f>
        <v>1280</v>
      </c>
      <c r="D36" s="120">
        <f>C36/100*899</f>
        <v>11507.2</v>
      </c>
      <c r="E36" s="25"/>
      <c r="F36" s="25"/>
      <c r="G36" s="119">
        <f>C36/100*100</f>
        <v>1280</v>
      </c>
      <c r="H36" s="25"/>
      <c r="I36" s="119"/>
      <c r="J36" s="27"/>
      <c r="K36" s="27"/>
      <c r="L36" s="137">
        <v>1280</v>
      </c>
      <c r="M36" s="75">
        <v>68</v>
      </c>
      <c r="N36" s="28">
        <f t="shared" ref="N36:N44" si="2">L36*M36</f>
        <v>87040</v>
      </c>
      <c r="O36" s="153"/>
    </row>
    <row r="37" spans="1:20" s="2" customFormat="1" ht="18.600000000000001" customHeight="1">
      <c r="A37" s="9">
        <v>6</v>
      </c>
      <c r="B37" s="5" t="s">
        <v>136</v>
      </c>
      <c r="C37" s="23">
        <f>L37/100*100</f>
        <v>130</v>
      </c>
      <c r="D37" s="24">
        <f>C37/100*247</f>
        <v>321.10000000000002</v>
      </c>
      <c r="E37" s="29"/>
      <c r="F37" s="29">
        <f>C37/100*17.5</f>
        <v>22.75</v>
      </c>
      <c r="G37" s="29"/>
      <c r="H37" s="29">
        <f>C37/100*1.6</f>
        <v>2.08</v>
      </c>
      <c r="I37" s="29">
        <f>C37/100*39.2</f>
        <v>50.960000000000008</v>
      </c>
      <c r="J37" s="71"/>
      <c r="K37" s="71"/>
      <c r="L37" s="374">
        <v>130</v>
      </c>
      <c r="M37" s="75">
        <v>50</v>
      </c>
      <c r="N37" s="28">
        <f t="shared" si="2"/>
        <v>6500</v>
      </c>
      <c r="O37" s="153"/>
      <c r="Q37" s="3"/>
      <c r="R37" s="3"/>
      <c r="S37" s="4"/>
      <c r="T37" s="3"/>
    </row>
    <row r="38" spans="1:20" s="2" customFormat="1" ht="18.600000000000001" customHeight="1">
      <c r="A38" s="9">
        <v>7</v>
      </c>
      <c r="B38" s="10" t="s">
        <v>70</v>
      </c>
      <c r="C38" s="23">
        <f>L38/100*90</f>
        <v>54</v>
      </c>
      <c r="D38" s="24">
        <f>C38/100*253</f>
        <v>136.62</v>
      </c>
      <c r="E38" s="25"/>
      <c r="F38" s="25">
        <f>C38/100*32.4</f>
        <v>17.495999999999999</v>
      </c>
      <c r="G38" s="25"/>
      <c r="H38" s="25">
        <f>C38/100*3.6</f>
        <v>1.9440000000000002</v>
      </c>
      <c r="I38" s="25">
        <f>C38/100*21.1</f>
        <v>11.394000000000002</v>
      </c>
      <c r="J38" s="27">
        <f>C38/100*165.6</f>
        <v>89.424000000000007</v>
      </c>
      <c r="K38" s="27">
        <f>C38/100*0.14</f>
        <v>7.5600000000000014E-2</v>
      </c>
      <c r="L38" s="137">
        <v>60</v>
      </c>
      <c r="M38" s="75">
        <v>275</v>
      </c>
      <c r="N38" s="28">
        <f t="shared" ref="N38:N39" si="3">L38*M38</f>
        <v>16500</v>
      </c>
      <c r="O38" s="153"/>
    </row>
    <row r="39" spans="1:20" s="2" customFormat="1" ht="18.600000000000001" customHeight="1">
      <c r="A39" s="9">
        <v>8</v>
      </c>
      <c r="B39" s="5" t="s">
        <v>138</v>
      </c>
      <c r="C39" s="23">
        <f>L39/100*100</f>
        <v>840</v>
      </c>
      <c r="D39" s="24">
        <f>C39/100*340</f>
        <v>2856</v>
      </c>
      <c r="E39" s="29"/>
      <c r="F39" s="29">
        <f>C39/100*0.7</f>
        <v>5.88</v>
      </c>
      <c r="G39" s="29"/>
      <c r="H39" s="29"/>
      <c r="I39" s="29">
        <f>C39/100*84.3</f>
        <v>708.12</v>
      </c>
      <c r="J39" s="71"/>
      <c r="K39" s="71"/>
      <c r="L39" s="374">
        <v>840</v>
      </c>
      <c r="M39" s="75">
        <v>180</v>
      </c>
      <c r="N39" s="124">
        <f t="shared" si="3"/>
        <v>151200</v>
      </c>
      <c r="O39" s="153"/>
      <c r="Q39" s="3"/>
      <c r="R39" s="3"/>
      <c r="S39" s="4"/>
      <c r="T39" s="3"/>
    </row>
    <row r="40" spans="1:20" s="2" customFormat="1" ht="18.600000000000001" customHeight="1">
      <c r="A40" s="9">
        <v>9</v>
      </c>
      <c r="B40" s="5" t="s">
        <v>93</v>
      </c>
      <c r="C40" s="23">
        <f>L40/100*81.7</f>
        <v>3464.08</v>
      </c>
      <c r="D40" s="24">
        <f>C40/100*27</f>
        <v>935.30160000000001</v>
      </c>
      <c r="E40" s="29"/>
      <c r="F40" s="29">
        <f>C40/100*0.3</f>
        <v>10.392239999999999</v>
      </c>
      <c r="G40" s="29"/>
      <c r="H40" s="29">
        <f>C40/100*0.1</f>
        <v>3.46408</v>
      </c>
      <c r="I40" s="29">
        <f>C40/100*6.1</f>
        <v>211.30887999999999</v>
      </c>
      <c r="J40" s="71">
        <f>C40/100*24</f>
        <v>831.37919999999997</v>
      </c>
      <c r="K40" s="71">
        <f>C40/100*0.06</f>
        <v>2.0784479999999999</v>
      </c>
      <c r="L40" s="374">
        <v>4240</v>
      </c>
      <c r="M40" s="26">
        <v>22</v>
      </c>
      <c r="N40" s="28">
        <f t="shared" si="2"/>
        <v>93280</v>
      </c>
      <c r="O40" s="153"/>
      <c r="Q40" s="3"/>
      <c r="R40" s="3"/>
      <c r="S40" s="4"/>
    </row>
    <row r="41" spans="1:20" s="2" customFormat="1" ht="18.600000000000001" customHeight="1">
      <c r="A41" s="9">
        <v>10</v>
      </c>
      <c r="B41" s="10" t="s">
        <v>169</v>
      </c>
      <c r="C41" s="23">
        <f>L41/100*55</f>
        <v>1754.5</v>
      </c>
      <c r="D41" s="120">
        <f>C41/100*196</f>
        <v>3438.82</v>
      </c>
      <c r="E41" s="25"/>
      <c r="F41" s="136">
        <f>C41/100*4.1</f>
        <v>71.9345</v>
      </c>
      <c r="G41" s="25"/>
      <c r="H41" s="25">
        <f>C41/100*2.3</f>
        <v>40.353500000000004</v>
      </c>
      <c r="I41" s="25">
        <f>C41/100*39.6</f>
        <v>694.78200000000004</v>
      </c>
      <c r="J41" s="27">
        <f>C41/100*4</f>
        <v>70.180000000000007</v>
      </c>
      <c r="K41" s="27">
        <f>C41/100*0.15</f>
        <v>2.6317500000000003</v>
      </c>
      <c r="L41" s="395">
        <v>3190</v>
      </c>
      <c r="M41" s="75">
        <v>22</v>
      </c>
      <c r="N41" s="28">
        <f t="shared" si="2"/>
        <v>70180</v>
      </c>
      <c r="O41" s="396"/>
      <c r="P41" s="141"/>
      <c r="Q41" s="141"/>
    </row>
    <row r="42" spans="1:20" s="2" customFormat="1" ht="18.600000000000001" customHeight="1">
      <c r="A42" s="9">
        <v>11</v>
      </c>
      <c r="B42" s="5" t="s">
        <v>69</v>
      </c>
      <c r="C42" s="23">
        <f>L42/100*48</f>
        <v>3868.7999999999997</v>
      </c>
      <c r="D42" s="24">
        <f>C42/100*199</f>
        <v>7698.9119999999994</v>
      </c>
      <c r="E42" s="25">
        <f>C42/100*20.3</f>
        <v>785.36639999999989</v>
      </c>
      <c r="F42" s="25"/>
      <c r="G42" s="25">
        <f>C42/100*13.1</f>
        <v>506.81279999999992</v>
      </c>
      <c r="H42" s="25"/>
      <c r="I42" s="25"/>
      <c r="J42" s="27">
        <f>C42/100*12</f>
        <v>464.25599999999997</v>
      </c>
      <c r="K42" s="27">
        <f>C42/100*0.15</f>
        <v>5.8031999999999995</v>
      </c>
      <c r="L42" s="26">
        <v>8060</v>
      </c>
      <c r="M42" s="137">
        <v>84</v>
      </c>
      <c r="N42" s="124">
        <f t="shared" si="2"/>
        <v>677040</v>
      </c>
      <c r="O42" s="153"/>
      <c r="Q42" s="3"/>
      <c r="R42" s="3"/>
      <c r="S42" s="4"/>
    </row>
    <row r="43" spans="1:20" s="2" customFormat="1" ht="18.600000000000001" customHeight="1">
      <c r="A43" s="9">
        <v>12</v>
      </c>
      <c r="B43" s="10" t="s">
        <v>64</v>
      </c>
      <c r="C43" s="23">
        <f>L43/100*40</f>
        <v>2168</v>
      </c>
      <c r="D43" s="24">
        <f>C43/100*276</f>
        <v>5983.68</v>
      </c>
      <c r="E43" s="25">
        <f>C43/100*17.8</f>
        <v>385.904</v>
      </c>
      <c r="F43" s="25"/>
      <c r="G43" s="25">
        <f>C43/100*21.8</f>
        <v>472.62400000000002</v>
      </c>
      <c r="H43" s="25"/>
      <c r="I43" s="25"/>
      <c r="J43" s="27">
        <f>C43/100*13</f>
        <v>281.83999999999997</v>
      </c>
      <c r="K43" s="27">
        <f>C43/100*0.07</f>
        <v>1.5176000000000001</v>
      </c>
      <c r="L43" s="137">
        <v>5420</v>
      </c>
      <c r="M43" s="75">
        <v>63</v>
      </c>
      <c r="N43" s="124">
        <f t="shared" si="2"/>
        <v>341460</v>
      </c>
      <c r="O43" s="153"/>
    </row>
    <row r="44" spans="1:20" s="2" customFormat="1" ht="18.600000000000001" customHeight="1">
      <c r="A44" s="103">
        <v>13</v>
      </c>
      <c r="B44" s="112" t="s">
        <v>170</v>
      </c>
      <c r="C44" s="104">
        <f>L44/100*85</f>
        <v>178.5</v>
      </c>
      <c r="D44" s="105">
        <f>C44/100*11</f>
        <v>19.634999999999998</v>
      </c>
      <c r="E44" s="106"/>
      <c r="F44" s="106">
        <f>C44/100*2.2</f>
        <v>3.927</v>
      </c>
      <c r="G44" s="106"/>
      <c r="H44" s="106"/>
      <c r="I44" s="106">
        <f>C44/100*0.6</f>
        <v>1.071</v>
      </c>
      <c r="J44" s="114"/>
      <c r="K44" s="114"/>
      <c r="L44" s="397">
        <v>210</v>
      </c>
      <c r="M44" s="145">
        <v>30</v>
      </c>
      <c r="N44" s="108">
        <f t="shared" si="2"/>
        <v>6300</v>
      </c>
      <c r="O44" s="153"/>
      <c r="Q44" s="3"/>
      <c r="R44" s="3"/>
    </row>
    <row r="45" spans="1:20" ht="22.8" customHeight="1">
      <c r="A45" s="209" t="s">
        <v>0</v>
      </c>
      <c r="B45" s="212" t="s">
        <v>19</v>
      </c>
      <c r="C45" s="215" t="s">
        <v>8</v>
      </c>
      <c r="D45" s="215" t="s">
        <v>9</v>
      </c>
      <c r="E45" s="218" t="s">
        <v>11</v>
      </c>
      <c r="F45" s="219"/>
      <c r="G45" s="218" t="s">
        <v>13</v>
      </c>
      <c r="H45" s="219"/>
      <c r="I45" s="222" t="s">
        <v>16</v>
      </c>
      <c r="J45" s="222" t="s">
        <v>41</v>
      </c>
      <c r="K45" s="222" t="s">
        <v>42</v>
      </c>
      <c r="L45" s="340" t="s">
        <v>17</v>
      </c>
      <c r="M45" s="222" t="s">
        <v>57</v>
      </c>
      <c r="N45" s="209" t="s">
        <v>18</v>
      </c>
      <c r="O45" s="373"/>
    </row>
    <row r="46" spans="1:20" ht="22.8" customHeight="1">
      <c r="A46" s="210"/>
      <c r="B46" s="213"/>
      <c r="C46" s="216"/>
      <c r="D46" s="216"/>
      <c r="E46" s="220"/>
      <c r="F46" s="221"/>
      <c r="G46" s="220"/>
      <c r="H46" s="221"/>
      <c r="I46" s="223"/>
      <c r="J46" s="223"/>
      <c r="K46" s="223"/>
      <c r="L46" s="341"/>
      <c r="M46" s="223"/>
      <c r="N46" s="210"/>
      <c r="O46" s="176"/>
    </row>
    <row r="47" spans="1:20" ht="22.8" customHeight="1">
      <c r="A47" s="210"/>
      <c r="B47" s="213"/>
      <c r="C47" s="216"/>
      <c r="D47" s="216"/>
      <c r="E47" s="222" t="s">
        <v>10</v>
      </c>
      <c r="F47" s="222" t="s">
        <v>12</v>
      </c>
      <c r="G47" s="222" t="s">
        <v>14</v>
      </c>
      <c r="H47" s="222" t="s">
        <v>15</v>
      </c>
      <c r="I47" s="223"/>
      <c r="J47" s="223"/>
      <c r="K47" s="223"/>
      <c r="L47" s="341"/>
      <c r="M47" s="223"/>
      <c r="N47" s="210"/>
      <c r="O47" s="176"/>
    </row>
    <row r="48" spans="1:20" ht="22.8" customHeight="1">
      <c r="A48" s="211"/>
      <c r="B48" s="214"/>
      <c r="C48" s="217"/>
      <c r="D48" s="217"/>
      <c r="E48" s="224"/>
      <c r="F48" s="224"/>
      <c r="G48" s="224"/>
      <c r="H48" s="224"/>
      <c r="I48" s="224"/>
      <c r="J48" s="224"/>
      <c r="K48" s="224"/>
      <c r="L48" s="342"/>
      <c r="M48" s="224"/>
      <c r="N48" s="211"/>
      <c r="O48" s="176"/>
    </row>
    <row r="49" spans="1:23" s="2" customFormat="1" ht="19.2" customHeight="1">
      <c r="A49" s="21" t="s">
        <v>106</v>
      </c>
      <c r="B49" s="22"/>
      <c r="C49" s="34"/>
      <c r="D49" s="121">
        <f>SUM(D33:D44)</f>
        <v>51285.268599999996</v>
      </c>
      <c r="E49" s="43"/>
      <c r="F49" s="43"/>
      <c r="G49" s="43"/>
      <c r="H49" s="43"/>
      <c r="I49" s="43"/>
      <c r="J49" s="43"/>
      <c r="K49" s="43"/>
      <c r="L49" s="44"/>
      <c r="M49" s="308"/>
      <c r="N49" s="348">
        <f>SUM(N30:N44)</f>
        <v>1589640</v>
      </c>
      <c r="O49" s="153"/>
    </row>
    <row r="50" spans="1:23" ht="19.2" customHeight="1">
      <c r="A50" s="21" t="s">
        <v>7</v>
      </c>
      <c r="B50" s="22"/>
      <c r="C50" s="45"/>
      <c r="D50" s="46">
        <f>D49/D10</f>
        <v>241.91164433962263</v>
      </c>
      <c r="E50" s="46"/>
      <c r="F50" s="46"/>
      <c r="G50" s="46"/>
      <c r="H50" s="46"/>
      <c r="I50" s="46"/>
      <c r="J50" s="46"/>
      <c r="K50" s="46"/>
      <c r="L50" s="47"/>
      <c r="M50" s="309"/>
      <c r="N50" s="349"/>
      <c r="O50" s="398"/>
      <c r="P50" s="2"/>
      <c r="Q50" s="2"/>
      <c r="R50" s="2"/>
      <c r="S50" s="2"/>
      <c r="T50" s="2"/>
      <c r="U50" s="2"/>
      <c r="V50" s="2"/>
    </row>
    <row r="51" spans="1:23" ht="19.2" customHeight="1">
      <c r="A51" s="294" t="s">
        <v>52</v>
      </c>
      <c r="B51" s="226"/>
      <c r="C51" s="376" t="s">
        <v>151</v>
      </c>
      <c r="D51" s="20" t="s">
        <v>58</v>
      </c>
      <c r="E51" s="46"/>
      <c r="F51" s="46"/>
      <c r="G51" s="46"/>
      <c r="H51" s="46"/>
      <c r="I51" s="46"/>
      <c r="J51" s="48"/>
      <c r="K51" s="48"/>
      <c r="L51" s="47"/>
      <c r="M51" s="47"/>
      <c r="N51" s="177"/>
      <c r="O51" s="4"/>
      <c r="P51" s="2"/>
      <c r="Q51" s="2"/>
      <c r="R51" s="2"/>
      <c r="S51" s="2"/>
      <c r="T51" s="2"/>
      <c r="U51" s="2"/>
      <c r="V51" s="2"/>
      <c r="W51" s="2"/>
    </row>
    <row r="52" spans="1:23" ht="19.2" customHeight="1">
      <c r="A52" s="227"/>
      <c r="B52" s="228"/>
      <c r="C52" s="76" t="s">
        <v>60</v>
      </c>
      <c r="D52" s="20">
        <f>D50*100/1320</f>
        <v>18.326639722698683</v>
      </c>
      <c r="E52" s="46"/>
      <c r="F52" s="46"/>
      <c r="G52" s="46"/>
      <c r="H52" s="46"/>
      <c r="I52" s="46"/>
      <c r="J52" s="48"/>
      <c r="K52" s="48"/>
      <c r="L52" s="47"/>
      <c r="M52" s="47"/>
      <c r="N52" s="177"/>
      <c r="O52" s="4"/>
      <c r="P52" s="2"/>
      <c r="Q52" s="2"/>
      <c r="R52" s="2"/>
      <c r="S52" s="2"/>
      <c r="T52" s="2"/>
      <c r="U52" s="2"/>
      <c r="V52" s="2"/>
      <c r="W52" s="2"/>
    </row>
    <row r="53" spans="1:23" ht="19.2" customHeight="1">
      <c r="A53" s="286" t="s">
        <v>107</v>
      </c>
      <c r="B53" s="287"/>
      <c r="C53" s="290"/>
      <c r="D53" s="297">
        <f>D27+D49</f>
        <v>147234.94140000001</v>
      </c>
      <c r="E53" s="123">
        <f t="shared" ref="E53:K53" si="4">SUM(E16:E44)</f>
        <v>3527.4083999999998</v>
      </c>
      <c r="F53" s="123">
        <f t="shared" si="4"/>
        <v>2383.1477600000003</v>
      </c>
      <c r="G53" s="123">
        <f t="shared" si="4"/>
        <v>2898.6867999999995</v>
      </c>
      <c r="H53" s="123">
        <f t="shared" si="4"/>
        <v>1286.5001199999997</v>
      </c>
      <c r="I53" s="355">
        <f t="shared" si="4"/>
        <v>20814.99756</v>
      </c>
      <c r="J53" s="355">
        <f t="shared" si="4"/>
        <v>61837.667600000001</v>
      </c>
      <c r="K53" s="284">
        <f t="shared" si="4"/>
        <v>115.121606</v>
      </c>
      <c r="L53" s="268"/>
      <c r="M53" s="268"/>
      <c r="N53" s="358">
        <f>N27+N49</f>
        <v>4663540</v>
      </c>
      <c r="U53" s="12"/>
      <c r="V53" s="12"/>
    </row>
    <row r="54" spans="1:23" ht="19.2" customHeight="1">
      <c r="A54" s="288"/>
      <c r="B54" s="289"/>
      <c r="C54" s="291"/>
      <c r="D54" s="298"/>
      <c r="E54" s="282">
        <f>E53+F53</f>
        <v>5910.5561600000001</v>
      </c>
      <c r="F54" s="283"/>
      <c r="G54" s="282">
        <f>G53+H53</f>
        <v>4185.1869199999992</v>
      </c>
      <c r="H54" s="283"/>
      <c r="I54" s="356"/>
      <c r="J54" s="356"/>
      <c r="K54" s="285"/>
      <c r="L54" s="268"/>
      <c r="M54" s="268"/>
      <c r="N54" s="358"/>
      <c r="P54" s="368"/>
      <c r="Q54" s="370"/>
      <c r="R54" s="370"/>
      <c r="S54" s="370"/>
      <c r="T54" s="370"/>
      <c r="U54" s="380"/>
      <c r="V54" s="380"/>
    </row>
    <row r="55" spans="1:23" ht="20.399999999999999" customHeight="1">
      <c r="A55" s="269" t="s">
        <v>77</v>
      </c>
      <c r="B55" s="270"/>
      <c r="C55" s="271"/>
      <c r="D55" s="142">
        <f>D53/D10</f>
        <v>694.50444056603783</v>
      </c>
      <c r="E55" s="378">
        <f>E53/D10</f>
        <v>16.638718867924528</v>
      </c>
      <c r="F55" s="379">
        <f>F53/D10</f>
        <v>11.241263018867926</v>
      </c>
      <c r="G55" s="378">
        <f>G53/D10</f>
        <v>13.673050943396223</v>
      </c>
      <c r="H55" s="399">
        <f>H53/D10</f>
        <v>6.0683967924528286</v>
      </c>
      <c r="I55" s="343">
        <f>I53/D10</f>
        <v>98.183950754716975</v>
      </c>
      <c r="J55" s="343">
        <f>J53/D10</f>
        <v>291.6871113207547</v>
      </c>
      <c r="K55" s="300">
        <f>K53/D10</f>
        <v>0.54302644339622641</v>
      </c>
      <c r="L55" s="268"/>
      <c r="M55" s="268"/>
      <c r="N55" s="358"/>
      <c r="P55" s="383"/>
      <c r="Q55" s="370"/>
      <c r="R55" s="370"/>
      <c r="S55" s="370"/>
      <c r="T55" s="370"/>
      <c r="U55" s="370"/>
      <c r="V55" s="370"/>
    </row>
    <row r="56" spans="1:23" ht="20.399999999999999" customHeight="1">
      <c r="A56" s="272"/>
      <c r="B56" s="273"/>
      <c r="C56" s="274"/>
      <c r="D56" s="127"/>
      <c r="E56" s="381">
        <f>E55+F55</f>
        <v>27.879981886792454</v>
      </c>
      <c r="F56" s="382"/>
      <c r="G56" s="381">
        <f>G55+H55</f>
        <v>19.74144773584905</v>
      </c>
      <c r="H56" s="382"/>
      <c r="I56" s="344"/>
      <c r="J56" s="344"/>
      <c r="K56" s="301"/>
      <c r="L56" s="268"/>
      <c r="M56" s="268"/>
      <c r="N56" s="358"/>
      <c r="P56" s="368"/>
      <c r="Q56" s="368"/>
      <c r="R56" s="368"/>
      <c r="S56" s="368"/>
      <c r="T56" s="368"/>
      <c r="U56" s="368"/>
      <c r="V56" s="368"/>
    </row>
    <row r="57" spans="1:23" ht="20.399999999999999" customHeight="1">
      <c r="A57" s="305" t="s">
        <v>80</v>
      </c>
      <c r="B57" s="306"/>
      <c r="C57" s="307"/>
      <c r="D57" s="179" t="s">
        <v>28</v>
      </c>
      <c r="E57" s="195" t="s">
        <v>21</v>
      </c>
      <c r="F57" s="195"/>
      <c r="G57" s="195" t="s">
        <v>22</v>
      </c>
      <c r="H57" s="195"/>
      <c r="I57" s="175" t="s">
        <v>23</v>
      </c>
      <c r="J57" s="384">
        <v>600</v>
      </c>
      <c r="K57" s="384">
        <v>0.7</v>
      </c>
      <c r="L57" s="268"/>
      <c r="M57" s="268"/>
      <c r="N57" s="358"/>
      <c r="O57" s="385"/>
      <c r="P57" s="368"/>
      <c r="Q57" s="368"/>
      <c r="R57" s="368"/>
      <c r="S57" s="368"/>
      <c r="T57" s="368"/>
      <c r="U57" s="368"/>
      <c r="V57" s="368"/>
    </row>
    <row r="58" spans="1:23" ht="20.399999999999999" customHeight="1">
      <c r="A58" s="243" t="s">
        <v>78</v>
      </c>
      <c r="B58" s="275"/>
      <c r="C58" s="244"/>
      <c r="D58" s="49"/>
      <c r="E58" s="276">
        <f>E56*4.1</f>
        <v>114.30792573584905</v>
      </c>
      <c r="F58" s="277"/>
      <c r="G58" s="276">
        <f>G56*9</f>
        <v>177.67302962264145</v>
      </c>
      <c r="H58" s="277"/>
      <c r="I58" s="122">
        <f>I55*4.1</f>
        <v>402.55419809433954</v>
      </c>
      <c r="J58" s="257"/>
      <c r="K58" s="257"/>
      <c r="L58" s="268"/>
      <c r="M58" s="268"/>
      <c r="N58" s="358"/>
      <c r="O58" s="385"/>
      <c r="P58" s="386"/>
      <c r="Q58" s="369"/>
      <c r="R58" s="369"/>
      <c r="S58" s="369"/>
      <c r="T58" s="368"/>
      <c r="U58" s="368"/>
      <c r="V58" s="368"/>
    </row>
    <row r="59" spans="1:23" ht="20.399999999999999" customHeight="1">
      <c r="A59" s="278" t="s">
        <v>81</v>
      </c>
      <c r="B59" s="279"/>
      <c r="C59" s="243" t="s">
        <v>59</v>
      </c>
      <c r="D59" s="244"/>
      <c r="E59" s="189">
        <f>E58*100/D55</f>
        <v>16.45891934725217</v>
      </c>
      <c r="F59" s="190"/>
      <c r="G59" s="189">
        <f>G58*100/D55</f>
        <v>25.582706062733543</v>
      </c>
      <c r="H59" s="190"/>
      <c r="I59" s="116">
        <f>I58*100/D55</f>
        <v>57.962796863652613</v>
      </c>
      <c r="J59" s="258"/>
      <c r="K59" s="258"/>
      <c r="L59" s="268"/>
      <c r="M59" s="268"/>
      <c r="N59" s="358"/>
      <c r="O59" s="385"/>
      <c r="P59" s="368"/>
      <c r="Q59" s="368"/>
      <c r="R59" s="368"/>
      <c r="S59" s="368"/>
      <c r="T59" s="368"/>
      <c r="U59" s="368"/>
      <c r="V59" s="368"/>
    </row>
    <row r="60" spans="1:23" ht="20.399999999999999" customHeight="1">
      <c r="A60" s="280"/>
      <c r="B60" s="281"/>
      <c r="C60" s="243" t="s">
        <v>79</v>
      </c>
      <c r="D60" s="244"/>
      <c r="E60" s="243" t="s">
        <v>82</v>
      </c>
      <c r="F60" s="244"/>
      <c r="G60" s="243" t="s">
        <v>83</v>
      </c>
      <c r="H60" s="244"/>
      <c r="I60" s="179" t="s">
        <v>84</v>
      </c>
      <c r="J60" s="259"/>
      <c r="K60" s="259"/>
      <c r="L60" s="268"/>
      <c r="M60" s="268"/>
      <c r="N60" s="358"/>
      <c r="O60" s="385"/>
      <c r="P60" s="132"/>
    </row>
    <row r="61" spans="1:23" ht="20.399999999999999" customHeight="1">
      <c r="A61" s="90"/>
      <c r="B61" s="90"/>
      <c r="C61" s="90"/>
      <c r="D61" s="90"/>
      <c r="E61" s="90"/>
      <c r="F61" s="90"/>
      <c r="G61" s="90"/>
      <c r="H61" s="90"/>
      <c r="I61" s="90"/>
      <c r="J61" s="90"/>
      <c r="K61" s="90"/>
      <c r="L61" s="94"/>
      <c r="M61" s="94"/>
      <c r="N61" s="95"/>
      <c r="O61" s="385"/>
    </row>
    <row r="62" spans="1:23" ht="21" customHeight="1">
      <c r="A62" s="184" t="s">
        <v>114</v>
      </c>
      <c r="B62" s="184"/>
      <c r="C62" s="184"/>
      <c r="D62" s="184"/>
      <c r="E62" s="184"/>
      <c r="F62" s="184"/>
      <c r="G62" s="184"/>
      <c r="H62" s="184"/>
      <c r="I62" s="184"/>
      <c r="J62" s="184"/>
      <c r="K62" s="184"/>
      <c r="L62" s="184"/>
      <c r="M62" s="184"/>
      <c r="N62" s="184"/>
      <c r="O62" s="385"/>
    </row>
    <row r="63" spans="1:23" ht="21" customHeight="1">
      <c r="A63" s="117" t="s">
        <v>115</v>
      </c>
      <c r="B63" s="185" t="s">
        <v>116</v>
      </c>
      <c r="C63" s="185"/>
      <c r="D63" s="185"/>
      <c r="E63" s="185"/>
      <c r="F63" s="185"/>
      <c r="G63" s="185"/>
      <c r="H63" s="185"/>
      <c r="I63" s="185"/>
      <c r="J63" s="185"/>
      <c r="K63" s="185"/>
      <c r="L63" s="185"/>
      <c r="M63" s="185"/>
      <c r="N63" s="185"/>
      <c r="O63" s="385"/>
    </row>
    <row r="64" spans="1:23" ht="21" customHeight="1">
      <c r="A64" s="118"/>
      <c r="B64" s="186" t="s">
        <v>217</v>
      </c>
      <c r="C64" s="186"/>
      <c r="D64" s="186"/>
      <c r="E64" s="186"/>
      <c r="F64" s="186"/>
      <c r="G64" s="186"/>
      <c r="H64" s="186"/>
      <c r="I64" s="186"/>
      <c r="J64" s="186"/>
      <c r="K64" s="186"/>
      <c r="L64" s="186"/>
      <c r="M64" s="186"/>
      <c r="N64" s="186"/>
      <c r="O64" s="385"/>
    </row>
    <row r="65" spans="1:15" ht="21" customHeight="1">
      <c r="A65" s="118"/>
      <c r="B65" s="186" t="s">
        <v>218</v>
      </c>
      <c r="C65" s="186"/>
      <c r="D65" s="186"/>
      <c r="E65" s="186"/>
      <c r="F65" s="186"/>
      <c r="G65" s="186"/>
      <c r="H65" s="186"/>
      <c r="I65" s="186"/>
      <c r="J65" s="186"/>
      <c r="K65" s="186"/>
      <c r="L65" s="186"/>
      <c r="M65" s="186"/>
      <c r="N65" s="186"/>
      <c r="O65" s="385"/>
    </row>
    <row r="66" spans="1:15" ht="21" customHeight="1">
      <c r="A66" s="118"/>
      <c r="B66" s="186" t="s">
        <v>219</v>
      </c>
      <c r="C66" s="186"/>
      <c r="D66" s="186"/>
      <c r="E66" s="186"/>
      <c r="F66" s="186"/>
      <c r="G66" s="186"/>
      <c r="H66" s="186"/>
      <c r="I66" s="186"/>
      <c r="J66" s="186"/>
      <c r="K66" s="186"/>
      <c r="L66" s="186"/>
      <c r="M66" s="186"/>
      <c r="N66" s="186"/>
      <c r="O66" s="385"/>
    </row>
    <row r="67" spans="1:15" ht="21" customHeight="1">
      <c r="A67" s="90"/>
      <c r="B67" s="187" t="s">
        <v>117</v>
      </c>
      <c r="C67" s="187"/>
      <c r="D67" s="187"/>
      <c r="E67" s="187"/>
      <c r="F67" s="187"/>
      <c r="G67" s="187"/>
      <c r="H67" s="187"/>
      <c r="I67" s="187"/>
      <c r="J67" s="187"/>
      <c r="K67" s="187"/>
      <c r="L67" s="187"/>
      <c r="M67" s="187"/>
      <c r="N67" s="187"/>
      <c r="O67" s="385"/>
    </row>
    <row r="68" spans="1:15" ht="21" customHeight="1">
      <c r="A68" s="90"/>
      <c r="B68" s="90"/>
      <c r="C68" s="90"/>
      <c r="D68" s="90"/>
      <c r="E68" s="90"/>
      <c r="F68" s="90"/>
      <c r="G68" s="90"/>
      <c r="H68" s="90"/>
      <c r="I68" s="90"/>
      <c r="J68" s="90"/>
      <c r="K68" s="90"/>
      <c r="L68" s="94"/>
      <c r="M68" s="94"/>
      <c r="N68" s="95"/>
      <c r="O68" s="385"/>
    </row>
    <row r="69" spans="1:15" ht="21" customHeight="1">
      <c r="A69" s="188" t="s">
        <v>62</v>
      </c>
      <c r="B69" s="188"/>
      <c r="C69" s="188"/>
      <c r="D69" s="188"/>
      <c r="E69" s="387"/>
      <c r="F69" s="387"/>
      <c r="G69" s="387"/>
      <c r="H69" s="387"/>
      <c r="I69" s="387"/>
      <c r="J69" s="388" t="s">
        <v>33</v>
      </c>
      <c r="K69" s="388"/>
      <c r="L69" s="388"/>
      <c r="M69" s="388"/>
      <c r="N69" s="388"/>
      <c r="O69" s="385"/>
    </row>
    <row r="70" spans="1:15" ht="21" customHeight="1">
      <c r="A70" s="176"/>
      <c r="B70" s="176"/>
      <c r="C70" s="176"/>
      <c r="D70" s="387"/>
      <c r="E70" s="387"/>
      <c r="F70" s="387"/>
      <c r="G70" s="387"/>
      <c r="H70" s="389"/>
      <c r="I70" s="389"/>
      <c r="J70" s="389"/>
      <c r="K70" s="389"/>
      <c r="L70" s="389"/>
      <c r="M70" s="389"/>
      <c r="N70" s="389"/>
      <c r="O70" s="385"/>
    </row>
    <row r="71" spans="1:15" ht="21" customHeight="1">
      <c r="A71" s="176"/>
      <c r="B71" s="176"/>
      <c r="C71" s="176"/>
      <c r="D71" s="387"/>
      <c r="E71" s="387"/>
      <c r="F71" s="387"/>
      <c r="G71" s="387"/>
      <c r="H71" s="389"/>
      <c r="I71" s="389"/>
      <c r="J71" s="389"/>
      <c r="K71" s="389"/>
      <c r="L71" s="389"/>
      <c r="M71" s="389"/>
      <c r="N71" s="389"/>
      <c r="O71" s="385"/>
    </row>
    <row r="72" spans="1:15" ht="21" customHeight="1">
      <c r="A72" s="176"/>
      <c r="B72" s="176"/>
      <c r="C72" s="176"/>
      <c r="D72" s="387"/>
      <c r="E72" s="387"/>
      <c r="F72" s="387"/>
      <c r="G72" s="387"/>
      <c r="H72" s="389"/>
      <c r="I72" s="389"/>
      <c r="J72" s="390" t="s">
        <v>124</v>
      </c>
      <c r="K72" s="390"/>
      <c r="L72" s="390"/>
      <c r="M72" s="390"/>
      <c r="N72" s="390"/>
      <c r="O72" s="385"/>
    </row>
    <row r="73" spans="1:15" ht="21" customHeight="1">
      <c r="A73" s="180" t="s">
        <v>91</v>
      </c>
      <c r="B73" s="180"/>
      <c r="C73" s="180"/>
      <c r="D73" s="180"/>
      <c r="E73" s="387"/>
      <c r="F73" s="387"/>
      <c r="G73" s="387"/>
      <c r="H73" s="389"/>
      <c r="I73" s="389"/>
      <c r="J73" s="390"/>
      <c r="K73" s="390"/>
      <c r="L73" s="390"/>
      <c r="M73" s="390"/>
      <c r="N73" s="390"/>
      <c r="O73" s="385"/>
    </row>
    <row r="74" spans="1:15" ht="20.399999999999999" customHeight="1">
      <c r="A74" s="176"/>
      <c r="B74" s="176"/>
      <c r="C74" s="176"/>
      <c r="D74" s="387"/>
      <c r="E74" s="387"/>
      <c r="F74" s="387"/>
      <c r="G74" s="387"/>
      <c r="H74" s="389"/>
      <c r="I74" s="389"/>
      <c r="J74" s="389"/>
      <c r="K74" s="389"/>
      <c r="L74" s="389"/>
      <c r="M74" s="389"/>
      <c r="N74" s="389"/>
      <c r="O74" s="385"/>
    </row>
    <row r="75" spans="1:15" ht="20.399999999999999" customHeight="1">
      <c r="A75" s="176"/>
      <c r="B75" s="176"/>
      <c r="C75" s="176"/>
      <c r="D75" s="387"/>
      <c r="E75" s="387"/>
      <c r="F75" s="387"/>
      <c r="G75" s="387"/>
      <c r="H75" s="389"/>
      <c r="I75" s="389"/>
      <c r="J75" s="390" t="s">
        <v>127</v>
      </c>
      <c r="K75" s="390"/>
      <c r="L75" s="390"/>
      <c r="M75" s="390"/>
      <c r="N75" s="390"/>
      <c r="O75" s="385"/>
    </row>
    <row r="76" spans="1:15" ht="20.399999999999999" customHeight="1">
      <c r="A76" s="176"/>
      <c r="B76" s="176"/>
      <c r="C76" s="176"/>
      <c r="D76" s="387"/>
      <c r="E76" s="387"/>
      <c r="F76" s="387"/>
      <c r="G76" s="387"/>
      <c r="H76" s="389"/>
      <c r="I76" s="389"/>
      <c r="J76" s="389"/>
      <c r="K76" s="389"/>
      <c r="L76" s="389"/>
      <c r="M76" s="389"/>
      <c r="N76" s="389"/>
      <c r="O76" s="385"/>
    </row>
    <row r="77" spans="1:15" ht="20.399999999999999" customHeight="1">
      <c r="A77" s="176"/>
      <c r="B77" s="176"/>
      <c r="C77" s="176"/>
      <c r="D77" s="387"/>
      <c r="E77" s="387"/>
      <c r="F77" s="387"/>
      <c r="G77" s="387"/>
      <c r="H77" s="389"/>
      <c r="I77" s="389"/>
      <c r="J77" s="389"/>
      <c r="K77" s="389"/>
      <c r="L77" s="389"/>
      <c r="M77" s="389"/>
      <c r="N77" s="389"/>
      <c r="O77" s="385"/>
    </row>
    <row r="78" spans="1:15" ht="20.399999999999999" customHeight="1">
      <c r="A78" s="176"/>
      <c r="B78" s="176"/>
      <c r="C78" s="176"/>
      <c r="D78" s="387"/>
      <c r="E78" s="387"/>
      <c r="F78" s="387"/>
      <c r="G78" s="387"/>
      <c r="H78" s="389"/>
      <c r="I78" s="389"/>
      <c r="J78" s="389"/>
      <c r="K78" s="389"/>
      <c r="L78" s="389"/>
      <c r="M78" s="389"/>
      <c r="N78" s="389"/>
      <c r="O78" s="385"/>
    </row>
    <row r="79" spans="1:15" ht="20.399999999999999" customHeight="1">
      <c r="A79" s="176"/>
      <c r="B79" s="176"/>
      <c r="C79" s="176"/>
      <c r="D79" s="387"/>
      <c r="E79" s="387"/>
      <c r="F79" s="387"/>
      <c r="G79" s="387"/>
      <c r="H79" s="389"/>
      <c r="I79" s="389"/>
      <c r="J79" s="389"/>
      <c r="K79" s="389"/>
      <c r="L79" s="389"/>
      <c r="M79" s="389"/>
      <c r="N79" s="389"/>
      <c r="O79" s="385"/>
    </row>
    <row r="80" spans="1:15" ht="20.399999999999999" customHeight="1">
      <c r="A80" s="176"/>
      <c r="B80" s="176"/>
      <c r="C80" s="176"/>
      <c r="D80" s="387"/>
      <c r="E80" s="387"/>
      <c r="F80" s="387"/>
      <c r="G80" s="387"/>
      <c r="H80" s="389"/>
      <c r="I80" s="389"/>
      <c r="J80" s="389"/>
      <c r="K80" s="389"/>
      <c r="L80" s="389"/>
      <c r="M80" s="389"/>
      <c r="N80" s="389"/>
      <c r="O80" s="385"/>
    </row>
    <row r="81" spans="1:20" ht="20.399999999999999" customHeight="1">
      <c r="A81" s="176"/>
      <c r="B81" s="176"/>
      <c r="C81" s="176"/>
      <c r="D81" s="387"/>
      <c r="E81" s="387"/>
      <c r="F81" s="387"/>
      <c r="G81" s="387"/>
      <c r="H81" s="389"/>
      <c r="I81" s="389"/>
      <c r="J81" s="389"/>
      <c r="K81" s="389"/>
      <c r="L81" s="389"/>
      <c r="M81" s="389"/>
      <c r="N81" s="389"/>
      <c r="O81" s="385"/>
    </row>
    <row r="82" spans="1:20" ht="20.399999999999999" customHeight="1">
      <c r="A82" s="176"/>
      <c r="B82" s="176"/>
      <c r="C82" s="176"/>
      <c r="D82" s="387"/>
      <c r="E82" s="387"/>
      <c r="F82" s="387"/>
      <c r="G82" s="387"/>
      <c r="H82" s="389"/>
      <c r="I82" s="389"/>
      <c r="J82" s="389"/>
      <c r="K82" s="389"/>
      <c r="L82" s="389"/>
      <c r="M82" s="389"/>
      <c r="N82" s="389"/>
      <c r="O82" s="385"/>
    </row>
    <row r="83" spans="1:20" ht="20.399999999999999" customHeight="1">
      <c r="A83" s="176"/>
      <c r="B83" s="176"/>
      <c r="C83" s="176"/>
      <c r="D83" s="387"/>
      <c r="E83" s="387"/>
      <c r="F83" s="387"/>
      <c r="G83" s="387"/>
      <c r="H83" s="389"/>
      <c r="I83" s="389"/>
      <c r="J83" s="389"/>
      <c r="K83" s="389"/>
      <c r="L83" s="389"/>
      <c r="M83" s="389"/>
      <c r="N83" s="389"/>
      <c r="O83" s="385"/>
    </row>
    <row r="84" spans="1:20" ht="20.399999999999999" customHeight="1">
      <c r="A84" s="176"/>
      <c r="B84" s="176"/>
      <c r="C84" s="176"/>
      <c r="D84" s="387"/>
      <c r="E84" s="387"/>
      <c r="F84" s="387"/>
      <c r="G84" s="387"/>
      <c r="H84" s="389"/>
      <c r="I84" s="389"/>
      <c r="J84" s="389"/>
      <c r="K84" s="389"/>
      <c r="L84" s="389"/>
      <c r="M84" s="389"/>
      <c r="N84" s="389"/>
      <c r="O84" s="385"/>
    </row>
    <row r="85" spans="1:20" ht="19.8" customHeight="1">
      <c r="A85" s="11" t="s">
        <v>61</v>
      </c>
      <c r="B85" s="8"/>
      <c r="C85" s="8"/>
      <c r="D85" s="8"/>
      <c r="E85" s="8"/>
      <c r="F85" s="293" t="s">
        <v>32</v>
      </c>
      <c r="G85" s="293"/>
      <c r="H85" s="293"/>
      <c r="I85" s="293"/>
      <c r="J85" s="293"/>
      <c r="K85" s="293"/>
      <c r="L85" s="293"/>
      <c r="M85" s="293"/>
      <c r="N85" s="293"/>
      <c r="O85" s="371"/>
      <c r="P85" s="371"/>
      <c r="T85" s="2"/>
    </row>
    <row r="86" spans="1:20" ht="12" customHeight="1">
      <c r="A86" s="11"/>
      <c r="B86" s="8"/>
      <c r="C86" s="8"/>
      <c r="D86" s="8"/>
      <c r="E86" s="8"/>
      <c r="F86" s="173"/>
      <c r="G86" s="173"/>
      <c r="H86" s="173"/>
      <c r="I86" s="173"/>
      <c r="J86" s="173"/>
      <c r="K86" s="173"/>
      <c r="L86" s="173"/>
      <c r="M86" s="173"/>
      <c r="N86" s="173"/>
      <c r="O86" s="371"/>
      <c r="P86" s="371"/>
      <c r="T86" s="2"/>
    </row>
    <row r="87" spans="1:20" ht="19.8" customHeight="1">
      <c r="A87" s="8" t="s">
        <v>216</v>
      </c>
      <c r="B87" s="8"/>
      <c r="C87" s="8"/>
      <c r="D87" s="8"/>
      <c r="E87" s="8"/>
      <c r="F87" s="173"/>
      <c r="G87" s="173"/>
      <c r="H87" s="173"/>
      <c r="I87" s="173"/>
      <c r="J87" s="173"/>
      <c r="K87" s="173"/>
      <c r="L87" s="173"/>
      <c r="M87" s="173"/>
      <c r="N87" s="173"/>
      <c r="O87" s="371"/>
      <c r="P87" s="371"/>
      <c r="T87" s="2"/>
    </row>
    <row r="88" spans="1:20" ht="12.6" customHeight="1">
      <c r="A88" s="8"/>
      <c r="B88" s="8"/>
      <c r="C88" s="8"/>
      <c r="D88" s="8"/>
      <c r="E88" s="8"/>
      <c r="F88" s="173"/>
      <c r="G88" s="173"/>
      <c r="H88" s="173"/>
      <c r="I88" s="173"/>
      <c r="J88" s="173"/>
      <c r="K88" s="173"/>
      <c r="L88" s="173"/>
      <c r="M88" s="173"/>
      <c r="N88" s="173"/>
      <c r="O88" s="371"/>
      <c r="P88" s="371"/>
      <c r="T88" s="2"/>
    </row>
    <row r="89" spans="1:20" s="2" customFormat="1" ht="16.2" customHeight="1">
      <c r="A89" s="195" t="s">
        <v>97</v>
      </c>
      <c r="B89" s="195"/>
      <c r="C89" s="195"/>
      <c r="D89" s="195"/>
      <c r="E89" s="195" t="s">
        <v>89</v>
      </c>
      <c r="F89" s="195"/>
      <c r="G89" s="195"/>
      <c r="H89" s="195"/>
      <c r="I89" s="195"/>
      <c r="J89" s="195"/>
      <c r="K89" s="195"/>
      <c r="L89" s="195"/>
      <c r="M89" s="195"/>
      <c r="N89" s="195"/>
      <c r="O89" s="372"/>
    </row>
    <row r="90" spans="1:20" s="2" customFormat="1" ht="16.2" customHeight="1">
      <c r="A90" s="195"/>
      <c r="B90" s="195"/>
      <c r="C90" s="195"/>
      <c r="D90" s="195"/>
      <c r="E90" s="195" t="s">
        <v>100</v>
      </c>
      <c r="F90" s="195"/>
      <c r="G90" s="195"/>
      <c r="H90" s="195"/>
      <c r="I90" s="195"/>
      <c r="J90" s="195" t="s">
        <v>101</v>
      </c>
      <c r="K90" s="195"/>
      <c r="L90" s="195"/>
      <c r="M90" s="195"/>
      <c r="N90" s="195"/>
      <c r="O90" s="372"/>
    </row>
    <row r="91" spans="1:20" s="2" customFormat="1" ht="16.2" customHeight="1">
      <c r="A91" s="196" t="s">
        <v>90</v>
      </c>
      <c r="B91" s="196"/>
      <c r="C91" s="196"/>
      <c r="D91" s="196"/>
      <c r="E91" s="199" t="s">
        <v>168</v>
      </c>
      <c r="F91" s="199"/>
      <c r="G91" s="199"/>
      <c r="H91" s="199"/>
      <c r="I91" s="199"/>
      <c r="J91" s="330" t="s">
        <v>90</v>
      </c>
      <c r="K91" s="331"/>
      <c r="L91" s="331"/>
      <c r="M91" s="331"/>
      <c r="N91" s="332"/>
      <c r="O91" s="372"/>
    </row>
    <row r="92" spans="1:20" s="2" customFormat="1" ht="16.2" customHeight="1">
      <c r="A92" s="345" t="s">
        <v>167</v>
      </c>
      <c r="B92" s="346"/>
      <c r="C92" s="346"/>
      <c r="D92" s="347"/>
      <c r="E92" s="199"/>
      <c r="F92" s="199"/>
      <c r="G92" s="199"/>
      <c r="H92" s="199"/>
      <c r="I92" s="199"/>
      <c r="J92" s="232" t="s">
        <v>132</v>
      </c>
      <c r="K92" s="233"/>
      <c r="L92" s="233"/>
      <c r="M92" s="233"/>
      <c r="N92" s="234"/>
      <c r="O92" s="372"/>
    </row>
    <row r="93" spans="1:20" s="2" customFormat="1" ht="16.2" customHeight="1">
      <c r="A93" s="357" t="s">
        <v>184</v>
      </c>
      <c r="B93" s="357"/>
      <c r="C93" s="357"/>
      <c r="D93" s="357"/>
      <c r="E93" s="199"/>
      <c r="F93" s="199"/>
      <c r="G93" s="199"/>
      <c r="H93" s="199"/>
      <c r="I93" s="199"/>
      <c r="J93" s="333" t="s">
        <v>133</v>
      </c>
      <c r="K93" s="334"/>
      <c r="L93" s="334"/>
      <c r="M93" s="334"/>
      <c r="N93" s="335"/>
      <c r="O93" s="372"/>
    </row>
    <row r="94" spans="1:20" s="2" customFormat="1" ht="16.2" customHeight="1">
      <c r="A94" s="229" t="s">
        <v>122</v>
      </c>
      <c r="B94" s="230"/>
      <c r="C94" s="231"/>
      <c r="D94" s="128">
        <v>57</v>
      </c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372"/>
    </row>
    <row r="95" spans="1:20" ht="19.8" customHeight="1">
      <c r="A95" s="209" t="s">
        <v>0</v>
      </c>
      <c r="B95" s="212" t="s">
        <v>19</v>
      </c>
      <c r="C95" s="215" t="s">
        <v>8</v>
      </c>
      <c r="D95" s="215" t="s">
        <v>9</v>
      </c>
      <c r="E95" s="218" t="s">
        <v>11</v>
      </c>
      <c r="F95" s="219"/>
      <c r="G95" s="218" t="s">
        <v>13</v>
      </c>
      <c r="H95" s="219"/>
      <c r="I95" s="222" t="s">
        <v>16</v>
      </c>
      <c r="J95" s="222" t="s">
        <v>41</v>
      </c>
      <c r="K95" s="222" t="s">
        <v>42</v>
      </c>
      <c r="L95" s="340" t="s">
        <v>17</v>
      </c>
      <c r="M95" s="222" t="s">
        <v>57</v>
      </c>
      <c r="N95" s="209" t="s">
        <v>18</v>
      </c>
      <c r="O95" s="373"/>
    </row>
    <row r="96" spans="1:20" ht="19.8" customHeight="1">
      <c r="A96" s="210"/>
      <c r="B96" s="213"/>
      <c r="C96" s="216"/>
      <c r="D96" s="216"/>
      <c r="E96" s="220"/>
      <c r="F96" s="221"/>
      <c r="G96" s="220"/>
      <c r="H96" s="221"/>
      <c r="I96" s="223"/>
      <c r="J96" s="223"/>
      <c r="K96" s="223"/>
      <c r="L96" s="341"/>
      <c r="M96" s="223"/>
      <c r="N96" s="210"/>
      <c r="O96" s="176"/>
    </row>
    <row r="97" spans="1:22" ht="19.8" customHeight="1">
      <c r="A97" s="210"/>
      <c r="B97" s="213"/>
      <c r="C97" s="216"/>
      <c r="D97" s="216"/>
      <c r="E97" s="222" t="s">
        <v>10</v>
      </c>
      <c r="F97" s="222" t="s">
        <v>12</v>
      </c>
      <c r="G97" s="222" t="s">
        <v>14</v>
      </c>
      <c r="H97" s="222" t="s">
        <v>15</v>
      </c>
      <c r="I97" s="223"/>
      <c r="J97" s="223"/>
      <c r="K97" s="223"/>
      <c r="L97" s="341"/>
      <c r="M97" s="223"/>
      <c r="N97" s="210"/>
      <c r="O97" s="176"/>
    </row>
    <row r="98" spans="1:22" ht="19.8" customHeight="1">
      <c r="A98" s="211"/>
      <c r="B98" s="214"/>
      <c r="C98" s="217"/>
      <c r="D98" s="217"/>
      <c r="E98" s="224"/>
      <c r="F98" s="224"/>
      <c r="G98" s="224"/>
      <c r="H98" s="224"/>
      <c r="I98" s="224"/>
      <c r="J98" s="224"/>
      <c r="K98" s="224"/>
      <c r="L98" s="342"/>
      <c r="M98" s="224"/>
      <c r="N98" s="211"/>
      <c r="O98" s="176"/>
    </row>
    <row r="99" spans="1:22" ht="16.2" customHeight="1">
      <c r="A99" s="238" t="s">
        <v>39</v>
      </c>
      <c r="B99" s="239"/>
      <c r="C99" s="239"/>
      <c r="D99" s="239"/>
      <c r="E99" s="239"/>
      <c r="F99" s="239"/>
      <c r="G99" s="239"/>
      <c r="H99" s="239"/>
      <c r="I99" s="239"/>
      <c r="J99" s="239"/>
      <c r="K99" s="239"/>
      <c r="L99" s="239"/>
      <c r="M99" s="239"/>
      <c r="N99" s="240"/>
      <c r="O99" s="176"/>
    </row>
    <row r="100" spans="1:22" s="2" customFormat="1" ht="16.2" customHeight="1">
      <c r="A100" s="9">
        <v>1</v>
      </c>
      <c r="B100" s="10" t="s">
        <v>2</v>
      </c>
      <c r="C100" s="23">
        <f>L100/100*100</f>
        <v>70</v>
      </c>
      <c r="D100" s="24">
        <f>C100/100*60</f>
        <v>42</v>
      </c>
      <c r="E100" s="25">
        <f>C100/100*15</f>
        <v>10.5</v>
      </c>
      <c r="F100" s="25"/>
      <c r="G100" s="25"/>
      <c r="H100" s="25"/>
      <c r="I100" s="25"/>
      <c r="J100" s="27">
        <f>C100/100*387</f>
        <v>270.89999999999998</v>
      </c>
      <c r="K100" s="27">
        <f>C100/100*0.09</f>
        <v>6.3E-2</v>
      </c>
      <c r="L100" s="137">
        <v>70</v>
      </c>
      <c r="M100" s="75">
        <v>20</v>
      </c>
      <c r="N100" s="28">
        <f>L100*M100</f>
        <v>1400</v>
      </c>
      <c r="O100" s="153"/>
    </row>
    <row r="101" spans="1:22" s="2" customFormat="1" ht="16.2" customHeight="1">
      <c r="A101" s="9">
        <v>2</v>
      </c>
      <c r="B101" s="146" t="s">
        <v>141</v>
      </c>
      <c r="C101" s="23">
        <f>L101/100*100</f>
        <v>110.00000000000001</v>
      </c>
      <c r="D101" s="24">
        <f>C101/100*899</f>
        <v>988.90000000000009</v>
      </c>
      <c r="E101" s="25"/>
      <c r="F101" s="25"/>
      <c r="G101" s="25">
        <f>C101/100*100</f>
        <v>110.00000000000001</v>
      </c>
      <c r="H101" s="25"/>
      <c r="I101" s="25"/>
      <c r="J101" s="25"/>
      <c r="K101" s="25"/>
      <c r="L101" s="137">
        <v>110</v>
      </c>
      <c r="M101" s="120">
        <v>68</v>
      </c>
      <c r="N101" s="28">
        <f t="shared" ref="N101:N109" si="5">L101*M101</f>
        <v>7480</v>
      </c>
      <c r="O101" s="377"/>
    </row>
    <row r="102" spans="1:22" s="2" customFormat="1" ht="16.2" customHeight="1">
      <c r="A102" s="9">
        <v>3</v>
      </c>
      <c r="B102" s="148" t="s">
        <v>146</v>
      </c>
      <c r="C102" s="23">
        <f>L102/100*100</f>
        <v>360</v>
      </c>
      <c r="D102" s="120">
        <f>C102/100*900</f>
        <v>3240</v>
      </c>
      <c r="E102" s="25"/>
      <c r="F102" s="25"/>
      <c r="G102" s="119"/>
      <c r="H102" s="25">
        <f>C102/100*100</f>
        <v>360</v>
      </c>
      <c r="I102" s="25"/>
      <c r="J102" s="25"/>
      <c r="K102" s="25"/>
      <c r="L102" s="137">
        <v>360</v>
      </c>
      <c r="M102" s="75">
        <v>63.5</v>
      </c>
      <c r="N102" s="28">
        <f t="shared" si="5"/>
        <v>22860</v>
      </c>
      <c r="O102" s="377"/>
    </row>
    <row r="103" spans="1:22" s="2" customFormat="1" ht="16.2" customHeight="1">
      <c r="A103" s="9">
        <v>4</v>
      </c>
      <c r="B103" s="5" t="s">
        <v>1</v>
      </c>
      <c r="C103" s="23">
        <f>L103/100*100</f>
        <v>2451</v>
      </c>
      <c r="D103" s="24">
        <f>C103/100*344</f>
        <v>8431.44</v>
      </c>
      <c r="E103" s="25"/>
      <c r="F103" s="25">
        <f>C103/100*7.9</f>
        <v>193.62900000000002</v>
      </c>
      <c r="G103" s="25"/>
      <c r="H103" s="25">
        <f>C103/100*1</f>
        <v>24.51</v>
      </c>
      <c r="I103" s="119">
        <f>C103/100*73.2</f>
        <v>1794.1320000000003</v>
      </c>
      <c r="J103" s="27">
        <f>C103/100*30</f>
        <v>735.30000000000007</v>
      </c>
      <c r="K103" s="27">
        <f>C103/100*0.1</f>
        <v>2.4510000000000005</v>
      </c>
      <c r="L103" s="137">
        <v>2451</v>
      </c>
      <c r="M103" s="75">
        <v>18</v>
      </c>
      <c r="N103" s="28">
        <f t="shared" si="5"/>
        <v>44118</v>
      </c>
      <c r="O103" s="153"/>
    </row>
    <row r="104" spans="1:22" s="2" customFormat="1" ht="16.2" customHeight="1">
      <c r="A104" s="9">
        <v>5</v>
      </c>
      <c r="B104" s="5" t="s">
        <v>96</v>
      </c>
      <c r="C104" s="23">
        <f>L104/100*90</f>
        <v>1107</v>
      </c>
      <c r="D104" s="24">
        <f>C104/100*90</f>
        <v>996.30000000000007</v>
      </c>
      <c r="E104" s="25">
        <f>C104/100*18.4</f>
        <v>203.68799999999999</v>
      </c>
      <c r="F104" s="25"/>
      <c r="G104" s="25">
        <f>C104/100*1.8</f>
        <v>19.926000000000002</v>
      </c>
      <c r="H104" s="25"/>
      <c r="I104" s="25"/>
      <c r="J104" s="81">
        <f>C104/100*1120</f>
        <v>12398.4</v>
      </c>
      <c r="K104" s="27">
        <f>C104/100*0.02</f>
        <v>0.22140000000000001</v>
      </c>
      <c r="L104" s="137">
        <v>1230</v>
      </c>
      <c r="M104" s="26">
        <v>260</v>
      </c>
      <c r="N104" s="124">
        <f t="shared" si="5"/>
        <v>319800</v>
      </c>
      <c r="O104" s="153"/>
      <c r="Q104" s="3"/>
      <c r="R104" s="3"/>
      <c r="S104" s="4"/>
    </row>
    <row r="105" spans="1:22" s="2" customFormat="1" ht="16.2" customHeight="1">
      <c r="A105" s="9">
        <v>6</v>
      </c>
      <c r="B105" s="10" t="s">
        <v>71</v>
      </c>
      <c r="C105" s="23">
        <f>L105/100*98</f>
        <v>1675.8000000000002</v>
      </c>
      <c r="D105" s="24">
        <f>C105/100*139</f>
        <v>2329.3620000000005</v>
      </c>
      <c r="E105" s="25">
        <f>C105/100*19</f>
        <v>318.40200000000004</v>
      </c>
      <c r="F105" s="25"/>
      <c r="G105" s="25">
        <f>C105/100*7</f>
        <v>117.30600000000001</v>
      </c>
      <c r="H105" s="25"/>
      <c r="I105" s="25"/>
      <c r="J105" s="27">
        <f>C105/100*7</f>
        <v>117.30600000000001</v>
      </c>
      <c r="K105" s="27">
        <f>C105/100*0.9</f>
        <v>15.082200000000002</v>
      </c>
      <c r="L105" s="137">
        <v>1710</v>
      </c>
      <c r="M105" s="143">
        <v>137</v>
      </c>
      <c r="N105" s="124">
        <f t="shared" si="5"/>
        <v>234270</v>
      </c>
      <c r="O105" s="153"/>
    </row>
    <row r="106" spans="1:22" s="2" customFormat="1" ht="16.2" customHeight="1">
      <c r="A106" s="9">
        <v>7</v>
      </c>
      <c r="B106" s="5" t="s">
        <v>20</v>
      </c>
      <c r="C106" s="23">
        <f>L106/100*95</f>
        <v>380</v>
      </c>
      <c r="D106" s="24">
        <f>C106/100*20</f>
        <v>76</v>
      </c>
      <c r="E106" s="25"/>
      <c r="F106" s="25">
        <f>C106/100*0.6</f>
        <v>2.2799999999999998</v>
      </c>
      <c r="G106" s="25"/>
      <c r="H106" s="25">
        <f>C106/100*0.2</f>
        <v>0.76</v>
      </c>
      <c r="I106" s="25">
        <f>C106/100*4</f>
        <v>15.2</v>
      </c>
      <c r="J106" s="27">
        <f>C106/100*12</f>
        <v>45.599999999999994</v>
      </c>
      <c r="K106" s="24">
        <f>C106/100*0.04</f>
        <v>0.152</v>
      </c>
      <c r="L106" s="137">
        <v>400</v>
      </c>
      <c r="M106" s="77">
        <v>22</v>
      </c>
      <c r="N106" s="28">
        <f t="shared" si="5"/>
        <v>8800</v>
      </c>
      <c r="O106" s="375"/>
      <c r="Q106" s="3"/>
      <c r="R106" s="3"/>
      <c r="S106" s="4"/>
    </row>
    <row r="107" spans="1:22" s="2" customFormat="1" ht="16.2" customHeight="1">
      <c r="A107" s="9">
        <v>8</v>
      </c>
      <c r="B107" s="5" t="s">
        <v>154</v>
      </c>
      <c r="C107" s="23">
        <f>L107/100*81</f>
        <v>461.7</v>
      </c>
      <c r="D107" s="24">
        <f>C107/100*17</f>
        <v>78.489000000000004</v>
      </c>
      <c r="E107" s="29"/>
      <c r="F107" s="29">
        <f>C107/100*0.9</f>
        <v>4.1553000000000004</v>
      </c>
      <c r="G107" s="29"/>
      <c r="H107" s="29">
        <f>C107/100*0.2</f>
        <v>0.9234</v>
      </c>
      <c r="I107" s="29">
        <f>C107/100*2.8</f>
        <v>12.9276</v>
      </c>
      <c r="J107" s="25">
        <f>C107/100*28</f>
        <v>129.27600000000001</v>
      </c>
      <c r="K107" s="27">
        <f>C107/100*0.04</f>
        <v>0.18468000000000001</v>
      </c>
      <c r="L107" s="374">
        <v>570</v>
      </c>
      <c r="M107" s="75">
        <v>20</v>
      </c>
      <c r="N107" s="28">
        <f t="shared" si="5"/>
        <v>11400</v>
      </c>
      <c r="O107" s="153"/>
      <c r="P107" s="3"/>
    </row>
    <row r="108" spans="1:22" s="141" customFormat="1" ht="16.2" customHeight="1">
      <c r="A108" s="163">
        <v>9</v>
      </c>
      <c r="B108" s="149" t="s">
        <v>185</v>
      </c>
      <c r="C108" s="164">
        <f>L108/100*65</f>
        <v>1059.5</v>
      </c>
      <c r="D108" s="139">
        <f>C108/100*14</f>
        <v>148.33000000000001</v>
      </c>
      <c r="E108" s="136"/>
      <c r="F108" s="136">
        <f>C108/100*1.6</f>
        <v>16.952000000000002</v>
      </c>
      <c r="G108" s="136"/>
      <c r="H108" s="136"/>
      <c r="I108" s="136">
        <f>C108/100*1.9</f>
        <v>20.130500000000001</v>
      </c>
      <c r="J108" s="136">
        <f>C108/100*63</f>
        <v>667.48500000000001</v>
      </c>
      <c r="K108" s="136">
        <f>C108/100*0.01</f>
        <v>0.10595</v>
      </c>
      <c r="L108" s="137">
        <v>1630</v>
      </c>
      <c r="M108" s="165">
        <v>24</v>
      </c>
      <c r="N108" s="135">
        <f t="shared" si="5"/>
        <v>39120</v>
      </c>
      <c r="O108" s="396"/>
    </row>
    <row r="109" spans="1:22" s="2" customFormat="1" ht="16.2" customHeight="1">
      <c r="A109" s="9">
        <v>10</v>
      </c>
      <c r="B109" s="5" t="s">
        <v>136</v>
      </c>
      <c r="C109" s="23">
        <f>L109/100*100</f>
        <v>40</v>
      </c>
      <c r="D109" s="24">
        <f>C109/100*247</f>
        <v>98.800000000000011</v>
      </c>
      <c r="E109" s="29"/>
      <c r="F109" s="29">
        <f>C109/100*17.5</f>
        <v>7</v>
      </c>
      <c r="G109" s="29"/>
      <c r="H109" s="29">
        <f>C109/100*1.6</f>
        <v>0.64000000000000012</v>
      </c>
      <c r="I109" s="29">
        <f>C109/100*39.2</f>
        <v>15.680000000000001</v>
      </c>
      <c r="J109" s="71"/>
      <c r="K109" s="71"/>
      <c r="L109" s="374">
        <v>40</v>
      </c>
      <c r="M109" s="75">
        <v>50</v>
      </c>
      <c r="N109" s="28">
        <f t="shared" si="5"/>
        <v>2000</v>
      </c>
      <c r="O109" s="153"/>
      <c r="Q109" s="3"/>
      <c r="R109" s="3"/>
      <c r="S109" s="4"/>
      <c r="T109" s="3"/>
    </row>
    <row r="110" spans="1:22" s="2" customFormat="1" ht="16.2" customHeight="1">
      <c r="A110" s="9">
        <v>11</v>
      </c>
      <c r="B110" s="6" t="s">
        <v>123</v>
      </c>
      <c r="C110" s="23"/>
      <c r="D110" s="24"/>
      <c r="E110" s="25"/>
      <c r="F110" s="25"/>
      <c r="G110" s="25"/>
      <c r="H110" s="25"/>
      <c r="I110" s="25"/>
      <c r="J110" s="27"/>
      <c r="K110" s="27"/>
      <c r="L110" s="26"/>
      <c r="M110" s="26"/>
      <c r="N110" s="28">
        <v>3950</v>
      </c>
      <c r="O110" s="153"/>
      <c r="Q110" s="3"/>
      <c r="R110" s="3"/>
      <c r="S110" s="4"/>
      <c r="T110" s="3"/>
    </row>
    <row r="111" spans="1:22" s="2" customFormat="1" ht="16.2" customHeight="1">
      <c r="A111" s="21" t="s">
        <v>118</v>
      </c>
      <c r="B111" s="22"/>
      <c r="C111" s="34"/>
      <c r="D111" s="121">
        <f>SUM(D100:D110)</f>
        <v>16429.620999999999</v>
      </c>
      <c r="E111" s="43"/>
      <c r="F111" s="43"/>
      <c r="G111" s="43"/>
      <c r="H111" s="43"/>
      <c r="I111" s="43"/>
      <c r="J111" s="43"/>
      <c r="K111" s="43"/>
      <c r="L111" s="44"/>
      <c r="M111" s="308"/>
      <c r="N111" s="336">
        <f>SUM(N100:N110)</f>
        <v>695198</v>
      </c>
      <c r="O111" s="153"/>
    </row>
    <row r="112" spans="1:22" ht="16.2" customHeight="1">
      <c r="A112" s="21" t="s">
        <v>37</v>
      </c>
      <c r="B112" s="22"/>
      <c r="C112" s="45"/>
      <c r="D112" s="46">
        <f>D111/D94</f>
        <v>288.23896491228066</v>
      </c>
      <c r="E112" s="46"/>
      <c r="F112" s="46"/>
      <c r="G112" s="46"/>
      <c r="H112" s="46"/>
      <c r="I112" s="46"/>
      <c r="J112" s="46"/>
      <c r="K112" s="46"/>
      <c r="L112" s="47"/>
      <c r="M112" s="309"/>
      <c r="N112" s="337"/>
      <c r="O112" s="4"/>
      <c r="P112" s="2"/>
      <c r="Q112" s="2"/>
      <c r="R112" s="2"/>
      <c r="S112" s="2"/>
      <c r="T112" s="2"/>
      <c r="U112" s="2"/>
      <c r="V112" s="2"/>
    </row>
    <row r="113" spans="1:23" ht="16.2" customHeight="1">
      <c r="A113" s="294" t="s">
        <v>53</v>
      </c>
      <c r="B113" s="226"/>
      <c r="C113" s="376" t="s">
        <v>151</v>
      </c>
      <c r="D113" s="20" t="s">
        <v>45</v>
      </c>
      <c r="E113" s="46"/>
      <c r="F113" s="46"/>
      <c r="G113" s="46"/>
      <c r="H113" s="46"/>
      <c r="I113" s="46"/>
      <c r="J113" s="48"/>
      <c r="K113" s="48"/>
      <c r="L113" s="47"/>
      <c r="M113" s="47"/>
      <c r="N113" s="177"/>
      <c r="O113" s="4"/>
      <c r="P113" s="2"/>
      <c r="Q113" s="2"/>
      <c r="R113" s="2"/>
      <c r="S113" s="2"/>
      <c r="T113" s="2"/>
      <c r="U113" s="2"/>
      <c r="V113" s="2"/>
      <c r="W113" s="2"/>
    </row>
    <row r="114" spans="1:23" ht="16.2" customHeight="1">
      <c r="A114" s="227"/>
      <c r="B114" s="228"/>
      <c r="C114" s="76" t="s">
        <v>60</v>
      </c>
      <c r="D114" s="78">
        <f>D112*100/930</f>
        <v>30.993437087342009</v>
      </c>
      <c r="E114" s="46"/>
      <c r="F114" s="46"/>
      <c r="G114" s="46"/>
      <c r="H114" s="46"/>
      <c r="I114" s="46"/>
      <c r="J114" s="48"/>
      <c r="K114" s="48"/>
      <c r="L114" s="47"/>
      <c r="M114" s="47"/>
      <c r="N114" s="177"/>
      <c r="O114" s="4"/>
      <c r="P114" s="2"/>
      <c r="Q114" s="2"/>
      <c r="R114" s="2"/>
      <c r="S114" s="2"/>
      <c r="T114" s="2"/>
      <c r="U114" s="2"/>
      <c r="V114" s="2"/>
      <c r="W114" s="2"/>
    </row>
    <row r="115" spans="1:23" s="2" customFormat="1" ht="16.2" customHeight="1">
      <c r="A115" s="236" t="s">
        <v>38</v>
      </c>
      <c r="B115" s="236"/>
      <c r="C115" s="56"/>
      <c r="D115" s="57"/>
      <c r="E115" s="58"/>
      <c r="F115" s="58"/>
      <c r="G115" s="58"/>
      <c r="H115" s="58"/>
      <c r="I115" s="58"/>
      <c r="J115" s="58"/>
      <c r="K115" s="58"/>
      <c r="L115" s="59"/>
      <c r="M115" s="59"/>
      <c r="N115" s="60"/>
      <c r="O115" s="153"/>
    </row>
    <row r="116" spans="1:23" s="2" customFormat="1" ht="16.2" customHeight="1">
      <c r="A116" s="9">
        <v>1</v>
      </c>
      <c r="B116" s="10" t="s">
        <v>2</v>
      </c>
      <c r="C116" s="23">
        <f>L116/100*100</f>
        <v>70</v>
      </c>
      <c r="D116" s="24">
        <f>C116/100*60</f>
        <v>42</v>
      </c>
      <c r="E116" s="25">
        <f>C116/100*15</f>
        <v>10.5</v>
      </c>
      <c r="F116" s="25"/>
      <c r="G116" s="25"/>
      <c r="H116" s="25"/>
      <c r="I116" s="25"/>
      <c r="J116" s="27">
        <f>C116/100*387</f>
        <v>270.89999999999998</v>
      </c>
      <c r="K116" s="27">
        <f>C116/100*0.09</f>
        <v>6.3E-2</v>
      </c>
      <c r="L116" s="137">
        <v>70</v>
      </c>
      <c r="M116" s="75">
        <v>20</v>
      </c>
      <c r="N116" s="135">
        <f>L116*M116</f>
        <v>1400</v>
      </c>
      <c r="O116" s="153"/>
    </row>
    <row r="117" spans="1:23" s="2" customFormat="1" ht="16.2" customHeight="1">
      <c r="A117" s="9">
        <v>2</v>
      </c>
      <c r="B117" s="146" t="s">
        <v>141</v>
      </c>
      <c r="C117" s="23">
        <f>L117/100*100</f>
        <v>270</v>
      </c>
      <c r="D117" s="24">
        <f>C117/100*899</f>
        <v>2427.3000000000002</v>
      </c>
      <c r="E117" s="25"/>
      <c r="F117" s="25"/>
      <c r="G117" s="25">
        <f>C117/100*100</f>
        <v>270</v>
      </c>
      <c r="H117" s="25"/>
      <c r="I117" s="25"/>
      <c r="J117" s="27"/>
      <c r="K117" s="27"/>
      <c r="L117" s="137">
        <v>270</v>
      </c>
      <c r="M117" s="75">
        <v>68</v>
      </c>
      <c r="N117" s="135">
        <f t="shared" ref="N117:N123" si="6">L117*M117</f>
        <v>18360</v>
      </c>
      <c r="O117" s="153"/>
    </row>
    <row r="118" spans="1:23" s="2" customFormat="1" ht="16.2" customHeight="1">
      <c r="A118" s="9">
        <v>3</v>
      </c>
      <c r="B118" s="5" t="s">
        <v>1</v>
      </c>
      <c r="C118" s="23">
        <f>L118/100*100</f>
        <v>2394</v>
      </c>
      <c r="D118" s="24">
        <f>C118/100*344</f>
        <v>8235.36</v>
      </c>
      <c r="E118" s="25"/>
      <c r="F118" s="25">
        <f>C118/100*7.9</f>
        <v>189.126</v>
      </c>
      <c r="G118" s="25"/>
      <c r="H118" s="25">
        <f>C118/100*1</f>
        <v>23.94</v>
      </c>
      <c r="I118" s="119">
        <f>C118/100*73.2</f>
        <v>1752.4080000000001</v>
      </c>
      <c r="J118" s="27">
        <f>C118/100*30</f>
        <v>718.2</v>
      </c>
      <c r="K118" s="27">
        <f>C118/100*0.1</f>
        <v>2.3940000000000001</v>
      </c>
      <c r="L118" s="137">
        <v>2394</v>
      </c>
      <c r="M118" s="75">
        <v>18</v>
      </c>
      <c r="N118" s="135">
        <f t="shared" si="6"/>
        <v>43092</v>
      </c>
      <c r="O118" s="153"/>
    </row>
    <row r="119" spans="1:23" s="2" customFormat="1" ht="16.2" customHeight="1">
      <c r="A119" s="9">
        <v>4</v>
      </c>
      <c r="B119" s="10" t="s">
        <v>64</v>
      </c>
      <c r="C119" s="23">
        <f>L119/100*40</f>
        <v>456</v>
      </c>
      <c r="D119" s="24">
        <f>C119/100*276</f>
        <v>1258.56</v>
      </c>
      <c r="E119" s="25">
        <f>C119/100*17.8</f>
        <v>81.167999999999992</v>
      </c>
      <c r="F119" s="25"/>
      <c r="G119" s="25">
        <f>C119/100*21.8</f>
        <v>99.408000000000001</v>
      </c>
      <c r="H119" s="25"/>
      <c r="I119" s="136"/>
      <c r="J119" s="27">
        <f>C119/100*13</f>
        <v>59.279999999999994</v>
      </c>
      <c r="K119" s="27">
        <f>C119/100*0.07</f>
        <v>0.31919999999999998</v>
      </c>
      <c r="L119" s="137">
        <v>1140</v>
      </c>
      <c r="M119" s="75">
        <v>63</v>
      </c>
      <c r="N119" s="28">
        <f t="shared" si="6"/>
        <v>71820</v>
      </c>
      <c r="O119" s="153"/>
    </row>
    <row r="120" spans="1:23" s="2" customFormat="1" ht="16.2" customHeight="1">
      <c r="A120" s="9">
        <v>5</v>
      </c>
      <c r="B120" s="5" t="s">
        <v>30</v>
      </c>
      <c r="C120" s="23">
        <f>L120/100*88</f>
        <v>1654.4</v>
      </c>
      <c r="D120" s="24">
        <f>C120/100*184</f>
        <v>3044.096</v>
      </c>
      <c r="E120" s="25">
        <f>C120/100*13</f>
        <v>215.072</v>
      </c>
      <c r="F120" s="25"/>
      <c r="G120" s="25">
        <f>C120/100*14.2</f>
        <v>234.9248</v>
      </c>
      <c r="H120" s="25"/>
      <c r="I120" s="25">
        <f>C120/100*1</f>
        <v>16.544</v>
      </c>
      <c r="J120" s="81">
        <f>C120/100*71</f>
        <v>1174.624</v>
      </c>
      <c r="K120" s="27">
        <f>C120/100*0.15</f>
        <v>2.4815999999999998</v>
      </c>
      <c r="L120" s="137">
        <v>1880</v>
      </c>
      <c r="M120" s="75">
        <v>62</v>
      </c>
      <c r="N120" s="124">
        <f t="shared" si="6"/>
        <v>116560</v>
      </c>
      <c r="O120" s="153"/>
      <c r="Q120" s="3"/>
      <c r="R120" s="3"/>
      <c r="S120" s="4"/>
    </row>
    <row r="121" spans="1:23" s="2" customFormat="1" ht="16.2" customHeight="1">
      <c r="A121" s="9">
        <v>6</v>
      </c>
      <c r="B121" s="5" t="s">
        <v>20</v>
      </c>
      <c r="C121" s="23">
        <f>L121/100*95</f>
        <v>817</v>
      </c>
      <c r="D121" s="24">
        <f>C121/100*20</f>
        <v>163.4</v>
      </c>
      <c r="E121" s="136"/>
      <c r="F121" s="25">
        <f>C121/100*0.6</f>
        <v>4.9020000000000001</v>
      </c>
      <c r="G121" s="25"/>
      <c r="H121" s="25">
        <f>C121/100*0.2</f>
        <v>1.6340000000000001</v>
      </c>
      <c r="I121" s="25">
        <f>C121/100*4</f>
        <v>32.68</v>
      </c>
      <c r="J121" s="71">
        <f>C121/100*12</f>
        <v>98.039999999999992</v>
      </c>
      <c r="K121" s="71">
        <f>C121/100*0.04</f>
        <v>0.32679999999999998</v>
      </c>
      <c r="L121" s="374">
        <v>860</v>
      </c>
      <c r="M121" s="75">
        <v>22</v>
      </c>
      <c r="N121" s="28">
        <f t="shared" si="6"/>
        <v>18920</v>
      </c>
      <c r="O121" s="153"/>
      <c r="Q121" s="3"/>
      <c r="R121" s="3"/>
    </row>
    <row r="122" spans="1:23" s="2" customFormat="1" ht="16.2" customHeight="1">
      <c r="A122" s="9">
        <v>7</v>
      </c>
      <c r="B122" s="5" t="s">
        <v>93</v>
      </c>
      <c r="C122" s="23">
        <f>L122/100*81.7</f>
        <v>1397.0700000000002</v>
      </c>
      <c r="D122" s="24">
        <f>C122/100*27</f>
        <v>377.20890000000003</v>
      </c>
      <c r="E122" s="29"/>
      <c r="F122" s="29">
        <f>C122/100*0.3</f>
        <v>4.1912099999999999</v>
      </c>
      <c r="G122" s="29"/>
      <c r="H122" s="29">
        <f>C122/100*0.1</f>
        <v>1.3970700000000003</v>
      </c>
      <c r="I122" s="29">
        <f>C122/100*6.1</f>
        <v>85.221270000000004</v>
      </c>
      <c r="J122" s="71">
        <f>C122/100*24</f>
        <v>335.29680000000002</v>
      </c>
      <c r="K122" s="71">
        <f>C122/100*0.06</f>
        <v>0.83824200000000004</v>
      </c>
      <c r="L122" s="374">
        <v>1710</v>
      </c>
      <c r="M122" s="26">
        <v>22</v>
      </c>
      <c r="N122" s="28">
        <f t="shared" si="6"/>
        <v>37620</v>
      </c>
      <c r="O122" s="153"/>
      <c r="Q122" s="3"/>
      <c r="R122" s="3"/>
      <c r="S122" s="4"/>
    </row>
    <row r="123" spans="1:23" s="2" customFormat="1" ht="16.2" customHeight="1">
      <c r="A123" s="9">
        <v>8</v>
      </c>
      <c r="B123" s="5" t="s">
        <v>136</v>
      </c>
      <c r="C123" s="23">
        <f>L123/100*100</f>
        <v>40</v>
      </c>
      <c r="D123" s="24">
        <f>C123/100*247</f>
        <v>98.800000000000011</v>
      </c>
      <c r="E123" s="29"/>
      <c r="F123" s="29">
        <f>C123/100*17.5</f>
        <v>7</v>
      </c>
      <c r="G123" s="29"/>
      <c r="H123" s="29">
        <f>C123/100*1.6</f>
        <v>0.64000000000000012</v>
      </c>
      <c r="I123" s="29">
        <f>C123/100*39.2</f>
        <v>15.680000000000001</v>
      </c>
      <c r="J123" s="71"/>
      <c r="K123" s="71"/>
      <c r="L123" s="374">
        <v>40</v>
      </c>
      <c r="M123" s="75">
        <v>50</v>
      </c>
      <c r="N123" s="28">
        <f t="shared" si="6"/>
        <v>2000</v>
      </c>
      <c r="O123" s="153"/>
      <c r="Q123" s="3"/>
      <c r="R123" s="3"/>
      <c r="S123" s="4"/>
      <c r="T123" s="3"/>
    </row>
    <row r="124" spans="1:23" s="2" customFormat="1" ht="16.2" customHeight="1">
      <c r="A124" s="9">
        <v>9</v>
      </c>
      <c r="B124" s="6" t="s">
        <v>123</v>
      </c>
      <c r="C124" s="23"/>
      <c r="D124" s="24"/>
      <c r="E124" s="25"/>
      <c r="F124" s="25"/>
      <c r="G124" s="25"/>
      <c r="H124" s="25"/>
      <c r="I124" s="25"/>
      <c r="J124" s="27"/>
      <c r="K124" s="27"/>
      <c r="L124" s="26"/>
      <c r="M124" s="26"/>
      <c r="N124" s="28">
        <v>3950</v>
      </c>
      <c r="O124" s="153"/>
      <c r="Q124" s="3"/>
      <c r="R124" s="3"/>
      <c r="S124" s="4"/>
      <c r="T124" s="3"/>
    </row>
    <row r="125" spans="1:23" s="2" customFormat="1" ht="16.2" customHeight="1">
      <c r="A125" s="21" t="s">
        <v>119</v>
      </c>
      <c r="B125" s="22"/>
      <c r="C125" s="34"/>
      <c r="D125" s="121">
        <f>SUM(D116:D124)</f>
        <v>15646.724899999997</v>
      </c>
      <c r="E125" s="43"/>
      <c r="F125" s="43"/>
      <c r="G125" s="43"/>
      <c r="H125" s="43"/>
      <c r="I125" s="43"/>
      <c r="J125" s="43"/>
      <c r="K125" s="43"/>
      <c r="L125" s="44"/>
      <c r="M125" s="308"/>
      <c r="N125" s="336">
        <f>SUM(N116:N124)</f>
        <v>313722</v>
      </c>
      <c r="O125" s="153"/>
    </row>
    <row r="126" spans="1:23" ht="16.2" customHeight="1">
      <c r="A126" s="21" t="s">
        <v>36</v>
      </c>
      <c r="B126" s="22"/>
      <c r="C126" s="61"/>
      <c r="D126" s="48">
        <f>D125/D94</f>
        <v>274.50394561403505</v>
      </c>
      <c r="E126" s="48"/>
      <c r="F126" s="48"/>
      <c r="G126" s="48"/>
      <c r="H126" s="48"/>
      <c r="I126" s="48"/>
      <c r="J126" s="48"/>
      <c r="K126" s="48"/>
      <c r="L126" s="62"/>
      <c r="M126" s="309"/>
      <c r="N126" s="338"/>
      <c r="O126" s="4"/>
      <c r="P126" s="2"/>
      <c r="Q126" s="2"/>
      <c r="R126" s="2"/>
      <c r="S126" s="2"/>
      <c r="T126" s="2"/>
      <c r="U126" s="2"/>
      <c r="V126" s="2"/>
    </row>
    <row r="127" spans="1:23" ht="16.2" customHeight="1">
      <c r="A127" s="294" t="s">
        <v>54</v>
      </c>
      <c r="B127" s="226"/>
      <c r="C127" s="376" t="s">
        <v>151</v>
      </c>
      <c r="D127" s="20" t="s">
        <v>46</v>
      </c>
      <c r="E127" s="46"/>
      <c r="F127" s="46"/>
      <c r="G127" s="46"/>
      <c r="H127" s="46"/>
      <c r="I127" s="46"/>
      <c r="J127" s="48"/>
      <c r="K127" s="48"/>
      <c r="L127" s="47"/>
      <c r="M127" s="47"/>
      <c r="N127" s="177"/>
      <c r="O127" s="4"/>
      <c r="P127" s="2"/>
      <c r="Q127" s="2"/>
      <c r="R127" s="2"/>
      <c r="S127" s="2"/>
      <c r="T127" s="2"/>
      <c r="U127" s="2"/>
      <c r="V127" s="2"/>
      <c r="W127" s="2"/>
    </row>
    <row r="128" spans="1:23" ht="16.2" customHeight="1">
      <c r="A128" s="227"/>
      <c r="B128" s="228"/>
      <c r="C128" s="76" t="s">
        <v>60</v>
      </c>
      <c r="D128" s="78">
        <f>D126*100/930</f>
        <v>29.516553291831723</v>
      </c>
      <c r="E128" s="46"/>
      <c r="F128" s="46"/>
      <c r="G128" s="45"/>
      <c r="H128" s="45"/>
      <c r="I128" s="45"/>
      <c r="J128" s="48"/>
      <c r="K128" s="48"/>
      <c r="L128" s="47"/>
      <c r="M128" s="47"/>
      <c r="N128" s="177"/>
      <c r="O128" s="4"/>
      <c r="P128" s="2"/>
      <c r="Q128" s="2"/>
      <c r="R128" s="2"/>
      <c r="S128" s="2"/>
      <c r="T128" s="2"/>
      <c r="U128" s="2"/>
      <c r="V128" s="2"/>
      <c r="W128" s="2"/>
    </row>
    <row r="129" spans="1:23" ht="16.2" customHeight="1">
      <c r="A129" s="236" t="s">
        <v>35</v>
      </c>
      <c r="B129" s="236"/>
      <c r="C129" s="63"/>
      <c r="D129" s="64"/>
      <c r="E129" s="64"/>
      <c r="F129" s="64"/>
      <c r="G129" s="64"/>
      <c r="H129" s="64"/>
      <c r="I129" s="64"/>
      <c r="J129" s="64"/>
      <c r="K129" s="64"/>
      <c r="L129" s="65"/>
      <c r="M129" s="65"/>
      <c r="N129" s="66"/>
      <c r="O129" s="4"/>
      <c r="P129" s="2"/>
      <c r="Q129" s="2"/>
      <c r="R129" s="2"/>
      <c r="S129" s="2"/>
      <c r="T129" s="2"/>
      <c r="U129" s="2"/>
      <c r="V129" s="2"/>
    </row>
    <row r="130" spans="1:23" s="2" customFormat="1" ht="16.2" customHeight="1">
      <c r="A130" s="9">
        <v>1</v>
      </c>
      <c r="B130" s="10" t="s">
        <v>70</v>
      </c>
      <c r="C130" s="23">
        <f>L130/100*90</f>
        <v>18</v>
      </c>
      <c r="D130" s="24">
        <f>C130/100*253</f>
        <v>45.54</v>
      </c>
      <c r="E130" s="25"/>
      <c r="F130" s="25">
        <f>C130/100*32.4</f>
        <v>5.8319999999999999</v>
      </c>
      <c r="G130" s="25"/>
      <c r="H130" s="25">
        <f>C130/100*3.6</f>
        <v>0.64800000000000002</v>
      </c>
      <c r="I130" s="25">
        <f>C130/100*21.1</f>
        <v>3.798</v>
      </c>
      <c r="J130" s="27">
        <f>C130/100*165.6</f>
        <v>29.807999999999996</v>
      </c>
      <c r="K130" s="27">
        <f>C130/100*0.14</f>
        <v>2.52E-2</v>
      </c>
      <c r="L130" s="137">
        <v>20</v>
      </c>
      <c r="M130" s="75">
        <v>275</v>
      </c>
      <c r="N130" s="28">
        <f t="shared" ref="N130:N134" si="7">L130*M130</f>
        <v>5500</v>
      </c>
      <c r="O130" s="153"/>
    </row>
    <row r="131" spans="1:23" s="2" customFormat="1" ht="16.2" customHeight="1">
      <c r="A131" s="9">
        <v>2</v>
      </c>
      <c r="B131" s="5" t="s">
        <v>138</v>
      </c>
      <c r="C131" s="23">
        <f>L131/100*100</f>
        <v>220.00000000000003</v>
      </c>
      <c r="D131" s="24">
        <f>C131/100*340</f>
        <v>748.00000000000011</v>
      </c>
      <c r="E131" s="29"/>
      <c r="F131" s="29">
        <f>C131/100*0.7</f>
        <v>1.54</v>
      </c>
      <c r="G131" s="29"/>
      <c r="H131" s="29"/>
      <c r="I131" s="29">
        <f>C131/100*84.3</f>
        <v>185.46</v>
      </c>
      <c r="J131" s="71"/>
      <c r="K131" s="71"/>
      <c r="L131" s="374">
        <v>220</v>
      </c>
      <c r="M131" s="75">
        <v>180</v>
      </c>
      <c r="N131" s="28">
        <f t="shared" si="7"/>
        <v>39600</v>
      </c>
      <c r="O131" s="153"/>
      <c r="Q131" s="3"/>
      <c r="R131" s="3"/>
      <c r="S131" s="4"/>
      <c r="T131" s="3"/>
    </row>
    <row r="132" spans="1:23" s="2" customFormat="1" ht="16.2" customHeight="1">
      <c r="A132" s="9">
        <v>3</v>
      </c>
      <c r="B132" s="10" t="s">
        <v>169</v>
      </c>
      <c r="C132" s="23">
        <f>L132/100*55</f>
        <v>473</v>
      </c>
      <c r="D132" s="120">
        <f>C132/100*196</f>
        <v>927.08</v>
      </c>
      <c r="E132" s="25"/>
      <c r="F132" s="136">
        <f>C132/100*4.1</f>
        <v>19.393000000000001</v>
      </c>
      <c r="G132" s="25"/>
      <c r="H132" s="25">
        <f>C132/100*2.3</f>
        <v>10.879</v>
      </c>
      <c r="I132" s="25">
        <f>C132/100*39.6</f>
        <v>187.30800000000002</v>
      </c>
      <c r="J132" s="27">
        <f>C132/100*4</f>
        <v>18.920000000000002</v>
      </c>
      <c r="K132" s="27">
        <f>C132/100*0.15</f>
        <v>0.70950000000000002</v>
      </c>
      <c r="L132" s="395">
        <v>860</v>
      </c>
      <c r="M132" s="75">
        <v>22</v>
      </c>
      <c r="N132" s="28">
        <f t="shared" si="7"/>
        <v>18920</v>
      </c>
      <c r="O132" s="396"/>
      <c r="P132" s="141"/>
      <c r="Q132" s="141"/>
    </row>
    <row r="133" spans="1:23" s="2" customFormat="1" ht="16.2" customHeight="1">
      <c r="A133" s="9">
        <v>4</v>
      </c>
      <c r="B133" s="5" t="s">
        <v>69</v>
      </c>
      <c r="C133" s="23">
        <f>L133/100*48</f>
        <v>1027.1999999999998</v>
      </c>
      <c r="D133" s="24">
        <f>C133/100*199</f>
        <v>2044.1279999999997</v>
      </c>
      <c r="E133" s="25">
        <f>C133/100*20.3</f>
        <v>208.52159999999998</v>
      </c>
      <c r="F133" s="25"/>
      <c r="G133" s="25">
        <f>C133/100*13.1</f>
        <v>134.56319999999997</v>
      </c>
      <c r="H133" s="25"/>
      <c r="I133" s="25"/>
      <c r="J133" s="27">
        <f>C133/100*12</f>
        <v>123.26399999999998</v>
      </c>
      <c r="K133" s="27">
        <f>C133/100*0.15</f>
        <v>1.5407999999999997</v>
      </c>
      <c r="L133" s="26">
        <v>2140</v>
      </c>
      <c r="M133" s="137">
        <v>84</v>
      </c>
      <c r="N133" s="124">
        <f t="shared" si="7"/>
        <v>179760</v>
      </c>
      <c r="O133" s="153"/>
      <c r="Q133" s="3"/>
      <c r="R133" s="3"/>
      <c r="S133" s="4"/>
    </row>
    <row r="134" spans="1:23" s="2" customFormat="1" ht="16.2" customHeight="1">
      <c r="A134" s="103">
        <v>5</v>
      </c>
      <c r="B134" s="112" t="s">
        <v>170</v>
      </c>
      <c r="C134" s="104">
        <f>L134/100*85</f>
        <v>51</v>
      </c>
      <c r="D134" s="105">
        <f>C134/100*11</f>
        <v>5.61</v>
      </c>
      <c r="E134" s="106"/>
      <c r="F134" s="106">
        <f>C134/100*2.2</f>
        <v>1.1220000000000001</v>
      </c>
      <c r="G134" s="106"/>
      <c r="H134" s="106"/>
      <c r="I134" s="106">
        <f>C134/100*0.6</f>
        <v>0.30599999999999999</v>
      </c>
      <c r="J134" s="114"/>
      <c r="K134" s="114"/>
      <c r="L134" s="397">
        <v>60</v>
      </c>
      <c r="M134" s="145">
        <v>30</v>
      </c>
      <c r="N134" s="108">
        <f t="shared" si="7"/>
        <v>1800</v>
      </c>
      <c r="O134" s="153"/>
      <c r="Q134" s="3"/>
      <c r="R134" s="3"/>
    </row>
    <row r="135" spans="1:23" ht="20.399999999999999" customHeight="1">
      <c r="A135" s="209" t="s">
        <v>0</v>
      </c>
      <c r="B135" s="212" t="s">
        <v>19</v>
      </c>
      <c r="C135" s="215" t="s">
        <v>8</v>
      </c>
      <c r="D135" s="215" t="s">
        <v>9</v>
      </c>
      <c r="E135" s="218" t="s">
        <v>11</v>
      </c>
      <c r="F135" s="219"/>
      <c r="G135" s="218" t="s">
        <v>13</v>
      </c>
      <c r="H135" s="219"/>
      <c r="I135" s="222" t="s">
        <v>16</v>
      </c>
      <c r="J135" s="222" t="s">
        <v>41</v>
      </c>
      <c r="K135" s="222" t="s">
        <v>42</v>
      </c>
      <c r="L135" s="340" t="s">
        <v>17</v>
      </c>
      <c r="M135" s="222" t="s">
        <v>57</v>
      </c>
      <c r="N135" s="209" t="s">
        <v>18</v>
      </c>
      <c r="O135" s="373"/>
    </row>
    <row r="136" spans="1:23" ht="20.399999999999999" customHeight="1">
      <c r="A136" s="210"/>
      <c r="B136" s="213"/>
      <c r="C136" s="216"/>
      <c r="D136" s="216"/>
      <c r="E136" s="220"/>
      <c r="F136" s="221"/>
      <c r="G136" s="220"/>
      <c r="H136" s="221"/>
      <c r="I136" s="223"/>
      <c r="J136" s="223"/>
      <c r="K136" s="223"/>
      <c r="L136" s="341"/>
      <c r="M136" s="223"/>
      <c r="N136" s="210"/>
      <c r="O136" s="176"/>
    </row>
    <row r="137" spans="1:23" ht="20.399999999999999" customHeight="1">
      <c r="A137" s="210"/>
      <c r="B137" s="213"/>
      <c r="C137" s="216"/>
      <c r="D137" s="216"/>
      <c r="E137" s="222" t="s">
        <v>10</v>
      </c>
      <c r="F137" s="222" t="s">
        <v>12</v>
      </c>
      <c r="G137" s="222" t="s">
        <v>14</v>
      </c>
      <c r="H137" s="222" t="s">
        <v>15</v>
      </c>
      <c r="I137" s="223"/>
      <c r="J137" s="223"/>
      <c r="K137" s="223"/>
      <c r="L137" s="341"/>
      <c r="M137" s="223"/>
      <c r="N137" s="210"/>
      <c r="O137" s="176"/>
    </row>
    <row r="138" spans="1:23" ht="20.399999999999999" customHeight="1">
      <c r="A138" s="211"/>
      <c r="B138" s="214"/>
      <c r="C138" s="217"/>
      <c r="D138" s="217"/>
      <c r="E138" s="224"/>
      <c r="F138" s="224"/>
      <c r="G138" s="224"/>
      <c r="H138" s="224"/>
      <c r="I138" s="224"/>
      <c r="J138" s="224"/>
      <c r="K138" s="224"/>
      <c r="L138" s="342"/>
      <c r="M138" s="224"/>
      <c r="N138" s="211"/>
      <c r="O138" s="176"/>
    </row>
    <row r="139" spans="1:23" s="2" customFormat="1" ht="20.399999999999999" customHeight="1">
      <c r="A139" s="21" t="s">
        <v>106</v>
      </c>
      <c r="B139" s="22"/>
      <c r="C139" s="34"/>
      <c r="D139" s="35">
        <f>SUM(D130:D134)</f>
        <v>3770.3579999999997</v>
      </c>
      <c r="E139" s="43"/>
      <c r="F139" s="43"/>
      <c r="G139" s="43"/>
      <c r="H139" s="43"/>
      <c r="I139" s="43"/>
      <c r="J139" s="82"/>
      <c r="K139" s="43"/>
      <c r="L139" s="44"/>
      <c r="M139" s="308"/>
      <c r="N139" s="336">
        <f>SUM(N130:N134)</f>
        <v>245580</v>
      </c>
      <c r="O139" s="153"/>
    </row>
    <row r="140" spans="1:23" ht="20.399999999999999" customHeight="1">
      <c r="A140" s="21" t="s">
        <v>7</v>
      </c>
      <c r="B140" s="22"/>
      <c r="C140" s="45"/>
      <c r="D140" s="72">
        <f>D139/D94</f>
        <v>66.146631578947364</v>
      </c>
      <c r="E140" s="46"/>
      <c r="F140" s="46"/>
      <c r="G140" s="46"/>
      <c r="H140" s="46"/>
      <c r="I140" s="46"/>
      <c r="J140" s="83"/>
      <c r="K140" s="46"/>
      <c r="L140" s="47"/>
      <c r="M140" s="309"/>
      <c r="N140" s="337"/>
      <c r="O140" s="4"/>
      <c r="P140" s="2"/>
      <c r="Q140" s="2"/>
      <c r="R140" s="2"/>
      <c r="S140" s="2"/>
      <c r="T140" s="2"/>
      <c r="U140" s="2"/>
      <c r="V140" s="2"/>
    </row>
    <row r="141" spans="1:23" ht="20.399999999999999" customHeight="1">
      <c r="A141" s="294" t="s">
        <v>52</v>
      </c>
      <c r="B141" s="226"/>
      <c r="C141" s="376" t="s">
        <v>151</v>
      </c>
      <c r="D141" s="20" t="s">
        <v>50</v>
      </c>
      <c r="E141" s="46"/>
      <c r="F141" s="46"/>
      <c r="G141" s="46"/>
      <c r="H141" s="46"/>
      <c r="I141" s="46"/>
      <c r="J141" s="84"/>
      <c r="K141" s="48"/>
      <c r="L141" s="47"/>
      <c r="M141" s="47"/>
      <c r="N141" s="177"/>
      <c r="O141" s="4"/>
      <c r="P141" s="2"/>
      <c r="Q141" s="2"/>
      <c r="R141" s="2"/>
      <c r="S141" s="2"/>
      <c r="T141" s="2"/>
      <c r="U141" s="2"/>
      <c r="V141" s="2"/>
      <c r="W141" s="2"/>
    </row>
    <row r="142" spans="1:23" ht="20.399999999999999" customHeight="1">
      <c r="A142" s="227"/>
      <c r="B142" s="228"/>
      <c r="C142" s="76" t="s">
        <v>60</v>
      </c>
      <c r="D142" s="78">
        <f>D140*100/930</f>
        <v>7.1125410299943397</v>
      </c>
      <c r="E142" s="46"/>
      <c r="F142" s="46"/>
      <c r="G142" s="46"/>
      <c r="H142" s="46"/>
      <c r="I142" s="46"/>
      <c r="J142" s="84"/>
      <c r="K142" s="48"/>
      <c r="L142" s="47"/>
      <c r="M142" s="47"/>
      <c r="N142" s="177"/>
      <c r="O142" s="4"/>
      <c r="P142" s="2"/>
      <c r="Q142" s="2"/>
      <c r="R142" s="2"/>
      <c r="S142" s="2"/>
      <c r="T142" s="2"/>
      <c r="U142" s="2"/>
      <c r="V142" s="2"/>
      <c r="W142" s="2"/>
    </row>
    <row r="143" spans="1:23" ht="20.399999999999999" customHeight="1">
      <c r="A143" s="286" t="s">
        <v>107</v>
      </c>
      <c r="B143" s="287"/>
      <c r="C143" s="290"/>
      <c r="D143" s="302">
        <f>SUM(D111+D125+D139)</f>
        <v>35846.703899999993</v>
      </c>
      <c r="E143" s="123">
        <f t="shared" ref="E143:K143" si="8">SUM(E100:E134)</f>
        <v>1047.8516</v>
      </c>
      <c r="F143" s="7">
        <f t="shared" si="8"/>
        <v>457.12251000000009</v>
      </c>
      <c r="G143" s="7">
        <f t="shared" si="8"/>
        <v>986.12799999999993</v>
      </c>
      <c r="H143" s="7">
        <f t="shared" si="8"/>
        <v>425.97147000000001</v>
      </c>
      <c r="I143" s="355">
        <f t="shared" si="8"/>
        <v>4137.4753699999992</v>
      </c>
      <c r="J143" s="355">
        <f t="shared" si="8"/>
        <v>17192.599800000004</v>
      </c>
      <c r="K143" s="284">
        <f t="shared" si="8"/>
        <v>26.958572</v>
      </c>
      <c r="L143" s="268"/>
      <c r="M143" s="268"/>
      <c r="N143" s="358">
        <f>N111+N125+N139</f>
        <v>1254500</v>
      </c>
      <c r="U143" s="12"/>
      <c r="V143" s="12"/>
    </row>
    <row r="144" spans="1:23" ht="20.399999999999999" customHeight="1">
      <c r="A144" s="288"/>
      <c r="B144" s="289"/>
      <c r="C144" s="291"/>
      <c r="D144" s="303"/>
      <c r="E144" s="282">
        <f>E143+F143</f>
        <v>1504.9741100000001</v>
      </c>
      <c r="F144" s="283"/>
      <c r="G144" s="282">
        <f>G143+H143</f>
        <v>1412.0994699999999</v>
      </c>
      <c r="H144" s="283"/>
      <c r="I144" s="356"/>
      <c r="J144" s="356"/>
      <c r="K144" s="285"/>
      <c r="L144" s="268"/>
      <c r="M144" s="268"/>
      <c r="N144" s="358"/>
      <c r="U144" s="12"/>
      <c r="V144" s="12"/>
    </row>
    <row r="145" spans="1:22" ht="20.399999999999999" customHeight="1">
      <c r="A145" s="269" t="s">
        <v>77</v>
      </c>
      <c r="B145" s="270"/>
      <c r="C145" s="271"/>
      <c r="D145" s="133">
        <f>D143/D94</f>
        <v>628.88954210526299</v>
      </c>
      <c r="E145" s="400">
        <f>E143/D94</f>
        <v>18.383361403508772</v>
      </c>
      <c r="F145" s="399">
        <f>F143/D94</f>
        <v>8.0196931578947392</v>
      </c>
      <c r="G145" s="400">
        <f>G143/D94</f>
        <v>17.300491228070175</v>
      </c>
      <c r="H145" s="399">
        <f>H143/D94</f>
        <v>7.4731836842105261</v>
      </c>
      <c r="I145" s="264">
        <f>I143/D94</f>
        <v>72.587287192982444</v>
      </c>
      <c r="J145" s="264">
        <f>J143/D94</f>
        <v>301.62455789473688</v>
      </c>
      <c r="K145" s="300">
        <f>K143/D94</f>
        <v>0.47295740350877191</v>
      </c>
      <c r="L145" s="268"/>
      <c r="M145" s="268"/>
      <c r="N145" s="358"/>
      <c r="P145" s="368"/>
      <c r="Q145" s="370"/>
      <c r="R145" s="370"/>
      <c r="S145" s="370"/>
      <c r="T145" s="370"/>
      <c r="U145" s="380"/>
      <c r="V145" s="380"/>
    </row>
    <row r="146" spans="1:22" ht="20.399999999999999" customHeight="1">
      <c r="A146" s="272"/>
      <c r="B146" s="273"/>
      <c r="C146" s="274"/>
      <c r="D146" s="127"/>
      <c r="E146" s="381">
        <f>E145+F145</f>
        <v>26.403054561403511</v>
      </c>
      <c r="F146" s="382"/>
      <c r="G146" s="381">
        <f>G145+H145</f>
        <v>24.773674912280701</v>
      </c>
      <c r="H146" s="382"/>
      <c r="I146" s="265"/>
      <c r="J146" s="265"/>
      <c r="K146" s="301"/>
      <c r="L146" s="268"/>
      <c r="M146" s="268"/>
      <c r="N146" s="358"/>
      <c r="P146" s="383"/>
      <c r="Q146" s="370"/>
      <c r="R146" s="370"/>
      <c r="S146" s="393"/>
      <c r="T146" s="393"/>
      <c r="U146" s="370"/>
      <c r="V146" s="370"/>
    </row>
    <row r="147" spans="1:22" ht="20.399999999999999" customHeight="1">
      <c r="A147" s="305" t="s">
        <v>80</v>
      </c>
      <c r="B147" s="306"/>
      <c r="C147" s="307"/>
      <c r="D147" s="179" t="s">
        <v>29</v>
      </c>
      <c r="E147" s="339" t="s">
        <v>24</v>
      </c>
      <c r="F147" s="339"/>
      <c r="G147" s="339" t="s">
        <v>25</v>
      </c>
      <c r="H147" s="339"/>
      <c r="I147" s="394" t="s">
        <v>26</v>
      </c>
      <c r="J147" s="174">
        <v>500</v>
      </c>
      <c r="K147" s="174">
        <v>0.5</v>
      </c>
      <c r="L147" s="268"/>
      <c r="M147" s="268"/>
      <c r="N147" s="358"/>
      <c r="O147" s="385"/>
      <c r="P147" s="368"/>
      <c r="Q147" s="368"/>
      <c r="R147" s="368"/>
      <c r="S147" s="368"/>
      <c r="T147" s="368"/>
      <c r="U147" s="368"/>
      <c r="V147" s="368"/>
    </row>
    <row r="148" spans="1:22" ht="20.399999999999999" customHeight="1">
      <c r="A148" s="243" t="s">
        <v>78</v>
      </c>
      <c r="B148" s="275"/>
      <c r="C148" s="244"/>
      <c r="D148" s="49"/>
      <c r="E148" s="276">
        <f>E146*4.1</f>
        <v>108.25252370175438</v>
      </c>
      <c r="F148" s="277"/>
      <c r="G148" s="276">
        <f>G146*9</f>
        <v>222.96307421052632</v>
      </c>
      <c r="H148" s="277"/>
      <c r="I148" s="85">
        <f>I145*4.1</f>
        <v>297.60787749122801</v>
      </c>
      <c r="J148" s="257"/>
      <c r="K148" s="257"/>
      <c r="L148" s="268"/>
      <c r="M148" s="268"/>
      <c r="N148" s="358"/>
      <c r="O148" s="385"/>
      <c r="P148" s="386"/>
      <c r="Q148" s="369"/>
      <c r="R148" s="369"/>
      <c r="S148" s="369"/>
      <c r="T148" s="368"/>
      <c r="U148" s="368"/>
      <c r="V148" s="368"/>
    </row>
    <row r="149" spans="1:22" ht="20.399999999999999" customHeight="1">
      <c r="A149" s="278" t="s">
        <v>87</v>
      </c>
      <c r="B149" s="279"/>
      <c r="C149" s="243" t="s">
        <v>59</v>
      </c>
      <c r="D149" s="244"/>
      <c r="E149" s="245">
        <f>E148*100/D145</f>
        <v>17.21328094268662</v>
      </c>
      <c r="F149" s="246"/>
      <c r="G149" s="245">
        <f>G148*100/D145</f>
        <v>35.453455540719894</v>
      </c>
      <c r="H149" s="246"/>
      <c r="I149" s="115">
        <f>I148*100/D145</f>
        <v>47.322758221572499</v>
      </c>
      <c r="J149" s="258"/>
      <c r="K149" s="258"/>
      <c r="L149" s="268"/>
      <c r="M149" s="268"/>
      <c r="N149" s="358"/>
      <c r="O149" s="385"/>
      <c r="P149" s="368"/>
      <c r="Q149" s="368"/>
      <c r="R149" s="368"/>
      <c r="S149" s="368"/>
      <c r="T149" s="368"/>
      <c r="U149" s="368"/>
      <c r="V149" s="368"/>
    </row>
    <row r="150" spans="1:22" ht="20.399999999999999" customHeight="1">
      <c r="A150" s="280"/>
      <c r="B150" s="281"/>
      <c r="C150" s="243" t="s">
        <v>79</v>
      </c>
      <c r="D150" s="244"/>
      <c r="E150" s="243" t="s">
        <v>82</v>
      </c>
      <c r="F150" s="244"/>
      <c r="G150" s="243" t="s">
        <v>85</v>
      </c>
      <c r="H150" s="244"/>
      <c r="I150" s="179" t="s">
        <v>86</v>
      </c>
      <c r="J150" s="259"/>
      <c r="K150" s="259"/>
      <c r="L150" s="268"/>
      <c r="M150" s="268"/>
      <c r="N150" s="358"/>
      <c r="O150" s="385"/>
      <c r="P150" s="132"/>
    </row>
    <row r="151" spans="1:22" ht="20.399999999999999" customHeight="1">
      <c r="A151" s="90"/>
      <c r="B151" s="90"/>
      <c r="C151" s="90"/>
      <c r="D151" s="90"/>
      <c r="E151" s="90"/>
      <c r="F151" s="90"/>
      <c r="G151" s="90"/>
      <c r="H151" s="90"/>
      <c r="I151" s="90"/>
      <c r="J151" s="90"/>
      <c r="K151" s="90"/>
      <c r="L151" s="94"/>
      <c r="M151" s="94"/>
      <c r="N151" s="95"/>
      <c r="O151" s="385"/>
    </row>
    <row r="152" spans="1:22" ht="21" customHeight="1">
      <c r="A152" s="184" t="s">
        <v>114</v>
      </c>
      <c r="B152" s="184"/>
      <c r="C152" s="184"/>
      <c r="D152" s="184"/>
      <c r="E152" s="184"/>
      <c r="F152" s="184"/>
      <c r="G152" s="184"/>
      <c r="H152" s="184"/>
      <c r="I152" s="184"/>
      <c r="J152" s="184"/>
      <c r="K152" s="184"/>
      <c r="L152" s="184"/>
      <c r="M152" s="184"/>
      <c r="N152" s="184"/>
      <c r="O152" s="385"/>
    </row>
    <row r="153" spans="1:22" ht="21" customHeight="1">
      <c r="A153" s="117" t="s">
        <v>115</v>
      </c>
      <c r="B153" s="185" t="s">
        <v>116</v>
      </c>
      <c r="C153" s="185"/>
      <c r="D153" s="185"/>
      <c r="E153" s="185"/>
      <c r="F153" s="185"/>
      <c r="G153" s="185"/>
      <c r="H153" s="185"/>
      <c r="I153" s="185"/>
      <c r="J153" s="185"/>
      <c r="K153" s="185"/>
      <c r="L153" s="185"/>
      <c r="M153" s="185"/>
      <c r="N153" s="185"/>
      <c r="O153" s="385"/>
    </row>
    <row r="154" spans="1:22" ht="21" customHeight="1">
      <c r="A154" s="118"/>
      <c r="B154" s="186" t="s">
        <v>220</v>
      </c>
      <c r="C154" s="186"/>
      <c r="D154" s="186"/>
      <c r="E154" s="186"/>
      <c r="F154" s="186"/>
      <c r="G154" s="186"/>
      <c r="H154" s="186"/>
      <c r="I154" s="186"/>
      <c r="J154" s="186"/>
      <c r="K154" s="186"/>
      <c r="L154" s="186"/>
      <c r="M154" s="186"/>
      <c r="N154" s="186"/>
      <c r="O154" s="385"/>
    </row>
    <row r="155" spans="1:22" ht="21" customHeight="1">
      <c r="A155" s="118"/>
      <c r="B155" s="186" t="s">
        <v>188</v>
      </c>
      <c r="C155" s="186"/>
      <c r="D155" s="186"/>
      <c r="E155" s="186"/>
      <c r="F155" s="186"/>
      <c r="G155" s="186"/>
      <c r="H155" s="186"/>
      <c r="I155" s="186"/>
      <c r="J155" s="186"/>
      <c r="K155" s="186"/>
      <c r="L155" s="186"/>
      <c r="M155" s="186"/>
      <c r="N155" s="186"/>
      <c r="O155" s="385"/>
    </row>
    <row r="156" spans="1:22" ht="21" customHeight="1">
      <c r="A156" s="118"/>
      <c r="B156" s="186" t="s">
        <v>221</v>
      </c>
      <c r="C156" s="186"/>
      <c r="D156" s="186"/>
      <c r="E156" s="186"/>
      <c r="F156" s="186"/>
      <c r="G156" s="186"/>
      <c r="H156" s="186"/>
      <c r="I156" s="186"/>
      <c r="J156" s="186"/>
      <c r="K156" s="186"/>
      <c r="L156" s="186"/>
      <c r="M156" s="186"/>
      <c r="N156" s="186"/>
      <c r="O156" s="385"/>
    </row>
    <row r="157" spans="1:22" ht="21" customHeight="1">
      <c r="A157" s="90"/>
      <c r="B157" s="187" t="s">
        <v>117</v>
      </c>
      <c r="C157" s="187"/>
      <c r="D157" s="187"/>
      <c r="E157" s="187"/>
      <c r="F157" s="187"/>
      <c r="G157" s="187"/>
      <c r="H157" s="187"/>
      <c r="I157" s="187"/>
      <c r="J157" s="187"/>
      <c r="K157" s="187"/>
      <c r="L157" s="187"/>
      <c r="M157" s="187"/>
      <c r="N157" s="187"/>
      <c r="O157" s="385"/>
    </row>
    <row r="158" spans="1:22" ht="21" customHeight="1">
      <c r="A158" s="90"/>
      <c r="B158" s="90"/>
      <c r="C158" s="90"/>
      <c r="D158" s="90"/>
      <c r="E158" s="90"/>
      <c r="F158" s="90"/>
      <c r="G158" s="90"/>
      <c r="H158" s="90"/>
      <c r="I158" s="90"/>
      <c r="J158" s="90"/>
      <c r="K158" s="90"/>
      <c r="L158" s="94"/>
      <c r="M158" s="94"/>
      <c r="N158" s="95"/>
      <c r="O158" s="385"/>
    </row>
    <row r="159" spans="1:22" ht="21" customHeight="1">
      <c r="A159" s="188" t="s">
        <v>62</v>
      </c>
      <c r="B159" s="188"/>
      <c r="C159" s="188"/>
      <c r="D159" s="188"/>
      <c r="E159" s="387"/>
      <c r="F159" s="387"/>
      <c r="G159" s="387"/>
      <c r="H159" s="387"/>
      <c r="I159" s="387"/>
      <c r="J159" s="388" t="s">
        <v>33</v>
      </c>
      <c r="K159" s="388"/>
      <c r="L159" s="388"/>
      <c r="M159" s="388"/>
      <c r="N159" s="388"/>
      <c r="O159" s="385"/>
    </row>
    <row r="160" spans="1:22" ht="21" customHeight="1">
      <c r="A160" s="176"/>
      <c r="B160" s="176"/>
      <c r="C160" s="176"/>
      <c r="D160" s="387"/>
      <c r="E160" s="387"/>
      <c r="F160" s="387"/>
      <c r="G160" s="387"/>
      <c r="H160" s="389"/>
      <c r="I160" s="389"/>
      <c r="J160" s="389"/>
      <c r="K160" s="389"/>
      <c r="L160" s="389"/>
      <c r="M160" s="389"/>
      <c r="N160" s="389"/>
      <c r="O160" s="385"/>
    </row>
    <row r="161" spans="1:15" ht="21" customHeight="1">
      <c r="A161" s="176"/>
      <c r="B161" s="176"/>
      <c r="C161" s="176"/>
      <c r="D161" s="387"/>
      <c r="E161" s="387"/>
      <c r="F161" s="387"/>
      <c r="G161" s="387"/>
      <c r="H161" s="389"/>
      <c r="I161" s="389"/>
      <c r="J161" s="389"/>
      <c r="K161" s="389"/>
      <c r="L161" s="389"/>
      <c r="M161" s="389"/>
      <c r="N161" s="389"/>
      <c r="O161" s="385"/>
    </row>
    <row r="162" spans="1:15" ht="21" customHeight="1">
      <c r="A162" s="176"/>
      <c r="B162" s="176"/>
      <c r="C162" s="176"/>
      <c r="D162" s="387"/>
      <c r="E162" s="387"/>
      <c r="F162" s="387"/>
      <c r="G162" s="387"/>
      <c r="H162" s="389"/>
      <c r="I162" s="389"/>
      <c r="J162" s="390" t="s">
        <v>124</v>
      </c>
      <c r="K162" s="390"/>
      <c r="L162" s="390"/>
      <c r="M162" s="390"/>
      <c r="N162" s="390"/>
      <c r="O162" s="385"/>
    </row>
    <row r="163" spans="1:15" ht="21" customHeight="1">
      <c r="A163" s="180" t="s">
        <v>91</v>
      </c>
      <c r="B163" s="180"/>
      <c r="C163" s="180"/>
      <c r="D163" s="180"/>
      <c r="E163" s="387"/>
      <c r="F163" s="387"/>
      <c r="G163" s="387"/>
      <c r="H163" s="389"/>
      <c r="I163" s="389"/>
      <c r="J163" s="390"/>
      <c r="K163" s="390"/>
      <c r="L163" s="390"/>
      <c r="M163" s="390"/>
      <c r="N163" s="390"/>
      <c r="O163" s="385"/>
    </row>
    <row r="164" spans="1:15" ht="20.399999999999999" customHeight="1">
      <c r="J164" s="389"/>
      <c r="K164" s="389"/>
      <c r="L164" s="389"/>
      <c r="M164" s="389"/>
      <c r="N164" s="389"/>
    </row>
    <row r="165" spans="1:15" ht="20.399999999999999" customHeight="1">
      <c r="J165" s="390" t="s">
        <v>127</v>
      </c>
      <c r="K165" s="390"/>
      <c r="L165" s="390"/>
      <c r="M165" s="390"/>
      <c r="N165" s="390"/>
    </row>
  </sheetData>
  <mergeCells count="207">
    <mergeCell ref="J162:N162"/>
    <mergeCell ref="J165:N165"/>
    <mergeCell ref="D45:D48"/>
    <mergeCell ref="J72:N72"/>
    <mergeCell ref="J75:N75"/>
    <mergeCell ref="B153:N153"/>
    <mergeCell ref="B154:N154"/>
    <mergeCell ref="B155:N155"/>
    <mergeCell ref="B156:N156"/>
    <mergeCell ref="B157:N157"/>
    <mergeCell ref="A159:D159"/>
    <mergeCell ref="J159:N159"/>
    <mergeCell ref="A148:C148"/>
    <mergeCell ref="E148:F148"/>
    <mergeCell ref="G148:H148"/>
    <mergeCell ref="A113:B114"/>
    <mergeCell ref="E91:I93"/>
    <mergeCell ref="E137:E138"/>
    <mergeCell ref="F137:F138"/>
    <mergeCell ref="G137:G138"/>
    <mergeCell ref="H137:H138"/>
    <mergeCell ref="A92:D92"/>
    <mergeCell ref="A93:D93"/>
    <mergeCell ref="J95:J98"/>
    <mergeCell ref="B65:N65"/>
    <mergeCell ref="B66:N66"/>
    <mergeCell ref="A69:D69"/>
    <mergeCell ref="J69:N69"/>
    <mergeCell ref="A73:D73"/>
    <mergeCell ref="J73:N73"/>
    <mergeCell ref="A89:D90"/>
    <mergeCell ref="E89:N89"/>
    <mergeCell ref="E90:I90"/>
    <mergeCell ref="D95:D98"/>
    <mergeCell ref="F97:F98"/>
    <mergeCell ref="G97:G98"/>
    <mergeCell ref="K95:K98"/>
    <mergeCell ref="A91:D91"/>
    <mergeCell ref="J91:N91"/>
    <mergeCell ref="J92:N92"/>
    <mergeCell ref="J93:N93"/>
    <mergeCell ref="A163:D163"/>
    <mergeCell ref="J163:N163"/>
    <mergeCell ref="K148:K150"/>
    <mergeCell ref="A149:B150"/>
    <mergeCell ref="C149:D149"/>
    <mergeCell ref="E149:F149"/>
    <mergeCell ref="K145:K146"/>
    <mergeCell ref="D143:D144"/>
    <mergeCell ref="I143:I144"/>
    <mergeCell ref="E144:F144"/>
    <mergeCell ref="I145:I146"/>
    <mergeCell ref="E146:F146"/>
    <mergeCell ref="J145:J146"/>
    <mergeCell ref="G149:H149"/>
    <mergeCell ref="C150:D150"/>
    <mergeCell ref="E150:F150"/>
    <mergeCell ref="G150:H150"/>
    <mergeCell ref="L143:L150"/>
    <mergeCell ref="M143:M150"/>
    <mergeCell ref="N143:N150"/>
    <mergeCell ref="A145:C146"/>
    <mergeCell ref="A147:C147"/>
    <mergeCell ref="J148:J150"/>
    <mergeCell ref="A152:N152"/>
    <mergeCell ref="U146:V146"/>
    <mergeCell ref="Q146:R146"/>
    <mergeCell ref="S146:T146"/>
    <mergeCell ref="A127:B128"/>
    <mergeCell ref="A129:B129"/>
    <mergeCell ref="M139:M140"/>
    <mergeCell ref="N139:N140"/>
    <mergeCell ref="A141:B142"/>
    <mergeCell ref="J143:J144"/>
    <mergeCell ref="K143:K144"/>
    <mergeCell ref="M125:M126"/>
    <mergeCell ref="N125:N126"/>
    <mergeCell ref="A135:A138"/>
    <mergeCell ref="B135:B138"/>
    <mergeCell ref="C135:C138"/>
    <mergeCell ref="D135:D138"/>
    <mergeCell ref="E135:F136"/>
    <mergeCell ref="G135:H136"/>
    <mergeCell ref="I135:I138"/>
    <mergeCell ref="J135:J138"/>
    <mergeCell ref="K135:K138"/>
    <mergeCell ref="L135:L138"/>
    <mergeCell ref="M135:M138"/>
    <mergeCell ref="N135:N138"/>
    <mergeCell ref="U54:V54"/>
    <mergeCell ref="U55:V55"/>
    <mergeCell ref="U145:V145"/>
    <mergeCell ref="Q54:R54"/>
    <mergeCell ref="S54:T54"/>
    <mergeCell ref="A95:A98"/>
    <mergeCell ref="B95:B98"/>
    <mergeCell ref="I55:I56"/>
    <mergeCell ref="A53:B54"/>
    <mergeCell ref="C53:C54"/>
    <mergeCell ref="M95:M98"/>
    <mergeCell ref="J58:J60"/>
    <mergeCell ref="K58:K60"/>
    <mergeCell ref="A94:C94"/>
    <mergeCell ref="A62:N62"/>
    <mergeCell ref="B63:N63"/>
    <mergeCell ref="B64:N64"/>
    <mergeCell ref="L53:L60"/>
    <mergeCell ref="M53:M60"/>
    <mergeCell ref="N53:N60"/>
    <mergeCell ref="I53:I54"/>
    <mergeCell ref="A143:B144"/>
    <mergeCell ref="C143:C144"/>
    <mergeCell ref="A115:B115"/>
    <mergeCell ref="M27:M28"/>
    <mergeCell ref="A51:B52"/>
    <mergeCell ref="M49:M50"/>
    <mergeCell ref="N49:N50"/>
    <mergeCell ref="E54:F54"/>
    <mergeCell ref="G54:H54"/>
    <mergeCell ref="J6:N9"/>
    <mergeCell ref="M11:M14"/>
    <mergeCell ref="A58:C58"/>
    <mergeCell ref="E58:F58"/>
    <mergeCell ref="G58:H58"/>
    <mergeCell ref="N27:N28"/>
    <mergeCell ref="A29:B30"/>
    <mergeCell ref="A31:B31"/>
    <mergeCell ref="A55:C56"/>
    <mergeCell ref="E57:F57"/>
    <mergeCell ref="D53:D54"/>
    <mergeCell ref="J53:J54"/>
    <mergeCell ref="K53:K54"/>
    <mergeCell ref="B45:B48"/>
    <mergeCell ref="K55:K56"/>
    <mergeCell ref="K11:K14"/>
    <mergeCell ref="A9:D9"/>
    <mergeCell ref="E6:I9"/>
    <mergeCell ref="F1:N1"/>
    <mergeCell ref="A15:N15"/>
    <mergeCell ref="A11:A14"/>
    <mergeCell ref="B11:B14"/>
    <mergeCell ref="C11:C14"/>
    <mergeCell ref="D11:D14"/>
    <mergeCell ref="E11:F12"/>
    <mergeCell ref="G11:H12"/>
    <mergeCell ref="I11:I14"/>
    <mergeCell ref="L11:L14"/>
    <mergeCell ref="N11:N14"/>
    <mergeCell ref="E13:E14"/>
    <mergeCell ref="F13:F14"/>
    <mergeCell ref="G13:G14"/>
    <mergeCell ref="H13:H14"/>
    <mergeCell ref="A6:D6"/>
    <mergeCell ref="A10:C10"/>
    <mergeCell ref="A7:D7"/>
    <mergeCell ref="A5:D5"/>
    <mergeCell ref="E5:N5"/>
    <mergeCell ref="J11:J14"/>
    <mergeCell ref="A8:D8"/>
    <mergeCell ref="E45:F46"/>
    <mergeCell ref="G45:H46"/>
    <mergeCell ref="I45:I48"/>
    <mergeCell ref="J45:J48"/>
    <mergeCell ref="J90:N90"/>
    <mergeCell ref="C45:C48"/>
    <mergeCell ref="G59:H59"/>
    <mergeCell ref="C60:D60"/>
    <mergeCell ref="A59:B60"/>
    <mergeCell ref="C59:D59"/>
    <mergeCell ref="E59:F59"/>
    <mergeCell ref="E60:F60"/>
    <mergeCell ref="G60:H60"/>
    <mergeCell ref="M45:M48"/>
    <mergeCell ref="N45:N48"/>
    <mergeCell ref="E47:E48"/>
    <mergeCell ref="F47:F48"/>
    <mergeCell ref="G47:G48"/>
    <mergeCell ref="H47:H48"/>
    <mergeCell ref="K45:K48"/>
    <mergeCell ref="L45:L48"/>
    <mergeCell ref="A45:A48"/>
    <mergeCell ref="A57:C57"/>
    <mergeCell ref="J55:J56"/>
    <mergeCell ref="S55:T55"/>
    <mergeCell ref="Q145:R145"/>
    <mergeCell ref="S145:T145"/>
    <mergeCell ref="E147:F147"/>
    <mergeCell ref="G147:H147"/>
    <mergeCell ref="E95:F96"/>
    <mergeCell ref="G95:H96"/>
    <mergeCell ref="I95:I98"/>
    <mergeCell ref="L95:L98"/>
    <mergeCell ref="N95:N98"/>
    <mergeCell ref="E97:E98"/>
    <mergeCell ref="M111:M112"/>
    <mergeCell ref="N111:N112"/>
    <mergeCell ref="E56:F56"/>
    <mergeCell ref="G56:H56"/>
    <mergeCell ref="F85:N85"/>
    <mergeCell ref="G57:H57"/>
    <mergeCell ref="G146:H146"/>
    <mergeCell ref="H97:H98"/>
    <mergeCell ref="A99:N99"/>
    <mergeCell ref="C95:C98"/>
    <mergeCell ref="G144:H144"/>
    <mergeCell ref="Q55:R55"/>
    <mergeCell ref="B67:N67"/>
  </mergeCells>
  <pageMargins left="0.54166666666666663" right="0.13333333333333333" top="0.42708333333333331" bottom="0.41666666666666669" header="0.3" footer="0.3"/>
  <pageSetup paperSize="9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W156"/>
  <sheetViews>
    <sheetView workbookViewId="0">
      <selection activeCell="E9" sqref="E9:F10"/>
    </sheetView>
  </sheetViews>
  <sheetFormatPr defaultColWidth="9.109375" defaultRowHeight="21" customHeight="1"/>
  <cols>
    <col min="1" max="1" width="4" style="1" customWidth="1"/>
    <col min="2" max="2" width="12" style="1" customWidth="1"/>
    <col min="3" max="3" width="5.33203125" style="1" customWidth="1"/>
    <col min="4" max="4" width="8" style="1" customWidth="1"/>
    <col min="5" max="8" width="6.109375" style="1" customWidth="1"/>
    <col min="9" max="9" width="7" style="1" customWidth="1"/>
    <col min="10" max="10" width="7.6640625" style="1" customWidth="1"/>
    <col min="11" max="11" width="7.44140625" style="1" customWidth="1"/>
    <col min="12" max="12" width="5.6640625" style="1" customWidth="1"/>
    <col min="13" max="13" width="5.33203125" style="1" customWidth="1"/>
    <col min="14" max="14" width="7.44140625" style="1" customWidth="1"/>
    <col min="15" max="15" width="11.88671875" style="1" customWidth="1"/>
    <col min="16" max="16" width="9.109375" style="1"/>
    <col min="17" max="22" width="7.88671875" style="1" customWidth="1"/>
    <col min="23" max="16384" width="9.109375" style="1"/>
  </cols>
  <sheetData>
    <row r="1" spans="1:20" ht="21.6" customHeight="1">
      <c r="A1" s="11" t="s">
        <v>61</v>
      </c>
      <c r="B1" s="8"/>
      <c r="C1" s="8"/>
      <c r="D1" s="8"/>
      <c r="E1" s="8"/>
      <c r="F1" s="293" t="s">
        <v>31</v>
      </c>
      <c r="G1" s="293"/>
      <c r="H1" s="293"/>
      <c r="I1" s="293"/>
      <c r="J1" s="293"/>
      <c r="K1" s="293"/>
      <c r="L1" s="293"/>
      <c r="M1" s="293"/>
      <c r="N1" s="293"/>
      <c r="O1" s="371"/>
      <c r="P1" s="371"/>
      <c r="T1" s="2"/>
    </row>
    <row r="2" spans="1:20" ht="21.6" customHeight="1">
      <c r="A2" s="8" t="s">
        <v>222</v>
      </c>
      <c r="B2" s="8"/>
      <c r="C2" s="8"/>
      <c r="D2" s="8"/>
      <c r="E2" s="8"/>
      <c r="F2" s="173"/>
      <c r="G2" s="173"/>
      <c r="H2" s="173"/>
      <c r="I2" s="173"/>
      <c r="J2" s="173"/>
      <c r="K2" s="173"/>
      <c r="L2" s="173"/>
      <c r="M2" s="173"/>
      <c r="N2" s="173"/>
      <c r="O2" s="371"/>
      <c r="P2" s="371"/>
      <c r="T2" s="2"/>
    </row>
    <row r="3" spans="1:20" s="2" customFormat="1" ht="21.6" customHeight="1">
      <c r="A3" s="195" t="s">
        <v>97</v>
      </c>
      <c r="B3" s="195"/>
      <c r="C3" s="195"/>
      <c r="D3" s="195"/>
      <c r="E3" s="195" t="s">
        <v>98</v>
      </c>
      <c r="F3" s="195"/>
      <c r="G3" s="195"/>
      <c r="H3" s="195"/>
      <c r="I3" s="195"/>
      <c r="J3" s="195"/>
      <c r="K3" s="195"/>
      <c r="L3" s="195"/>
      <c r="M3" s="195"/>
      <c r="N3" s="195"/>
      <c r="O3" s="372"/>
    </row>
    <row r="4" spans="1:20" s="2" customFormat="1" ht="21.6" customHeight="1">
      <c r="A4" s="196" t="s">
        <v>90</v>
      </c>
      <c r="B4" s="196"/>
      <c r="C4" s="196"/>
      <c r="D4" s="196"/>
      <c r="E4" s="199" t="s">
        <v>148</v>
      </c>
      <c r="F4" s="199"/>
      <c r="G4" s="199"/>
      <c r="H4" s="199"/>
      <c r="I4" s="199"/>
      <c r="J4" s="200" t="s">
        <v>174</v>
      </c>
      <c r="K4" s="201"/>
      <c r="L4" s="201"/>
      <c r="M4" s="201"/>
      <c r="N4" s="202"/>
      <c r="O4" s="372"/>
    </row>
    <row r="5" spans="1:20" s="2" customFormat="1" ht="21.6" customHeight="1">
      <c r="A5" s="345" t="s">
        <v>173</v>
      </c>
      <c r="B5" s="346"/>
      <c r="C5" s="346"/>
      <c r="D5" s="347"/>
      <c r="E5" s="199"/>
      <c r="F5" s="199"/>
      <c r="G5" s="199"/>
      <c r="H5" s="199"/>
      <c r="I5" s="199"/>
      <c r="J5" s="203"/>
      <c r="K5" s="204"/>
      <c r="L5" s="204"/>
      <c r="M5" s="204"/>
      <c r="N5" s="205"/>
      <c r="O5" s="372"/>
    </row>
    <row r="6" spans="1:20" s="2" customFormat="1" ht="21.6" customHeight="1">
      <c r="A6" s="197" t="s">
        <v>171</v>
      </c>
      <c r="B6" s="197"/>
      <c r="C6" s="197"/>
      <c r="D6" s="197"/>
      <c r="E6" s="199"/>
      <c r="F6" s="199"/>
      <c r="G6" s="199"/>
      <c r="H6" s="199"/>
      <c r="I6" s="199"/>
      <c r="J6" s="203"/>
      <c r="K6" s="204"/>
      <c r="L6" s="204"/>
      <c r="M6" s="204"/>
      <c r="N6" s="205"/>
      <c r="O6" s="372"/>
    </row>
    <row r="7" spans="1:20" s="2" customFormat="1" ht="21.6" customHeight="1">
      <c r="A7" s="357" t="s">
        <v>172</v>
      </c>
      <c r="B7" s="357"/>
      <c r="C7" s="357"/>
      <c r="D7" s="357"/>
      <c r="E7" s="199"/>
      <c r="F7" s="199"/>
      <c r="G7" s="199"/>
      <c r="H7" s="199"/>
      <c r="I7" s="199"/>
      <c r="J7" s="206"/>
      <c r="K7" s="207"/>
      <c r="L7" s="207"/>
      <c r="M7" s="207"/>
      <c r="N7" s="208"/>
      <c r="O7" s="372"/>
    </row>
    <row r="8" spans="1:20" s="2" customFormat="1" ht="21.6" customHeight="1">
      <c r="A8" s="229" t="s">
        <v>122</v>
      </c>
      <c r="B8" s="230"/>
      <c r="C8" s="231"/>
      <c r="D8" s="128">
        <v>105</v>
      </c>
      <c r="E8" s="87"/>
      <c r="F8" s="87"/>
      <c r="G8" s="87"/>
      <c r="H8" s="87"/>
      <c r="I8" s="87"/>
      <c r="J8" s="87"/>
      <c r="K8" s="87"/>
      <c r="L8" s="87"/>
      <c r="M8" s="87"/>
      <c r="N8" s="87"/>
      <c r="O8" s="372"/>
    </row>
    <row r="9" spans="1:20" ht="21.6" customHeight="1">
      <c r="A9" s="209" t="s">
        <v>0</v>
      </c>
      <c r="B9" s="212" t="s">
        <v>19</v>
      </c>
      <c r="C9" s="320" t="s">
        <v>8</v>
      </c>
      <c r="D9" s="215" t="s">
        <v>9</v>
      </c>
      <c r="E9" s="218" t="s">
        <v>11</v>
      </c>
      <c r="F9" s="219"/>
      <c r="G9" s="218" t="s">
        <v>13</v>
      </c>
      <c r="H9" s="219"/>
      <c r="I9" s="222" t="s">
        <v>16</v>
      </c>
      <c r="J9" s="222" t="s">
        <v>41</v>
      </c>
      <c r="K9" s="222" t="s">
        <v>42</v>
      </c>
      <c r="L9" s="222" t="s">
        <v>17</v>
      </c>
      <c r="M9" s="222" t="s">
        <v>57</v>
      </c>
      <c r="N9" s="209" t="s">
        <v>18</v>
      </c>
      <c r="O9" s="373"/>
    </row>
    <row r="10" spans="1:20" ht="21.6" customHeight="1">
      <c r="A10" s="210"/>
      <c r="B10" s="213"/>
      <c r="C10" s="321"/>
      <c r="D10" s="216"/>
      <c r="E10" s="220"/>
      <c r="F10" s="221"/>
      <c r="G10" s="220"/>
      <c r="H10" s="221"/>
      <c r="I10" s="223"/>
      <c r="J10" s="223"/>
      <c r="K10" s="223"/>
      <c r="L10" s="223"/>
      <c r="M10" s="223"/>
      <c r="N10" s="210"/>
      <c r="O10" s="176"/>
    </row>
    <row r="11" spans="1:20" ht="21.6" customHeight="1">
      <c r="A11" s="210"/>
      <c r="B11" s="213"/>
      <c r="C11" s="321"/>
      <c r="D11" s="216"/>
      <c r="E11" s="222" t="s">
        <v>10</v>
      </c>
      <c r="F11" s="222" t="s">
        <v>12</v>
      </c>
      <c r="G11" s="222" t="s">
        <v>14</v>
      </c>
      <c r="H11" s="222" t="s">
        <v>15</v>
      </c>
      <c r="I11" s="223"/>
      <c r="J11" s="223"/>
      <c r="K11" s="223"/>
      <c r="L11" s="223"/>
      <c r="M11" s="223"/>
      <c r="N11" s="210"/>
      <c r="O11" s="176"/>
    </row>
    <row r="12" spans="1:20" ht="21.6" customHeight="1">
      <c r="A12" s="211"/>
      <c r="B12" s="214"/>
      <c r="C12" s="322"/>
      <c r="D12" s="217"/>
      <c r="E12" s="224"/>
      <c r="F12" s="224"/>
      <c r="G12" s="224"/>
      <c r="H12" s="224"/>
      <c r="I12" s="224"/>
      <c r="J12" s="224"/>
      <c r="K12" s="224"/>
      <c r="L12" s="224"/>
      <c r="M12" s="224"/>
      <c r="N12" s="211"/>
      <c r="O12" s="176"/>
    </row>
    <row r="13" spans="1:20" ht="19.8" customHeight="1">
      <c r="A13" s="238" t="s">
        <v>34</v>
      </c>
      <c r="B13" s="239"/>
      <c r="C13" s="239"/>
      <c r="D13" s="239"/>
      <c r="E13" s="239"/>
      <c r="F13" s="239"/>
      <c r="G13" s="239"/>
      <c r="H13" s="239"/>
      <c r="I13" s="239"/>
      <c r="J13" s="239"/>
      <c r="K13" s="239"/>
      <c r="L13" s="239"/>
      <c r="M13" s="239"/>
      <c r="N13" s="240"/>
      <c r="O13" s="176"/>
    </row>
    <row r="14" spans="1:20" s="2" customFormat="1" ht="19.8" customHeight="1">
      <c r="A14" s="9">
        <v>1</v>
      </c>
      <c r="B14" s="10" t="s">
        <v>2</v>
      </c>
      <c r="C14" s="23">
        <f>L14/100*100</f>
        <v>140</v>
      </c>
      <c r="D14" s="24">
        <f>C14/100*60</f>
        <v>84</v>
      </c>
      <c r="E14" s="25">
        <f>C14/100*15</f>
        <v>21</v>
      </c>
      <c r="F14" s="25"/>
      <c r="G14" s="25"/>
      <c r="H14" s="25"/>
      <c r="I14" s="25"/>
      <c r="J14" s="27">
        <f>C14/100*387</f>
        <v>541.79999999999995</v>
      </c>
      <c r="K14" s="27">
        <f>C14/100*0.09</f>
        <v>0.126</v>
      </c>
      <c r="L14" s="137">
        <v>140</v>
      </c>
      <c r="M14" s="75">
        <v>20</v>
      </c>
      <c r="N14" s="28">
        <f>L14*M14</f>
        <v>2800</v>
      </c>
      <c r="O14" s="153"/>
    </row>
    <row r="15" spans="1:20" s="2" customFormat="1" ht="19.8" customHeight="1">
      <c r="A15" s="9">
        <v>2</v>
      </c>
      <c r="B15" s="146" t="s">
        <v>141</v>
      </c>
      <c r="C15" s="23">
        <f>L15/100*100</f>
        <v>310</v>
      </c>
      <c r="D15" s="24">
        <f>C15/100*899</f>
        <v>2786.9</v>
      </c>
      <c r="E15" s="25"/>
      <c r="F15" s="25"/>
      <c r="G15" s="119">
        <f>C15/100*100</f>
        <v>310</v>
      </c>
      <c r="H15" s="25"/>
      <c r="I15" s="25"/>
      <c r="J15" s="27"/>
      <c r="K15" s="27"/>
      <c r="L15" s="137">
        <v>310</v>
      </c>
      <c r="M15" s="75">
        <v>68</v>
      </c>
      <c r="N15" s="28">
        <f t="shared" ref="N15:N23" si="0">L15*M15</f>
        <v>21080</v>
      </c>
      <c r="O15" s="153"/>
    </row>
    <row r="16" spans="1:20" s="2" customFormat="1" ht="19.8" customHeight="1">
      <c r="A16" s="9">
        <v>3</v>
      </c>
      <c r="B16" s="5" t="s">
        <v>1</v>
      </c>
      <c r="C16" s="23">
        <f>L16/100*100</f>
        <v>9975</v>
      </c>
      <c r="D16" s="120">
        <f>C16/100*330.1</f>
        <v>32927.475000000006</v>
      </c>
      <c r="E16" s="25"/>
      <c r="F16" s="119">
        <f>C16/100*7.9</f>
        <v>788.02500000000009</v>
      </c>
      <c r="G16" s="25"/>
      <c r="H16" s="25">
        <f>C16/100*1</f>
        <v>99.75</v>
      </c>
      <c r="I16" s="119">
        <f>C16/100*70.1</f>
        <v>6992.4749999999995</v>
      </c>
      <c r="J16" s="81">
        <f>C16/100*30</f>
        <v>2992.5</v>
      </c>
      <c r="K16" s="27">
        <f>C16/100*0.1</f>
        <v>9.9750000000000014</v>
      </c>
      <c r="L16" s="137">
        <v>9975</v>
      </c>
      <c r="M16" s="75">
        <v>18</v>
      </c>
      <c r="N16" s="28">
        <f t="shared" si="0"/>
        <v>179550</v>
      </c>
      <c r="O16" s="153"/>
    </row>
    <row r="17" spans="1:20" s="2" customFormat="1" ht="19.8" customHeight="1">
      <c r="A17" s="9">
        <v>4</v>
      </c>
      <c r="B17" s="5" t="s">
        <v>69</v>
      </c>
      <c r="C17" s="23">
        <f>L17/100*48</f>
        <v>2356.8000000000002</v>
      </c>
      <c r="D17" s="24">
        <f>C17/100*199</f>
        <v>4690.0320000000002</v>
      </c>
      <c r="E17" s="119">
        <f>C17/100*20.3</f>
        <v>478.43040000000002</v>
      </c>
      <c r="F17" s="119"/>
      <c r="G17" s="119">
        <f>C17/100*13.1</f>
        <v>308.74080000000004</v>
      </c>
      <c r="H17" s="25"/>
      <c r="I17" s="25"/>
      <c r="J17" s="27">
        <f>C17/100*12</f>
        <v>282.81600000000003</v>
      </c>
      <c r="K17" s="27">
        <f>C17/100*0.15</f>
        <v>3.5352000000000001</v>
      </c>
      <c r="L17" s="137">
        <v>4910</v>
      </c>
      <c r="M17" s="26">
        <v>84</v>
      </c>
      <c r="N17" s="28">
        <f t="shared" si="0"/>
        <v>412440</v>
      </c>
      <c r="O17" s="153"/>
      <c r="Q17" s="3"/>
      <c r="R17" s="3"/>
      <c r="S17" s="4"/>
    </row>
    <row r="18" spans="1:20" s="2" customFormat="1" ht="19.8" customHeight="1">
      <c r="A18" s="9">
        <v>5</v>
      </c>
      <c r="B18" s="10" t="s">
        <v>71</v>
      </c>
      <c r="C18" s="23">
        <f>L18/100*98</f>
        <v>1029</v>
      </c>
      <c r="D18" s="24">
        <f>C18/100*139</f>
        <v>1430.31</v>
      </c>
      <c r="E18" s="119">
        <f>C18/100*19</f>
        <v>195.51</v>
      </c>
      <c r="F18" s="25"/>
      <c r="G18" s="25">
        <f>C18/100*7</f>
        <v>72.03</v>
      </c>
      <c r="H18" s="25"/>
      <c r="I18" s="25"/>
      <c r="J18" s="25">
        <f>C18/100*7</f>
        <v>72.03</v>
      </c>
      <c r="K18" s="25">
        <f>C18/100*0.9</f>
        <v>9.2609999999999992</v>
      </c>
      <c r="L18" s="137">
        <v>1050</v>
      </c>
      <c r="M18" s="75">
        <v>137</v>
      </c>
      <c r="N18" s="28">
        <f t="shared" si="0"/>
        <v>143850</v>
      </c>
      <c r="O18" s="153"/>
    </row>
    <row r="19" spans="1:20" s="2" customFormat="1" ht="19.8" customHeight="1">
      <c r="A19" s="9">
        <v>6</v>
      </c>
      <c r="B19" s="79" t="s">
        <v>147</v>
      </c>
      <c r="C19" s="23">
        <f>L19/100*89</f>
        <v>2144.9</v>
      </c>
      <c r="D19" s="24">
        <f>C19/100*154</f>
        <v>3303.1460000000002</v>
      </c>
      <c r="E19" s="119">
        <f>C19/100*13.1</f>
        <v>280.9819</v>
      </c>
      <c r="F19" s="25"/>
      <c r="G19" s="119">
        <f>C19/100*11.1</f>
        <v>238.0839</v>
      </c>
      <c r="H19" s="25"/>
      <c r="I19" s="25">
        <f>C19/100*0.4</f>
        <v>8.579600000000001</v>
      </c>
      <c r="J19" s="81">
        <f>C19/100*64</f>
        <v>1372.7360000000001</v>
      </c>
      <c r="K19" s="27">
        <f>C19/100*0.13</f>
        <v>2.7883700000000005</v>
      </c>
      <c r="L19" s="26">
        <v>2410</v>
      </c>
      <c r="M19" s="54">
        <v>82</v>
      </c>
      <c r="N19" s="151">
        <f t="shared" si="0"/>
        <v>197620</v>
      </c>
      <c r="O19" s="153"/>
    </row>
    <row r="20" spans="1:20" s="2" customFormat="1" ht="19.8" customHeight="1">
      <c r="A20" s="9">
        <v>7</v>
      </c>
      <c r="B20" s="5" t="s">
        <v>136</v>
      </c>
      <c r="C20" s="23">
        <f>L20/100*100</f>
        <v>110.00000000000001</v>
      </c>
      <c r="D20" s="24">
        <f>C20/100*247</f>
        <v>271.70000000000005</v>
      </c>
      <c r="E20" s="29"/>
      <c r="F20" s="29">
        <f>C20/100*17.5</f>
        <v>19.25</v>
      </c>
      <c r="G20" s="29"/>
      <c r="H20" s="29">
        <f>C20/100*1.6</f>
        <v>1.7600000000000002</v>
      </c>
      <c r="I20" s="29">
        <f>C20/100*39.2</f>
        <v>43.120000000000005</v>
      </c>
      <c r="J20" s="71"/>
      <c r="K20" s="71"/>
      <c r="L20" s="374">
        <v>110</v>
      </c>
      <c r="M20" s="75">
        <v>50</v>
      </c>
      <c r="N20" s="28">
        <f t="shared" si="0"/>
        <v>5500</v>
      </c>
      <c r="O20" s="153"/>
      <c r="Q20" s="3"/>
      <c r="R20" s="3"/>
      <c r="S20" s="4"/>
      <c r="T20" s="3"/>
    </row>
    <row r="21" spans="1:20" s="2" customFormat="1" ht="19.8" customHeight="1">
      <c r="A21" s="9">
        <v>8</v>
      </c>
      <c r="B21" s="5" t="s">
        <v>20</v>
      </c>
      <c r="C21" s="23">
        <f>L21/100*95</f>
        <v>997.5</v>
      </c>
      <c r="D21" s="24">
        <f>C21/100*20</f>
        <v>199.5</v>
      </c>
      <c r="E21" s="25"/>
      <c r="F21" s="25">
        <f>C21/100*0.6</f>
        <v>5.9849999999999994</v>
      </c>
      <c r="G21" s="25"/>
      <c r="H21" s="25">
        <f>C21/100*0.2</f>
        <v>1.9950000000000001</v>
      </c>
      <c r="I21" s="25">
        <f>C21/100*4</f>
        <v>39.9</v>
      </c>
      <c r="J21" s="27">
        <f>C21/100*12</f>
        <v>119.69999999999999</v>
      </c>
      <c r="K21" s="24">
        <f>C21/100*0.04</f>
        <v>0.39900000000000002</v>
      </c>
      <c r="L21" s="137">
        <v>1050</v>
      </c>
      <c r="M21" s="77">
        <v>22</v>
      </c>
      <c r="N21" s="28">
        <f t="shared" si="0"/>
        <v>23100</v>
      </c>
      <c r="O21" s="375"/>
      <c r="Q21" s="3"/>
      <c r="R21" s="3"/>
      <c r="S21" s="4"/>
    </row>
    <row r="22" spans="1:20" s="2" customFormat="1" ht="19.8" customHeight="1">
      <c r="A22" s="9">
        <v>9</v>
      </c>
      <c r="B22" s="149" t="s">
        <v>175</v>
      </c>
      <c r="C22" s="23">
        <f>L22/100*90</f>
        <v>1422</v>
      </c>
      <c r="D22" s="24">
        <f>C22/100*29</f>
        <v>412.38</v>
      </c>
      <c r="E22" s="25"/>
      <c r="F22" s="25">
        <f>C22/100*1.8</f>
        <v>25.596</v>
      </c>
      <c r="G22" s="25"/>
      <c r="H22" s="25">
        <f>C22/100*0.1</f>
        <v>1.4220000000000002</v>
      </c>
      <c r="I22" s="25">
        <f>C22/100*5.3</f>
        <v>75.366</v>
      </c>
      <c r="J22" s="119">
        <f>C22/100*48</f>
        <v>682.56000000000006</v>
      </c>
      <c r="K22" s="25">
        <f>C22/100*0.05</f>
        <v>0.71100000000000008</v>
      </c>
      <c r="L22" s="137">
        <v>1580</v>
      </c>
      <c r="M22" s="75">
        <v>13</v>
      </c>
      <c r="N22" s="28">
        <f t="shared" si="0"/>
        <v>20540</v>
      </c>
      <c r="O22" s="153"/>
    </row>
    <row r="23" spans="1:20" s="2" customFormat="1" ht="19.8" customHeight="1">
      <c r="A23" s="9">
        <v>10</v>
      </c>
      <c r="B23" s="5" t="s">
        <v>131</v>
      </c>
      <c r="C23" s="23">
        <f>L23/100*75</f>
        <v>2760</v>
      </c>
      <c r="D23" s="24">
        <f>C23/100*17</f>
        <v>469.20000000000005</v>
      </c>
      <c r="E23" s="25"/>
      <c r="F23" s="25">
        <f>C23/100*1.4</f>
        <v>38.64</v>
      </c>
      <c r="G23" s="25"/>
      <c r="H23" s="25">
        <f>C23/100*0.2</f>
        <v>5.5200000000000005</v>
      </c>
      <c r="I23" s="25">
        <f>C23/100*2.4</f>
        <v>66.239999999999995</v>
      </c>
      <c r="J23" s="25">
        <f>C23/100*50</f>
        <v>1380</v>
      </c>
      <c r="K23" s="25">
        <f>C23/100*0.09</f>
        <v>2.484</v>
      </c>
      <c r="L23" s="137">
        <v>3680</v>
      </c>
      <c r="M23" s="75">
        <v>18</v>
      </c>
      <c r="N23" s="28">
        <f t="shared" si="0"/>
        <v>66240</v>
      </c>
      <c r="O23" s="153"/>
    </row>
    <row r="24" spans="1:20" s="2" customFormat="1" ht="19.8" customHeight="1">
      <c r="A24" s="9">
        <v>11</v>
      </c>
      <c r="B24" s="6" t="s">
        <v>123</v>
      </c>
      <c r="C24" s="23"/>
      <c r="D24" s="24"/>
      <c r="E24" s="25"/>
      <c r="F24" s="25"/>
      <c r="G24" s="25"/>
      <c r="H24" s="25"/>
      <c r="I24" s="25"/>
      <c r="J24" s="27"/>
      <c r="K24" s="27"/>
      <c r="L24" s="26"/>
      <c r="M24" s="26"/>
      <c r="N24" s="28">
        <v>8250</v>
      </c>
      <c r="O24" s="153"/>
    </row>
    <row r="25" spans="1:20" s="2" customFormat="1" ht="19.8" customHeight="1">
      <c r="A25" s="21" t="s">
        <v>105</v>
      </c>
      <c r="B25" s="22"/>
      <c r="C25" s="34"/>
      <c r="D25" s="121">
        <f>SUM(D14:D24)</f>
        <v>46574.642999999996</v>
      </c>
      <c r="E25" s="36"/>
      <c r="F25" s="36"/>
      <c r="G25" s="36"/>
      <c r="H25" s="36"/>
      <c r="I25" s="36"/>
      <c r="J25" s="36"/>
      <c r="K25" s="36"/>
      <c r="L25" s="37"/>
      <c r="M25" s="311"/>
      <c r="N25" s="241">
        <f>SUM(N14:N24)</f>
        <v>1080970</v>
      </c>
      <c r="O25" s="153"/>
    </row>
    <row r="26" spans="1:20" s="2" customFormat="1" ht="19.8" customHeight="1">
      <c r="A26" s="21" t="s">
        <v>6</v>
      </c>
      <c r="B26" s="22"/>
      <c r="C26" s="34"/>
      <c r="D26" s="35">
        <f>D25/D8</f>
        <v>443.56802857142856</v>
      </c>
      <c r="E26" s="36"/>
      <c r="F26" s="36"/>
      <c r="G26" s="36"/>
      <c r="H26" s="36"/>
      <c r="I26" s="36"/>
      <c r="J26" s="36"/>
      <c r="K26" s="36"/>
      <c r="L26" s="37"/>
      <c r="M26" s="312"/>
      <c r="N26" s="242"/>
      <c r="O26" s="153"/>
    </row>
    <row r="27" spans="1:20" s="2" customFormat="1" ht="19.8" customHeight="1">
      <c r="A27" s="294" t="s">
        <v>51</v>
      </c>
      <c r="B27" s="352"/>
      <c r="C27" s="376" t="s">
        <v>151</v>
      </c>
      <c r="D27" s="20" t="s">
        <v>45</v>
      </c>
      <c r="E27" s="36"/>
      <c r="F27" s="36"/>
      <c r="G27" s="36"/>
      <c r="H27" s="36"/>
      <c r="I27" s="36"/>
      <c r="J27" s="36"/>
      <c r="K27" s="36"/>
      <c r="L27" s="37"/>
      <c r="M27" s="37"/>
      <c r="N27" s="38"/>
      <c r="O27" s="153"/>
    </row>
    <row r="28" spans="1:20" s="2" customFormat="1" ht="19.8" customHeight="1">
      <c r="A28" s="353"/>
      <c r="B28" s="354"/>
      <c r="C28" s="76" t="s">
        <v>60</v>
      </c>
      <c r="D28" s="20">
        <f>D26*100/1320</f>
        <v>33.603638528138532</v>
      </c>
      <c r="E28" s="36"/>
      <c r="F28" s="36"/>
      <c r="G28" s="36"/>
      <c r="H28" s="36"/>
      <c r="I28" s="36"/>
      <c r="J28" s="36"/>
      <c r="K28" s="36"/>
      <c r="L28" s="37"/>
      <c r="M28" s="37"/>
      <c r="N28" s="38"/>
      <c r="O28" s="153"/>
    </row>
    <row r="29" spans="1:20" s="2" customFormat="1" ht="19.8" customHeight="1">
      <c r="A29" s="236" t="s">
        <v>35</v>
      </c>
      <c r="B29" s="236"/>
      <c r="C29" s="56"/>
      <c r="D29" s="57"/>
      <c r="E29" s="58"/>
      <c r="F29" s="58"/>
      <c r="G29" s="58"/>
      <c r="H29" s="58"/>
      <c r="I29" s="58"/>
      <c r="J29" s="58"/>
      <c r="K29" s="58"/>
      <c r="L29" s="59"/>
      <c r="M29" s="59"/>
      <c r="N29" s="69"/>
      <c r="O29" s="153"/>
    </row>
    <row r="30" spans="1:20" s="2" customFormat="1" ht="19.8" customHeight="1">
      <c r="A30" s="9">
        <v>1</v>
      </c>
      <c r="B30" s="10" t="s">
        <v>2</v>
      </c>
      <c r="C30" s="23">
        <f t="shared" ref="C30:C36" si="1">L30/100*100</f>
        <v>130</v>
      </c>
      <c r="D30" s="24">
        <f>C30/100*60</f>
        <v>78</v>
      </c>
      <c r="E30" s="25">
        <f>C30/100*15</f>
        <v>19.5</v>
      </c>
      <c r="F30" s="25"/>
      <c r="G30" s="25"/>
      <c r="H30" s="25"/>
      <c r="I30" s="25"/>
      <c r="J30" s="27">
        <f>C30/100*387</f>
        <v>503.1</v>
      </c>
      <c r="K30" s="27">
        <f>C30/100*0.09</f>
        <v>0.11699999999999999</v>
      </c>
      <c r="L30" s="137">
        <v>130</v>
      </c>
      <c r="M30" s="75">
        <v>20</v>
      </c>
      <c r="N30" s="28">
        <f>L30*M30</f>
        <v>2600</v>
      </c>
      <c r="O30" s="153"/>
    </row>
    <row r="31" spans="1:20" s="2" customFormat="1" ht="19.8" customHeight="1">
      <c r="A31" s="9">
        <v>2</v>
      </c>
      <c r="B31" s="146" t="s">
        <v>141</v>
      </c>
      <c r="C31" s="23">
        <f t="shared" si="1"/>
        <v>530</v>
      </c>
      <c r="D31" s="24">
        <f>C31/100*899</f>
        <v>4764.7</v>
      </c>
      <c r="E31" s="25"/>
      <c r="F31" s="25"/>
      <c r="G31" s="119">
        <f>C31/100*100</f>
        <v>530</v>
      </c>
      <c r="H31" s="25"/>
      <c r="I31" s="25"/>
      <c r="J31" s="25"/>
      <c r="K31" s="25"/>
      <c r="L31" s="137">
        <v>530</v>
      </c>
      <c r="M31" s="144">
        <v>68</v>
      </c>
      <c r="N31" s="28">
        <f t="shared" ref="N31:N40" si="2">L31*M31</f>
        <v>36040</v>
      </c>
      <c r="O31" s="377"/>
    </row>
    <row r="32" spans="1:20" s="2" customFormat="1" ht="19.8" customHeight="1">
      <c r="A32" s="9">
        <v>3</v>
      </c>
      <c r="B32" s="148" t="s">
        <v>146</v>
      </c>
      <c r="C32" s="23">
        <f>L32/100*100</f>
        <v>160</v>
      </c>
      <c r="D32" s="120">
        <f>C32/100*900</f>
        <v>1440</v>
      </c>
      <c r="E32" s="25"/>
      <c r="F32" s="25"/>
      <c r="G32" s="119"/>
      <c r="H32" s="119">
        <f>C32/100*100</f>
        <v>160</v>
      </c>
      <c r="I32" s="25"/>
      <c r="J32" s="25"/>
      <c r="K32" s="25"/>
      <c r="L32" s="137">
        <v>160</v>
      </c>
      <c r="M32" s="75">
        <v>63.5</v>
      </c>
      <c r="N32" s="28">
        <f t="shared" si="2"/>
        <v>10160</v>
      </c>
      <c r="O32" s="377"/>
    </row>
    <row r="33" spans="1:23" s="2" customFormat="1" ht="19.8" customHeight="1">
      <c r="A33" s="9">
        <v>4</v>
      </c>
      <c r="B33" s="5" t="s">
        <v>1</v>
      </c>
      <c r="C33" s="23">
        <f t="shared" si="1"/>
        <v>1575</v>
      </c>
      <c r="D33" s="24">
        <f>C33/100*330.1</f>
        <v>5199.0750000000007</v>
      </c>
      <c r="E33" s="25"/>
      <c r="F33" s="119">
        <f>C33/100*7.9</f>
        <v>124.42500000000001</v>
      </c>
      <c r="G33" s="25"/>
      <c r="H33" s="25">
        <f>C33/100*1</f>
        <v>15.75</v>
      </c>
      <c r="I33" s="119">
        <f>C33/100*70.1</f>
        <v>1104.0749999999998</v>
      </c>
      <c r="J33" s="27">
        <f>C33/100*30</f>
        <v>472.5</v>
      </c>
      <c r="K33" s="27">
        <f>C33/100*0.1</f>
        <v>1.5750000000000002</v>
      </c>
      <c r="L33" s="137">
        <v>1575</v>
      </c>
      <c r="M33" s="75">
        <v>18</v>
      </c>
      <c r="N33" s="28">
        <f t="shared" si="2"/>
        <v>28350</v>
      </c>
      <c r="O33" s="153"/>
    </row>
    <row r="34" spans="1:23" s="2" customFormat="1" ht="19.8" customHeight="1">
      <c r="A34" s="9">
        <v>5</v>
      </c>
      <c r="B34" s="5" t="s">
        <v>73</v>
      </c>
      <c r="C34" s="23">
        <f t="shared" si="1"/>
        <v>1050</v>
      </c>
      <c r="D34" s="24">
        <f>C34/100*344</f>
        <v>3612</v>
      </c>
      <c r="E34" s="25"/>
      <c r="F34" s="25">
        <f>C34/100*8.6</f>
        <v>90.3</v>
      </c>
      <c r="G34" s="25"/>
      <c r="H34" s="25">
        <f>C34/100*1.5</f>
        <v>15.75</v>
      </c>
      <c r="I34" s="25">
        <f>C34/100*74.5</f>
        <v>782.25</v>
      </c>
      <c r="J34" s="25">
        <f>C34/100*32</f>
        <v>336</v>
      </c>
      <c r="K34" s="25">
        <f>C34/100*0.14</f>
        <v>1.4700000000000002</v>
      </c>
      <c r="L34" s="137">
        <v>1050</v>
      </c>
      <c r="M34" s="75">
        <v>30</v>
      </c>
      <c r="N34" s="28">
        <f t="shared" si="2"/>
        <v>31500</v>
      </c>
      <c r="O34" s="153"/>
      <c r="P34" s="18"/>
    </row>
    <row r="35" spans="1:23" s="2" customFormat="1" ht="19.8" customHeight="1">
      <c r="A35" s="9">
        <v>6</v>
      </c>
      <c r="B35" s="5" t="s">
        <v>67</v>
      </c>
      <c r="C35" s="23">
        <f t="shared" si="1"/>
        <v>210</v>
      </c>
      <c r="D35" s="24">
        <f>C35/100*334</f>
        <v>701.4</v>
      </c>
      <c r="E35" s="25"/>
      <c r="F35" s="25">
        <f>C35/100*20</f>
        <v>42</v>
      </c>
      <c r="G35" s="25"/>
      <c r="H35" s="25">
        <f>C35/100*2.4</f>
        <v>5.04</v>
      </c>
      <c r="I35" s="25">
        <f>C35/100*58</f>
        <v>121.80000000000001</v>
      </c>
      <c r="J35" s="27">
        <f>C35/100*89</f>
        <v>186.9</v>
      </c>
      <c r="K35" s="27">
        <f>C35/100*0.64</f>
        <v>1.3440000000000001</v>
      </c>
      <c r="L35" s="137">
        <v>210</v>
      </c>
      <c r="M35" s="75">
        <v>190</v>
      </c>
      <c r="N35" s="28">
        <f>L35*M35</f>
        <v>39900</v>
      </c>
      <c r="O35" s="153"/>
    </row>
    <row r="36" spans="1:23" s="2" customFormat="1" ht="19.8" customHeight="1">
      <c r="A36" s="9">
        <v>7</v>
      </c>
      <c r="B36" s="5" t="s">
        <v>136</v>
      </c>
      <c r="C36" s="23">
        <f t="shared" si="1"/>
        <v>70</v>
      </c>
      <c r="D36" s="24">
        <f>C36/100*247</f>
        <v>172.89999999999998</v>
      </c>
      <c r="E36" s="29"/>
      <c r="F36" s="29">
        <f>C36/100*17.5</f>
        <v>12.25</v>
      </c>
      <c r="G36" s="29"/>
      <c r="H36" s="29">
        <f>C36/100*1.6</f>
        <v>1.1199999999999999</v>
      </c>
      <c r="I36" s="29">
        <f>C36/100*39.2</f>
        <v>27.44</v>
      </c>
      <c r="J36" s="71"/>
      <c r="K36" s="71"/>
      <c r="L36" s="374">
        <v>70</v>
      </c>
      <c r="M36" s="75">
        <v>50</v>
      </c>
      <c r="N36" s="28">
        <f t="shared" ref="N36:N39" si="3">L36*M36</f>
        <v>3500</v>
      </c>
      <c r="O36" s="153"/>
      <c r="Q36" s="3"/>
      <c r="R36" s="3"/>
      <c r="S36" s="4"/>
      <c r="T36" s="3"/>
    </row>
    <row r="37" spans="1:23" s="2" customFormat="1" ht="19.8" customHeight="1">
      <c r="A37" s="9">
        <v>8</v>
      </c>
      <c r="B37" s="5" t="s">
        <v>4</v>
      </c>
      <c r="C37" s="23">
        <f>L37/100*98.5</f>
        <v>1546.4499999999998</v>
      </c>
      <c r="D37" s="24">
        <f>C37/100*39</f>
        <v>603.11549999999988</v>
      </c>
      <c r="E37" s="29"/>
      <c r="F37" s="29">
        <f>C37/100*1.5</f>
        <v>23.196749999999994</v>
      </c>
      <c r="G37" s="29"/>
      <c r="H37" s="29">
        <f>C37/100*0.2</f>
        <v>3.0928999999999998</v>
      </c>
      <c r="I37" s="29">
        <f>C37/100*7.8</f>
        <v>120.62309999999998</v>
      </c>
      <c r="J37" s="29">
        <f>C37/100*43</f>
        <v>664.97349999999994</v>
      </c>
      <c r="K37" s="29">
        <f>C37/100*0.06</f>
        <v>0.92786999999999986</v>
      </c>
      <c r="L37" s="374">
        <v>1570</v>
      </c>
      <c r="M37" s="26">
        <v>17</v>
      </c>
      <c r="N37" s="135">
        <f t="shared" si="3"/>
        <v>26690</v>
      </c>
      <c r="O37" s="153"/>
      <c r="Q37" s="3"/>
      <c r="R37" s="3"/>
      <c r="S37" s="4"/>
    </row>
    <row r="38" spans="1:23" s="2" customFormat="1" ht="19.8" customHeight="1">
      <c r="A38" s="9">
        <v>8</v>
      </c>
      <c r="B38" s="10" t="s">
        <v>3</v>
      </c>
      <c r="C38" s="23">
        <f>L38/100*98</f>
        <v>1234.8</v>
      </c>
      <c r="D38" s="24">
        <f>C38/100*118</f>
        <v>1457.0639999999999</v>
      </c>
      <c r="E38" s="119">
        <f>C38/100*21</f>
        <v>259.30799999999999</v>
      </c>
      <c r="F38" s="25"/>
      <c r="G38" s="25">
        <f>C38/100*3.8</f>
        <v>46.922399999999996</v>
      </c>
      <c r="H38" s="25"/>
      <c r="I38" s="25"/>
      <c r="J38" s="25">
        <f>C38/100*12</f>
        <v>148.17599999999999</v>
      </c>
      <c r="K38" s="25">
        <f>C38/100*0.1</f>
        <v>1.2347999999999999</v>
      </c>
      <c r="L38" s="137">
        <v>1260</v>
      </c>
      <c r="M38" s="143">
        <v>260</v>
      </c>
      <c r="N38" s="135">
        <f t="shared" si="3"/>
        <v>327600</v>
      </c>
      <c r="O38" s="153"/>
    </row>
    <row r="39" spans="1:23" s="2" customFormat="1" ht="19.8" customHeight="1">
      <c r="A39" s="9">
        <v>9</v>
      </c>
      <c r="B39" s="5" t="s">
        <v>69</v>
      </c>
      <c r="C39" s="23">
        <f>L39/100*48</f>
        <v>1430.4</v>
      </c>
      <c r="D39" s="24">
        <f>C39/100*199</f>
        <v>2846.4960000000001</v>
      </c>
      <c r="E39" s="119">
        <f>C39/100*20.3</f>
        <v>290.37119999999999</v>
      </c>
      <c r="F39" s="119"/>
      <c r="G39" s="119">
        <f>C39/100*13.1</f>
        <v>187.38239999999999</v>
      </c>
      <c r="H39" s="25"/>
      <c r="I39" s="25"/>
      <c r="J39" s="27">
        <f>C39/100*12</f>
        <v>171.648</v>
      </c>
      <c r="K39" s="27">
        <f>C39/100*0.15</f>
        <v>2.1456</v>
      </c>
      <c r="L39" s="137">
        <v>2980</v>
      </c>
      <c r="M39" s="137">
        <v>84</v>
      </c>
      <c r="N39" s="28">
        <f t="shared" si="3"/>
        <v>250320</v>
      </c>
      <c r="O39" s="153"/>
      <c r="Q39" s="3"/>
      <c r="R39" s="3"/>
      <c r="S39" s="4"/>
    </row>
    <row r="40" spans="1:23" s="2" customFormat="1" ht="19.8" customHeight="1">
      <c r="A40" s="9">
        <v>10</v>
      </c>
      <c r="B40" s="152" t="s">
        <v>149</v>
      </c>
      <c r="C40" s="23">
        <f>L40/100*100</f>
        <v>1789.9999999999998</v>
      </c>
      <c r="D40" s="24">
        <f>C40/100*487</f>
        <v>8717.2999999999993</v>
      </c>
      <c r="E40" s="29"/>
      <c r="F40" s="166">
        <f>C40/100*19.5</f>
        <v>349.04999999999995</v>
      </c>
      <c r="G40" s="166"/>
      <c r="H40" s="166">
        <f>C40/100*23.2</f>
        <v>415.28</v>
      </c>
      <c r="I40" s="29">
        <f>C40/100*46</f>
        <v>823.4</v>
      </c>
      <c r="J40" s="119">
        <f>C40/100*680</f>
        <v>12171.999999999998</v>
      </c>
      <c r="K40" s="25">
        <f>C40/100*0.55</f>
        <v>9.8450000000000006</v>
      </c>
      <c r="L40" s="30">
        <v>1790</v>
      </c>
      <c r="M40" s="143">
        <v>260</v>
      </c>
      <c r="N40" s="28">
        <f t="shared" si="2"/>
        <v>465400</v>
      </c>
      <c r="O40" s="153"/>
      <c r="P40" s="3"/>
    </row>
    <row r="41" spans="1:23" s="2" customFormat="1" ht="19.8" customHeight="1">
      <c r="A41" s="103">
        <v>11</v>
      </c>
      <c r="B41" s="112" t="s">
        <v>123</v>
      </c>
      <c r="C41" s="104"/>
      <c r="D41" s="105"/>
      <c r="E41" s="106"/>
      <c r="F41" s="106"/>
      <c r="G41" s="106"/>
      <c r="H41" s="106"/>
      <c r="I41" s="106"/>
      <c r="J41" s="114"/>
      <c r="K41" s="114"/>
      <c r="L41" s="107"/>
      <c r="M41" s="107"/>
      <c r="N41" s="108">
        <v>7150</v>
      </c>
      <c r="O41" s="153"/>
      <c r="P41" s="153"/>
    </row>
    <row r="42" spans="1:23" ht="21" customHeight="1">
      <c r="A42" s="209" t="s">
        <v>0</v>
      </c>
      <c r="B42" s="212" t="s">
        <v>19</v>
      </c>
      <c r="C42" s="320" t="s">
        <v>8</v>
      </c>
      <c r="D42" s="215" t="s">
        <v>9</v>
      </c>
      <c r="E42" s="218" t="s">
        <v>11</v>
      </c>
      <c r="F42" s="219"/>
      <c r="G42" s="218" t="s">
        <v>13</v>
      </c>
      <c r="H42" s="219"/>
      <c r="I42" s="222" t="s">
        <v>16</v>
      </c>
      <c r="J42" s="222" t="s">
        <v>41</v>
      </c>
      <c r="K42" s="222" t="s">
        <v>42</v>
      </c>
      <c r="L42" s="222" t="s">
        <v>17</v>
      </c>
      <c r="M42" s="222" t="s">
        <v>57</v>
      </c>
      <c r="N42" s="209" t="s">
        <v>18</v>
      </c>
      <c r="O42" s="373"/>
    </row>
    <row r="43" spans="1:23" ht="21" customHeight="1">
      <c r="A43" s="210"/>
      <c r="B43" s="213"/>
      <c r="C43" s="321"/>
      <c r="D43" s="216"/>
      <c r="E43" s="220"/>
      <c r="F43" s="221"/>
      <c r="G43" s="220"/>
      <c r="H43" s="221"/>
      <c r="I43" s="223"/>
      <c r="J43" s="223"/>
      <c r="K43" s="223"/>
      <c r="L43" s="223"/>
      <c r="M43" s="223"/>
      <c r="N43" s="210"/>
      <c r="O43" s="176"/>
    </row>
    <row r="44" spans="1:23" ht="21" customHeight="1">
      <c r="A44" s="210"/>
      <c r="B44" s="213"/>
      <c r="C44" s="321"/>
      <c r="D44" s="216"/>
      <c r="E44" s="222" t="s">
        <v>10</v>
      </c>
      <c r="F44" s="222" t="s">
        <v>12</v>
      </c>
      <c r="G44" s="222" t="s">
        <v>14</v>
      </c>
      <c r="H44" s="222" t="s">
        <v>15</v>
      </c>
      <c r="I44" s="223"/>
      <c r="J44" s="223"/>
      <c r="K44" s="223"/>
      <c r="L44" s="223"/>
      <c r="M44" s="223"/>
      <c r="N44" s="210"/>
      <c r="O44" s="176"/>
    </row>
    <row r="45" spans="1:23" ht="21" customHeight="1">
      <c r="A45" s="211"/>
      <c r="B45" s="214"/>
      <c r="C45" s="322"/>
      <c r="D45" s="217"/>
      <c r="E45" s="224"/>
      <c r="F45" s="224"/>
      <c r="G45" s="224"/>
      <c r="H45" s="224"/>
      <c r="I45" s="224"/>
      <c r="J45" s="224"/>
      <c r="K45" s="224"/>
      <c r="L45" s="224"/>
      <c r="M45" s="224"/>
      <c r="N45" s="211"/>
      <c r="O45" s="176"/>
    </row>
    <row r="46" spans="1:23" s="2" customFormat="1" ht="21" customHeight="1">
      <c r="A46" s="21" t="s">
        <v>106</v>
      </c>
      <c r="B46" s="22"/>
      <c r="C46" s="34"/>
      <c r="D46" s="121">
        <f>SUM(D30:D41)</f>
        <v>29592.050499999998</v>
      </c>
      <c r="E46" s="43"/>
      <c r="F46" s="43"/>
      <c r="G46" s="43"/>
      <c r="H46" s="43"/>
      <c r="I46" s="43"/>
      <c r="J46" s="43"/>
      <c r="K46" s="43"/>
      <c r="L46" s="44"/>
      <c r="M46" s="308"/>
      <c r="N46" s="241">
        <f>SUM(N30:N41)</f>
        <v>1229210</v>
      </c>
      <c r="O46" s="153"/>
    </row>
    <row r="47" spans="1:23" ht="21" customHeight="1">
      <c r="A47" s="21" t="s">
        <v>7</v>
      </c>
      <c r="B47" s="22"/>
      <c r="C47" s="45"/>
      <c r="D47" s="46">
        <f>D46/D8</f>
        <v>281.82905238095236</v>
      </c>
      <c r="E47" s="46"/>
      <c r="F47" s="46"/>
      <c r="G47" s="46"/>
      <c r="H47" s="46"/>
      <c r="I47" s="46"/>
      <c r="J47" s="46"/>
      <c r="K47" s="46"/>
      <c r="L47" s="47"/>
      <c r="M47" s="309"/>
      <c r="N47" s="242"/>
      <c r="O47" s="4"/>
      <c r="P47" s="2"/>
      <c r="Q47" s="2"/>
      <c r="R47" s="2"/>
      <c r="S47" s="2"/>
      <c r="T47" s="2"/>
      <c r="U47" s="2"/>
      <c r="V47" s="2"/>
    </row>
    <row r="48" spans="1:23" ht="21" customHeight="1">
      <c r="A48" s="294" t="s">
        <v>52</v>
      </c>
      <c r="B48" s="226"/>
      <c r="C48" s="376" t="s">
        <v>151</v>
      </c>
      <c r="D48" s="20" t="s">
        <v>58</v>
      </c>
      <c r="E48" s="46"/>
      <c r="F48" s="46"/>
      <c r="G48" s="46"/>
      <c r="H48" s="46"/>
      <c r="I48" s="46"/>
      <c r="J48" s="48"/>
      <c r="K48" s="48"/>
      <c r="L48" s="47"/>
      <c r="M48" s="47"/>
      <c r="N48" s="177"/>
      <c r="O48" s="4"/>
      <c r="P48" s="2"/>
      <c r="Q48" s="2"/>
      <c r="R48" s="2"/>
      <c r="S48" s="2"/>
      <c r="T48" s="2"/>
      <c r="U48" s="2"/>
      <c r="V48" s="2"/>
      <c r="W48" s="2"/>
    </row>
    <row r="49" spans="1:23" ht="21" customHeight="1">
      <c r="A49" s="227"/>
      <c r="B49" s="228"/>
      <c r="C49" s="76" t="s">
        <v>60</v>
      </c>
      <c r="D49" s="20">
        <f>D47*100/1320</f>
        <v>21.350685786435783</v>
      </c>
      <c r="E49" s="46"/>
      <c r="F49" s="46"/>
      <c r="G49" s="46"/>
      <c r="H49" s="46"/>
      <c r="I49" s="46"/>
      <c r="J49" s="48"/>
      <c r="K49" s="48"/>
      <c r="L49" s="47"/>
      <c r="M49" s="47"/>
      <c r="N49" s="177"/>
      <c r="O49" s="4"/>
      <c r="P49" s="2"/>
      <c r="Q49" s="2"/>
      <c r="R49" s="2"/>
      <c r="S49" s="2"/>
      <c r="T49" s="2"/>
      <c r="U49" s="2"/>
      <c r="V49" s="2"/>
      <c r="W49" s="2"/>
    </row>
    <row r="50" spans="1:23" ht="21" customHeight="1">
      <c r="A50" s="286" t="s">
        <v>107</v>
      </c>
      <c r="B50" s="287"/>
      <c r="C50" s="290"/>
      <c r="D50" s="302">
        <f>D25+D46</f>
        <v>76166.693499999994</v>
      </c>
      <c r="E50" s="123">
        <f>SUM(E14:E41)</f>
        <v>1545.1015</v>
      </c>
      <c r="F50" s="123">
        <f t="shared" ref="F50:H50" si="4">SUM(F14:F41)</f>
        <v>1518.71775</v>
      </c>
      <c r="G50" s="123">
        <f t="shared" si="4"/>
        <v>1693.1594999999998</v>
      </c>
      <c r="H50" s="50">
        <f t="shared" si="4"/>
        <v>726.47990000000004</v>
      </c>
      <c r="I50" s="355">
        <f>SUM(I14:I41)</f>
        <v>10205.268699999999</v>
      </c>
      <c r="J50" s="254">
        <f>SUM(J14:J41)</f>
        <v>22099.4395</v>
      </c>
      <c r="K50" s="284">
        <f>SUM(K14:K41)</f>
        <v>47.938839999999999</v>
      </c>
      <c r="L50" s="268"/>
      <c r="M50" s="268"/>
      <c r="N50" s="304">
        <f>N25+N46</f>
        <v>2310180</v>
      </c>
      <c r="U50" s="12"/>
      <c r="V50" s="12"/>
    </row>
    <row r="51" spans="1:23" ht="21" customHeight="1">
      <c r="A51" s="288"/>
      <c r="B51" s="289"/>
      <c r="C51" s="291"/>
      <c r="D51" s="303"/>
      <c r="E51" s="327">
        <f>E50+F50</f>
        <v>3063.81925</v>
      </c>
      <c r="F51" s="328"/>
      <c r="G51" s="282">
        <f>G50+H50</f>
        <v>2419.6394</v>
      </c>
      <c r="H51" s="283"/>
      <c r="I51" s="356"/>
      <c r="J51" s="256"/>
      <c r="K51" s="285"/>
      <c r="L51" s="268"/>
      <c r="M51" s="268"/>
      <c r="N51" s="304"/>
      <c r="U51" s="12"/>
      <c r="V51" s="12"/>
    </row>
    <row r="52" spans="1:23" ht="21" customHeight="1">
      <c r="A52" s="248" t="s">
        <v>77</v>
      </c>
      <c r="B52" s="249"/>
      <c r="C52" s="250"/>
      <c r="D52" s="138">
        <f>D50/D8</f>
        <v>725.39708095238086</v>
      </c>
      <c r="E52" s="378">
        <f>E50/D8</f>
        <v>14.71525238095238</v>
      </c>
      <c r="F52" s="379">
        <f>F50/D8</f>
        <v>14.463978571428571</v>
      </c>
      <c r="G52" s="378">
        <f>G50/D8</f>
        <v>16.125328571428568</v>
      </c>
      <c r="H52" s="379">
        <f>H50/D8</f>
        <v>6.9188561904761912</v>
      </c>
      <c r="I52" s="264">
        <f>I50/D8</f>
        <v>97.19303523809522</v>
      </c>
      <c r="J52" s="264">
        <f>J50/D8</f>
        <v>210.47085238095238</v>
      </c>
      <c r="K52" s="300">
        <f>K50/D8</f>
        <v>0.45656038095238094</v>
      </c>
      <c r="L52" s="268"/>
      <c r="M52" s="268"/>
      <c r="N52" s="304"/>
      <c r="P52" s="368"/>
      <c r="Q52" s="370"/>
      <c r="R52" s="370"/>
      <c r="S52" s="370"/>
      <c r="T52" s="370"/>
      <c r="U52" s="380"/>
      <c r="V52" s="380"/>
    </row>
    <row r="53" spans="1:23" ht="21" customHeight="1">
      <c r="A53" s="251"/>
      <c r="B53" s="252"/>
      <c r="C53" s="253"/>
      <c r="D53" s="127"/>
      <c r="E53" s="381">
        <f>E52+F52</f>
        <v>29.179230952380951</v>
      </c>
      <c r="F53" s="382"/>
      <c r="G53" s="381">
        <f>G52+H52</f>
        <v>23.044184761904759</v>
      </c>
      <c r="H53" s="382"/>
      <c r="I53" s="265"/>
      <c r="J53" s="265"/>
      <c r="K53" s="301"/>
      <c r="L53" s="268"/>
      <c r="M53" s="268"/>
      <c r="N53" s="304"/>
      <c r="P53" s="383"/>
      <c r="Q53" s="370"/>
      <c r="R53" s="370"/>
      <c r="S53" s="370"/>
      <c r="T53" s="370"/>
      <c r="U53" s="370"/>
      <c r="V53" s="370"/>
    </row>
    <row r="54" spans="1:23" ht="21" customHeight="1">
      <c r="A54" s="305" t="s">
        <v>80</v>
      </c>
      <c r="B54" s="306"/>
      <c r="C54" s="307"/>
      <c r="D54" s="179" t="s">
        <v>28</v>
      </c>
      <c r="E54" s="195" t="s">
        <v>21</v>
      </c>
      <c r="F54" s="195"/>
      <c r="G54" s="195" t="s">
        <v>22</v>
      </c>
      <c r="H54" s="195"/>
      <c r="I54" s="384" t="s">
        <v>23</v>
      </c>
      <c r="J54" s="384">
        <v>600</v>
      </c>
      <c r="K54" s="384">
        <v>0.7</v>
      </c>
      <c r="L54" s="268"/>
      <c r="M54" s="268"/>
      <c r="N54" s="304"/>
      <c r="O54" s="385"/>
      <c r="P54" s="368"/>
      <c r="Q54" s="368"/>
      <c r="R54" s="368"/>
      <c r="S54" s="368"/>
      <c r="T54" s="368"/>
      <c r="U54" s="368"/>
      <c r="V54" s="368"/>
    </row>
    <row r="55" spans="1:23" ht="21" customHeight="1">
      <c r="A55" s="243" t="s">
        <v>78</v>
      </c>
      <c r="B55" s="275"/>
      <c r="C55" s="244"/>
      <c r="D55" s="49"/>
      <c r="E55" s="276">
        <f>E53*4.1</f>
        <v>119.63484690476189</v>
      </c>
      <c r="F55" s="277"/>
      <c r="G55" s="276">
        <f>G53*9</f>
        <v>207.39766285714285</v>
      </c>
      <c r="H55" s="277"/>
      <c r="I55" s="122">
        <f>I52*4.1</f>
        <v>398.4914444761904</v>
      </c>
      <c r="J55" s="257"/>
      <c r="K55" s="257"/>
      <c r="L55" s="268"/>
      <c r="M55" s="268"/>
      <c r="N55" s="304"/>
      <c r="O55" s="385"/>
      <c r="P55" s="386"/>
      <c r="Q55" s="369"/>
      <c r="R55" s="369"/>
      <c r="S55" s="369"/>
      <c r="T55" s="368"/>
      <c r="U55" s="368"/>
      <c r="V55" s="368"/>
    </row>
    <row r="56" spans="1:23" ht="21" customHeight="1">
      <c r="A56" s="278" t="s">
        <v>81</v>
      </c>
      <c r="B56" s="279"/>
      <c r="C56" s="243" t="s">
        <v>59</v>
      </c>
      <c r="D56" s="244"/>
      <c r="E56" s="189">
        <f>E55*100/D52</f>
        <v>16.492325382353641</v>
      </c>
      <c r="F56" s="190"/>
      <c r="G56" s="189">
        <f>G55*100/D52</f>
        <v>28.590915004075899</v>
      </c>
      <c r="H56" s="190"/>
      <c r="I56" s="116">
        <f>I55*100/D52</f>
        <v>54.934249797780701</v>
      </c>
      <c r="J56" s="258"/>
      <c r="K56" s="258"/>
      <c r="L56" s="268"/>
      <c r="M56" s="268"/>
      <c r="N56" s="304"/>
      <c r="O56" s="385"/>
      <c r="P56" s="368"/>
      <c r="Q56" s="368"/>
      <c r="R56" s="368"/>
      <c r="S56" s="368"/>
      <c r="T56" s="368"/>
      <c r="U56" s="368"/>
      <c r="V56" s="368"/>
    </row>
    <row r="57" spans="1:23" ht="21" customHeight="1">
      <c r="A57" s="280"/>
      <c r="B57" s="281"/>
      <c r="C57" s="243" t="s">
        <v>79</v>
      </c>
      <c r="D57" s="244"/>
      <c r="E57" s="243" t="s">
        <v>82</v>
      </c>
      <c r="F57" s="244"/>
      <c r="G57" s="243" t="s">
        <v>83</v>
      </c>
      <c r="H57" s="244"/>
      <c r="I57" s="179" t="s">
        <v>84</v>
      </c>
      <c r="J57" s="259"/>
      <c r="K57" s="259"/>
      <c r="L57" s="268"/>
      <c r="M57" s="268"/>
      <c r="N57" s="304"/>
      <c r="O57" s="385"/>
      <c r="P57" s="132"/>
    </row>
    <row r="58" spans="1:23" ht="21" customHeight="1">
      <c r="A58" s="90"/>
      <c r="B58" s="90"/>
      <c r="C58" s="90"/>
      <c r="D58" s="90"/>
      <c r="E58" s="90"/>
      <c r="F58" s="90"/>
      <c r="G58" s="90"/>
      <c r="H58" s="90"/>
      <c r="I58" s="90"/>
      <c r="J58" s="90"/>
      <c r="K58" s="90"/>
      <c r="L58" s="94"/>
      <c r="M58" s="94"/>
      <c r="N58" s="95"/>
      <c r="O58" s="385"/>
    </row>
    <row r="59" spans="1:23" ht="21" customHeight="1">
      <c r="A59" s="184" t="s">
        <v>114</v>
      </c>
      <c r="B59" s="184"/>
      <c r="C59" s="184"/>
      <c r="D59" s="184"/>
      <c r="E59" s="184"/>
      <c r="F59" s="184"/>
      <c r="G59" s="184"/>
      <c r="H59" s="184"/>
      <c r="I59" s="184"/>
      <c r="J59" s="184"/>
      <c r="K59" s="184"/>
      <c r="L59" s="184"/>
      <c r="M59" s="184"/>
      <c r="N59" s="184"/>
      <c r="O59" s="385"/>
    </row>
    <row r="60" spans="1:23" ht="21" customHeight="1">
      <c r="A60" s="117" t="s">
        <v>115</v>
      </c>
      <c r="B60" s="185" t="s">
        <v>116</v>
      </c>
      <c r="C60" s="185"/>
      <c r="D60" s="185"/>
      <c r="E60" s="185"/>
      <c r="F60" s="185"/>
      <c r="G60" s="185"/>
      <c r="H60" s="185"/>
      <c r="I60" s="185"/>
      <c r="J60" s="185"/>
      <c r="K60" s="185"/>
      <c r="L60" s="185"/>
      <c r="M60" s="185"/>
      <c r="N60" s="185"/>
      <c r="O60" s="385"/>
    </row>
    <row r="61" spans="1:23" ht="21" customHeight="1">
      <c r="A61" s="118"/>
      <c r="B61" s="186" t="s">
        <v>223</v>
      </c>
      <c r="C61" s="186"/>
      <c r="D61" s="186"/>
      <c r="E61" s="186"/>
      <c r="F61" s="186"/>
      <c r="G61" s="186"/>
      <c r="H61" s="186"/>
      <c r="I61" s="186"/>
      <c r="J61" s="186"/>
      <c r="K61" s="186"/>
      <c r="L61" s="186"/>
      <c r="M61" s="186"/>
      <c r="N61" s="186"/>
      <c r="O61" s="385"/>
    </row>
    <row r="62" spans="1:23" ht="21" customHeight="1">
      <c r="A62" s="118"/>
      <c r="B62" s="186" t="s">
        <v>224</v>
      </c>
      <c r="C62" s="186"/>
      <c r="D62" s="186"/>
      <c r="E62" s="186"/>
      <c r="F62" s="186"/>
      <c r="G62" s="186"/>
      <c r="H62" s="186"/>
      <c r="I62" s="186"/>
      <c r="J62" s="186"/>
      <c r="K62" s="186"/>
      <c r="L62" s="186"/>
      <c r="M62" s="186"/>
      <c r="N62" s="186"/>
      <c r="O62" s="385"/>
    </row>
    <row r="63" spans="1:23" ht="21" customHeight="1">
      <c r="A63" s="118"/>
      <c r="B63" s="186" t="s">
        <v>187</v>
      </c>
      <c r="C63" s="186"/>
      <c r="D63" s="186"/>
      <c r="E63" s="186"/>
      <c r="F63" s="186"/>
      <c r="G63" s="186"/>
      <c r="H63" s="186"/>
      <c r="I63" s="186"/>
      <c r="J63" s="186"/>
      <c r="K63" s="186"/>
      <c r="L63" s="186"/>
      <c r="M63" s="186"/>
      <c r="N63" s="186"/>
      <c r="O63" s="385"/>
    </row>
    <row r="64" spans="1:23" ht="21" customHeight="1">
      <c r="A64" s="90"/>
      <c r="B64" s="187" t="s">
        <v>117</v>
      </c>
      <c r="C64" s="187"/>
      <c r="D64" s="187"/>
      <c r="E64" s="187"/>
      <c r="F64" s="187"/>
      <c r="G64" s="187"/>
      <c r="H64" s="187"/>
      <c r="I64" s="187"/>
      <c r="J64" s="187"/>
      <c r="K64" s="187"/>
      <c r="L64" s="187"/>
      <c r="M64" s="187"/>
      <c r="N64" s="187"/>
      <c r="O64" s="385"/>
    </row>
    <row r="65" spans="1:15" ht="21" customHeight="1">
      <c r="A65" s="90"/>
      <c r="B65" s="90"/>
      <c r="C65" s="90"/>
      <c r="D65" s="90"/>
      <c r="E65" s="90"/>
      <c r="F65" s="90"/>
      <c r="G65" s="90"/>
      <c r="H65" s="90"/>
      <c r="I65" s="90"/>
      <c r="J65" s="90"/>
      <c r="K65" s="90"/>
      <c r="L65" s="94"/>
      <c r="M65" s="94"/>
      <c r="N65" s="95"/>
      <c r="O65" s="385"/>
    </row>
    <row r="66" spans="1:15" ht="21" customHeight="1">
      <c r="A66" s="188" t="s">
        <v>62</v>
      </c>
      <c r="B66" s="188"/>
      <c r="C66" s="188"/>
      <c r="D66" s="188"/>
      <c r="E66" s="387"/>
      <c r="F66" s="387"/>
      <c r="G66" s="387"/>
      <c r="H66" s="387"/>
      <c r="I66" s="387"/>
      <c r="J66" s="388" t="s">
        <v>33</v>
      </c>
      <c r="K66" s="388"/>
      <c r="L66" s="388"/>
      <c r="M66" s="388"/>
      <c r="N66" s="388"/>
      <c r="O66" s="385"/>
    </row>
    <row r="67" spans="1:15" ht="21" customHeight="1">
      <c r="A67" s="176"/>
      <c r="B67" s="176"/>
      <c r="C67" s="176"/>
      <c r="D67" s="387"/>
      <c r="E67" s="387"/>
      <c r="F67" s="387"/>
      <c r="G67" s="387"/>
      <c r="H67" s="389"/>
      <c r="I67" s="389"/>
      <c r="J67" s="389"/>
      <c r="K67" s="389"/>
      <c r="L67" s="389"/>
      <c r="M67" s="389"/>
      <c r="N67" s="389"/>
      <c r="O67" s="385"/>
    </row>
    <row r="68" spans="1:15" ht="21" customHeight="1">
      <c r="A68" s="176"/>
      <c r="B68" s="176"/>
      <c r="C68" s="176"/>
      <c r="D68" s="387"/>
      <c r="E68" s="387"/>
      <c r="F68" s="387"/>
      <c r="G68" s="387"/>
      <c r="H68" s="389"/>
      <c r="I68" s="389"/>
      <c r="J68" s="389"/>
      <c r="K68" s="389"/>
      <c r="L68" s="389"/>
      <c r="M68" s="389"/>
      <c r="N68" s="389"/>
      <c r="O68" s="385"/>
    </row>
    <row r="69" spans="1:15" ht="21" customHeight="1">
      <c r="A69" s="176"/>
      <c r="B69" s="176"/>
      <c r="C69" s="176"/>
      <c r="D69" s="387"/>
      <c r="E69" s="387"/>
      <c r="F69" s="387"/>
      <c r="G69" s="387"/>
      <c r="H69" s="389"/>
      <c r="I69" s="389"/>
      <c r="J69" s="390" t="s">
        <v>124</v>
      </c>
      <c r="K69" s="390"/>
      <c r="L69" s="390"/>
      <c r="M69" s="390"/>
      <c r="N69" s="390"/>
      <c r="O69" s="385"/>
    </row>
    <row r="70" spans="1:15" ht="21" customHeight="1">
      <c r="A70" s="180" t="s">
        <v>91</v>
      </c>
      <c r="B70" s="180"/>
      <c r="C70" s="180"/>
      <c r="D70" s="180"/>
      <c r="E70" s="387"/>
      <c r="F70" s="387"/>
      <c r="G70" s="387"/>
      <c r="H70" s="389"/>
      <c r="I70" s="389"/>
      <c r="O70" s="385"/>
    </row>
    <row r="71" spans="1:15" ht="21" customHeight="1">
      <c r="A71" s="176"/>
      <c r="B71" s="176"/>
      <c r="C71" s="176"/>
      <c r="D71" s="387"/>
      <c r="E71" s="387"/>
      <c r="F71" s="387"/>
      <c r="G71" s="387"/>
      <c r="H71" s="389"/>
      <c r="I71" s="389"/>
      <c r="J71" s="389"/>
      <c r="K71" s="389"/>
      <c r="L71" s="389"/>
      <c r="M71" s="389"/>
      <c r="N71" s="389"/>
      <c r="O71" s="385"/>
    </row>
    <row r="72" spans="1:15" ht="21" customHeight="1">
      <c r="A72" s="176"/>
      <c r="B72" s="176"/>
      <c r="C72" s="176"/>
      <c r="D72" s="387"/>
      <c r="E72" s="387"/>
      <c r="F72" s="387"/>
      <c r="G72" s="387"/>
      <c r="H72" s="389"/>
      <c r="I72" s="389"/>
      <c r="J72" s="390" t="s">
        <v>127</v>
      </c>
      <c r="K72" s="390"/>
      <c r="L72" s="390"/>
      <c r="M72" s="390"/>
      <c r="N72" s="390"/>
      <c r="O72" s="385"/>
    </row>
    <row r="73" spans="1:15" ht="21" customHeight="1">
      <c r="A73" s="176"/>
      <c r="B73" s="176"/>
      <c r="C73" s="176"/>
      <c r="D73" s="387"/>
      <c r="E73" s="387"/>
      <c r="F73" s="387"/>
      <c r="G73" s="387"/>
      <c r="H73" s="389"/>
      <c r="I73" s="389"/>
      <c r="J73" s="389"/>
      <c r="K73" s="389"/>
      <c r="L73" s="389"/>
      <c r="M73" s="389"/>
      <c r="N73" s="389"/>
      <c r="O73" s="385"/>
    </row>
    <row r="74" spans="1:15" ht="21" customHeight="1">
      <c r="A74" s="176"/>
      <c r="B74" s="176"/>
      <c r="C74" s="176"/>
      <c r="D74" s="387"/>
      <c r="E74" s="387"/>
      <c r="F74" s="387"/>
      <c r="G74" s="387"/>
      <c r="H74" s="389"/>
      <c r="I74" s="389"/>
      <c r="J74" s="389"/>
      <c r="K74" s="389"/>
      <c r="L74" s="389"/>
      <c r="M74" s="389"/>
      <c r="N74" s="389"/>
      <c r="O74" s="385"/>
    </row>
    <row r="75" spans="1:15" ht="21" customHeight="1">
      <c r="A75" s="176"/>
      <c r="B75" s="176"/>
      <c r="C75" s="176"/>
      <c r="D75" s="387"/>
      <c r="E75" s="387"/>
      <c r="F75" s="387"/>
      <c r="G75" s="387"/>
      <c r="H75" s="389"/>
      <c r="I75" s="389"/>
      <c r="J75" s="389"/>
      <c r="K75" s="389"/>
      <c r="L75" s="389"/>
      <c r="M75" s="389"/>
      <c r="N75" s="389"/>
      <c r="O75" s="385"/>
    </row>
    <row r="76" spans="1:15" ht="21" customHeight="1">
      <c r="A76" s="176"/>
      <c r="B76" s="176"/>
      <c r="C76" s="176"/>
      <c r="D76" s="387"/>
      <c r="E76" s="387"/>
      <c r="F76" s="387"/>
      <c r="G76" s="387"/>
      <c r="H76" s="389"/>
      <c r="I76" s="389"/>
      <c r="J76" s="389"/>
      <c r="K76" s="389"/>
      <c r="L76" s="389"/>
      <c r="M76" s="389"/>
      <c r="N76" s="389"/>
      <c r="O76" s="385"/>
    </row>
    <row r="77" spans="1:15" ht="21" customHeight="1">
      <c r="A77" s="176"/>
      <c r="B77" s="176"/>
      <c r="C77" s="176"/>
      <c r="D77" s="387"/>
      <c r="E77" s="387"/>
      <c r="F77" s="387"/>
      <c r="G77" s="387"/>
      <c r="H77" s="389"/>
      <c r="I77" s="389"/>
      <c r="J77" s="389"/>
      <c r="K77" s="389"/>
      <c r="L77" s="389"/>
      <c r="M77" s="389"/>
      <c r="N77" s="389"/>
      <c r="O77" s="385"/>
    </row>
    <row r="78" spans="1:15" ht="21" customHeight="1">
      <c r="A78" s="176"/>
      <c r="B78" s="176"/>
      <c r="C78" s="176"/>
      <c r="D78" s="387"/>
      <c r="E78" s="387"/>
      <c r="F78" s="387"/>
      <c r="G78" s="387"/>
      <c r="H78" s="389"/>
      <c r="I78" s="389"/>
      <c r="J78" s="389"/>
      <c r="K78" s="389"/>
      <c r="L78" s="389"/>
      <c r="M78" s="389"/>
      <c r="N78" s="389"/>
      <c r="O78" s="385"/>
    </row>
    <row r="79" spans="1:15" ht="21" customHeight="1">
      <c r="A79" s="176"/>
      <c r="B79" s="176"/>
      <c r="C79" s="176"/>
      <c r="D79" s="387"/>
      <c r="E79" s="387"/>
      <c r="F79" s="387"/>
      <c r="G79" s="387"/>
      <c r="H79" s="389"/>
      <c r="I79" s="389"/>
      <c r="J79" s="389"/>
      <c r="K79" s="389"/>
      <c r="L79" s="389"/>
      <c r="M79" s="389"/>
      <c r="N79" s="389"/>
      <c r="O79" s="385"/>
    </row>
    <row r="80" spans="1:15" ht="21" customHeight="1">
      <c r="A80" s="176"/>
      <c r="B80" s="176"/>
      <c r="C80" s="176"/>
      <c r="D80" s="387"/>
      <c r="E80" s="387"/>
      <c r="F80" s="387"/>
      <c r="G80" s="387"/>
      <c r="H80" s="389"/>
      <c r="I80" s="389"/>
      <c r="J80" s="389"/>
      <c r="K80" s="389"/>
      <c r="L80" s="389"/>
      <c r="M80" s="389"/>
      <c r="N80" s="389"/>
      <c r="O80" s="385"/>
    </row>
    <row r="81" spans="1:20" ht="21" customHeight="1">
      <c r="A81" s="176"/>
      <c r="B81" s="176"/>
      <c r="C81" s="176"/>
      <c r="D81" s="387"/>
      <c r="E81" s="387"/>
      <c r="F81" s="387"/>
      <c r="G81" s="387"/>
      <c r="H81" s="389"/>
      <c r="I81" s="389"/>
      <c r="J81" s="389"/>
      <c r="K81" s="389"/>
      <c r="L81" s="389"/>
      <c r="M81" s="389"/>
      <c r="N81" s="389"/>
      <c r="O81" s="385"/>
    </row>
    <row r="82" spans="1:20" ht="19.8" customHeight="1">
      <c r="A82" s="11" t="s">
        <v>61</v>
      </c>
      <c r="B82" s="8"/>
      <c r="C82" s="8"/>
      <c r="D82" s="8"/>
      <c r="E82" s="8"/>
      <c r="F82" s="293" t="s">
        <v>32</v>
      </c>
      <c r="G82" s="293"/>
      <c r="H82" s="293"/>
      <c r="I82" s="293"/>
      <c r="J82" s="293"/>
      <c r="K82" s="293"/>
      <c r="L82" s="293"/>
      <c r="M82" s="293"/>
      <c r="N82" s="293"/>
      <c r="O82" s="371"/>
      <c r="P82" s="371"/>
      <c r="T82" s="2"/>
    </row>
    <row r="83" spans="1:20" ht="19.8" customHeight="1">
      <c r="A83" s="8" t="s">
        <v>222</v>
      </c>
      <c r="B83" s="8"/>
      <c r="C83" s="8"/>
      <c r="D83" s="8"/>
      <c r="E83" s="8"/>
      <c r="F83" s="173"/>
      <c r="G83" s="173"/>
      <c r="H83" s="173"/>
      <c r="I83" s="173"/>
      <c r="J83" s="173"/>
      <c r="K83" s="173"/>
      <c r="L83" s="173"/>
      <c r="M83" s="173"/>
      <c r="N83" s="173"/>
      <c r="O83" s="371"/>
      <c r="P83" s="371"/>
      <c r="T83" s="2"/>
    </row>
    <row r="84" spans="1:20" s="2" customFormat="1" ht="18" customHeight="1">
      <c r="A84" s="195" t="s">
        <v>97</v>
      </c>
      <c r="B84" s="195"/>
      <c r="C84" s="195"/>
      <c r="D84" s="195"/>
      <c r="E84" s="195" t="s">
        <v>89</v>
      </c>
      <c r="F84" s="195"/>
      <c r="G84" s="195"/>
      <c r="H84" s="195"/>
      <c r="I84" s="195"/>
      <c r="J84" s="195"/>
      <c r="K84" s="195"/>
      <c r="L84" s="195"/>
      <c r="M84" s="195"/>
      <c r="N84" s="195"/>
      <c r="O84" s="372"/>
    </row>
    <row r="85" spans="1:20" s="2" customFormat="1" ht="18" customHeight="1">
      <c r="A85" s="195"/>
      <c r="B85" s="195"/>
      <c r="C85" s="195"/>
      <c r="D85" s="195"/>
      <c r="E85" s="195" t="s">
        <v>104</v>
      </c>
      <c r="F85" s="195"/>
      <c r="G85" s="195"/>
      <c r="H85" s="195"/>
      <c r="I85" s="195"/>
      <c r="J85" s="195" t="s">
        <v>101</v>
      </c>
      <c r="K85" s="195"/>
      <c r="L85" s="195"/>
      <c r="M85" s="195"/>
      <c r="N85" s="195"/>
      <c r="O85" s="372"/>
    </row>
    <row r="86" spans="1:20" s="2" customFormat="1" ht="18" customHeight="1">
      <c r="A86" s="196" t="s">
        <v>90</v>
      </c>
      <c r="B86" s="196"/>
      <c r="C86" s="196"/>
      <c r="D86" s="196"/>
      <c r="E86" s="199" t="s">
        <v>148</v>
      </c>
      <c r="F86" s="199"/>
      <c r="G86" s="199"/>
      <c r="H86" s="199"/>
      <c r="I86" s="199"/>
      <c r="J86" s="200" t="s">
        <v>174</v>
      </c>
      <c r="K86" s="201"/>
      <c r="L86" s="201"/>
      <c r="M86" s="201"/>
      <c r="N86" s="202"/>
      <c r="O86" s="372"/>
    </row>
    <row r="87" spans="1:20" s="2" customFormat="1" ht="18" customHeight="1">
      <c r="A87" s="345" t="s">
        <v>173</v>
      </c>
      <c r="B87" s="346"/>
      <c r="C87" s="346"/>
      <c r="D87" s="347"/>
      <c r="E87" s="199"/>
      <c r="F87" s="199"/>
      <c r="G87" s="199"/>
      <c r="H87" s="199"/>
      <c r="I87" s="199"/>
      <c r="J87" s="203"/>
      <c r="K87" s="204"/>
      <c r="L87" s="204"/>
      <c r="M87" s="204"/>
      <c r="N87" s="205"/>
      <c r="O87" s="372"/>
    </row>
    <row r="88" spans="1:20" s="2" customFormat="1" ht="18" customHeight="1">
      <c r="A88" s="357" t="s">
        <v>172</v>
      </c>
      <c r="B88" s="357"/>
      <c r="C88" s="357"/>
      <c r="D88" s="357"/>
      <c r="E88" s="199"/>
      <c r="F88" s="199"/>
      <c r="G88" s="199"/>
      <c r="H88" s="199"/>
      <c r="I88" s="199"/>
      <c r="J88" s="206"/>
      <c r="K88" s="207"/>
      <c r="L88" s="207"/>
      <c r="M88" s="207"/>
      <c r="N88" s="208"/>
      <c r="O88" s="372"/>
    </row>
    <row r="89" spans="1:20" ht="18" customHeight="1">
      <c r="A89" s="229" t="s">
        <v>122</v>
      </c>
      <c r="B89" s="230"/>
      <c r="C89" s="231"/>
      <c r="D89" s="128">
        <v>38</v>
      </c>
      <c r="E89" s="8"/>
      <c r="F89" s="173"/>
      <c r="G89" s="173"/>
      <c r="H89" s="173"/>
      <c r="I89" s="173"/>
      <c r="J89" s="173"/>
      <c r="K89" s="173"/>
      <c r="L89" s="173"/>
      <c r="M89" s="173"/>
      <c r="N89" s="173"/>
      <c r="O89" s="371"/>
      <c r="P89" s="371"/>
      <c r="T89" s="2"/>
    </row>
    <row r="90" spans="1:20" ht="19.8" customHeight="1">
      <c r="A90" s="209" t="s">
        <v>0</v>
      </c>
      <c r="B90" s="212" t="s">
        <v>19</v>
      </c>
      <c r="C90" s="363" t="s">
        <v>8</v>
      </c>
      <c r="D90" s="215" t="s">
        <v>9</v>
      </c>
      <c r="E90" s="359" t="s">
        <v>11</v>
      </c>
      <c r="F90" s="360"/>
      <c r="G90" s="359" t="s">
        <v>13</v>
      </c>
      <c r="H90" s="360"/>
      <c r="I90" s="222" t="s">
        <v>16</v>
      </c>
      <c r="J90" s="222" t="s">
        <v>41</v>
      </c>
      <c r="K90" s="222" t="s">
        <v>42</v>
      </c>
      <c r="L90" s="222" t="s">
        <v>17</v>
      </c>
      <c r="M90" s="222" t="s">
        <v>57</v>
      </c>
      <c r="N90" s="209" t="s">
        <v>18</v>
      </c>
      <c r="O90" s="373"/>
    </row>
    <row r="91" spans="1:20" ht="19.8" customHeight="1">
      <c r="A91" s="210"/>
      <c r="B91" s="213"/>
      <c r="C91" s="364"/>
      <c r="D91" s="216"/>
      <c r="E91" s="361"/>
      <c r="F91" s="362"/>
      <c r="G91" s="361"/>
      <c r="H91" s="362"/>
      <c r="I91" s="223"/>
      <c r="J91" s="223"/>
      <c r="K91" s="223"/>
      <c r="L91" s="223"/>
      <c r="M91" s="223"/>
      <c r="N91" s="210"/>
      <c r="O91" s="176"/>
    </row>
    <row r="92" spans="1:20" ht="19.8" customHeight="1">
      <c r="A92" s="210"/>
      <c r="B92" s="213"/>
      <c r="C92" s="364"/>
      <c r="D92" s="216"/>
      <c r="E92" s="222" t="s">
        <v>10</v>
      </c>
      <c r="F92" s="222" t="s">
        <v>12</v>
      </c>
      <c r="G92" s="222" t="s">
        <v>94</v>
      </c>
      <c r="H92" s="222" t="s">
        <v>15</v>
      </c>
      <c r="I92" s="223"/>
      <c r="J92" s="223"/>
      <c r="K92" s="223"/>
      <c r="L92" s="223"/>
      <c r="M92" s="223"/>
      <c r="N92" s="210"/>
      <c r="O92" s="176"/>
    </row>
    <row r="93" spans="1:20" ht="19.8" customHeight="1">
      <c r="A93" s="211"/>
      <c r="B93" s="214"/>
      <c r="C93" s="365"/>
      <c r="D93" s="217"/>
      <c r="E93" s="224"/>
      <c r="F93" s="224"/>
      <c r="G93" s="224"/>
      <c r="H93" s="224"/>
      <c r="I93" s="224"/>
      <c r="J93" s="224"/>
      <c r="K93" s="224"/>
      <c r="L93" s="224"/>
      <c r="M93" s="224"/>
      <c r="N93" s="211"/>
      <c r="O93" s="176"/>
    </row>
    <row r="94" spans="1:20" ht="19.8" customHeight="1">
      <c r="A94" s="238" t="s">
        <v>39</v>
      </c>
      <c r="B94" s="239"/>
      <c r="C94" s="239"/>
      <c r="D94" s="239"/>
      <c r="E94" s="239"/>
      <c r="F94" s="239"/>
      <c r="G94" s="239"/>
      <c r="H94" s="239"/>
      <c r="I94" s="239"/>
      <c r="J94" s="239"/>
      <c r="K94" s="239"/>
      <c r="L94" s="239"/>
      <c r="M94" s="239"/>
      <c r="N94" s="240"/>
      <c r="O94" s="176"/>
    </row>
    <row r="95" spans="1:20" s="2" customFormat="1" ht="19.2" customHeight="1">
      <c r="A95" s="9">
        <v>1</v>
      </c>
      <c r="B95" s="10" t="s">
        <v>2</v>
      </c>
      <c r="C95" s="23">
        <f>L95/100*100</f>
        <v>50</v>
      </c>
      <c r="D95" s="24">
        <f>C95/100*60</f>
        <v>30</v>
      </c>
      <c r="E95" s="25">
        <f>C95/100*15</f>
        <v>7.5</v>
      </c>
      <c r="F95" s="25"/>
      <c r="G95" s="25"/>
      <c r="H95" s="25"/>
      <c r="I95" s="25"/>
      <c r="J95" s="27">
        <f>C95/100*387</f>
        <v>193.5</v>
      </c>
      <c r="K95" s="27">
        <f>C95/100*0.09</f>
        <v>4.4999999999999998E-2</v>
      </c>
      <c r="L95" s="137">
        <v>50</v>
      </c>
      <c r="M95" s="75">
        <v>20</v>
      </c>
      <c r="N95" s="28">
        <f>L95*M95</f>
        <v>1000</v>
      </c>
      <c r="O95" s="153"/>
    </row>
    <row r="96" spans="1:20" s="2" customFormat="1" ht="19.2" customHeight="1">
      <c r="A96" s="9">
        <v>2</v>
      </c>
      <c r="B96" s="146" t="s">
        <v>141</v>
      </c>
      <c r="C96" s="23">
        <f>L96/100*100</f>
        <v>190</v>
      </c>
      <c r="D96" s="24">
        <f>C96/100*899</f>
        <v>1708.1</v>
      </c>
      <c r="E96" s="25"/>
      <c r="F96" s="25"/>
      <c r="G96" s="120">
        <f>C96/100*100</f>
        <v>190</v>
      </c>
      <c r="H96" s="119"/>
      <c r="I96" s="25"/>
      <c r="J96" s="27"/>
      <c r="K96" s="27"/>
      <c r="L96" s="137">
        <v>190</v>
      </c>
      <c r="M96" s="75">
        <v>68</v>
      </c>
      <c r="N96" s="28">
        <f t="shared" ref="N96:N102" si="5">L96*M96</f>
        <v>12920</v>
      </c>
      <c r="O96" s="153"/>
    </row>
    <row r="97" spans="1:23" s="2" customFormat="1" ht="19.2" customHeight="1">
      <c r="A97" s="9">
        <v>3</v>
      </c>
      <c r="B97" s="5" t="s">
        <v>1</v>
      </c>
      <c r="C97" s="23">
        <f>L97/100*100</f>
        <v>1634</v>
      </c>
      <c r="D97" s="24">
        <f>C97/100*344</f>
        <v>5620.96</v>
      </c>
      <c r="E97" s="25"/>
      <c r="F97" s="119">
        <f>C97/100*7.9</f>
        <v>129.08600000000001</v>
      </c>
      <c r="G97" s="25"/>
      <c r="H97" s="25">
        <f>C97/100*1</f>
        <v>16.34</v>
      </c>
      <c r="I97" s="119">
        <f>C97/100*75.9</f>
        <v>1240.2060000000001</v>
      </c>
      <c r="J97" s="27">
        <f>C97/100*30</f>
        <v>490.2</v>
      </c>
      <c r="K97" s="27">
        <f>C97/100*0.1</f>
        <v>1.6340000000000001</v>
      </c>
      <c r="L97" s="137">
        <v>1634</v>
      </c>
      <c r="M97" s="75">
        <v>18</v>
      </c>
      <c r="N97" s="28">
        <f t="shared" si="5"/>
        <v>29412</v>
      </c>
      <c r="O97" s="153"/>
    </row>
    <row r="98" spans="1:23" s="2" customFormat="1" ht="19.2" customHeight="1">
      <c r="A98" s="9">
        <v>4</v>
      </c>
      <c r="B98" s="5" t="s">
        <v>69</v>
      </c>
      <c r="C98" s="23">
        <f>L98/100*48</f>
        <v>729.59999999999991</v>
      </c>
      <c r="D98" s="24">
        <f>C98/100*199</f>
        <v>1451.9039999999998</v>
      </c>
      <c r="E98" s="119">
        <f>C98/100*20.3</f>
        <v>148.1088</v>
      </c>
      <c r="F98" s="119"/>
      <c r="G98" s="119">
        <f>C98/100*13.1</f>
        <v>95.57759999999999</v>
      </c>
      <c r="H98" s="25"/>
      <c r="I98" s="25"/>
      <c r="J98" s="27">
        <f>C98/100*12</f>
        <v>87.551999999999992</v>
      </c>
      <c r="K98" s="27">
        <f>C98/100*0.15</f>
        <v>1.0943999999999998</v>
      </c>
      <c r="L98" s="137">
        <v>1520</v>
      </c>
      <c r="M98" s="26">
        <v>84</v>
      </c>
      <c r="N98" s="28">
        <f t="shared" si="5"/>
        <v>127680</v>
      </c>
      <c r="O98" s="153"/>
      <c r="Q98" s="3"/>
      <c r="R98" s="3"/>
      <c r="S98" s="4"/>
    </row>
    <row r="99" spans="1:23" s="2" customFormat="1" ht="19.2" customHeight="1">
      <c r="A99" s="9">
        <v>5</v>
      </c>
      <c r="B99" s="79" t="s">
        <v>147</v>
      </c>
      <c r="C99" s="23">
        <f>L99/100*89</f>
        <v>1254.8999999999999</v>
      </c>
      <c r="D99" s="24">
        <f>C99/100*154</f>
        <v>1932.5459999999998</v>
      </c>
      <c r="E99" s="119">
        <f>C99/100*13.1</f>
        <v>164.39189999999999</v>
      </c>
      <c r="F99" s="25"/>
      <c r="G99" s="119">
        <f>C99/100*8.3</f>
        <v>104.1567</v>
      </c>
      <c r="H99" s="25"/>
      <c r="I99" s="25">
        <f>C99/100*0.4</f>
        <v>5.0196000000000005</v>
      </c>
      <c r="J99" s="81">
        <f>C99/100*64</f>
        <v>803.13599999999997</v>
      </c>
      <c r="K99" s="27">
        <f>C99/100*0.13</f>
        <v>1.63137</v>
      </c>
      <c r="L99" s="26">
        <v>1410</v>
      </c>
      <c r="M99" s="54">
        <v>82</v>
      </c>
      <c r="N99" s="151">
        <f t="shared" si="5"/>
        <v>115620</v>
      </c>
      <c r="O99" s="153"/>
    </row>
    <row r="100" spans="1:23" s="2" customFormat="1" ht="19.2" customHeight="1">
      <c r="A100" s="9">
        <v>6</v>
      </c>
      <c r="B100" s="5" t="s">
        <v>136</v>
      </c>
      <c r="C100" s="23">
        <f>L100/100*100</f>
        <v>30</v>
      </c>
      <c r="D100" s="24">
        <f>C100/100*247</f>
        <v>74.099999999999994</v>
      </c>
      <c r="E100" s="29"/>
      <c r="F100" s="29">
        <f>C100/100*17.5</f>
        <v>5.25</v>
      </c>
      <c r="G100" s="29"/>
      <c r="H100" s="29">
        <f>C100/100*1.6</f>
        <v>0.48</v>
      </c>
      <c r="I100" s="29">
        <f>C100/100*39.2</f>
        <v>11.76</v>
      </c>
      <c r="J100" s="71"/>
      <c r="K100" s="71"/>
      <c r="L100" s="374">
        <v>30</v>
      </c>
      <c r="M100" s="75">
        <v>50</v>
      </c>
      <c r="N100" s="28">
        <f t="shared" si="5"/>
        <v>1500</v>
      </c>
      <c r="O100" s="153"/>
      <c r="Q100" s="3"/>
      <c r="R100" s="3"/>
      <c r="S100" s="4"/>
      <c r="T100" s="3"/>
    </row>
    <row r="101" spans="1:23" s="2" customFormat="1" ht="18.600000000000001" customHeight="1">
      <c r="A101" s="9">
        <v>7</v>
      </c>
      <c r="B101" s="5" t="s">
        <v>20</v>
      </c>
      <c r="C101" s="23">
        <f>L101/100*95</f>
        <v>361</v>
      </c>
      <c r="D101" s="24">
        <f>C101/100*20</f>
        <v>72.2</v>
      </c>
      <c r="E101" s="25"/>
      <c r="F101" s="25">
        <f>C101/100*0.6</f>
        <v>2.1659999999999999</v>
      </c>
      <c r="G101" s="25"/>
      <c r="H101" s="25">
        <f>C101/100*0.2</f>
        <v>0.72199999999999998</v>
      </c>
      <c r="I101" s="25">
        <f>C101/100*4</f>
        <v>14.44</v>
      </c>
      <c r="J101" s="27">
        <f>C101/100*12</f>
        <v>43.32</v>
      </c>
      <c r="K101" s="24">
        <f>C101/100*0.04</f>
        <v>0.1444</v>
      </c>
      <c r="L101" s="137">
        <v>380</v>
      </c>
      <c r="M101" s="77">
        <v>22</v>
      </c>
      <c r="N101" s="28">
        <f t="shared" si="5"/>
        <v>8360</v>
      </c>
      <c r="O101" s="375"/>
      <c r="Q101" s="3"/>
      <c r="R101" s="3"/>
      <c r="S101" s="4"/>
    </row>
    <row r="102" spans="1:23" s="2" customFormat="1" ht="19.2" customHeight="1">
      <c r="A102" s="9">
        <v>8</v>
      </c>
      <c r="B102" s="5" t="s">
        <v>131</v>
      </c>
      <c r="C102" s="23">
        <f>L102/100*75</f>
        <v>795</v>
      </c>
      <c r="D102" s="24">
        <f>C102/100*17</f>
        <v>135.15</v>
      </c>
      <c r="E102" s="25"/>
      <c r="F102" s="25">
        <f>C102/100*1.4</f>
        <v>11.129999999999999</v>
      </c>
      <c r="G102" s="25"/>
      <c r="H102" s="25">
        <f>C102/100*0.2</f>
        <v>1.59</v>
      </c>
      <c r="I102" s="25">
        <f>C102/100*2.4</f>
        <v>19.079999999999998</v>
      </c>
      <c r="J102" s="25">
        <f>C102/100*50</f>
        <v>397.5</v>
      </c>
      <c r="K102" s="25">
        <f>C102/100*0.09</f>
        <v>0.71550000000000002</v>
      </c>
      <c r="L102" s="137">
        <v>1060</v>
      </c>
      <c r="M102" s="75">
        <v>18</v>
      </c>
      <c r="N102" s="28">
        <f t="shared" si="5"/>
        <v>19080</v>
      </c>
      <c r="O102" s="153"/>
    </row>
    <row r="103" spans="1:23" s="2" customFormat="1" ht="19.2" customHeight="1">
      <c r="A103" s="9">
        <v>9</v>
      </c>
      <c r="B103" s="6" t="s">
        <v>123</v>
      </c>
      <c r="C103" s="23"/>
      <c r="D103" s="24"/>
      <c r="E103" s="25"/>
      <c r="F103" s="25"/>
      <c r="G103" s="25"/>
      <c r="H103" s="25"/>
      <c r="I103" s="25"/>
      <c r="J103" s="27"/>
      <c r="K103" s="27"/>
      <c r="L103" s="26"/>
      <c r="M103" s="26"/>
      <c r="N103" s="28">
        <v>3000</v>
      </c>
      <c r="O103" s="153"/>
    </row>
    <row r="104" spans="1:23" s="2" customFormat="1" ht="19.2" customHeight="1">
      <c r="A104" s="21" t="s">
        <v>118</v>
      </c>
      <c r="B104" s="22"/>
      <c r="C104" s="34"/>
      <c r="D104" s="121">
        <f>SUM(D95:D103)</f>
        <v>11024.960000000001</v>
      </c>
      <c r="E104" s="43"/>
      <c r="F104" s="43"/>
      <c r="G104" s="43"/>
      <c r="H104" s="43"/>
      <c r="I104" s="43"/>
      <c r="J104" s="43"/>
      <c r="K104" s="43"/>
      <c r="L104" s="44"/>
      <c r="M104" s="308"/>
      <c r="N104" s="193">
        <f>SUM(N95:N103)</f>
        <v>318572</v>
      </c>
      <c r="O104" s="153"/>
    </row>
    <row r="105" spans="1:23" ht="19.2" customHeight="1">
      <c r="A105" s="21" t="s">
        <v>37</v>
      </c>
      <c r="B105" s="22"/>
      <c r="C105" s="45"/>
      <c r="D105" s="46">
        <f>D104/D89</f>
        <v>290.1305263157895</v>
      </c>
      <c r="E105" s="46"/>
      <c r="F105" s="46"/>
      <c r="G105" s="46"/>
      <c r="H105" s="46"/>
      <c r="I105" s="46"/>
      <c r="J105" s="46"/>
      <c r="K105" s="46"/>
      <c r="L105" s="47"/>
      <c r="M105" s="309"/>
      <c r="N105" s="194"/>
      <c r="O105" s="4"/>
      <c r="P105" s="2"/>
      <c r="Q105" s="2"/>
      <c r="R105" s="2"/>
      <c r="S105" s="2"/>
      <c r="T105" s="2"/>
      <c r="U105" s="2"/>
      <c r="V105" s="2"/>
    </row>
    <row r="106" spans="1:23" ht="19.2" customHeight="1">
      <c r="A106" s="294" t="s">
        <v>53</v>
      </c>
      <c r="B106" s="226"/>
      <c r="C106" s="376" t="s">
        <v>151</v>
      </c>
      <c r="D106" s="20" t="s">
        <v>45</v>
      </c>
      <c r="E106" s="46"/>
      <c r="F106" s="46"/>
      <c r="G106" s="46"/>
      <c r="H106" s="46"/>
      <c r="I106" s="46"/>
      <c r="J106" s="48"/>
      <c r="K106" s="48"/>
      <c r="L106" s="47"/>
      <c r="M106" s="47"/>
      <c r="N106" s="177"/>
      <c r="O106" s="4"/>
      <c r="P106" s="2"/>
      <c r="Q106" s="2"/>
      <c r="R106" s="2"/>
      <c r="S106" s="2"/>
      <c r="T106" s="2"/>
      <c r="U106" s="2"/>
      <c r="V106" s="2"/>
      <c r="W106" s="2"/>
    </row>
    <row r="107" spans="1:23" ht="19.2" customHeight="1">
      <c r="A107" s="227"/>
      <c r="B107" s="228"/>
      <c r="C107" s="76" t="s">
        <v>60</v>
      </c>
      <c r="D107" s="20">
        <f>D105*100/930</f>
        <v>31.196830786644032</v>
      </c>
      <c r="E107" s="46"/>
      <c r="F107" s="46"/>
      <c r="G107" s="46"/>
      <c r="H107" s="46"/>
      <c r="I107" s="46"/>
      <c r="J107" s="48"/>
      <c r="K107" s="48"/>
      <c r="L107" s="47"/>
      <c r="M107" s="47"/>
      <c r="N107" s="177"/>
      <c r="O107" s="4"/>
      <c r="P107" s="2"/>
      <c r="Q107" s="2"/>
      <c r="R107" s="2"/>
      <c r="S107" s="2"/>
      <c r="T107" s="2"/>
      <c r="U107" s="2"/>
      <c r="V107" s="2"/>
      <c r="W107" s="2"/>
    </row>
    <row r="108" spans="1:23" s="2" customFormat="1" ht="19.2" customHeight="1">
      <c r="A108" s="236" t="s">
        <v>38</v>
      </c>
      <c r="B108" s="236"/>
      <c r="C108" s="56"/>
      <c r="D108" s="57"/>
      <c r="E108" s="58"/>
      <c r="F108" s="58"/>
      <c r="G108" s="58"/>
      <c r="H108" s="58"/>
      <c r="I108" s="58"/>
      <c r="J108" s="58"/>
      <c r="K108" s="58"/>
      <c r="L108" s="59"/>
      <c r="M108" s="59"/>
      <c r="N108" s="60"/>
      <c r="O108" s="153"/>
    </row>
    <row r="109" spans="1:23" s="2" customFormat="1" ht="19.2" customHeight="1">
      <c r="A109" s="9">
        <v>1</v>
      </c>
      <c r="B109" s="10" t="s">
        <v>2</v>
      </c>
      <c r="C109" s="23">
        <f t="shared" ref="C109:C114" si="6">L109/100*100</f>
        <v>40</v>
      </c>
      <c r="D109" s="24">
        <f>C109/100*60</f>
        <v>24</v>
      </c>
      <c r="E109" s="25">
        <f>C109/100*15</f>
        <v>6</v>
      </c>
      <c r="F109" s="25"/>
      <c r="G109" s="25"/>
      <c r="H109" s="25"/>
      <c r="I109" s="25"/>
      <c r="J109" s="27">
        <f>C109/100*387</f>
        <v>154.80000000000001</v>
      </c>
      <c r="K109" s="27">
        <f>C109/100*0.09</f>
        <v>3.5999999999999997E-2</v>
      </c>
      <c r="L109" s="137">
        <v>40</v>
      </c>
      <c r="M109" s="75">
        <v>20</v>
      </c>
      <c r="N109" s="28">
        <f>L109*M109</f>
        <v>800</v>
      </c>
      <c r="O109" s="153"/>
    </row>
    <row r="110" spans="1:23" s="2" customFormat="1" ht="19.2" customHeight="1">
      <c r="A110" s="9">
        <v>2</v>
      </c>
      <c r="B110" s="146" t="s">
        <v>141</v>
      </c>
      <c r="C110" s="23">
        <f t="shared" si="6"/>
        <v>190</v>
      </c>
      <c r="D110" s="24">
        <f>C110/100*899</f>
        <v>1708.1</v>
      </c>
      <c r="E110" s="25"/>
      <c r="F110" s="25"/>
      <c r="G110" s="119">
        <f>C110/100*100</f>
        <v>190</v>
      </c>
      <c r="H110" s="25"/>
      <c r="I110" s="25"/>
      <c r="J110" s="25"/>
      <c r="K110" s="25"/>
      <c r="L110" s="137">
        <v>190</v>
      </c>
      <c r="M110" s="144">
        <v>68</v>
      </c>
      <c r="N110" s="28">
        <f t="shared" ref="N110:N113" si="7">L110*M110</f>
        <v>12920</v>
      </c>
      <c r="O110" s="377"/>
    </row>
    <row r="111" spans="1:23" s="2" customFormat="1" ht="19.2" customHeight="1">
      <c r="A111" s="9">
        <v>3</v>
      </c>
      <c r="B111" s="148" t="s">
        <v>146</v>
      </c>
      <c r="C111" s="23">
        <f t="shared" si="6"/>
        <v>100</v>
      </c>
      <c r="D111" s="120">
        <f>C111/100*900</f>
        <v>900</v>
      </c>
      <c r="E111" s="25"/>
      <c r="F111" s="25"/>
      <c r="G111" s="119"/>
      <c r="H111" s="119">
        <f>C111/100*100</f>
        <v>100</v>
      </c>
      <c r="I111" s="25"/>
      <c r="J111" s="25"/>
      <c r="K111" s="25"/>
      <c r="L111" s="137">
        <v>100</v>
      </c>
      <c r="M111" s="75">
        <v>63.5</v>
      </c>
      <c r="N111" s="28">
        <f t="shared" si="7"/>
        <v>6350</v>
      </c>
      <c r="O111" s="377"/>
    </row>
    <row r="112" spans="1:23" s="2" customFormat="1" ht="19.2" customHeight="1">
      <c r="A112" s="9">
        <v>4</v>
      </c>
      <c r="B112" s="5" t="s">
        <v>1</v>
      </c>
      <c r="C112" s="23">
        <f t="shared" si="6"/>
        <v>911.99999999999989</v>
      </c>
      <c r="D112" s="24">
        <f>C112/100*344</f>
        <v>3137.2799999999997</v>
      </c>
      <c r="E112" s="25"/>
      <c r="F112" s="25">
        <f>C112/100*7.9</f>
        <v>72.048000000000002</v>
      </c>
      <c r="G112" s="25"/>
      <c r="H112" s="25">
        <f>C112/100*1</f>
        <v>9.1199999999999992</v>
      </c>
      <c r="I112" s="25">
        <f>C112/100*75.9</f>
        <v>692.20799999999997</v>
      </c>
      <c r="J112" s="27">
        <f>C112/100*30</f>
        <v>273.59999999999997</v>
      </c>
      <c r="K112" s="27">
        <f>C112/100*0.1</f>
        <v>0.91199999999999992</v>
      </c>
      <c r="L112" s="137">
        <v>912</v>
      </c>
      <c r="M112" s="75">
        <v>18</v>
      </c>
      <c r="N112" s="28">
        <f t="shared" si="7"/>
        <v>16416</v>
      </c>
      <c r="O112" s="153"/>
    </row>
    <row r="113" spans="1:23" s="2" customFormat="1" ht="19.2" customHeight="1">
      <c r="A113" s="9">
        <v>5</v>
      </c>
      <c r="B113" s="5" t="s">
        <v>73</v>
      </c>
      <c r="C113" s="23">
        <f t="shared" si="6"/>
        <v>610</v>
      </c>
      <c r="D113" s="24">
        <f>C113/100*344</f>
        <v>2098.4</v>
      </c>
      <c r="E113" s="25"/>
      <c r="F113" s="25">
        <f>C113/100*8.6</f>
        <v>52.459999999999994</v>
      </c>
      <c r="G113" s="25"/>
      <c r="H113" s="25">
        <f>C113/100*1.5</f>
        <v>9.1499999999999986</v>
      </c>
      <c r="I113" s="25">
        <f>C113/100*74.5</f>
        <v>454.45</v>
      </c>
      <c r="J113" s="25">
        <f>C113/100*32</f>
        <v>195.2</v>
      </c>
      <c r="K113" s="27">
        <f>C113/100*0.14</f>
        <v>0.85399999999999998</v>
      </c>
      <c r="L113" s="137">
        <v>610</v>
      </c>
      <c r="M113" s="75">
        <v>30</v>
      </c>
      <c r="N113" s="28">
        <f t="shared" si="7"/>
        <v>18300</v>
      </c>
      <c r="O113" s="153"/>
      <c r="P113" s="18"/>
    </row>
    <row r="114" spans="1:23" s="2" customFormat="1" ht="19.2" customHeight="1">
      <c r="A114" s="9">
        <v>6</v>
      </c>
      <c r="B114" s="5" t="s">
        <v>67</v>
      </c>
      <c r="C114" s="23">
        <f t="shared" si="6"/>
        <v>80</v>
      </c>
      <c r="D114" s="24">
        <f>C114/100*334</f>
        <v>267.2</v>
      </c>
      <c r="E114" s="25"/>
      <c r="F114" s="25">
        <f>C114/100*20</f>
        <v>16</v>
      </c>
      <c r="G114" s="25"/>
      <c r="H114" s="25">
        <f>C114/100*2.4</f>
        <v>1.92</v>
      </c>
      <c r="I114" s="25">
        <f>C114/100*58</f>
        <v>46.400000000000006</v>
      </c>
      <c r="J114" s="27">
        <f>C114/100*89</f>
        <v>71.2</v>
      </c>
      <c r="K114" s="27">
        <f>C114/100*0.64</f>
        <v>0.51200000000000001</v>
      </c>
      <c r="L114" s="137">
        <v>80</v>
      </c>
      <c r="M114" s="75">
        <v>190</v>
      </c>
      <c r="N114" s="28">
        <f>L114*M114</f>
        <v>15200</v>
      </c>
      <c r="O114" s="153"/>
    </row>
    <row r="115" spans="1:23" s="2" customFormat="1" ht="16.2" customHeight="1">
      <c r="A115" s="9">
        <v>7</v>
      </c>
      <c r="B115" s="5" t="s">
        <v>4</v>
      </c>
      <c r="C115" s="23">
        <f>L115/100*98.5</f>
        <v>561.45000000000005</v>
      </c>
      <c r="D115" s="24">
        <f>C115/100*39</f>
        <v>218.96550000000002</v>
      </c>
      <c r="E115" s="29"/>
      <c r="F115" s="29">
        <f>C115/100*1.5</f>
        <v>8.4217500000000012</v>
      </c>
      <c r="G115" s="29"/>
      <c r="H115" s="29">
        <f>C115/100*0.2</f>
        <v>1.1229000000000002</v>
      </c>
      <c r="I115" s="29">
        <f>C115/100*7.8</f>
        <v>43.793100000000003</v>
      </c>
      <c r="J115" s="29">
        <f>C115/100*43</f>
        <v>241.42350000000002</v>
      </c>
      <c r="K115" s="29">
        <f>C115/100*0.06</f>
        <v>0.33687</v>
      </c>
      <c r="L115" s="374">
        <v>570</v>
      </c>
      <c r="M115" s="26">
        <v>17</v>
      </c>
      <c r="N115" s="135">
        <f t="shared" ref="N115:N117" si="8">L115*M115</f>
        <v>9690</v>
      </c>
      <c r="O115" s="153"/>
      <c r="Q115" s="3"/>
      <c r="R115" s="3"/>
      <c r="S115" s="4"/>
    </row>
    <row r="116" spans="1:23" s="2" customFormat="1" ht="20.399999999999999" customHeight="1">
      <c r="A116" s="9">
        <v>8</v>
      </c>
      <c r="B116" s="10" t="s">
        <v>3</v>
      </c>
      <c r="C116" s="23">
        <f>L116/100*98</f>
        <v>558.6</v>
      </c>
      <c r="D116" s="24">
        <f>C116/100*118</f>
        <v>659.14800000000002</v>
      </c>
      <c r="E116" s="119">
        <f>C116/100*21</f>
        <v>117.30600000000001</v>
      </c>
      <c r="F116" s="25"/>
      <c r="G116" s="25">
        <f>C116/100*3.8</f>
        <v>21.226800000000001</v>
      </c>
      <c r="H116" s="25"/>
      <c r="I116" s="25"/>
      <c r="J116" s="25">
        <f>C116/100*12</f>
        <v>67.032000000000011</v>
      </c>
      <c r="K116" s="25">
        <f>C116/100*0.1</f>
        <v>0.5586000000000001</v>
      </c>
      <c r="L116" s="137">
        <v>570</v>
      </c>
      <c r="M116" s="143">
        <v>260</v>
      </c>
      <c r="N116" s="135">
        <f t="shared" si="8"/>
        <v>148200</v>
      </c>
      <c r="O116" s="153"/>
    </row>
    <row r="117" spans="1:23" s="2" customFormat="1" ht="18.600000000000001" customHeight="1">
      <c r="A117" s="9">
        <v>9</v>
      </c>
      <c r="B117" s="5" t="s">
        <v>69</v>
      </c>
      <c r="C117" s="23">
        <f>L117/100*48</f>
        <v>662.40000000000009</v>
      </c>
      <c r="D117" s="24">
        <f>C117/100*199</f>
        <v>1318.1760000000002</v>
      </c>
      <c r="E117" s="119">
        <f>C117/100*20.3</f>
        <v>134.46720000000002</v>
      </c>
      <c r="F117" s="25"/>
      <c r="G117" s="25">
        <f>C117/100*13.1</f>
        <v>86.7744</v>
      </c>
      <c r="H117" s="25"/>
      <c r="I117" s="25"/>
      <c r="J117" s="27">
        <f>C117/100*12</f>
        <v>79.488</v>
      </c>
      <c r="K117" s="27">
        <f>C117/100*0.15</f>
        <v>0.99360000000000004</v>
      </c>
      <c r="L117" s="137">
        <v>1380</v>
      </c>
      <c r="M117" s="137">
        <v>84</v>
      </c>
      <c r="N117" s="28">
        <f t="shared" si="8"/>
        <v>115920</v>
      </c>
      <c r="O117" s="153"/>
      <c r="Q117" s="3"/>
      <c r="R117" s="3"/>
      <c r="S117" s="4"/>
    </row>
    <row r="118" spans="1:23" s="2" customFormat="1" ht="19.2" customHeight="1">
      <c r="A118" s="9">
        <v>10</v>
      </c>
      <c r="B118" s="5" t="s">
        <v>136</v>
      </c>
      <c r="C118" s="23">
        <f>L118/100*100</f>
        <v>30</v>
      </c>
      <c r="D118" s="24">
        <f>C118/100*247</f>
        <v>74.099999999999994</v>
      </c>
      <c r="E118" s="29"/>
      <c r="F118" s="29">
        <f>C118/100*17.5</f>
        <v>5.25</v>
      </c>
      <c r="G118" s="29"/>
      <c r="H118" s="29">
        <f>C118/100*1.6</f>
        <v>0.48</v>
      </c>
      <c r="I118" s="29">
        <f>C118/100*39.2</f>
        <v>11.76</v>
      </c>
      <c r="J118" s="71"/>
      <c r="K118" s="71"/>
      <c r="L118" s="374">
        <v>30</v>
      </c>
      <c r="M118" s="75">
        <v>50</v>
      </c>
      <c r="N118" s="28">
        <f t="shared" ref="N118" si="9">L118*M118</f>
        <v>1500</v>
      </c>
      <c r="O118" s="153"/>
      <c r="Q118" s="3"/>
      <c r="R118" s="3"/>
      <c r="S118" s="4"/>
      <c r="T118" s="3"/>
    </row>
    <row r="119" spans="1:23" s="2" customFormat="1" ht="19.2" customHeight="1">
      <c r="A119" s="9">
        <v>11</v>
      </c>
      <c r="B119" s="6" t="s">
        <v>123</v>
      </c>
      <c r="C119" s="23"/>
      <c r="D119" s="24"/>
      <c r="E119" s="25"/>
      <c r="F119" s="25"/>
      <c r="G119" s="25"/>
      <c r="H119" s="25"/>
      <c r="I119" s="25"/>
      <c r="J119" s="27"/>
      <c r="K119" s="27"/>
      <c r="L119" s="26"/>
      <c r="M119" s="26"/>
      <c r="N119" s="28">
        <v>3000</v>
      </c>
      <c r="O119" s="153"/>
    </row>
    <row r="120" spans="1:23" s="2" customFormat="1" ht="19.2" customHeight="1">
      <c r="A120" s="21" t="s">
        <v>119</v>
      </c>
      <c r="B120" s="22"/>
      <c r="C120" s="34"/>
      <c r="D120" s="121">
        <f>SUM(D109:D119)</f>
        <v>10405.369499999997</v>
      </c>
      <c r="E120" s="43"/>
      <c r="F120" s="43"/>
      <c r="G120" s="43"/>
      <c r="H120" s="43"/>
      <c r="I120" s="43"/>
      <c r="J120" s="43"/>
      <c r="K120" s="43"/>
      <c r="L120" s="44"/>
      <c r="M120" s="308"/>
      <c r="N120" s="193">
        <f>SUM(N109:N119)</f>
        <v>348296</v>
      </c>
      <c r="O120" s="153"/>
    </row>
    <row r="121" spans="1:23" ht="19.2" customHeight="1">
      <c r="A121" s="21" t="s">
        <v>36</v>
      </c>
      <c r="B121" s="22"/>
      <c r="C121" s="61"/>
      <c r="D121" s="48">
        <f>D120/D89</f>
        <v>273.82551315789465</v>
      </c>
      <c r="E121" s="48"/>
      <c r="F121" s="48"/>
      <c r="G121" s="48"/>
      <c r="H121" s="48"/>
      <c r="I121" s="48"/>
      <c r="J121" s="48"/>
      <c r="K121" s="48"/>
      <c r="L121" s="62"/>
      <c r="M121" s="309"/>
      <c r="N121" s="235"/>
      <c r="O121" s="4"/>
      <c r="P121" s="2"/>
      <c r="Q121" s="2"/>
      <c r="R121" s="2"/>
      <c r="S121" s="2"/>
      <c r="T121" s="2"/>
      <c r="U121" s="2"/>
      <c r="V121" s="2"/>
    </row>
    <row r="122" spans="1:23" ht="19.2" customHeight="1">
      <c r="A122" s="294" t="s">
        <v>54</v>
      </c>
      <c r="B122" s="226"/>
      <c r="C122" s="376" t="s">
        <v>151</v>
      </c>
      <c r="D122" s="20" t="s">
        <v>46</v>
      </c>
      <c r="E122" s="46"/>
      <c r="F122" s="46"/>
      <c r="G122" s="46"/>
      <c r="H122" s="46"/>
      <c r="I122" s="46"/>
      <c r="J122" s="48"/>
      <c r="K122" s="48"/>
      <c r="L122" s="47"/>
      <c r="M122" s="47"/>
      <c r="N122" s="177"/>
      <c r="O122" s="4"/>
      <c r="P122" s="2"/>
      <c r="Q122" s="2"/>
      <c r="R122" s="2"/>
      <c r="S122" s="2"/>
      <c r="T122" s="2"/>
      <c r="U122" s="2"/>
      <c r="V122" s="2"/>
      <c r="W122" s="2"/>
    </row>
    <row r="123" spans="1:23" ht="19.2" customHeight="1">
      <c r="A123" s="227"/>
      <c r="B123" s="228"/>
      <c r="C123" s="76" t="s">
        <v>60</v>
      </c>
      <c r="D123" s="20">
        <f>D121*100/930</f>
        <v>29.443603565365017</v>
      </c>
      <c r="E123" s="46"/>
      <c r="F123" s="46"/>
      <c r="G123" s="46"/>
      <c r="H123" s="46"/>
      <c r="I123" s="46"/>
      <c r="J123" s="48"/>
      <c r="K123" s="48"/>
      <c r="L123" s="47"/>
      <c r="M123" s="47"/>
      <c r="N123" s="177"/>
      <c r="O123" s="4"/>
      <c r="P123" s="2"/>
      <c r="Q123" s="2"/>
      <c r="R123" s="2"/>
      <c r="S123" s="2"/>
      <c r="T123" s="2"/>
      <c r="U123" s="2"/>
      <c r="V123" s="2"/>
      <c r="W123" s="2"/>
    </row>
    <row r="124" spans="1:23" ht="19.2" customHeight="1">
      <c r="A124" s="236" t="s">
        <v>35</v>
      </c>
      <c r="B124" s="236"/>
      <c r="C124" s="63"/>
      <c r="D124" s="64"/>
      <c r="E124" s="64"/>
      <c r="F124" s="64"/>
      <c r="G124" s="64"/>
      <c r="H124" s="64"/>
      <c r="I124" s="64"/>
      <c r="J124" s="64"/>
      <c r="K124" s="64"/>
      <c r="L124" s="65"/>
      <c r="M124" s="65"/>
      <c r="N124" s="66"/>
      <c r="O124" s="4"/>
      <c r="P124" s="2"/>
      <c r="Q124" s="2"/>
      <c r="R124" s="2"/>
      <c r="S124" s="2"/>
      <c r="T124" s="2"/>
      <c r="U124" s="2"/>
      <c r="V124" s="2"/>
    </row>
    <row r="125" spans="1:23" s="2" customFormat="1" ht="19.2" customHeight="1">
      <c r="A125" s="109">
        <v>1</v>
      </c>
      <c r="B125" s="154" t="s">
        <v>149</v>
      </c>
      <c r="C125" s="34">
        <f>L125/100*100</f>
        <v>650</v>
      </c>
      <c r="D125" s="110">
        <f>C125/100*487</f>
        <v>3165.5</v>
      </c>
      <c r="E125" s="36"/>
      <c r="F125" s="129">
        <f>C125/100*19.5</f>
        <v>126.75</v>
      </c>
      <c r="G125" s="129"/>
      <c r="H125" s="129">
        <f>C125/100*23.2</f>
        <v>150.79999999999998</v>
      </c>
      <c r="I125" s="36">
        <f>C125/100*46</f>
        <v>299</v>
      </c>
      <c r="J125" s="129">
        <f>C125/100*680</f>
        <v>4420</v>
      </c>
      <c r="K125" s="36">
        <f>C125/100*0.55</f>
        <v>3.5750000000000002</v>
      </c>
      <c r="L125" s="37">
        <v>650</v>
      </c>
      <c r="M125" s="155">
        <v>260</v>
      </c>
      <c r="N125" s="111">
        <f t="shared" ref="N125" si="10">L125*M125</f>
        <v>169000</v>
      </c>
      <c r="O125" s="153"/>
      <c r="P125" s="3"/>
    </row>
    <row r="126" spans="1:23" ht="20.399999999999999" customHeight="1">
      <c r="A126" s="209" t="s">
        <v>0</v>
      </c>
      <c r="B126" s="212" t="s">
        <v>19</v>
      </c>
      <c r="C126" s="363" t="s">
        <v>8</v>
      </c>
      <c r="D126" s="215" t="s">
        <v>9</v>
      </c>
      <c r="E126" s="359" t="s">
        <v>11</v>
      </c>
      <c r="F126" s="360"/>
      <c r="G126" s="359" t="s">
        <v>13</v>
      </c>
      <c r="H126" s="360"/>
      <c r="I126" s="222" t="s">
        <v>16</v>
      </c>
      <c r="J126" s="222" t="s">
        <v>41</v>
      </c>
      <c r="K126" s="222" t="s">
        <v>42</v>
      </c>
      <c r="L126" s="222" t="s">
        <v>17</v>
      </c>
      <c r="M126" s="222" t="s">
        <v>57</v>
      </c>
      <c r="N126" s="209" t="s">
        <v>18</v>
      </c>
      <c r="O126" s="373"/>
    </row>
    <row r="127" spans="1:23" ht="20.399999999999999" customHeight="1">
      <c r="A127" s="210"/>
      <c r="B127" s="213"/>
      <c r="C127" s="364"/>
      <c r="D127" s="216"/>
      <c r="E127" s="361"/>
      <c r="F127" s="362"/>
      <c r="G127" s="361"/>
      <c r="H127" s="362"/>
      <c r="I127" s="223"/>
      <c r="J127" s="223"/>
      <c r="K127" s="223"/>
      <c r="L127" s="223"/>
      <c r="M127" s="223"/>
      <c r="N127" s="210"/>
      <c r="O127" s="176"/>
    </row>
    <row r="128" spans="1:23" ht="20.399999999999999" customHeight="1">
      <c r="A128" s="210"/>
      <c r="B128" s="213"/>
      <c r="C128" s="364"/>
      <c r="D128" s="216"/>
      <c r="E128" s="222" t="s">
        <v>10</v>
      </c>
      <c r="F128" s="222" t="s">
        <v>12</v>
      </c>
      <c r="G128" s="222" t="s">
        <v>94</v>
      </c>
      <c r="H128" s="222" t="s">
        <v>15</v>
      </c>
      <c r="I128" s="223"/>
      <c r="J128" s="223"/>
      <c r="K128" s="223"/>
      <c r="L128" s="223"/>
      <c r="M128" s="223"/>
      <c r="N128" s="210"/>
      <c r="O128" s="176"/>
    </row>
    <row r="129" spans="1:23" ht="20.399999999999999" customHeight="1">
      <c r="A129" s="211"/>
      <c r="B129" s="214"/>
      <c r="C129" s="365"/>
      <c r="D129" s="217"/>
      <c r="E129" s="224"/>
      <c r="F129" s="224"/>
      <c r="G129" s="224"/>
      <c r="H129" s="224"/>
      <c r="I129" s="224"/>
      <c r="J129" s="224"/>
      <c r="K129" s="224"/>
      <c r="L129" s="224"/>
      <c r="M129" s="224"/>
      <c r="N129" s="211"/>
      <c r="O129" s="176"/>
    </row>
    <row r="130" spans="1:23" s="2" customFormat="1" ht="21" customHeight="1">
      <c r="A130" s="21" t="s">
        <v>110</v>
      </c>
      <c r="B130" s="22"/>
      <c r="C130" s="34"/>
      <c r="D130" s="35">
        <f>SUM(D124:D125)</f>
        <v>3165.5</v>
      </c>
      <c r="E130" s="43"/>
      <c r="F130" s="43"/>
      <c r="G130" s="43"/>
      <c r="H130" s="43"/>
      <c r="I130" s="43"/>
      <c r="J130" s="82"/>
      <c r="K130" s="43"/>
      <c r="L130" s="44"/>
      <c r="M130" s="308"/>
      <c r="N130" s="193">
        <f>SUM(N124:N125)</f>
        <v>169000</v>
      </c>
      <c r="O130" s="153"/>
    </row>
    <row r="131" spans="1:23" ht="21" customHeight="1">
      <c r="A131" s="21" t="s">
        <v>7</v>
      </c>
      <c r="B131" s="22"/>
      <c r="C131" s="45"/>
      <c r="D131" s="46">
        <f>D130/D89</f>
        <v>83.30263157894737</v>
      </c>
      <c r="E131" s="46"/>
      <c r="F131" s="46"/>
      <c r="G131" s="46"/>
      <c r="H131" s="46"/>
      <c r="I131" s="46"/>
      <c r="J131" s="83"/>
      <c r="K131" s="46"/>
      <c r="L131" s="47"/>
      <c r="M131" s="309"/>
      <c r="N131" s="194"/>
      <c r="O131" s="4"/>
      <c r="P131" s="2"/>
      <c r="Q131" s="2"/>
      <c r="R131" s="2"/>
      <c r="S131" s="2"/>
      <c r="T131" s="2"/>
      <c r="U131" s="2"/>
      <c r="V131" s="2"/>
    </row>
    <row r="132" spans="1:23" ht="21" customHeight="1">
      <c r="A132" s="294" t="s">
        <v>52</v>
      </c>
      <c r="B132" s="226"/>
      <c r="C132" s="376" t="s">
        <v>151</v>
      </c>
      <c r="D132" s="20" t="s">
        <v>50</v>
      </c>
      <c r="E132" s="46"/>
      <c r="F132" s="46"/>
      <c r="G132" s="46"/>
      <c r="H132" s="46"/>
      <c r="I132" s="46"/>
      <c r="J132" s="48"/>
      <c r="K132" s="48"/>
      <c r="L132" s="47"/>
      <c r="M132" s="47"/>
      <c r="N132" s="177"/>
      <c r="O132" s="4"/>
      <c r="P132" s="2"/>
      <c r="Q132" s="2"/>
      <c r="R132" s="2"/>
      <c r="S132" s="2"/>
      <c r="T132" s="2"/>
      <c r="U132" s="2"/>
      <c r="V132" s="2"/>
      <c r="W132" s="2"/>
    </row>
    <row r="133" spans="1:23" ht="21" customHeight="1">
      <c r="A133" s="227"/>
      <c r="B133" s="228"/>
      <c r="C133" s="76" t="s">
        <v>60</v>
      </c>
      <c r="D133" s="20">
        <f>D131*100/930</f>
        <v>8.9572722127900395</v>
      </c>
      <c r="E133" s="46"/>
      <c r="F133" s="46"/>
      <c r="G133" s="46"/>
      <c r="H133" s="46"/>
      <c r="I133" s="46"/>
      <c r="J133" s="48"/>
      <c r="K133" s="48"/>
      <c r="L133" s="47"/>
      <c r="M133" s="47"/>
      <c r="N133" s="177"/>
      <c r="O133" s="4"/>
      <c r="P133" s="2"/>
      <c r="Q133" s="2"/>
      <c r="R133" s="2"/>
      <c r="S133" s="2"/>
      <c r="T133" s="2"/>
      <c r="U133" s="2"/>
      <c r="V133" s="2"/>
      <c r="W133" s="2"/>
    </row>
    <row r="134" spans="1:23" ht="21" customHeight="1">
      <c r="A134" s="286" t="s">
        <v>107</v>
      </c>
      <c r="B134" s="287"/>
      <c r="C134" s="290"/>
      <c r="D134" s="302">
        <f>D104+D120+D130</f>
        <v>24595.8295</v>
      </c>
      <c r="E134" s="50">
        <f t="shared" ref="E134:K134" si="11">SUM(E95:E125)</f>
        <v>577.77390000000003</v>
      </c>
      <c r="F134" s="50">
        <f t="shared" si="11"/>
        <v>428.56174999999996</v>
      </c>
      <c r="G134" s="50">
        <f t="shared" si="11"/>
        <v>687.7355</v>
      </c>
      <c r="H134" s="50">
        <f t="shared" si="11"/>
        <v>291.72489999999993</v>
      </c>
      <c r="I134" s="254">
        <f t="shared" si="11"/>
        <v>2838.1167</v>
      </c>
      <c r="J134" s="284">
        <f t="shared" si="11"/>
        <v>7517.9514999999992</v>
      </c>
      <c r="K134" s="284">
        <f t="shared" si="11"/>
        <v>13.042739999999998</v>
      </c>
      <c r="L134" s="97"/>
      <c r="M134" s="97"/>
      <c r="N134" s="366">
        <f>N104+N120+N130</f>
        <v>835868</v>
      </c>
      <c r="U134" s="12"/>
      <c r="V134" s="12"/>
    </row>
    <row r="135" spans="1:23" ht="21" customHeight="1">
      <c r="A135" s="288"/>
      <c r="B135" s="289"/>
      <c r="C135" s="291"/>
      <c r="D135" s="303"/>
      <c r="E135" s="327">
        <f>E134+F134</f>
        <v>1006.33565</v>
      </c>
      <c r="F135" s="328"/>
      <c r="G135" s="327">
        <f>G134+H134</f>
        <v>979.46039999999994</v>
      </c>
      <c r="H135" s="328"/>
      <c r="I135" s="256"/>
      <c r="J135" s="285"/>
      <c r="K135" s="285"/>
      <c r="L135" s="99"/>
      <c r="M135" s="99"/>
      <c r="N135" s="367"/>
      <c r="U135" s="12"/>
      <c r="V135" s="12"/>
    </row>
    <row r="136" spans="1:23" ht="21" customHeight="1">
      <c r="A136" s="269" t="s">
        <v>77</v>
      </c>
      <c r="B136" s="270"/>
      <c r="C136" s="271"/>
      <c r="D136" s="133">
        <f>D134/D89</f>
        <v>647.2586710526316</v>
      </c>
      <c r="E136" s="378">
        <f>E134/D89</f>
        <v>15.204576315789474</v>
      </c>
      <c r="F136" s="379">
        <f>F134/D89</f>
        <v>11.277940789473684</v>
      </c>
      <c r="G136" s="378">
        <f>G134/D89</f>
        <v>18.098302631578946</v>
      </c>
      <c r="H136" s="379">
        <f>H134/D89</f>
        <v>7.6769710526315773</v>
      </c>
      <c r="I136" s="264">
        <f>I134/D89</f>
        <v>74.687281578947363</v>
      </c>
      <c r="J136" s="329">
        <f>J134/D89</f>
        <v>197.84082894736841</v>
      </c>
      <c r="K136" s="329">
        <f>K134/D89</f>
        <v>0.34322999999999998</v>
      </c>
      <c r="L136" s="97"/>
      <c r="M136" s="97"/>
      <c r="N136" s="100"/>
      <c r="P136" s="368"/>
      <c r="Q136" s="370"/>
      <c r="R136" s="370"/>
      <c r="S136" s="370"/>
      <c r="T136" s="370"/>
      <c r="U136" s="380"/>
      <c r="V136" s="380"/>
    </row>
    <row r="137" spans="1:23" ht="21" customHeight="1">
      <c r="A137" s="272"/>
      <c r="B137" s="273"/>
      <c r="C137" s="274"/>
      <c r="D137" s="127"/>
      <c r="E137" s="391">
        <f>E136+F136</f>
        <v>26.482517105263156</v>
      </c>
      <c r="F137" s="392"/>
      <c r="G137" s="391">
        <f>G136+H136</f>
        <v>25.775273684210525</v>
      </c>
      <c r="H137" s="392"/>
      <c r="I137" s="265"/>
      <c r="J137" s="329"/>
      <c r="K137" s="329"/>
      <c r="L137" s="98"/>
      <c r="M137" s="98"/>
      <c r="N137" s="101"/>
      <c r="P137" s="383"/>
      <c r="Q137" s="370"/>
      <c r="R137" s="370"/>
      <c r="S137" s="393"/>
      <c r="T137" s="393"/>
      <c r="U137" s="370"/>
      <c r="V137" s="370"/>
    </row>
    <row r="138" spans="1:23" ht="21" customHeight="1">
      <c r="A138" s="305" t="s">
        <v>80</v>
      </c>
      <c r="B138" s="306"/>
      <c r="C138" s="307"/>
      <c r="D138" s="179" t="s">
        <v>29</v>
      </c>
      <c r="E138" s="183" t="s">
        <v>24</v>
      </c>
      <c r="F138" s="183"/>
      <c r="G138" s="183" t="s">
        <v>25</v>
      </c>
      <c r="H138" s="183"/>
      <c r="I138" s="394" t="s">
        <v>26</v>
      </c>
      <c r="J138" s="174">
        <v>500</v>
      </c>
      <c r="K138" s="174">
        <v>0.5</v>
      </c>
      <c r="L138" s="98"/>
      <c r="M138" s="98"/>
      <c r="N138" s="101"/>
      <c r="O138" s="385"/>
      <c r="P138" s="368"/>
      <c r="Q138" s="368"/>
      <c r="R138" s="368"/>
      <c r="S138" s="368"/>
      <c r="T138" s="368"/>
      <c r="U138" s="368"/>
      <c r="V138" s="368"/>
    </row>
    <row r="139" spans="1:23" ht="21" customHeight="1">
      <c r="A139" s="243" t="s">
        <v>78</v>
      </c>
      <c r="B139" s="275"/>
      <c r="C139" s="244"/>
      <c r="D139" s="49"/>
      <c r="E139" s="276">
        <f>E137*4.1</f>
        <v>108.57832013157893</v>
      </c>
      <c r="F139" s="277"/>
      <c r="G139" s="276">
        <f>G137*9</f>
        <v>231.97746315789473</v>
      </c>
      <c r="H139" s="277"/>
      <c r="I139" s="85">
        <f>I136*4.1</f>
        <v>306.21785447368416</v>
      </c>
      <c r="J139" s="257"/>
      <c r="K139" s="257"/>
      <c r="L139" s="98"/>
      <c r="M139" s="98"/>
      <c r="N139" s="101"/>
      <c r="O139" s="385"/>
      <c r="P139" s="386"/>
      <c r="Q139" s="369"/>
      <c r="R139" s="369"/>
      <c r="S139" s="369"/>
      <c r="T139" s="368"/>
      <c r="U139" s="368"/>
      <c r="V139" s="368"/>
    </row>
    <row r="140" spans="1:23" ht="21" customHeight="1">
      <c r="A140" s="278" t="s">
        <v>87</v>
      </c>
      <c r="B140" s="279"/>
      <c r="C140" s="243" t="s">
        <v>59</v>
      </c>
      <c r="D140" s="244"/>
      <c r="E140" s="189">
        <f>E139*100/D136</f>
        <v>16.775104759121863</v>
      </c>
      <c r="F140" s="190"/>
      <c r="G140" s="189">
        <f>G139*100/D136</f>
        <v>35.839993117532387</v>
      </c>
      <c r="H140" s="190"/>
      <c r="I140" s="116">
        <f>I139*100/D136</f>
        <v>47.309965577700879</v>
      </c>
      <c r="J140" s="258"/>
      <c r="K140" s="258"/>
      <c r="L140" s="98"/>
      <c r="M140" s="98"/>
      <c r="N140" s="101"/>
      <c r="O140" s="385"/>
      <c r="P140" s="368"/>
      <c r="Q140" s="368"/>
      <c r="R140" s="368"/>
      <c r="S140" s="368"/>
      <c r="T140" s="368"/>
      <c r="U140" s="368"/>
      <c r="V140" s="368"/>
    </row>
    <row r="141" spans="1:23" ht="21" customHeight="1">
      <c r="A141" s="280"/>
      <c r="B141" s="281"/>
      <c r="C141" s="243" t="s">
        <v>79</v>
      </c>
      <c r="D141" s="244"/>
      <c r="E141" s="243" t="s">
        <v>82</v>
      </c>
      <c r="F141" s="244"/>
      <c r="G141" s="243" t="s">
        <v>85</v>
      </c>
      <c r="H141" s="244"/>
      <c r="I141" s="179" t="s">
        <v>86</v>
      </c>
      <c r="J141" s="259"/>
      <c r="K141" s="259"/>
      <c r="L141" s="99"/>
      <c r="M141" s="99"/>
      <c r="N141" s="102"/>
      <c r="O141" s="385"/>
      <c r="P141" s="132"/>
    </row>
    <row r="142" spans="1:23" ht="21" customHeight="1">
      <c r="A142" s="90"/>
      <c r="B142" s="90"/>
      <c r="C142" s="90"/>
      <c r="D142" s="90"/>
      <c r="E142" s="90"/>
      <c r="F142" s="90"/>
      <c r="G142" s="90"/>
      <c r="H142" s="90"/>
      <c r="I142" s="90"/>
      <c r="J142" s="90"/>
      <c r="K142" s="90"/>
      <c r="L142" s="94"/>
      <c r="M142" s="94"/>
      <c r="N142" s="95"/>
      <c r="O142" s="385"/>
    </row>
    <row r="143" spans="1:23" ht="21" customHeight="1">
      <c r="A143" s="184" t="s">
        <v>114</v>
      </c>
      <c r="B143" s="184"/>
      <c r="C143" s="184"/>
      <c r="D143" s="184"/>
      <c r="E143" s="184"/>
      <c r="F143" s="184"/>
      <c r="G143" s="184"/>
      <c r="H143" s="184"/>
      <c r="I143" s="184"/>
      <c r="J143" s="184"/>
      <c r="K143" s="184"/>
      <c r="L143" s="184"/>
      <c r="M143" s="184"/>
      <c r="N143" s="184"/>
      <c r="O143" s="385"/>
    </row>
    <row r="144" spans="1:23" ht="21" customHeight="1">
      <c r="A144" s="117" t="s">
        <v>115</v>
      </c>
      <c r="B144" s="185" t="s">
        <v>116</v>
      </c>
      <c r="C144" s="185"/>
      <c r="D144" s="185"/>
      <c r="E144" s="185"/>
      <c r="F144" s="185"/>
      <c r="G144" s="185"/>
      <c r="H144" s="185"/>
      <c r="I144" s="185"/>
      <c r="J144" s="185"/>
      <c r="K144" s="185"/>
      <c r="L144" s="185"/>
      <c r="M144" s="185"/>
      <c r="N144" s="185"/>
      <c r="O144" s="385"/>
    </row>
    <row r="145" spans="1:15" ht="21" customHeight="1">
      <c r="A145" s="118"/>
      <c r="B145" s="186" t="s">
        <v>225</v>
      </c>
      <c r="C145" s="186"/>
      <c r="D145" s="186"/>
      <c r="E145" s="186"/>
      <c r="F145" s="186"/>
      <c r="G145" s="186"/>
      <c r="H145" s="186"/>
      <c r="I145" s="186"/>
      <c r="J145" s="186"/>
      <c r="K145" s="186"/>
      <c r="L145" s="186"/>
      <c r="M145" s="186"/>
      <c r="N145" s="186"/>
      <c r="O145" s="385"/>
    </row>
    <row r="146" spans="1:15" ht="21" customHeight="1">
      <c r="A146" s="118"/>
      <c r="B146" s="186" t="s">
        <v>226</v>
      </c>
      <c r="C146" s="186"/>
      <c r="D146" s="186"/>
      <c r="E146" s="186"/>
      <c r="F146" s="186"/>
      <c r="G146" s="186"/>
      <c r="H146" s="186"/>
      <c r="I146" s="186"/>
      <c r="J146" s="186"/>
      <c r="K146" s="186"/>
      <c r="L146" s="186"/>
      <c r="M146" s="186"/>
      <c r="N146" s="186"/>
      <c r="O146" s="385"/>
    </row>
    <row r="147" spans="1:15" ht="21" customHeight="1">
      <c r="A147" s="118"/>
      <c r="B147" s="186" t="s">
        <v>227</v>
      </c>
      <c r="C147" s="186"/>
      <c r="D147" s="186"/>
      <c r="E147" s="186"/>
      <c r="F147" s="186"/>
      <c r="G147" s="186"/>
      <c r="H147" s="186"/>
      <c r="I147" s="186"/>
      <c r="J147" s="186"/>
      <c r="K147" s="186"/>
      <c r="L147" s="186"/>
      <c r="M147" s="186"/>
      <c r="N147" s="186"/>
      <c r="O147" s="385"/>
    </row>
    <row r="148" spans="1:15" ht="21" customHeight="1">
      <c r="A148" s="90"/>
      <c r="B148" s="187" t="s">
        <v>129</v>
      </c>
      <c r="C148" s="187"/>
      <c r="D148" s="187"/>
      <c r="E148" s="187"/>
      <c r="F148" s="187"/>
      <c r="G148" s="187"/>
      <c r="H148" s="187"/>
      <c r="I148" s="187"/>
      <c r="J148" s="187"/>
      <c r="K148" s="187"/>
      <c r="L148" s="187"/>
      <c r="M148" s="187"/>
      <c r="N148" s="187"/>
      <c r="O148" s="385"/>
    </row>
    <row r="149" spans="1:15" ht="21" customHeight="1">
      <c r="A149" s="90"/>
      <c r="B149" s="90"/>
      <c r="C149" s="90"/>
      <c r="D149" s="90"/>
      <c r="E149" s="90"/>
      <c r="F149" s="90"/>
      <c r="G149" s="90"/>
      <c r="H149" s="90"/>
      <c r="I149" s="90"/>
      <c r="J149" s="90"/>
      <c r="K149" s="90"/>
      <c r="L149" s="94"/>
      <c r="M149" s="94"/>
      <c r="N149" s="95"/>
      <c r="O149" s="385"/>
    </row>
    <row r="150" spans="1:15" ht="21" customHeight="1">
      <c r="A150" s="188" t="s">
        <v>62</v>
      </c>
      <c r="B150" s="188"/>
      <c r="C150" s="188"/>
      <c r="D150" s="188"/>
      <c r="E150" s="387"/>
      <c r="F150" s="387"/>
      <c r="G150" s="387"/>
      <c r="H150" s="387"/>
      <c r="I150" s="387"/>
      <c r="J150" s="388" t="s">
        <v>33</v>
      </c>
      <c r="K150" s="388"/>
      <c r="L150" s="388"/>
      <c r="M150" s="388"/>
      <c r="N150" s="388"/>
      <c r="O150" s="385"/>
    </row>
    <row r="151" spans="1:15" ht="21" customHeight="1">
      <c r="A151" s="176"/>
      <c r="B151" s="176"/>
      <c r="C151" s="176"/>
      <c r="D151" s="387"/>
      <c r="E151" s="387"/>
      <c r="F151" s="387"/>
      <c r="G151" s="387"/>
      <c r="H151" s="389"/>
      <c r="I151" s="389"/>
      <c r="J151" s="389"/>
      <c r="K151" s="389"/>
      <c r="L151" s="389"/>
      <c r="M151" s="389"/>
      <c r="N151" s="389"/>
      <c r="O151" s="385"/>
    </row>
    <row r="152" spans="1:15" ht="21" customHeight="1">
      <c r="A152" s="176"/>
      <c r="B152" s="176"/>
      <c r="C152" s="176"/>
      <c r="D152" s="387"/>
      <c r="E152" s="387"/>
      <c r="F152" s="387"/>
      <c r="G152" s="387"/>
      <c r="H152" s="389"/>
      <c r="I152" s="389"/>
      <c r="J152" s="389"/>
      <c r="K152" s="389"/>
      <c r="L152" s="389"/>
      <c r="M152" s="389"/>
      <c r="N152" s="389"/>
      <c r="O152" s="385"/>
    </row>
    <row r="153" spans="1:15" ht="21" customHeight="1">
      <c r="A153" s="176"/>
      <c r="B153" s="176"/>
      <c r="C153" s="176"/>
      <c r="D153" s="387"/>
      <c r="E153" s="387"/>
      <c r="F153" s="387"/>
      <c r="G153" s="387"/>
      <c r="H153" s="389"/>
      <c r="I153" s="389"/>
      <c r="J153" s="390" t="s">
        <v>124</v>
      </c>
      <c r="K153" s="390"/>
      <c r="L153" s="390"/>
      <c r="M153" s="390"/>
      <c r="N153" s="390"/>
      <c r="O153" s="385"/>
    </row>
    <row r="154" spans="1:15" ht="21" customHeight="1">
      <c r="A154" s="180" t="s">
        <v>91</v>
      </c>
      <c r="B154" s="180"/>
      <c r="C154" s="180"/>
      <c r="D154" s="180"/>
      <c r="E154" s="387"/>
      <c r="F154" s="387"/>
      <c r="G154" s="387"/>
      <c r="H154" s="389"/>
      <c r="I154" s="389"/>
      <c r="O154" s="385"/>
    </row>
    <row r="156" spans="1:15" ht="21" customHeight="1">
      <c r="J156" s="390" t="s">
        <v>127</v>
      </c>
      <c r="K156" s="390"/>
      <c r="L156" s="390"/>
      <c r="M156" s="390"/>
      <c r="N156" s="390"/>
    </row>
  </sheetData>
  <mergeCells count="201">
    <mergeCell ref="J153:N153"/>
    <mergeCell ref="B145:N145"/>
    <mergeCell ref="B146:N146"/>
    <mergeCell ref="G128:G129"/>
    <mergeCell ref="H128:H129"/>
    <mergeCell ref="G126:H127"/>
    <mergeCell ref="I126:I129"/>
    <mergeCell ref="J126:J129"/>
    <mergeCell ref="G141:H141"/>
    <mergeCell ref="N126:N129"/>
    <mergeCell ref="A139:C139"/>
    <mergeCell ref="E139:F139"/>
    <mergeCell ref="G139:H139"/>
    <mergeCell ref="J139:J141"/>
    <mergeCell ref="K139:K141"/>
    <mergeCell ref="A140:B141"/>
    <mergeCell ref="A136:C137"/>
    <mergeCell ref="A138:C138"/>
    <mergeCell ref="I136:I137"/>
    <mergeCell ref="A126:A129"/>
    <mergeCell ref="B126:B129"/>
    <mergeCell ref="C126:C129"/>
    <mergeCell ref="D126:D129"/>
    <mergeCell ref="E126:F127"/>
    <mergeCell ref="A108:B108"/>
    <mergeCell ref="M120:M121"/>
    <mergeCell ref="N120:N121"/>
    <mergeCell ref="A150:D150"/>
    <mergeCell ref="J150:N150"/>
    <mergeCell ref="A132:B133"/>
    <mergeCell ref="A122:B123"/>
    <mergeCell ref="M130:M131"/>
    <mergeCell ref="K126:K129"/>
    <mergeCell ref="A124:B124"/>
    <mergeCell ref="E128:E129"/>
    <mergeCell ref="F128:F129"/>
    <mergeCell ref="L126:L129"/>
    <mergeCell ref="M126:M129"/>
    <mergeCell ref="E137:F137"/>
    <mergeCell ref="G137:H137"/>
    <mergeCell ref="E138:F138"/>
    <mergeCell ref="G138:H138"/>
    <mergeCell ref="E135:F135"/>
    <mergeCell ref="G135:H135"/>
    <mergeCell ref="K50:K51"/>
    <mergeCell ref="J52:J53"/>
    <mergeCell ref="K52:K53"/>
    <mergeCell ref="A52:C53"/>
    <mergeCell ref="A54:C54"/>
    <mergeCell ref="E53:F53"/>
    <mergeCell ref="A154:D154"/>
    <mergeCell ref="J156:N156"/>
    <mergeCell ref="C140:D140"/>
    <mergeCell ref="N134:N135"/>
    <mergeCell ref="B147:N147"/>
    <mergeCell ref="B148:N148"/>
    <mergeCell ref="E141:F141"/>
    <mergeCell ref="A134:B135"/>
    <mergeCell ref="C134:C135"/>
    <mergeCell ref="D134:D135"/>
    <mergeCell ref="I134:I135"/>
    <mergeCell ref="A143:N143"/>
    <mergeCell ref="B144:N144"/>
    <mergeCell ref="E140:F140"/>
    <mergeCell ref="G140:H140"/>
    <mergeCell ref="C141:D141"/>
    <mergeCell ref="N130:N131"/>
    <mergeCell ref="A106:B107"/>
    <mergeCell ref="E4:I7"/>
    <mergeCell ref="J4:N7"/>
    <mergeCell ref="A5:D5"/>
    <mergeCell ref="F1:N1"/>
    <mergeCell ref="D50:D51"/>
    <mergeCell ref="M46:M47"/>
    <mergeCell ref="M25:M26"/>
    <mergeCell ref="A13:N13"/>
    <mergeCell ref="A42:A45"/>
    <mergeCell ref="B42:B45"/>
    <mergeCell ref="C42:C45"/>
    <mergeCell ref="N46:N47"/>
    <mergeCell ref="A48:B49"/>
    <mergeCell ref="N25:N26"/>
    <mergeCell ref="D42:D45"/>
    <mergeCell ref="E42:F43"/>
    <mergeCell ref="G42:H43"/>
    <mergeCell ref="K42:K45"/>
    <mergeCell ref="A9:A12"/>
    <mergeCell ref="B9:B12"/>
    <mergeCell ref="C9:C12"/>
    <mergeCell ref="D9:D12"/>
    <mergeCell ref="E9:F10"/>
    <mergeCell ref="J50:J51"/>
    <mergeCell ref="G9:H10"/>
    <mergeCell ref="I9:I12"/>
    <mergeCell ref="L9:L12"/>
    <mergeCell ref="N9:N12"/>
    <mergeCell ref="E11:E12"/>
    <mergeCell ref="F11:F12"/>
    <mergeCell ref="G11:G12"/>
    <mergeCell ref="H11:H12"/>
    <mergeCell ref="M9:M12"/>
    <mergeCell ref="A3:D3"/>
    <mergeCell ref="E3:N3"/>
    <mergeCell ref="G44:G45"/>
    <mergeCell ref="A8:C8"/>
    <mergeCell ref="J9:J12"/>
    <mergeCell ref="K9:K12"/>
    <mergeCell ref="A4:D4"/>
    <mergeCell ref="A84:D85"/>
    <mergeCell ref="E85:I85"/>
    <mergeCell ref="J85:N85"/>
    <mergeCell ref="J66:N66"/>
    <mergeCell ref="A50:B51"/>
    <mergeCell ref="A6:D6"/>
    <mergeCell ref="A7:D7"/>
    <mergeCell ref="A55:C55"/>
    <mergeCell ref="E55:F55"/>
    <mergeCell ref="F82:N82"/>
    <mergeCell ref="A56:B57"/>
    <mergeCell ref="A66:D66"/>
    <mergeCell ref="H44:H45"/>
    <mergeCell ref="I50:I51"/>
    <mergeCell ref="E51:F51"/>
    <mergeCell ref="I52:I53"/>
    <mergeCell ref="L42:L45"/>
    <mergeCell ref="A27:B28"/>
    <mergeCell ref="A29:B29"/>
    <mergeCell ref="G54:H54"/>
    <mergeCell ref="A59:N59"/>
    <mergeCell ref="U52:V52"/>
    <mergeCell ref="U53:V53"/>
    <mergeCell ref="L50:L57"/>
    <mergeCell ref="M50:M57"/>
    <mergeCell ref="N50:N57"/>
    <mergeCell ref="J55:J57"/>
    <mergeCell ref="G51:H51"/>
    <mergeCell ref="N42:N45"/>
    <mergeCell ref="K55:K57"/>
    <mergeCell ref="C56:D56"/>
    <mergeCell ref="E56:F56"/>
    <mergeCell ref="E54:F54"/>
    <mergeCell ref="I42:I45"/>
    <mergeCell ref="J42:J45"/>
    <mergeCell ref="E44:E45"/>
    <mergeCell ref="F44:F45"/>
    <mergeCell ref="M42:M45"/>
    <mergeCell ref="C50:C51"/>
    <mergeCell ref="G53:H53"/>
    <mergeCell ref="G56:H56"/>
    <mergeCell ref="Q52:R52"/>
    <mergeCell ref="S52:T52"/>
    <mergeCell ref="Q53:R53"/>
    <mergeCell ref="S53:T53"/>
    <mergeCell ref="E92:E93"/>
    <mergeCell ref="A90:A93"/>
    <mergeCell ref="B90:B93"/>
    <mergeCell ref="C90:C93"/>
    <mergeCell ref="D90:D93"/>
    <mergeCell ref="J69:N69"/>
    <mergeCell ref="E86:I88"/>
    <mergeCell ref="J86:N88"/>
    <mergeCell ref="A87:D87"/>
    <mergeCell ref="A88:D88"/>
    <mergeCell ref="A70:D70"/>
    <mergeCell ref="J72:N72"/>
    <mergeCell ref="A86:D86"/>
    <mergeCell ref="L90:L93"/>
    <mergeCell ref="B60:N60"/>
    <mergeCell ref="B61:N61"/>
    <mergeCell ref="B62:N62"/>
    <mergeCell ref="B63:N63"/>
    <mergeCell ref="B64:N64"/>
    <mergeCell ref="A89:C89"/>
    <mergeCell ref="M104:M105"/>
    <mergeCell ref="N104:N105"/>
    <mergeCell ref="G55:H55"/>
    <mergeCell ref="F92:F93"/>
    <mergeCell ref="G92:G93"/>
    <mergeCell ref="J90:J93"/>
    <mergeCell ref="K90:K93"/>
    <mergeCell ref="M90:M93"/>
    <mergeCell ref="G90:H91"/>
    <mergeCell ref="I90:I93"/>
    <mergeCell ref="H92:H93"/>
    <mergeCell ref="N90:N93"/>
    <mergeCell ref="E90:F91"/>
    <mergeCell ref="E84:N84"/>
    <mergeCell ref="A94:N94"/>
    <mergeCell ref="C57:D57"/>
    <mergeCell ref="E57:F57"/>
    <mergeCell ref="G57:H57"/>
    <mergeCell ref="U136:V136"/>
    <mergeCell ref="J136:J137"/>
    <mergeCell ref="K136:K137"/>
    <mergeCell ref="J134:J135"/>
    <mergeCell ref="K134:K135"/>
    <mergeCell ref="U137:V137"/>
    <mergeCell ref="Q136:R136"/>
    <mergeCell ref="S136:T136"/>
    <mergeCell ref="Q137:R137"/>
    <mergeCell ref="S137:T137"/>
  </mergeCells>
  <pageMargins left="0.5" right="7.4999999999999997E-2" top="0.4375" bottom="0.36458333333333331" header="0.3" footer="0.3"/>
  <pageSetup paperSize="9"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T2-T3</vt:lpstr>
      <vt:lpstr>T3-T3</vt:lpstr>
      <vt:lpstr>T4-T3</vt:lpstr>
      <vt:lpstr>T5-T3</vt:lpstr>
      <vt:lpstr>T6-T3</vt:lpstr>
      <vt:lpstr>T7-T3</vt:lpstr>
      <vt:lpstr>Sheet1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HTC</dc:creator>
  <cp:lastModifiedBy>IEC</cp:lastModifiedBy>
  <cp:lastPrinted>2026-03-20T04:11:52Z</cp:lastPrinted>
  <dcterms:created xsi:type="dcterms:W3CDTF">2015-10-28T22:11:29Z</dcterms:created>
  <dcterms:modified xsi:type="dcterms:W3CDTF">2026-03-22T01:35:44Z</dcterms:modified>
</cp:coreProperties>
</file>