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5192" windowHeight="8700"/>
  </bookViews>
  <sheets>
    <sheet name="T2-T3" sheetId="12" r:id="rId1"/>
    <sheet name="T3-T3" sheetId="15" r:id="rId2"/>
    <sheet name="T4-T3" sheetId="16" r:id="rId3"/>
    <sheet name="T5-T3" sheetId="17" r:id="rId4"/>
    <sheet name="T6-T3" sheetId="18" r:id="rId5"/>
    <sheet name="T7-T3" sheetId="19" r:id="rId6"/>
  </sheets>
  <calcPr calcId="124519"/>
</workbook>
</file>

<file path=xl/calcChain.xml><?xml version="1.0" encoding="utf-8"?>
<calcChain xmlns="http://schemas.openxmlformats.org/spreadsheetml/2006/main">
  <c r="I116" i="17"/>
  <c r="D18"/>
  <c r="I34" i="16"/>
  <c r="I21"/>
  <c r="D101" i="15"/>
  <c r="D114"/>
  <c r="H35" i="17"/>
  <c r="F35"/>
  <c r="C35"/>
  <c r="I35" s="1"/>
  <c r="N35"/>
  <c r="K35" l="1"/>
  <c r="J35"/>
  <c r="D35"/>
  <c r="N101" i="12"/>
  <c r="J101"/>
  <c r="I101"/>
  <c r="C101"/>
  <c r="K101" s="1"/>
  <c r="N19"/>
  <c r="C19"/>
  <c r="J19" s="1"/>
  <c r="D101" l="1"/>
  <c r="I19"/>
  <c r="D19"/>
  <c r="K19"/>
  <c r="C21" i="18"/>
  <c r="I21" s="1"/>
  <c r="N24"/>
  <c r="C24"/>
  <c r="I24" s="1"/>
  <c r="N102" i="16"/>
  <c r="C102"/>
  <c r="F102" s="1"/>
  <c r="C25"/>
  <c r="D25" s="1"/>
  <c r="N124" i="12"/>
  <c r="C124"/>
  <c r="H124" s="1"/>
  <c r="N107"/>
  <c r="C107"/>
  <c r="H107" s="1"/>
  <c r="C39"/>
  <c r="D39" s="1"/>
  <c r="C23"/>
  <c r="D23" s="1"/>
  <c r="C130" i="18"/>
  <c r="J130" s="1"/>
  <c r="N130"/>
  <c r="C131"/>
  <c r="I131" s="1"/>
  <c r="N131"/>
  <c r="C132"/>
  <c r="F132" s="1"/>
  <c r="N132"/>
  <c r="C133"/>
  <c r="E133" s="1"/>
  <c r="N133"/>
  <c r="C134"/>
  <c r="I134" s="1"/>
  <c r="N134"/>
  <c r="N117" i="19"/>
  <c r="C117"/>
  <c r="D117" s="1"/>
  <c r="N116"/>
  <c r="C116"/>
  <c r="D116" s="1"/>
  <c r="N115"/>
  <c r="C115"/>
  <c r="D115" s="1"/>
  <c r="N101"/>
  <c r="C101"/>
  <c r="F101" s="1"/>
  <c r="N37"/>
  <c r="C37"/>
  <c r="F37" s="1"/>
  <c r="N39"/>
  <c r="C39"/>
  <c r="D39" s="1"/>
  <c r="N38"/>
  <c r="C38"/>
  <c r="D38" s="1"/>
  <c r="C22"/>
  <c r="K22" s="1"/>
  <c r="N21"/>
  <c r="C21"/>
  <c r="F21" s="1"/>
  <c r="F115" l="1"/>
  <c r="H115"/>
  <c r="E116"/>
  <c r="D21" i="18"/>
  <c r="J21"/>
  <c r="H21"/>
  <c r="F21"/>
  <c r="F124" i="12"/>
  <c r="F24" i="18"/>
  <c r="D24"/>
  <c r="K24"/>
  <c r="D102" i="16"/>
  <c r="K107" i="12"/>
  <c r="I23"/>
  <c r="F23"/>
  <c r="J23"/>
  <c r="J24" i="18"/>
  <c r="K102" i="16"/>
  <c r="J102"/>
  <c r="I102"/>
  <c r="H102"/>
  <c r="K25"/>
  <c r="J25"/>
  <c r="I25"/>
  <c r="H25"/>
  <c r="F25"/>
  <c r="J107" i="12"/>
  <c r="J124"/>
  <c r="I124"/>
  <c r="D124"/>
  <c r="K124"/>
  <c r="I107"/>
  <c r="F107"/>
  <c r="D107"/>
  <c r="K39"/>
  <c r="J39"/>
  <c r="H39"/>
  <c r="I39"/>
  <c r="F39"/>
  <c r="H130" i="18"/>
  <c r="K130"/>
  <c r="D130"/>
  <c r="F130"/>
  <c r="I130"/>
  <c r="G133"/>
  <c r="I132"/>
  <c r="J133"/>
  <c r="K133"/>
  <c r="J132"/>
  <c r="K132"/>
  <c r="H132"/>
  <c r="F131"/>
  <c r="D131"/>
  <c r="D134"/>
  <c r="F134"/>
  <c r="D133"/>
  <c r="D132"/>
  <c r="G116" i="19"/>
  <c r="J115"/>
  <c r="K115"/>
  <c r="I115"/>
  <c r="K117"/>
  <c r="J117"/>
  <c r="G117"/>
  <c r="K116"/>
  <c r="J116"/>
  <c r="E117"/>
  <c r="D101"/>
  <c r="J101"/>
  <c r="H101"/>
  <c r="K101"/>
  <c r="I101"/>
  <c r="J38"/>
  <c r="J22"/>
  <c r="I22"/>
  <c r="F22"/>
  <c r="D22"/>
  <c r="E38"/>
  <c r="D37"/>
  <c r="K38"/>
  <c r="H37"/>
  <c r="K37"/>
  <c r="J37"/>
  <c r="I37"/>
  <c r="J39"/>
  <c r="K39"/>
  <c r="G39"/>
  <c r="E39"/>
  <c r="G38"/>
  <c r="D21"/>
  <c r="K21"/>
  <c r="J21"/>
  <c r="I21"/>
  <c r="H21"/>
  <c r="N108" i="18"/>
  <c r="D108"/>
  <c r="C108"/>
  <c r="F108" s="1"/>
  <c r="N107"/>
  <c r="C107"/>
  <c r="D107" s="1"/>
  <c r="N106"/>
  <c r="F106"/>
  <c r="C106"/>
  <c r="D106" s="1"/>
  <c r="N39"/>
  <c r="C39"/>
  <c r="D39" s="1"/>
  <c r="N44"/>
  <c r="C44"/>
  <c r="F44" s="1"/>
  <c r="N41"/>
  <c r="C41"/>
  <c r="F41" s="1"/>
  <c r="N42"/>
  <c r="C42"/>
  <c r="E42" s="1"/>
  <c r="N38"/>
  <c r="C38"/>
  <c r="D38" s="1"/>
  <c r="D139" l="1"/>
  <c r="F107"/>
  <c r="F39"/>
  <c r="I107"/>
  <c r="I44"/>
  <c r="I106"/>
  <c r="K108"/>
  <c r="J108"/>
  <c r="I108"/>
  <c r="K106"/>
  <c r="K107"/>
  <c r="J106"/>
  <c r="J107"/>
  <c r="H106"/>
  <c r="H107"/>
  <c r="D44"/>
  <c r="I39"/>
  <c r="K41"/>
  <c r="J41"/>
  <c r="I41"/>
  <c r="D41"/>
  <c r="H41"/>
  <c r="D42"/>
  <c r="K42"/>
  <c r="J42"/>
  <c r="G42"/>
  <c r="K38"/>
  <c r="J38"/>
  <c r="I38"/>
  <c r="H38"/>
  <c r="F38"/>
  <c r="N23" l="1"/>
  <c r="C23"/>
  <c r="D23" s="1"/>
  <c r="N22"/>
  <c r="C22"/>
  <c r="F22" s="1"/>
  <c r="N104" i="17"/>
  <c r="C104"/>
  <c r="H104" s="1"/>
  <c r="N103"/>
  <c r="C103"/>
  <c r="F103" s="1"/>
  <c r="N102"/>
  <c r="C102"/>
  <c r="D102" s="1"/>
  <c r="N34"/>
  <c r="C34"/>
  <c r="H34" s="1"/>
  <c r="N24"/>
  <c r="C24"/>
  <c r="H24" s="1"/>
  <c r="N23"/>
  <c r="C23"/>
  <c r="H23" s="1"/>
  <c r="N20"/>
  <c r="C20"/>
  <c r="G20" s="1"/>
  <c r="F24" l="1"/>
  <c r="D103"/>
  <c r="G102"/>
  <c r="E102"/>
  <c r="K34"/>
  <c r="I103"/>
  <c r="E20"/>
  <c r="D22" i="18"/>
  <c r="K23"/>
  <c r="J23"/>
  <c r="F23"/>
  <c r="K22"/>
  <c r="I23"/>
  <c r="H23"/>
  <c r="J22"/>
  <c r="I22"/>
  <c r="H22"/>
  <c r="K104" i="17"/>
  <c r="J104"/>
  <c r="F104"/>
  <c r="D104"/>
  <c r="I104"/>
  <c r="K103"/>
  <c r="J103"/>
  <c r="H103"/>
  <c r="D20"/>
  <c r="F34"/>
  <c r="J34"/>
  <c r="D34"/>
  <c r="I34"/>
  <c r="D24"/>
  <c r="I23"/>
  <c r="F23"/>
  <c r="D23"/>
  <c r="J24"/>
  <c r="I24"/>
  <c r="J23"/>
  <c r="K23"/>
  <c r="K24"/>
  <c r="N124" i="16" l="1"/>
  <c r="C124"/>
  <c r="D124" s="1"/>
  <c r="N41"/>
  <c r="C41"/>
  <c r="F41" s="1"/>
  <c r="N25"/>
  <c r="N103" i="15"/>
  <c r="C103"/>
  <c r="D103" s="1"/>
  <c r="N21"/>
  <c r="F21"/>
  <c r="C21"/>
  <c r="J21" s="1"/>
  <c r="N20"/>
  <c r="J20"/>
  <c r="H20"/>
  <c r="C20"/>
  <c r="F20" s="1"/>
  <c r="N24"/>
  <c r="C24"/>
  <c r="D24" s="1"/>
  <c r="N102" i="12"/>
  <c r="C102"/>
  <c r="D102" s="1"/>
  <c r="N104"/>
  <c r="C104"/>
  <c r="J104" s="1"/>
  <c r="N103"/>
  <c r="C103"/>
  <c r="E103" s="1"/>
  <c r="N108"/>
  <c r="C108"/>
  <c r="H108" s="1"/>
  <c r="N39"/>
  <c r="N20"/>
  <c r="C20"/>
  <c r="N22"/>
  <c r="C22"/>
  <c r="E22" s="1"/>
  <c r="N24"/>
  <c r="C24"/>
  <c r="H24" s="1"/>
  <c r="N23"/>
  <c r="I124" i="16" l="1"/>
  <c r="H124"/>
  <c r="D20" i="15"/>
  <c r="I21"/>
  <c r="D20" i="12"/>
  <c r="E20"/>
  <c r="J24" i="15"/>
  <c r="G24"/>
  <c r="K24"/>
  <c r="E24"/>
  <c r="D21"/>
  <c r="K21"/>
  <c r="K103" i="12"/>
  <c r="K23"/>
  <c r="E104"/>
  <c r="D104"/>
  <c r="J103"/>
  <c r="K104"/>
  <c r="G104"/>
  <c r="J124" i="16"/>
  <c r="K41"/>
  <c r="J41"/>
  <c r="H41"/>
  <c r="D41"/>
  <c r="K124"/>
  <c r="F124"/>
  <c r="I41"/>
  <c r="K103" i="15"/>
  <c r="I103"/>
  <c r="H103"/>
  <c r="J103"/>
  <c r="F103"/>
  <c r="K20"/>
  <c r="I20"/>
  <c r="J108" i="12"/>
  <c r="F108"/>
  <c r="H23"/>
  <c r="D108"/>
  <c r="E102"/>
  <c r="G102"/>
  <c r="K102"/>
  <c r="J102"/>
  <c r="D103"/>
  <c r="G103"/>
  <c r="K108"/>
  <c r="I108"/>
  <c r="K20"/>
  <c r="J20"/>
  <c r="G20"/>
  <c r="D22"/>
  <c r="K22"/>
  <c r="J22"/>
  <c r="G22"/>
  <c r="F24"/>
  <c r="D24"/>
  <c r="K24"/>
  <c r="J24"/>
  <c r="I24"/>
  <c r="N139" i="18" l="1"/>
  <c r="N125" i="19" l="1"/>
  <c r="C125"/>
  <c r="J125" s="1"/>
  <c r="N40"/>
  <c r="C40"/>
  <c r="K40" s="1"/>
  <c r="K125" l="1"/>
  <c r="D125"/>
  <c r="I125"/>
  <c r="D40"/>
  <c r="I40"/>
  <c r="F125"/>
  <c r="H125"/>
  <c r="J40"/>
  <c r="H40"/>
  <c r="F40"/>
  <c r="N127" i="15"/>
  <c r="C127"/>
  <c r="J127" s="1"/>
  <c r="N42"/>
  <c r="C42"/>
  <c r="N131" i="12"/>
  <c r="C131"/>
  <c r="N36"/>
  <c r="C36"/>
  <c r="D36" s="1"/>
  <c r="N41"/>
  <c r="C41"/>
  <c r="D41" s="1"/>
  <c r="K127" i="15" l="1"/>
  <c r="D127"/>
  <c r="I127"/>
  <c r="D42"/>
  <c r="I42"/>
  <c r="D131" i="12"/>
  <c r="I131"/>
  <c r="K42" i="15"/>
  <c r="H127"/>
  <c r="J42"/>
  <c r="H42"/>
  <c r="F127"/>
  <c r="F42"/>
  <c r="K131" i="12"/>
  <c r="J131"/>
  <c r="H131"/>
  <c r="F131"/>
  <c r="H36"/>
  <c r="K41"/>
  <c r="J41"/>
  <c r="I41"/>
  <c r="H41"/>
  <c r="F41"/>
  <c r="N99" i="19" l="1"/>
  <c r="C99"/>
  <c r="G99" s="1"/>
  <c r="N19"/>
  <c r="C19"/>
  <c r="I19" s="1"/>
  <c r="D99" l="1"/>
  <c r="E99"/>
  <c r="J19"/>
  <c r="D19"/>
  <c r="E19"/>
  <c r="K99"/>
  <c r="J99"/>
  <c r="I99"/>
  <c r="K19"/>
  <c r="G19"/>
  <c r="C116" i="15" l="1"/>
  <c r="H116" s="1"/>
  <c r="N116"/>
  <c r="N111" i="19"/>
  <c r="C111"/>
  <c r="H111" s="1"/>
  <c r="N32"/>
  <c r="C32"/>
  <c r="D32" s="1"/>
  <c r="H32" l="1"/>
  <c r="D116" i="15"/>
  <c r="G116"/>
  <c r="D111" i="19"/>
  <c r="N102" i="18" l="1"/>
  <c r="C102"/>
  <c r="D102" s="1"/>
  <c r="N17"/>
  <c r="C17"/>
  <c r="H17" s="1"/>
  <c r="N37" i="17"/>
  <c r="C37"/>
  <c r="H37" s="1"/>
  <c r="N114"/>
  <c r="C114"/>
  <c r="D114" s="1"/>
  <c r="H102" i="18" l="1"/>
  <c r="D17"/>
  <c r="D37" i="17"/>
  <c r="H114"/>
  <c r="N18" i="16" l="1"/>
  <c r="C18"/>
  <c r="D18" s="1"/>
  <c r="N37"/>
  <c r="C37"/>
  <c r="D37" s="1"/>
  <c r="G18" l="1"/>
  <c r="H37"/>
  <c r="N24" l="1"/>
  <c r="C24"/>
  <c r="E24" s="1"/>
  <c r="N101"/>
  <c r="C101"/>
  <c r="G101" s="1"/>
  <c r="C111"/>
  <c r="D111" s="1"/>
  <c r="N111"/>
  <c r="N95"/>
  <c r="C95"/>
  <c r="D95" s="1"/>
  <c r="N39" i="15"/>
  <c r="C39"/>
  <c r="D39" s="1"/>
  <c r="N117" i="12"/>
  <c r="C117"/>
  <c r="H117" s="1"/>
  <c r="C118"/>
  <c r="I118" s="1"/>
  <c r="N118"/>
  <c r="J118" l="1"/>
  <c r="K118"/>
  <c r="E101" i="16"/>
  <c r="D101"/>
  <c r="J101"/>
  <c r="K101"/>
  <c r="J24"/>
  <c r="D24"/>
  <c r="K24"/>
  <c r="G24"/>
  <c r="G111"/>
  <c r="H95"/>
  <c r="H39" i="15"/>
  <c r="D117" i="12"/>
  <c r="D118"/>
  <c r="F118"/>
  <c r="H118"/>
  <c r="N102" i="19" l="1"/>
  <c r="K102"/>
  <c r="C102"/>
  <c r="H102" s="1"/>
  <c r="N23"/>
  <c r="C23"/>
  <c r="D23" s="1"/>
  <c r="N22"/>
  <c r="J102" l="1"/>
  <c r="I102"/>
  <c r="H23"/>
  <c r="I23"/>
  <c r="F23"/>
  <c r="J23"/>
  <c r="K23"/>
  <c r="F102"/>
  <c r="D102"/>
  <c r="H22"/>
  <c r="N117" i="17" l="1"/>
  <c r="C117"/>
  <c r="N115" i="16"/>
  <c r="C115"/>
  <c r="F115" s="1"/>
  <c r="N40"/>
  <c r="C40"/>
  <c r="F40" s="1"/>
  <c r="N35"/>
  <c r="C35"/>
  <c r="H35" s="1"/>
  <c r="N34"/>
  <c r="C34"/>
  <c r="N41" i="15"/>
  <c r="C41"/>
  <c r="E41" s="1"/>
  <c r="F117" i="17" l="1"/>
  <c r="K117"/>
  <c r="D117"/>
  <c r="I117"/>
  <c r="J117"/>
  <c r="H34" i="16"/>
  <c r="K35"/>
  <c r="K34"/>
  <c r="F35"/>
  <c r="J115"/>
  <c r="D115"/>
  <c r="D40"/>
  <c r="K41" i="15"/>
  <c r="J41"/>
  <c r="G41"/>
  <c r="D41"/>
  <c r="K115" i="16"/>
  <c r="I115"/>
  <c r="J40"/>
  <c r="F34"/>
  <c r="D34"/>
  <c r="D35"/>
  <c r="K40"/>
  <c r="I40"/>
  <c r="J34"/>
  <c r="J35"/>
  <c r="I35"/>
  <c r="N119" i="12" l="1"/>
  <c r="C119"/>
  <c r="D119" s="1"/>
  <c r="N109"/>
  <c r="C109"/>
  <c r="F109" s="1"/>
  <c r="N38"/>
  <c r="C38"/>
  <c r="D38" s="1"/>
  <c r="N34"/>
  <c r="C34"/>
  <c r="D34" s="1"/>
  <c r="N27"/>
  <c r="C27"/>
  <c r="D27" s="1"/>
  <c r="H109" l="1"/>
  <c r="D109"/>
  <c r="I109"/>
  <c r="F38"/>
  <c r="I38"/>
  <c r="H38"/>
  <c r="I119"/>
  <c r="H119"/>
  <c r="F119"/>
  <c r="I34"/>
  <c r="H34"/>
  <c r="F34"/>
  <c r="H27"/>
  <c r="I27"/>
  <c r="F27"/>
  <c r="N121" i="15" l="1"/>
  <c r="C121"/>
  <c r="D121" s="1"/>
  <c r="N104"/>
  <c r="C104"/>
  <c r="D104" s="1"/>
  <c r="N17"/>
  <c r="C17"/>
  <c r="N38"/>
  <c r="C38"/>
  <c r="D38" s="1"/>
  <c r="N37"/>
  <c r="C37"/>
  <c r="D37" s="1"/>
  <c r="N22"/>
  <c r="C22"/>
  <c r="D22" s="1"/>
  <c r="F37" l="1"/>
  <c r="G17"/>
  <c r="D17"/>
  <c r="I121"/>
  <c r="H121"/>
  <c r="F121"/>
  <c r="I104"/>
  <c r="H104"/>
  <c r="F104"/>
  <c r="G38"/>
  <c r="H22"/>
  <c r="F22"/>
  <c r="I37"/>
  <c r="H37"/>
  <c r="I22"/>
  <c r="N126" i="17"/>
  <c r="C126"/>
  <c r="D126" s="1"/>
  <c r="N40"/>
  <c r="C40"/>
  <c r="I40" s="1"/>
  <c r="D40" l="1"/>
  <c r="J126"/>
  <c r="I126"/>
  <c r="F126"/>
  <c r="J40"/>
  <c r="F40"/>
  <c r="N131" l="1"/>
  <c r="N119"/>
  <c r="C119"/>
  <c r="D119" s="1"/>
  <c r="N118"/>
  <c r="C118"/>
  <c r="F118" s="1"/>
  <c r="N116"/>
  <c r="C116"/>
  <c r="N115"/>
  <c r="C115"/>
  <c r="K115" s="1"/>
  <c r="N113"/>
  <c r="C113"/>
  <c r="N112"/>
  <c r="C112"/>
  <c r="J112" s="1"/>
  <c r="N105"/>
  <c r="C105"/>
  <c r="I105" s="1"/>
  <c r="N101"/>
  <c r="C101"/>
  <c r="G101" s="1"/>
  <c r="N100"/>
  <c r="C100"/>
  <c r="E100" s="1"/>
  <c r="N99"/>
  <c r="C99"/>
  <c r="I99" s="1"/>
  <c r="N98"/>
  <c r="C98"/>
  <c r="N97"/>
  <c r="C97"/>
  <c r="E97" s="1"/>
  <c r="N39"/>
  <c r="C39"/>
  <c r="N38"/>
  <c r="C38"/>
  <c r="D38" s="1"/>
  <c r="N36"/>
  <c r="C36"/>
  <c r="N33"/>
  <c r="C33"/>
  <c r="D33" s="1"/>
  <c r="N26"/>
  <c r="C26"/>
  <c r="H26" s="1"/>
  <c r="N25"/>
  <c r="C25"/>
  <c r="F25" s="1"/>
  <c r="N22"/>
  <c r="C22"/>
  <c r="D22" s="1"/>
  <c r="N21"/>
  <c r="C21"/>
  <c r="K21" s="1"/>
  <c r="N19"/>
  <c r="C19"/>
  <c r="J19" s="1"/>
  <c r="N18"/>
  <c r="C18"/>
  <c r="N17"/>
  <c r="C17"/>
  <c r="N16"/>
  <c r="C16"/>
  <c r="D16" s="1"/>
  <c r="C110" i="19"/>
  <c r="N110"/>
  <c r="C96"/>
  <c r="N96"/>
  <c r="N94" i="16"/>
  <c r="C94"/>
  <c r="N113"/>
  <c r="C113"/>
  <c r="D113" s="1"/>
  <c r="N103"/>
  <c r="C103"/>
  <c r="D103" s="1"/>
  <c r="N39"/>
  <c r="C39"/>
  <c r="D39" s="1"/>
  <c r="N27"/>
  <c r="C27"/>
  <c r="D27" s="1"/>
  <c r="I18" i="17" l="1"/>
  <c r="K116"/>
  <c r="D96" i="19"/>
  <c r="G96"/>
  <c r="F99" i="17"/>
  <c r="D98"/>
  <c r="G98"/>
  <c r="D17"/>
  <c r="G17"/>
  <c r="G39"/>
  <c r="G100"/>
  <c r="G110" i="19"/>
  <c r="D110"/>
  <c r="D36" i="17"/>
  <c r="G36"/>
  <c r="D113"/>
  <c r="G113"/>
  <c r="D94" i="16"/>
  <c r="G94"/>
  <c r="K18" i="17"/>
  <c r="G21"/>
  <c r="J25"/>
  <c r="J33"/>
  <c r="D19"/>
  <c r="J100"/>
  <c r="D112"/>
  <c r="I25"/>
  <c r="D25"/>
  <c r="D97"/>
  <c r="G22"/>
  <c r="I26"/>
  <c r="J16"/>
  <c r="F26"/>
  <c r="H99"/>
  <c r="H118"/>
  <c r="D26"/>
  <c r="D118"/>
  <c r="K119"/>
  <c r="H38"/>
  <c r="K97"/>
  <c r="K99"/>
  <c r="K112"/>
  <c r="F38"/>
  <c r="J97"/>
  <c r="E112"/>
  <c r="H116"/>
  <c r="I118"/>
  <c r="G119"/>
  <c r="E119"/>
  <c r="N107"/>
  <c r="D105"/>
  <c r="N121"/>
  <c r="H115"/>
  <c r="N28"/>
  <c r="N46"/>
  <c r="K19"/>
  <c r="H18"/>
  <c r="G19"/>
  <c r="J21"/>
  <c r="K22"/>
  <c r="E39"/>
  <c r="D99"/>
  <c r="D100"/>
  <c r="E101"/>
  <c r="H105"/>
  <c r="J115"/>
  <c r="J116"/>
  <c r="K39"/>
  <c r="J18"/>
  <c r="I101"/>
  <c r="K16"/>
  <c r="F18"/>
  <c r="E19"/>
  <c r="I21"/>
  <c r="J22"/>
  <c r="K25"/>
  <c r="K33"/>
  <c r="D39"/>
  <c r="D101"/>
  <c r="F105"/>
  <c r="I115"/>
  <c r="E16"/>
  <c r="E21"/>
  <c r="E22"/>
  <c r="E33"/>
  <c r="F115"/>
  <c r="F116"/>
  <c r="D21"/>
  <c r="I38"/>
  <c r="J99"/>
  <c r="K100"/>
  <c r="K101"/>
  <c r="D115"/>
  <c r="D116"/>
  <c r="J119"/>
  <c r="D131"/>
  <c r="D132" s="1"/>
  <c r="D134" s="1"/>
  <c r="J101"/>
  <c r="J39"/>
  <c r="I113" i="16"/>
  <c r="F113"/>
  <c r="H113"/>
  <c r="F103"/>
  <c r="I103"/>
  <c r="H103"/>
  <c r="I39"/>
  <c r="H39"/>
  <c r="F39"/>
  <c r="I27"/>
  <c r="H27"/>
  <c r="F27"/>
  <c r="G135" i="17" l="1"/>
  <c r="G137" s="1"/>
  <c r="I135"/>
  <c r="I137" s="1"/>
  <c r="D28"/>
  <c r="D29" s="1"/>
  <c r="D31" s="1"/>
  <c r="E135"/>
  <c r="E137" s="1"/>
  <c r="I50"/>
  <c r="I52" s="1"/>
  <c r="K135"/>
  <c r="K137" s="1"/>
  <c r="D121"/>
  <c r="D122" s="1"/>
  <c r="D124" s="1"/>
  <c r="J135"/>
  <c r="J137" s="1"/>
  <c r="N135"/>
  <c r="F135"/>
  <c r="F137" s="1"/>
  <c r="D107"/>
  <c r="D108" s="1"/>
  <c r="D110" s="1"/>
  <c r="D46"/>
  <c r="D47" s="1"/>
  <c r="D49" s="1"/>
  <c r="E50"/>
  <c r="E52" s="1"/>
  <c r="H50"/>
  <c r="H52" s="1"/>
  <c r="N50"/>
  <c r="J50"/>
  <c r="J52" s="1"/>
  <c r="H135"/>
  <c r="H137" s="1"/>
  <c r="K50"/>
  <c r="K52" s="1"/>
  <c r="G50"/>
  <c r="F50"/>
  <c r="F52" s="1"/>
  <c r="I55" l="1"/>
  <c r="I56" s="1"/>
  <c r="I140"/>
  <c r="D135"/>
  <c r="D137" s="1"/>
  <c r="E136"/>
  <c r="D50"/>
  <c r="D52" s="1"/>
  <c r="E53"/>
  <c r="E51"/>
  <c r="G52"/>
  <c r="G51"/>
  <c r="G138"/>
  <c r="E138"/>
  <c r="G136"/>
  <c r="N123" i="18"/>
  <c r="C123"/>
  <c r="D123" s="1"/>
  <c r="N109"/>
  <c r="C109"/>
  <c r="D109" s="1"/>
  <c r="N40"/>
  <c r="C40"/>
  <c r="D40" s="1"/>
  <c r="N37"/>
  <c r="C37"/>
  <c r="D37" s="1"/>
  <c r="N35"/>
  <c r="C35"/>
  <c r="K35" s="1"/>
  <c r="N34"/>
  <c r="C34"/>
  <c r="I34" s="1"/>
  <c r="N25"/>
  <c r="C25"/>
  <c r="H25" s="1"/>
  <c r="N118" i="19"/>
  <c r="C118"/>
  <c r="D118" s="1"/>
  <c r="N100"/>
  <c r="C100"/>
  <c r="D100" s="1"/>
  <c r="N36"/>
  <c r="C36"/>
  <c r="I36" s="1"/>
  <c r="C20"/>
  <c r="D20" s="1"/>
  <c r="F36" l="1"/>
  <c r="D34" i="18"/>
  <c r="D35"/>
  <c r="I35"/>
  <c r="F109"/>
  <c r="J35"/>
  <c r="J40"/>
  <c r="H35"/>
  <c r="I40"/>
  <c r="H109"/>
  <c r="I109"/>
  <c r="I37"/>
  <c r="K34"/>
  <c r="I123"/>
  <c r="J34"/>
  <c r="H123"/>
  <c r="K40"/>
  <c r="I141" i="17"/>
  <c r="G53"/>
  <c r="E140"/>
  <c r="E55"/>
  <c r="G140"/>
  <c r="G141" s="1"/>
  <c r="D36" i="19"/>
  <c r="H36"/>
  <c r="I100"/>
  <c r="H100"/>
  <c r="F100"/>
  <c r="I118"/>
  <c r="H20"/>
  <c r="H118"/>
  <c r="F20"/>
  <c r="F118"/>
  <c r="I20"/>
  <c r="H37" i="18"/>
  <c r="F37"/>
  <c r="F123"/>
  <c r="H40"/>
  <c r="F40"/>
  <c r="F34"/>
  <c r="F35"/>
  <c r="H34"/>
  <c r="I25"/>
  <c r="F25"/>
  <c r="D25"/>
  <c r="G55" i="17" l="1"/>
  <c r="G56" s="1"/>
  <c r="E141"/>
  <c r="E56"/>
  <c r="N122" i="18"/>
  <c r="C122"/>
  <c r="D122" s="1"/>
  <c r="N120"/>
  <c r="C120"/>
  <c r="G120" s="1"/>
  <c r="N118"/>
  <c r="C118"/>
  <c r="I118" s="1"/>
  <c r="N121"/>
  <c r="C121"/>
  <c r="D121" s="1"/>
  <c r="N119"/>
  <c r="C119"/>
  <c r="D119" s="1"/>
  <c r="N117"/>
  <c r="C117"/>
  <c r="N116"/>
  <c r="C116"/>
  <c r="D116" s="1"/>
  <c r="N105"/>
  <c r="C105"/>
  <c r="D105" s="1"/>
  <c r="N104"/>
  <c r="C104"/>
  <c r="D104" s="1"/>
  <c r="N103"/>
  <c r="C103"/>
  <c r="I103" s="1"/>
  <c r="N101"/>
  <c r="C101"/>
  <c r="N100"/>
  <c r="C100"/>
  <c r="D100" s="1"/>
  <c r="N43"/>
  <c r="C43"/>
  <c r="D43" s="1"/>
  <c r="N36"/>
  <c r="C36"/>
  <c r="N33"/>
  <c r="C33"/>
  <c r="E33" s="1"/>
  <c r="N21"/>
  <c r="N20"/>
  <c r="C20"/>
  <c r="E20" s="1"/>
  <c r="N19"/>
  <c r="C19"/>
  <c r="E19" s="1"/>
  <c r="N18"/>
  <c r="C18"/>
  <c r="I18" s="1"/>
  <c r="N16"/>
  <c r="C16"/>
  <c r="D16" s="1"/>
  <c r="D103" l="1"/>
  <c r="K118"/>
  <c r="D118"/>
  <c r="F18"/>
  <c r="E105"/>
  <c r="H118"/>
  <c r="F118"/>
  <c r="J100"/>
  <c r="J121"/>
  <c r="K100"/>
  <c r="E116"/>
  <c r="J116"/>
  <c r="J20"/>
  <c r="D36"/>
  <c r="G36"/>
  <c r="E100"/>
  <c r="K116"/>
  <c r="H121"/>
  <c r="F121"/>
  <c r="D18"/>
  <c r="E120"/>
  <c r="I120"/>
  <c r="G117"/>
  <c r="D117"/>
  <c r="D101"/>
  <c r="G101"/>
  <c r="D33"/>
  <c r="J43"/>
  <c r="N111"/>
  <c r="N27"/>
  <c r="K122"/>
  <c r="J122"/>
  <c r="I122"/>
  <c r="H122"/>
  <c r="F122"/>
  <c r="I121"/>
  <c r="K121"/>
  <c r="J120"/>
  <c r="D120"/>
  <c r="K120"/>
  <c r="J118"/>
  <c r="D140"/>
  <c r="D142" s="1"/>
  <c r="K119"/>
  <c r="J119"/>
  <c r="G119"/>
  <c r="E119"/>
  <c r="N125"/>
  <c r="N49"/>
  <c r="G20"/>
  <c r="D20"/>
  <c r="D19"/>
  <c r="K16"/>
  <c r="K43"/>
  <c r="K103"/>
  <c r="J16"/>
  <c r="K18"/>
  <c r="J103"/>
  <c r="K104"/>
  <c r="E16"/>
  <c r="J18"/>
  <c r="K19"/>
  <c r="G43"/>
  <c r="J104"/>
  <c r="K105"/>
  <c r="J19"/>
  <c r="K20"/>
  <c r="K33"/>
  <c r="E43"/>
  <c r="H103"/>
  <c r="G104"/>
  <c r="J105"/>
  <c r="H18"/>
  <c r="G19"/>
  <c r="K21"/>
  <c r="J33"/>
  <c r="F103"/>
  <c r="E104"/>
  <c r="G105"/>
  <c r="N143" l="1"/>
  <c r="D125"/>
  <c r="D111"/>
  <c r="D112" s="1"/>
  <c r="D114" s="1"/>
  <c r="D49"/>
  <c r="D50" s="1"/>
  <c r="D52" s="1"/>
  <c r="F143"/>
  <c r="F145" s="1"/>
  <c r="E143"/>
  <c r="E145" s="1"/>
  <c r="N53"/>
  <c r="I143"/>
  <c r="I145" s="1"/>
  <c r="J143"/>
  <c r="J145" s="1"/>
  <c r="F53"/>
  <c r="F55" s="1"/>
  <c r="D27"/>
  <c r="G53"/>
  <c r="H53"/>
  <c r="H55" s="1"/>
  <c r="G143"/>
  <c r="I53"/>
  <c r="I55" s="1"/>
  <c r="H143"/>
  <c r="H145" s="1"/>
  <c r="K143"/>
  <c r="K145" s="1"/>
  <c r="E53"/>
  <c r="J53"/>
  <c r="J55" s="1"/>
  <c r="K53"/>
  <c r="K55" s="1"/>
  <c r="D126" l="1"/>
  <c r="D128" s="1"/>
  <c r="D143"/>
  <c r="D145" s="1"/>
  <c r="D53"/>
  <c r="D55" s="1"/>
  <c r="E144"/>
  <c r="I148"/>
  <c r="D28"/>
  <c r="D30" s="1"/>
  <c r="G55"/>
  <c r="G54"/>
  <c r="E146"/>
  <c r="E55"/>
  <c r="E54"/>
  <c r="G144"/>
  <c r="G145"/>
  <c r="I58"/>
  <c r="I149" l="1"/>
  <c r="I59"/>
  <c r="G56"/>
  <c r="E148"/>
  <c r="E56"/>
  <c r="G146"/>
  <c r="G58" l="1"/>
  <c r="G59" s="1"/>
  <c r="E149"/>
  <c r="E58"/>
  <c r="G148"/>
  <c r="G149" s="1"/>
  <c r="E59" l="1"/>
  <c r="N129" i="16" l="1"/>
  <c r="N117"/>
  <c r="C117"/>
  <c r="K117" s="1"/>
  <c r="N116"/>
  <c r="C116"/>
  <c r="J116" s="1"/>
  <c r="N114"/>
  <c r="C114"/>
  <c r="H114" s="1"/>
  <c r="N112"/>
  <c r="C112"/>
  <c r="N110"/>
  <c r="C110"/>
  <c r="E110" s="1"/>
  <c r="N100"/>
  <c r="C100"/>
  <c r="G100" s="1"/>
  <c r="N99"/>
  <c r="C99"/>
  <c r="G99" s="1"/>
  <c r="N98"/>
  <c r="C98"/>
  <c r="H98" s="1"/>
  <c r="N97"/>
  <c r="C97"/>
  <c r="H97" s="1"/>
  <c r="N96"/>
  <c r="C96"/>
  <c r="D96" s="1"/>
  <c r="N93"/>
  <c r="C93"/>
  <c r="K93" s="1"/>
  <c r="N38"/>
  <c r="C38"/>
  <c r="K38" s="1"/>
  <c r="N36"/>
  <c r="C36"/>
  <c r="E36" s="1"/>
  <c r="N26"/>
  <c r="C26"/>
  <c r="J26" s="1"/>
  <c r="N23"/>
  <c r="C23"/>
  <c r="G23" s="1"/>
  <c r="N22"/>
  <c r="C22"/>
  <c r="G22" s="1"/>
  <c r="N21"/>
  <c r="C21"/>
  <c r="N20"/>
  <c r="C20"/>
  <c r="H20" s="1"/>
  <c r="N19"/>
  <c r="C19"/>
  <c r="H19" s="1"/>
  <c r="N17"/>
  <c r="C17"/>
  <c r="K17" s="1"/>
  <c r="H112" l="1"/>
  <c r="D112"/>
  <c r="H96"/>
  <c r="D19"/>
  <c r="J110"/>
  <c r="D110"/>
  <c r="K110"/>
  <c r="D93"/>
  <c r="D100"/>
  <c r="H21"/>
  <c r="J93"/>
  <c r="E93"/>
  <c r="D99"/>
  <c r="J17"/>
  <c r="E17"/>
  <c r="D17"/>
  <c r="D20"/>
  <c r="D116"/>
  <c r="N119"/>
  <c r="F21"/>
  <c r="N105"/>
  <c r="D98"/>
  <c r="D117"/>
  <c r="D21"/>
  <c r="H26"/>
  <c r="F26"/>
  <c r="D114"/>
  <c r="D26"/>
  <c r="D97"/>
  <c r="E116"/>
  <c r="D23"/>
  <c r="D38"/>
  <c r="D22"/>
  <c r="N28"/>
  <c r="G117"/>
  <c r="E117"/>
  <c r="N46"/>
  <c r="G38"/>
  <c r="E38"/>
  <c r="K19"/>
  <c r="K21"/>
  <c r="I20"/>
  <c r="I22"/>
  <c r="K26"/>
  <c r="J36"/>
  <c r="I96"/>
  <c r="I98"/>
  <c r="I99"/>
  <c r="J100"/>
  <c r="I112"/>
  <c r="I114"/>
  <c r="K116"/>
  <c r="F19"/>
  <c r="F20"/>
  <c r="E22"/>
  <c r="E23"/>
  <c r="I26"/>
  <c r="D36"/>
  <c r="J38"/>
  <c r="F96"/>
  <c r="F97"/>
  <c r="F98"/>
  <c r="E99"/>
  <c r="E100"/>
  <c r="F112"/>
  <c r="F114"/>
  <c r="G116"/>
  <c r="J117"/>
  <c r="D129"/>
  <c r="D130" s="1"/>
  <c r="D132" s="1"/>
  <c r="K20"/>
  <c r="K22"/>
  <c r="K96"/>
  <c r="K97"/>
  <c r="K98"/>
  <c r="K99"/>
  <c r="K112"/>
  <c r="K114"/>
  <c r="J19"/>
  <c r="J20"/>
  <c r="J21"/>
  <c r="J22"/>
  <c r="K23"/>
  <c r="K36"/>
  <c r="J96"/>
  <c r="J97"/>
  <c r="J98"/>
  <c r="J99"/>
  <c r="K100"/>
  <c r="J112"/>
  <c r="J114"/>
  <c r="I19"/>
  <c r="J23"/>
  <c r="I97"/>
  <c r="D119" l="1"/>
  <c r="D120" s="1"/>
  <c r="D122" s="1"/>
  <c r="H133"/>
  <c r="H135" s="1"/>
  <c r="N133"/>
  <c r="D105"/>
  <c r="D106" s="1"/>
  <c r="D108" s="1"/>
  <c r="H50"/>
  <c r="H52" s="1"/>
  <c r="E50"/>
  <c r="E52" s="1"/>
  <c r="E133"/>
  <c r="E135" s="1"/>
  <c r="G50"/>
  <c r="D28"/>
  <c r="D29" s="1"/>
  <c r="D31" s="1"/>
  <c r="N50"/>
  <c r="G133"/>
  <c r="J133"/>
  <c r="J135" s="1"/>
  <c r="K133"/>
  <c r="K135" s="1"/>
  <c r="D46"/>
  <c r="D47" s="1"/>
  <c r="D49" s="1"/>
  <c r="J50"/>
  <c r="J52" s="1"/>
  <c r="K50"/>
  <c r="K52" s="1"/>
  <c r="I133"/>
  <c r="I135" s="1"/>
  <c r="F50"/>
  <c r="F52" s="1"/>
  <c r="I50"/>
  <c r="I52" s="1"/>
  <c r="F133"/>
  <c r="F135" s="1"/>
  <c r="G134" l="1"/>
  <c r="D133"/>
  <c r="D135" s="1"/>
  <c r="G51"/>
  <c r="G52"/>
  <c r="G53" s="1"/>
  <c r="E134"/>
  <c r="G135"/>
  <c r="G136" s="1"/>
  <c r="D50"/>
  <c r="D52" s="1"/>
  <c r="E51"/>
  <c r="I55"/>
  <c r="E53"/>
  <c r="I138"/>
  <c r="E136"/>
  <c r="I139" l="1"/>
  <c r="I56"/>
  <c r="G138"/>
  <c r="G139" s="1"/>
  <c r="E55"/>
  <c r="E56" s="1"/>
  <c r="E138"/>
  <c r="G55"/>
  <c r="G56" s="1"/>
  <c r="E139" l="1"/>
  <c r="N132" i="15" l="1"/>
  <c r="D132"/>
  <c r="D133" s="1"/>
  <c r="D135" s="1"/>
  <c r="N120"/>
  <c r="C120"/>
  <c r="G120" s="1"/>
  <c r="N119"/>
  <c r="C119"/>
  <c r="I119" s="1"/>
  <c r="N118"/>
  <c r="C118"/>
  <c r="K118" s="1"/>
  <c r="N117"/>
  <c r="C117"/>
  <c r="K117" s="1"/>
  <c r="N115"/>
  <c r="C115"/>
  <c r="K115" s="1"/>
  <c r="N114"/>
  <c r="C114"/>
  <c r="N107"/>
  <c r="C107"/>
  <c r="I107" s="1"/>
  <c r="N106"/>
  <c r="C106"/>
  <c r="N105"/>
  <c r="C105"/>
  <c r="E105" s="1"/>
  <c r="N102"/>
  <c r="C102"/>
  <c r="D102" s="1"/>
  <c r="N101"/>
  <c r="C101"/>
  <c r="N100"/>
  <c r="C100"/>
  <c r="N99"/>
  <c r="C99"/>
  <c r="E99" s="1"/>
  <c r="N40"/>
  <c r="C40"/>
  <c r="H40" s="1"/>
  <c r="N36"/>
  <c r="C36"/>
  <c r="J36" s="1"/>
  <c r="N35"/>
  <c r="C35"/>
  <c r="H35" s="1"/>
  <c r="N34"/>
  <c r="C34"/>
  <c r="D34" s="1"/>
  <c r="N26"/>
  <c r="C26"/>
  <c r="E26" s="1"/>
  <c r="N25"/>
  <c r="C25"/>
  <c r="K25" s="1"/>
  <c r="N23"/>
  <c r="C23"/>
  <c r="J23" s="1"/>
  <c r="N19"/>
  <c r="C19"/>
  <c r="I19" s="1"/>
  <c r="N18"/>
  <c r="C18"/>
  <c r="I18" s="1"/>
  <c r="N16"/>
  <c r="C16"/>
  <c r="D16" s="1"/>
  <c r="I114" l="1"/>
  <c r="D99"/>
  <c r="I101"/>
  <c r="D35"/>
  <c r="H34"/>
  <c r="I34"/>
  <c r="G25"/>
  <c r="H19"/>
  <c r="E36"/>
  <c r="H119"/>
  <c r="F19"/>
  <c r="D19"/>
  <c r="J25"/>
  <c r="I118"/>
  <c r="F34"/>
  <c r="E118"/>
  <c r="D26"/>
  <c r="D115"/>
  <c r="H117"/>
  <c r="F119"/>
  <c r="G106"/>
  <c r="D106"/>
  <c r="J115"/>
  <c r="J118"/>
  <c r="G100"/>
  <c r="D100"/>
  <c r="E120"/>
  <c r="E25"/>
  <c r="D25"/>
  <c r="K119"/>
  <c r="J119"/>
  <c r="D119"/>
  <c r="D120"/>
  <c r="E106"/>
  <c r="D36"/>
  <c r="F18"/>
  <c r="H114"/>
  <c r="D18"/>
  <c r="F114"/>
  <c r="E115"/>
  <c r="F117"/>
  <c r="D117"/>
  <c r="D118"/>
  <c r="K99"/>
  <c r="D105"/>
  <c r="H107"/>
  <c r="K114"/>
  <c r="J99"/>
  <c r="F107"/>
  <c r="J114"/>
  <c r="J117"/>
  <c r="H18"/>
  <c r="F23"/>
  <c r="F35"/>
  <c r="D107"/>
  <c r="I117"/>
  <c r="F40"/>
  <c r="D40"/>
  <c r="I23"/>
  <c r="D23"/>
  <c r="H23"/>
  <c r="N28"/>
  <c r="K120"/>
  <c r="J120"/>
  <c r="N122"/>
  <c r="N108"/>
  <c r="N47"/>
  <c r="K26"/>
  <c r="J26"/>
  <c r="G26"/>
  <c r="K101"/>
  <c r="J102"/>
  <c r="K34"/>
  <c r="I102"/>
  <c r="J16"/>
  <c r="K18"/>
  <c r="K19"/>
  <c r="J34"/>
  <c r="J35"/>
  <c r="J40"/>
  <c r="H101"/>
  <c r="H102"/>
  <c r="J105"/>
  <c r="K106"/>
  <c r="K107"/>
  <c r="K35"/>
  <c r="E16"/>
  <c r="J18"/>
  <c r="J19"/>
  <c r="K23"/>
  <c r="I35"/>
  <c r="K36"/>
  <c r="I40"/>
  <c r="F101"/>
  <c r="F102"/>
  <c r="G105"/>
  <c r="J106"/>
  <c r="J107"/>
  <c r="K102"/>
  <c r="J101"/>
  <c r="K16"/>
  <c r="K40"/>
  <c r="K105"/>
  <c r="G51" l="1"/>
  <c r="G53" s="1"/>
  <c r="D28"/>
  <c r="D29" s="1"/>
  <c r="D31" s="1"/>
  <c r="G136"/>
  <c r="G138" s="1"/>
  <c r="D122"/>
  <c r="D123" s="1"/>
  <c r="D125" s="1"/>
  <c r="E136"/>
  <c r="E138" s="1"/>
  <c r="N136"/>
  <c r="I136"/>
  <c r="I138" s="1"/>
  <c r="F51"/>
  <c r="F53" s="1"/>
  <c r="D108"/>
  <c r="D109" s="1"/>
  <c r="D111" s="1"/>
  <c r="E51"/>
  <c r="D47"/>
  <c r="D48" s="1"/>
  <c r="D50" s="1"/>
  <c r="H51"/>
  <c r="H53" s="1"/>
  <c r="N51"/>
  <c r="J136"/>
  <c r="J138" s="1"/>
  <c r="K136"/>
  <c r="K138" s="1"/>
  <c r="H136"/>
  <c r="H138" s="1"/>
  <c r="I51"/>
  <c r="I53" s="1"/>
  <c r="K51"/>
  <c r="K53" s="1"/>
  <c r="F136"/>
  <c r="F138" s="1"/>
  <c r="J51"/>
  <c r="J53" s="1"/>
  <c r="G54" l="1"/>
  <c r="I141"/>
  <c r="E52"/>
  <c r="E53"/>
  <c r="E54" s="1"/>
  <c r="D136"/>
  <c r="D138" s="1"/>
  <c r="D51"/>
  <c r="D53" s="1"/>
  <c r="G52"/>
  <c r="G137"/>
  <c r="I56"/>
  <c r="G139"/>
  <c r="E139"/>
  <c r="E137"/>
  <c r="G56" l="1"/>
  <c r="G57" s="1"/>
  <c r="I142"/>
  <c r="I57"/>
  <c r="E56"/>
  <c r="G141"/>
  <c r="G142" s="1"/>
  <c r="E141"/>
  <c r="E57" l="1"/>
  <c r="E142"/>
  <c r="N123" i="12" l="1"/>
  <c r="C123"/>
  <c r="D123" s="1"/>
  <c r="K123" l="1"/>
  <c r="J123"/>
  <c r="G123"/>
  <c r="E123"/>
  <c r="N116" l="1"/>
  <c r="N98"/>
  <c r="N16"/>
  <c r="N17"/>
  <c r="N130" i="19" l="1"/>
  <c r="N114"/>
  <c r="C114"/>
  <c r="I114" s="1"/>
  <c r="N113"/>
  <c r="C113"/>
  <c r="I113" s="1"/>
  <c r="N112"/>
  <c r="C112"/>
  <c r="I112" s="1"/>
  <c r="N109"/>
  <c r="C109"/>
  <c r="D109" s="1"/>
  <c r="N98"/>
  <c r="C98"/>
  <c r="G98" s="1"/>
  <c r="N97"/>
  <c r="C97"/>
  <c r="N95"/>
  <c r="C95"/>
  <c r="E95" s="1"/>
  <c r="N35"/>
  <c r="C35"/>
  <c r="J35" s="1"/>
  <c r="N34"/>
  <c r="C34"/>
  <c r="J34" s="1"/>
  <c r="N33"/>
  <c r="C33"/>
  <c r="D33" s="1"/>
  <c r="N31"/>
  <c r="C31"/>
  <c r="N30"/>
  <c r="C30"/>
  <c r="E30" s="1"/>
  <c r="N20"/>
  <c r="N18"/>
  <c r="C18"/>
  <c r="E18" s="1"/>
  <c r="N17"/>
  <c r="C17"/>
  <c r="E17" s="1"/>
  <c r="N16"/>
  <c r="C16"/>
  <c r="D16" s="1"/>
  <c r="N15"/>
  <c r="C15"/>
  <c r="N14"/>
  <c r="C14"/>
  <c r="J14" s="1"/>
  <c r="H97" l="1"/>
  <c r="I97"/>
  <c r="J33"/>
  <c r="I33"/>
  <c r="I16"/>
  <c r="D15"/>
  <c r="G15"/>
  <c r="G18"/>
  <c r="D31"/>
  <c r="G31"/>
  <c r="I34"/>
  <c r="H114"/>
  <c r="K95"/>
  <c r="J95"/>
  <c r="I35"/>
  <c r="D130"/>
  <c r="D131" s="1"/>
  <c r="D133" s="1"/>
  <c r="E98"/>
  <c r="D98"/>
  <c r="N120"/>
  <c r="N104"/>
  <c r="D95"/>
  <c r="H113"/>
  <c r="H112"/>
  <c r="K97"/>
  <c r="F97"/>
  <c r="D97"/>
  <c r="H35"/>
  <c r="D35"/>
  <c r="D18"/>
  <c r="D17"/>
  <c r="D30"/>
  <c r="E14"/>
  <c r="D14"/>
  <c r="H34"/>
  <c r="D34"/>
  <c r="N46"/>
  <c r="H33"/>
  <c r="N25"/>
  <c r="F112"/>
  <c r="F113"/>
  <c r="F114"/>
  <c r="K16"/>
  <c r="F33"/>
  <c r="F34"/>
  <c r="F35"/>
  <c r="D112"/>
  <c r="D113"/>
  <c r="D114"/>
  <c r="J16"/>
  <c r="K17"/>
  <c r="K109"/>
  <c r="H16"/>
  <c r="J17"/>
  <c r="K18"/>
  <c r="K30"/>
  <c r="J97"/>
  <c r="K98"/>
  <c r="J109"/>
  <c r="K112"/>
  <c r="K113"/>
  <c r="K114"/>
  <c r="K14"/>
  <c r="F16"/>
  <c r="G17"/>
  <c r="J18"/>
  <c r="J30"/>
  <c r="K33"/>
  <c r="K34"/>
  <c r="K35"/>
  <c r="J98"/>
  <c r="E109"/>
  <c r="J112"/>
  <c r="J113"/>
  <c r="J114"/>
  <c r="G134" l="1"/>
  <c r="G136" s="1"/>
  <c r="D120"/>
  <c r="D121" s="1"/>
  <c r="D123" s="1"/>
  <c r="E134"/>
  <c r="E136" s="1"/>
  <c r="N134"/>
  <c r="H134"/>
  <c r="H136" s="1"/>
  <c r="K134"/>
  <c r="K136" s="1"/>
  <c r="J134"/>
  <c r="J136" s="1"/>
  <c r="D104"/>
  <c r="D105" s="1"/>
  <c r="D107" s="1"/>
  <c r="F134"/>
  <c r="F136" s="1"/>
  <c r="J50"/>
  <c r="J52" s="1"/>
  <c r="E50"/>
  <c r="E52" s="1"/>
  <c r="D25"/>
  <c r="D26" s="1"/>
  <c r="D28" s="1"/>
  <c r="D46"/>
  <c r="D47" s="1"/>
  <c r="D49" s="1"/>
  <c r="H50"/>
  <c r="H52" s="1"/>
  <c r="N50"/>
  <c r="K50"/>
  <c r="K52" s="1"/>
  <c r="F50"/>
  <c r="F52" s="1"/>
  <c r="I134"/>
  <c r="I136" s="1"/>
  <c r="I139" s="1"/>
  <c r="G50"/>
  <c r="I50"/>
  <c r="I52" s="1"/>
  <c r="I55" s="1"/>
  <c r="G137" l="1"/>
  <c r="G135"/>
  <c r="D134"/>
  <c r="D136" s="1"/>
  <c r="I140" s="1"/>
  <c r="E135"/>
  <c r="D50"/>
  <c r="D52" s="1"/>
  <c r="E137"/>
  <c r="E53"/>
  <c r="E55" s="1"/>
  <c r="G52"/>
  <c r="G51"/>
  <c r="E51"/>
  <c r="E139" l="1"/>
  <c r="E140" s="1"/>
  <c r="E56"/>
  <c r="I56"/>
  <c r="G139"/>
  <c r="G140" s="1"/>
  <c r="G53"/>
  <c r="G55" l="1"/>
  <c r="G56" s="1"/>
  <c r="N136" i="12" l="1"/>
  <c r="N122"/>
  <c r="C122"/>
  <c r="I122" s="1"/>
  <c r="N121"/>
  <c r="C121"/>
  <c r="I121" s="1"/>
  <c r="N120"/>
  <c r="C120"/>
  <c r="J120" s="1"/>
  <c r="C116"/>
  <c r="J116" s="1"/>
  <c r="N106"/>
  <c r="C106"/>
  <c r="D106" s="1"/>
  <c r="N105"/>
  <c r="C105"/>
  <c r="K105" s="1"/>
  <c r="N100"/>
  <c r="C100"/>
  <c r="I100" s="1"/>
  <c r="N99"/>
  <c r="C99"/>
  <c r="C98"/>
  <c r="J98" s="1"/>
  <c r="N40"/>
  <c r="C40"/>
  <c r="E40" s="1"/>
  <c r="N37"/>
  <c r="C37"/>
  <c r="E37" s="1"/>
  <c r="N35"/>
  <c r="C35"/>
  <c r="N26"/>
  <c r="C26"/>
  <c r="J26" s="1"/>
  <c r="N25"/>
  <c r="C25"/>
  <c r="I25" s="1"/>
  <c r="N21"/>
  <c r="C21"/>
  <c r="E21" s="1"/>
  <c r="N18"/>
  <c r="C18"/>
  <c r="D18" s="1"/>
  <c r="C17"/>
  <c r="K16"/>
  <c r="J16"/>
  <c r="E16"/>
  <c r="D16"/>
  <c r="F121" l="1"/>
  <c r="K100"/>
  <c r="D99"/>
  <c r="G99"/>
  <c r="G35"/>
  <c r="D35"/>
  <c r="D17"/>
  <c r="G17"/>
  <c r="H121"/>
  <c r="D40"/>
  <c r="G40"/>
  <c r="J40"/>
  <c r="K40"/>
  <c r="G122"/>
  <c r="D121"/>
  <c r="D136"/>
  <c r="D137" s="1"/>
  <c r="D139" s="1"/>
  <c r="J105"/>
  <c r="I105"/>
  <c r="H105"/>
  <c r="F105"/>
  <c r="D105"/>
  <c r="H120"/>
  <c r="F120"/>
  <c r="D120"/>
  <c r="I120" s="1"/>
  <c r="E122"/>
  <c r="D122"/>
  <c r="K106"/>
  <c r="J106"/>
  <c r="I106"/>
  <c r="F106"/>
  <c r="E116"/>
  <c r="D116"/>
  <c r="N126"/>
  <c r="H100"/>
  <c r="F100"/>
  <c r="D100"/>
  <c r="J100"/>
  <c r="I26"/>
  <c r="F26"/>
  <c r="D37"/>
  <c r="K116"/>
  <c r="E98"/>
  <c r="D98"/>
  <c r="N111"/>
  <c r="D21"/>
  <c r="H25"/>
  <c r="F25"/>
  <c r="D25"/>
  <c r="D26"/>
  <c r="K37"/>
  <c r="N47"/>
  <c r="J37"/>
  <c r="N29"/>
  <c r="K120"/>
  <c r="K121"/>
  <c r="K122"/>
  <c r="K18"/>
  <c r="K21"/>
  <c r="K98"/>
  <c r="J121"/>
  <c r="J122"/>
  <c r="J18"/>
  <c r="I18"/>
  <c r="H18"/>
  <c r="J21"/>
  <c r="K25"/>
  <c r="F18"/>
  <c r="G21"/>
  <c r="J25"/>
  <c r="K26"/>
  <c r="D47" l="1"/>
  <c r="D48" s="1"/>
  <c r="F140"/>
  <c r="F142" s="1"/>
  <c r="E51"/>
  <c r="E53" s="1"/>
  <c r="N140"/>
  <c r="D111"/>
  <c r="D126"/>
  <c r="H140"/>
  <c r="H142" s="1"/>
  <c r="I140"/>
  <c r="I142" s="1"/>
  <c r="G140"/>
  <c r="G142" s="1"/>
  <c r="E140"/>
  <c r="E142" s="1"/>
  <c r="J140"/>
  <c r="J142" s="1"/>
  <c r="G51"/>
  <c r="G53" s="1"/>
  <c r="H51"/>
  <c r="H53" s="1"/>
  <c r="D29"/>
  <c r="D30" s="1"/>
  <c r="F51"/>
  <c r="F53" s="1"/>
  <c r="I51"/>
  <c r="I53" s="1"/>
  <c r="I56" s="1"/>
  <c r="K51"/>
  <c r="K53" s="1"/>
  <c r="N51"/>
  <c r="J51"/>
  <c r="J53" s="1"/>
  <c r="K140"/>
  <c r="K142" s="1"/>
  <c r="I145" l="1"/>
  <c r="D127"/>
  <c r="D129" s="1"/>
  <c r="D112"/>
  <c r="D114" s="1"/>
  <c r="D140"/>
  <c r="D142" s="1"/>
  <c r="G141"/>
  <c r="D50"/>
  <c r="D32"/>
  <c r="G143"/>
  <c r="E141"/>
  <c r="G52"/>
  <c r="E52"/>
  <c r="D51"/>
  <c r="D53" s="1"/>
  <c r="E54"/>
  <c r="E143"/>
  <c r="E145" s="1"/>
  <c r="G54"/>
  <c r="I57" l="1"/>
  <c r="E146"/>
  <c r="I146"/>
  <c r="E56"/>
  <c r="E57" s="1"/>
  <c r="G56"/>
  <c r="G57" s="1"/>
  <c r="G145"/>
  <c r="G146" s="1"/>
  <c r="W53" l="1"/>
</calcChain>
</file>

<file path=xl/sharedStrings.xml><?xml version="1.0" encoding="utf-8"?>
<sst xmlns="http://schemas.openxmlformats.org/spreadsheetml/2006/main" count="1334" uniqueCount="226">
  <si>
    <t>Số
TT</t>
  </si>
  <si>
    <t>Gạo tẻ</t>
  </si>
  <si>
    <t>Mắm</t>
  </si>
  <si>
    <t>Thịt bò</t>
  </si>
  <si>
    <t>Cà rốt</t>
  </si>
  <si>
    <t>Mộc nhĩ</t>
  </si>
  <si>
    <t>Năng lượng bữa chính/trẻ</t>
  </si>
  <si>
    <t>Năng lượng bữa phụ/trẻ</t>
  </si>
  <si>
    <t>Lượng 
TP 
sạch</t>
  </si>
  <si>
    <t>Năng 
lượng
(Kcal)</t>
  </si>
  <si>
    <r>
      <t>P</t>
    </r>
    <r>
      <rPr>
        <sz val="11"/>
        <rFont val="Times New Roman"/>
        <family val="1"/>
      </rPr>
      <t>(ĐV)</t>
    </r>
  </si>
  <si>
    <t>Protein (g)</t>
  </si>
  <si>
    <r>
      <t>P</t>
    </r>
    <r>
      <rPr>
        <sz val="11"/>
        <rFont val="Times New Roman"/>
        <family val="1"/>
      </rPr>
      <t>(TV)</t>
    </r>
  </si>
  <si>
    <t>Lipid (g)</t>
  </si>
  <si>
    <r>
      <t>L</t>
    </r>
    <r>
      <rPr>
        <sz val="11"/>
        <rFont val="Times New Roman"/>
        <family val="1"/>
      </rPr>
      <t>(ĐV)</t>
    </r>
  </si>
  <si>
    <r>
      <t>L</t>
    </r>
    <r>
      <rPr>
        <sz val="11"/>
        <rFont val="Times New Roman"/>
        <family val="1"/>
      </rPr>
      <t>(TV)</t>
    </r>
  </si>
  <si>
    <t>Glucid
(g)</t>
  </si>
  <si>
    <t>Thực phẩm cần mua (g)</t>
  </si>
  <si>
    <t>Số tiền (đ)</t>
  </si>
  <si>
    <t>Tên 
thực phẩm</t>
  </si>
  <si>
    <t>Cà chua</t>
  </si>
  <si>
    <t>19.5-35.4</t>
  </si>
  <si>
    <t>17-28.2</t>
  </si>
  <si>
    <t>78-106.2</t>
  </si>
  <si>
    <t>19-31.7</t>
  </si>
  <si>
    <t>20-28.9</t>
  </si>
  <si>
    <t>68.8-79.4</t>
  </si>
  <si>
    <t>Nấm hương</t>
  </si>
  <si>
    <t>615-726</t>
  </si>
  <si>
    <t>600-651</t>
  </si>
  <si>
    <t>Trứng vịt</t>
  </si>
  <si>
    <t>BẢNG TÍNH KHẨU PHẦN ĂN CỦA TRẺ MẪU GIÁO</t>
  </si>
  <si>
    <t>BẢNG TÍNH KHẨU PHẦN ĂN CỦA TRẺ NHÀ TRẺ</t>
  </si>
  <si>
    <t>NGƯỜI THỰC HIỆN</t>
  </si>
  <si>
    <t>Bữa chính</t>
  </si>
  <si>
    <t>Bữa phụ</t>
  </si>
  <si>
    <t>Năng lượng bữa chiều/trẻ</t>
  </si>
  <si>
    <t>Năng lượng bữa trưa/trẻ</t>
  </si>
  <si>
    <t>Bữa chiều</t>
  </si>
  <si>
    <t>Bữa trưa</t>
  </si>
  <si>
    <t>Đơn giá</t>
  </si>
  <si>
    <t>Ca</t>
  </si>
  <si>
    <t>B1</t>
  </si>
  <si>
    <t>Lipit (g)</t>
  </si>
  <si>
    <t>% năng lượng bữa trưa</t>
  </si>
  <si>
    <t>30-35%</t>
  </si>
  <si>
    <t>25-30%</t>
  </si>
  <si>
    <t>% năng lượng bữa phụ</t>
  </si>
  <si>
    <t>% năng lượng bữa chính</t>
  </si>
  <si>
    <t>% năng lượng bữa chiều</t>
  </si>
  <si>
    <t>5-10%</t>
  </si>
  <si>
    <t>% năng lượng
 bữa chính</t>
  </si>
  <si>
    <t>% năng lượng 
bữa phụ</t>
  </si>
  <si>
    <t>% năng lượng
 bữa trưa</t>
  </si>
  <si>
    <t>% năng lượng 
bữa chiều</t>
  </si>
  <si>
    <t>Đơn giá (đ)</t>
  </si>
  <si>
    <t>Đơn giá
 (đ)</t>
  </si>
  <si>
    <t>Đơn giá
(đ)</t>
  </si>
  <si>
    <t>15-20%</t>
  </si>
  <si>
    <t>Thực đạt</t>
  </si>
  <si>
    <t>Thực  đạt</t>
  </si>
  <si>
    <r>
      <t>TRƯỜ</t>
    </r>
    <r>
      <rPr>
        <b/>
        <u/>
        <sz val="11"/>
        <rFont val="Times New Roman"/>
        <family val="1"/>
      </rPr>
      <t>NG MÂM NON MỸ</t>
    </r>
    <r>
      <rPr>
        <b/>
        <sz val="11"/>
        <rFont val="Times New Roman"/>
        <family val="1"/>
      </rPr>
      <t xml:space="preserve"> TIẾN</t>
    </r>
  </si>
  <si>
    <t>PHÓ HIỆU TRƯỞNG</t>
  </si>
  <si>
    <t>Trứng gà</t>
  </si>
  <si>
    <t>Thịt vịt</t>
  </si>
  <si>
    <r>
      <t>TRƯỜ</t>
    </r>
    <r>
      <rPr>
        <b/>
        <u/>
        <sz val="11"/>
        <rFont val="Times New Roman"/>
        <family val="1"/>
      </rPr>
      <t>NG MÂM NON MỸ TIẾN</t>
    </r>
  </si>
  <si>
    <t>S
TT</t>
  </si>
  <si>
    <t>Hạt sen</t>
  </si>
  <si>
    <t>Lạc hạt</t>
  </si>
  <si>
    <t>Thịt gà</t>
  </si>
  <si>
    <t>Nấm Hương</t>
  </si>
  <si>
    <t xml:space="preserve">Thịt lợn nạc </t>
  </si>
  <si>
    <t>Thì là</t>
  </si>
  <si>
    <t>Gạo nếp</t>
  </si>
  <si>
    <t>Thịt lợn nạc</t>
  </si>
  <si>
    <t>Bí đao</t>
  </si>
  <si>
    <t>Thanh long</t>
  </si>
  <si>
    <t>Khẩu phần 
cả ngày của 1 trẻ đạt (g)</t>
  </si>
  <si>
    <t>Kcal (P:L:G)</t>
  </si>
  <si>
    <t>Khuyến nghị</t>
  </si>
  <si>
    <t>Khẩu phần khuyến nghị (g)</t>
  </si>
  <si>
    <t>Tỷ lệ các chất  (%)</t>
  </si>
  <si>
    <t>13-20</t>
  </si>
  <si>
    <t>25-35</t>
  </si>
  <si>
    <t>52-60</t>
  </si>
  <si>
    <t>30-40</t>
  </si>
  <si>
    <t>47-50</t>
  </si>
  <si>
    <t>Tỷ lệ các chất (%)</t>
  </si>
  <si>
    <t>THỰC ĐƠN</t>
  </si>
  <si>
    <t>BỮA CHIỀU</t>
  </si>
  <si>
    <t>Cơm tẻ</t>
  </si>
  <si>
    <t>Đặng Thị Phượng</t>
  </si>
  <si>
    <t xml:space="preserve">Thịt gà </t>
  </si>
  <si>
    <t>Bí đỏ</t>
  </si>
  <si>
    <r>
      <t xml:space="preserve">L
</t>
    </r>
    <r>
      <rPr>
        <sz val="11"/>
        <rFont val="Times New Roman"/>
        <family val="1"/>
      </rPr>
      <t>(ĐV)</t>
    </r>
  </si>
  <si>
    <t>Canh bí đao, cà rốt nấu thịt vịt</t>
  </si>
  <si>
    <t xml:space="preserve">Tôm </t>
  </si>
  <si>
    <t>BỮA CHÍNH TRƯA</t>
  </si>
  <si>
    <t>BỮA PHỤ CHIỀU</t>
  </si>
  <si>
    <t>BỮA  CHÍNH TRƯA</t>
  </si>
  <si>
    <t xml:space="preserve">BỮA PHỤ </t>
  </si>
  <si>
    <t>BỮA CHÍNH CHIỀU</t>
  </si>
  <si>
    <t>Thịt gà om nấm hương</t>
  </si>
  <si>
    <t>Rau hẹ</t>
  </si>
  <si>
    <t>BỮA PHỤ</t>
  </si>
  <si>
    <t xml:space="preserve">Cộng chung bữa chính </t>
  </si>
  <si>
    <t xml:space="preserve">Cộng chung bữa phụ </t>
  </si>
  <si>
    <t>Cộng chung 
xuất ăn</t>
  </si>
  <si>
    <t>Cộng chung bữa trưa</t>
  </si>
  <si>
    <t>Cộng chung bữa chiều</t>
  </si>
  <si>
    <t>Cộng chung bữa phụ</t>
  </si>
  <si>
    <t>Cộng chung 
 xuất ăn</t>
  </si>
  <si>
    <t>Trứng gà hấp mộc nhĩ, nấm hương</t>
  </si>
  <si>
    <t>Cộng chung  xuất ăn</t>
  </si>
  <si>
    <t>Nhận xét: So với khẩu phần khuyến nghị</t>
  </si>
  <si>
    <t xml:space="preserve">                </t>
  </si>
  <si>
    <t>Số g các chất dinh dưỡng và tỷ lệ các chất dinh dưỡng (P:L:G) đạt trong khoảng quy định.</t>
  </si>
  <si>
    <r>
      <t xml:space="preserve">Cách khắc phục: </t>
    </r>
    <r>
      <rPr>
        <sz val="11"/>
        <rFont val="Times New Roman"/>
        <family val="1"/>
      </rPr>
      <t>Duy trì số g lương thực thực phẩm trong khẩu phần ăn của trẻ.</t>
    </r>
  </si>
  <si>
    <t xml:space="preserve">Cộng chung bữa trưa </t>
  </si>
  <si>
    <t xml:space="preserve">Cộng chung bữa chiều </t>
  </si>
  <si>
    <t>Cộng chung bữa chính</t>
  </si>
  <si>
    <t xml:space="preserve">Cộng bữa chính </t>
  </si>
  <si>
    <t>Số xuất ăn</t>
  </si>
  <si>
    <t>Bột canh, hạt nêm</t>
  </si>
  <si>
    <t>Trần Thị Thu</t>
  </si>
  <si>
    <t xml:space="preserve">Số g các chất dinh dưỡng và tỷ lệ các chất dinh dưỡng (P:L:G) đạt trong khoảng quy định. </t>
  </si>
  <si>
    <t xml:space="preserve">Số g các chất dinh dưỡng (P:L:G) đạt trong khoảng quy định. </t>
  </si>
  <si>
    <t>Trần Thị Minh Thu</t>
  </si>
  <si>
    <r>
      <t>Cách khắc phục:</t>
    </r>
    <r>
      <rPr>
        <sz val="11"/>
        <rFont val="Times New Roman"/>
        <family val="1"/>
      </rPr>
      <t xml:space="preserve"> Duy trì số g lương thực thực phẩm trong khẩu phần ăn của trẻ </t>
    </r>
  </si>
  <si>
    <r>
      <t xml:space="preserve">Cách khắc phục: </t>
    </r>
    <r>
      <rPr>
        <sz val="11"/>
        <rFont val="Times New Roman"/>
        <family val="1"/>
      </rPr>
      <t>Duy trì số g lương thực, thực phẩm trong khẩu phần ăn của trẻ</t>
    </r>
  </si>
  <si>
    <r>
      <t xml:space="preserve">Cách khắc phục: </t>
    </r>
    <r>
      <rPr>
        <sz val="11"/>
        <rFont val="Times New Roman"/>
        <family val="1"/>
      </rPr>
      <t>Duy trì định lượng lương thực, thực phẩm trong khẩu phần ăn của trẻ.</t>
    </r>
  </si>
  <si>
    <t>Rau cải thìa</t>
  </si>
  <si>
    <t>Trứng vịt chiên sốt cà chua</t>
  </si>
  <si>
    <t>Canh bí đỏ nấu thịt vịt</t>
  </si>
  <si>
    <t>Thịt bò sốt cà chua</t>
  </si>
  <si>
    <r>
      <t xml:space="preserve">Cách khắc phục: </t>
    </r>
    <r>
      <rPr>
        <sz val="11"/>
        <rFont val="Times New Roman"/>
        <family val="1"/>
      </rPr>
      <t>Duy trì số g lương thực thực phẩm trong khẩu phần ăn của trẻ</t>
    </r>
  </si>
  <si>
    <t>Hành khô</t>
  </si>
  <si>
    <t>Cháo  - thịt vịt, bí đỏ</t>
  </si>
  <si>
    <t>Bột sắn dây</t>
  </si>
  <si>
    <t>Nước tương</t>
  </si>
  <si>
    <t>Bánh đa</t>
  </si>
  <si>
    <t>Dầu cá Ranee</t>
  </si>
  <si>
    <t>Củ cải</t>
  </si>
  <si>
    <t>Sườn lợn</t>
  </si>
  <si>
    <t>Cháo thịt vịt - cà rốt</t>
  </si>
  <si>
    <t>Cháo thịt gà, bí đao</t>
  </si>
  <si>
    <t>Dầu Simply</t>
  </si>
  <si>
    <t>Trứng chim cút</t>
  </si>
  <si>
    <t>Uống sữa Nuvi Grow</t>
  </si>
  <si>
    <t>Sữa bột Nuvi Grow</t>
  </si>
  <si>
    <t>Thịt vịt om nước tương</t>
  </si>
  <si>
    <t>Khuyến
 nghị</t>
  </si>
  <si>
    <t>Tỷ lệ L động vật đạt 70.7%; so với khẩu phần khuyến nghị đảm bảo đạt</t>
  </si>
  <si>
    <t>Cá quả sốt cà chua</t>
  </si>
  <si>
    <t>Dứa xào thịt bò</t>
  </si>
  <si>
    <t>Dứa</t>
  </si>
  <si>
    <t>Cá quả</t>
  </si>
  <si>
    <t>Bí đao, cà rốt xào thịt gà</t>
  </si>
  <si>
    <t>Thịt lợn trộn trứng gà mộc nhĩ, nấm hương  hấp</t>
  </si>
  <si>
    <t>Bí đao xào thịt bò</t>
  </si>
  <si>
    <t xml:space="preserve">Canh củ cải, cà rốt sườn lợn </t>
  </si>
  <si>
    <t>Xôi đậu xanh, ruốc thịt lợn</t>
  </si>
  <si>
    <t xml:space="preserve">Trứng vịt đúc thịt lợn </t>
  </si>
  <si>
    <t>Trứng vịt đúc thịt lợn</t>
  </si>
  <si>
    <t>Ruốc thịt lợn, lạc</t>
  </si>
  <si>
    <t>Canh rau hẹ nấu thịt lợn</t>
  </si>
  <si>
    <t>Canh bí đao nấu thịt lợn</t>
  </si>
  <si>
    <t>Canh bí đỏ, cà rốt nấu thịt lợn</t>
  </si>
  <si>
    <t>Tôm, thịt lợn sốt dứa, cà chua</t>
  </si>
  <si>
    <t>Súp gà ngô</t>
  </si>
  <si>
    <t>Ngô ngọt</t>
  </si>
  <si>
    <t>Rau thơm</t>
  </si>
  <si>
    <t>Bắp cải xào thịt lợn</t>
  </si>
  <si>
    <t>Canh rau cải thìa nấu thịt gà</t>
  </si>
  <si>
    <t>Thịt gà, trứng chim cút sốt cà chua</t>
  </si>
  <si>
    <t>Cháo thịt bò, thịt gà - cà rốt, hạt sen</t>
  </si>
  <si>
    <t>Bắp cải</t>
  </si>
  <si>
    <t>Bánh đa - thịt lợn rau bắp cải</t>
  </si>
  <si>
    <t>Su hào</t>
  </si>
  <si>
    <t>Rau bắp cải</t>
  </si>
  <si>
    <t>Canh su hào nấu thịt gà</t>
  </si>
  <si>
    <t>Canh rau bắp cải nấu thịt lợn</t>
  </si>
  <si>
    <t>Canh rau bắp cải nấu tôm</t>
  </si>
  <si>
    <t>Bí đỏ xào thịt lợn</t>
  </si>
  <si>
    <t>Su hào xào thịt lợn</t>
  </si>
  <si>
    <t>Canh rau cải cúc nấu tôm</t>
  </si>
  <si>
    <t>Rau cải cúc</t>
  </si>
  <si>
    <t>Đường kính</t>
  </si>
  <si>
    <t>Tỷ lệ L động vật đạt 70%; so với khẩu phần khuyến nghị đảm bảo đạt</t>
  </si>
  <si>
    <t>Tỷ lệ P động vật đạt 69.6%; so với khẩu phần khuyến nghị cao hơn 9,6%</t>
  </si>
  <si>
    <t>Tỷ lệ P động vật đạt 50.8%; so với khẩu phần khuyến nghị tương đối đạt</t>
  </si>
  <si>
    <t>Tỷ lệ P động vật đạt 54.2%; so với khẩu phần khuyến nghị tương đối đạt</t>
  </si>
  <si>
    <t>Tỷ lệ P động vật đạt 60.3%; Cao hơn so với khẩu phần khuyến nghị 0.3%</t>
  </si>
  <si>
    <t>Đậu xanh</t>
  </si>
  <si>
    <t>Tỷ lệ P động vật đạt 53.6%; so với khẩu phần khuyến nghị tương đối đạt</t>
  </si>
  <si>
    <t>Tỷ lệ L động vật đạt 70.3%; so với khẩu phần khuyến nghị đảm bảo đạt</t>
  </si>
  <si>
    <t>Thứ hai, ngày 2 tháng 3 năm 2026</t>
  </si>
  <si>
    <t>Kcal đạt 666.48. So với khẩu phần khuyến nghị đảm bảo đạt</t>
  </si>
  <si>
    <t>Tỷ lệ P động vật đạt 50%; so với khẩu phần khuyến nghị tương đối đạt</t>
  </si>
  <si>
    <t>Kcal đạt 625.23 So với khẩu phần khuyến nghị đảm bảo đạt</t>
  </si>
  <si>
    <t>Tỷ lệ P động vật đạt 57.9%; so với khẩu phần khuyến nghị đảm bảo đạt</t>
  </si>
  <si>
    <t>Thứ ba, ngày 3 tháng 3 năm 2026</t>
  </si>
  <si>
    <t>Kcal đạt 712.65. So với khẩu phần khuyến nghị đảm bảo đạt</t>
  </si>
  <si>
    <t>Tỷ lệ L động vật đạt 71.1%; cao hơn so với khẩu phần khuyến nghị 1,1%</t>
  </si>
  <si>
    <t>Kcal đạt 620.45. So với khẩu phần khuyến nghị đảm bảo đạt</t>
  </si>
  <si>
    <t>Thứ tư, ngày 4 tháng 3 năm 2026</t>
  </si>
  <si>
    <t>Kcal đạt 724.32. So với khẩu phần khuyến nghị đảm bảo đạt</t>
  </si>
  <si>
    <t>Tỷ lệ P động vật đạt 53.1%; so với khẩu phần khuyến nghị tương đối đạt</t>
  </si>
  <si>
    <t>Tỷ lệ L động vật đạt 69,9%; so với khẩu phần khuyến nghị đảm bảo đạt</t>
  </si>
  <si>
    <t>Kcal đạt 643.55. So với khẩu phần khuyến nghị đảm bảo đạt</t>
  </si>
  <si>
    <t>Thứ năm, ngày 5 tháng 3 năm 2026</t>
  </si>
  <si>
    <t>Kcal đạt 709.96. So với khẩu phần khuyến nghị đảm bảo đạt</t>
  </si>
  <si>
    <t>Kcal đạt 633.21. So với khẩu phần khuyến nghị đảm bảo đạt đạt</t>
  </si>
  <si>
    <t>Tỷ lệ P động vật đạt 61.2%; so với khẩu phần khuyến cao hơn 1.2%</t>
  </si>
  <si>
    <t>Tỷ lệ L động vật đạt 69.7%; so với khẩu phần khuyến nghị đảm bảo đạt</t>
  </si>
  <si>
    <t>Thứ sáu, ngày 6 tháng 3 năm 2026</t>
  </si>
  <si>
    <t>Tỷ lệ P động vật đạt 59.6%; so với khẩu phần khuyến nghị đảm bảo đạt</t>
  </si>
  <si>
    <t>Kcal đạt 694.23. So với khẩu phần khuyến nghị đảm bảo đạt</t>
  </si>
  <si>
    <t>Tỷ lệ L động vật đạt 69.4%; so với khẩu phần khuyến nghị đảm bảo đạt</t>
  </si>
  <si>
    <t>Kcal đạt 630.89 So với khẩu phần khuyến nghị đảm bảo đạt</t>
  </si>
  <si>
    <t>Thứ bẩy, ngày 7 tháng 3 năm 2026</t>
  </si>
  <si>
    <t>Kcal đạt 724.99 So với khẩu phần khuyến nghị đảm bảo đạt</t>
  </si>
  <si>
    <t>Tỷ lệ P động vật đạt 50.3%; so với khẩu phần khuyến tương đối đạt</t>
  </si>
  <si>
    <t>Kcal đạt 648.18. So với khẩu phần khuyến nghị đảm bảo đạt</t>
  </si>
  <si>
    <t>Tỷ lệ P động vật đạt 57.5%; so với khẩu phần khuyến nghị đảm bảo đạt</t>
  </si>
  <si>
    <t>Tỷ lệ L động vật đạt 70.8%; so với khẩu phần khuyến nghị cao hơn 0.8%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</si>
</sst>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0.000"/>
    <numFmt numFmtId="165" formatCode="#.##0"/>
    <numFmt numFmtId="166" formatCode="#,##0.0"/>
    <numFmt numFmtId="167" formatCode="0.0"/>
  </numFmts>
  <fonts count="22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u/>
      <sz val="11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sz val="11"/>
      <color indexed="8"/>
      <name val="Calibri"/>
      <family val="2"/>
    </font>
    <font>
      <sz val="10"/>
      <color theme="0"/>
      <name val="Times New Roman"/>
      <family val="1"/>
    </font>
    <font>
      <sz val="11"/>
      <color theme="0"/>
      <name val="Times New Roman"/>
      <family val="1"/>
    </font>
    <font>
      <sz val="8"/>
      <color theme="0"/>
      <name val="Times New Roman"/>
      <family val="1"/>
    </font>
    <font>
      <sz val="9"/>
      <name val="Arial"/>
      <family val="2"/>
    </font>
    <font>
      <b/>
      <sz val="6"/>
      <name val="Times New Roman"/>
      <family val="1"/>
    </font>
    <font>
      <sz val="7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5" fillId="0" borderId="0"/>
  </cellStyleXfs>
  <cellXfs count="428">
    <xf numFmtId="0" fontId="0" fillId="0" borderId="0" xfId="0"/>
    <xf numFmtId="0" fontId="3" fillId="0" borderId="0" xfId="0" applyFont="1"/>
    <xf numFmtId="0" fontId="3" fillId="0" borderId="0" xfId="0" applyFont="1" applyFill="1"/>
    <xf numFmtId="2" fontId="3" fillId="0" borderId="0" xfId="0" applyNumberFormat="1" applyFont="1" applyFill="1"/>
    <xf numFmtId="4" fontId="3" fillId="0" borderId="0" xfId="0" applyNumberFormat="1" applyFont="1" applyFill="1"/>
    <xf numFmtId="0" fontId="7" fillId="0" borderId="5" xfId="0" applyFont="1" applyFill="1" applyBorder="1"/>
    <xf numFmtId="0" fontId="7" fillId="0" borderId="6" xfId="0" applyFont="1" applyFill="1" applyBorder="1"/>
    <xf numFmtId="4" fontId="6" fillId="0" borderId="2" xfId="0" applyNumberFormat="1" applyFont="1" applyBorder="1"/>
    <xf numFmtId="0" fontId="5" fillId="0" borderId="0" xfId="0" applyFont="1" applyAlignment="1"/>
    <xf numFmtId="0" fontId="7" fillId="0" borderId="5" xfId="0" applyFont="1" applyFill="1" applyBorder="1" applyAlignment="1">
      <alignment horizontal="center"/>
    </xf>
    <xf numFmtId="3" fontId="7" fillId="0" borderId="5" xfId="1" applyNumberFormat="1" applyFont="1" applyFill="1" applyBorder="1" applyAlignment="1">
      <alignment horizontal="left"/>
    </xf>
    <xf numFmtId="0" fontId="2" fillId="0" borderId="0" xfId="0" applyFont="1" applyAlignment="1"/>
    <xf numFmtId="0" fontId="3" fillId="0" borderId="0" xfId="0" applyFont="1" applyBorder="1"/>
    <xf numFmtId="0" fontId="7" fillId="0" borderId="6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3" fontId="7" fillId="0" borderId="14" xfId="1" applyNumberFormat="1" applyFont="1" applyFill="1" applyBorder="1" applyAlignment="1">
      <alignment horizontal="left"/>
    </xf>
    <xf numFmtId="0" fontId="7" fillId="0" borderId="4" xfId="0" applyFont="1" applyBorder="1" applyAlignment="1">
      <alignment horizontal="center" vertical="center"/>
    </xf>
    <xf numFmtId="167" fontId="3" fillId="0" borderId="0" xfId="0" applyNumberFormat="1" applyFont="1" applyFill="1"/>
    <xf numFmtId="3" fontId="11" fillId="0" borderId="3" xfId="0" applyNumberFormat="1" applyFont="1" applyFill="1" applyBorder="1" applyAlignment="1">
      <alignment horizontal="center"/>
    </xf>
    <xf numFmtId="2" fontId="6" fillId="0" borderId="2" xfId="0" applyNumberFormat="1" applyFont="1" applyFill="1" applyBorder="1" applyAlignment="1">
      <alignment horizontal="center"/>
    </xf>
    <xf numFmtId="0" fontId="10" fillId="0" borderId="18" xfId="0" applyFont="1" applyFill="1" applyBorder="1" applyAlignment="1"/>
    <xf numFmtId="0" fontId="10" fillId="0" borderId="7" xfId="0" applyFont="1" applyFill="1" applyBorder="1" applyAlignment="1"/>
    <xf numFmtId="3" fontId="11" fillId="0" borderId="5" xfId="0" applyNumberFormat="1" applyFont="1" applyFill="1" applyBorder="1"/>
    <xf numFmtId="2" fontId="11" fillId="0" borderId="5" xfId="0" applyNumberFormat="1" applyFont="1" applyFill="1" applyBorder="1"/>
    <xf numFmtId="4" fontId="11" fillId="0" borderId="5" xfId="0" applyNumberFormat="1" applyFont="1" applyFill="1" applyBorder="1"/>
    <xf numFmtId="1" fontId="11" fillId="0" borderId="5" xfId="0" applyNumberFormat="1" applyFont="1" applyFill="1" applyBorder="1"/>
    <xf numFmtId="164" fontId="11" fillId="0" borderId="5" xfId="0" applyNumberFormat="1" applyFont="1" applyFill="1" applyBorder="1"/>
    <xf numFmtId="3" fontId="11" fillId="0" borderId="5" xfId="0" applyNumberFormat="1" applyFont="1" applyFill="1" applyBorder="1" applyAlignment="1"/>
    <xf numFmtId="4" fontId="11" fillId="0" borderId="6" xfId="0" applyNumberFormat="1" applyFont="1" applyFill="1" applyBorder="1"/>
    <xf numFmtId="1" fontId="11" fillId="0" borderId="6" xfId="0" applyNumberFormat="1" applyFont="1" applyFill="1" applyBorder="1"/>
    <xf numFmtId="3" fontId="11" fillId="0" borderId="6" xfId="0" applyNumberFormat="1" applyFont="1" applyFill="1" applyBorder="1"/>
    <xf numFmtId="2" fontId="11" fillId="0" borderId="6" xfId="0" applyNumberFormat="1" applyFont="1" applyFill="1" applyBorder="1"/>
    <xf numFmtId="3" fontId="11" fillId="0" borderId="6" xfId="0" applyNumberFormat="1" applyFont="1" applyFill="1" applyBorder="1" applyAlignment="1"/>
    <xf numFmtId="3" fontId="11" fillId="0" borderId="2" xfId="0" applyNumberFormat="1" applyFont="1" applyFill="1" applyBorder="1"/>
    <xf numFmtId="2" fontId="6" fillId="0" borderId="2" xfId="0" applyNumberFormat="1" applyFont="1" applyFill="1" applyBorder="1"/>
    <xf numFmtId="4" fontId="11" fillId="0" borderId="2" xfId="0" applyNumberFormat="1" applyFont="1" applyFill="1" applyBorder="1"/>
    <xf numFmtId="1" fontId="11" fillId="0" borderId="2" xfId="0" applyNumberFormat="1" applyFont="1" applyFill="1" applyBorder="1"/>
    <xf numFmtId="3" fontId="6" fillId="0" borderId="2" xfId="0" applyNumberFormat="1" applyFont="1" applyFill="1" applyBorder="1" applyAlignment="1">
      <alignment horizontal="center" vertical="center"/>
    </xf>
    <xf numFmtId="3" fontId="11" fillId="0" borderId="4" xfId="0" applyNumberFormat="1" applyFont="1" applyFill="1" applyBorder="1"/>
    <xf numFmtId="4" fontId="11" fillId="0" borderId="4" xfId="0" applyNumberFormat="1" applyFont="1" applyFill="1" applyBorder="1"/>
    <xf numFmtId="1" fontId="11" fillId="0" borderId="4" xfId="0" applyNumberFormat="1" applyFont="1" applyFill="1" applyBorder="1"/>
    <xf numFmtId="3" fontId="11" fillId="0" borderId="4" xfId="0" applyNumberFormat="1" applyFont="1" applyFill="1" applyBorder="1" applyAlignment="1"/>
    <xf numFmtId="4" fontId="6" fillId="0" borderId="2" xfId="0" applyNumberFormat="1" applyFont="1" applyFill="1" applyBorder="1"/>
    <xf numFmtId="1" fontId="6" fillId="0" borderId="2" xfId="0" applyNumberFormat="1" applyFont="1" applyFill="1" applyBorder="1"/>
    <xf numFmtId="0" fontId="11" fillId="0" borderId="2" xfId="0" applyFont="1" applyBorder="1"/>
    <xf numFmtId="0" fontId="6" fillId="0" borderId="2" xfId="0" applyFont="1" applyBorder="1"/>
    <xf numFmtId="1" fontId="6" fillId="0" borderId="2" xfId="0" applyNumberFormat="1" applyFont="1" applyBorder="1"/>
    <xf numFmtId="0" fontId="6" fillId="0" borderId="16" xfId="0" applyFont="1" applyBorder="1"/>
    <xf numFmtId="0" fontId="6" fillId="0" borderId="2" xfId="0" applyFont="1" applyBorder="1" applyAlignment="1">
      <alignment vertical="center"/>
    </xf>
    <xf numFmtId="4" fontId="12" fillId="0" borderId="2" xfId="0" applyNumberFormat="1" applyFont="1" applyBorder="1"/>
    <xf numFmtId="3" fontId="11" fillId="0" borderId="14" xfId="0" applyNumberFormat="1" applyFont="1" applyFill="1" applyBorder="1"/>
    <xf numFmtId="2" fontId="11" fillId="0" borderId="14" xfId="0" applyNumberFormat="1" applyFont="1" applyFill="1" applyBorder="1"/>
    <xf numFmtId="4" fontId="11" fillId="0" borderId="14" xfId="0" applyNumberFormat="1" applyFont="1" applyFill="1" applyBorder="1"/>
    <xf numFmtId="1" fontId="11" fillId="0" borderId="14" xfId="0" applyNumberFormat="1" applyFont="1" applyFill="1" applyBorder="1"/>
    <xf numFmtId="3" fontId="11" fillId="0" borderId="14" xfId="0" applyNumberFormat="1" applyFont="1" applyFill="1" applyBorder="1" applyAlignment="1"/>
    <xf numFmtId="3" fontId="11" fillId="0" borderId="15" xfId="0" applyNumberFormat="1" applyFont="1" applyFill="1" applyBorder="1"/>
    <xf numFmtId="2" fontId="11" fillId="0" borderId="15" xfId="0" applyNumberFormat="1" applyFont="1" applyFill="1" applyBorder="1"/>
    <xf numFmtId="4" fontId="11" fillId="0" borderId="15" xfId="0" applyNumberFormat="1" applyFont="1" applyFill="1" applyBorder="1"/>
    <xf numFmtId="1" fontId="11" fillId="0" borderId="15" xfId="0" applyNumberFormat="1" applyFont="1" applyFill="1" applyBorder="1"/>
    <xf numFmtId="3" fontId="11" fillId="0" borderId="15" xfId="0" applyNumberFormat="1" applyFont="1" applyFill="1" applyBorder="1" applyAlignment="1"/>
    <xf numFmtId="0" fontId="11" fillId="0" borderId="16" xfId="0" applyFont="1" applyBorder="1"/>
    <xf numFmtId="1" fontId="6" fillId="0" borderId="16" xfId="0" applyNumberFormat="1" applyFont="1" applyBorder="1"/>
    <xf numFmtId="0" fontId="11" fillId="0" borderId="15" xfId="0" applyFont="1" applyBorder="1"/>
    <xf numFmtId="0" fontId="6" fillId="0" borderId="15" xfId="0" applyFont="1" applyBorder="1"/>
    <xf numFmtId="1" fontId="6" fillId="0" borderId="15" xfId="0" applyNumberFormat="1" applyFont="1" applyBorder="1"/>
    <xf numFmtId="3" fontId="6" fillId="0" borderId="15" xfId="0" applyNumberFormat="1" applyFont="1" applyFill="1" applyBorder="1" applyAlignment="1">
      <alignment horizontal="center" vertical="center"/>
    </xf>
    <xf numFmtId="1" fontId="6" fillId="0" borderId="16" xfId="0" applyNumberFormat="1" applyFont="1" applyFill="1" applyBorder="1"/>
    <xf numFmtId="1" fontId="6" fillId="0" borderId="3" xfId="0" applyNumberFormat="1" applyFont="1" applyBorder="1"/>
    <xf numFmtId="3" fontId="11" fillId="0" borderId="7" xfId="0" applyNumberFormat="1" applyFont="1" applyFill="1" applyBorder="1" applyAlignment="1"/>
    <xf numFmtId="0" fontId="11" fillId="0" borderId="4" xfId="0" applyFont="1" applyBorder="1" applyAlignment="1">
      <alignment horizontal="left" vertical="center"/>
    </xf>
    <xf numFmtId="164" fontId="11" fillId="0" borderId="6" xfId="0" applyNumberFormat="1" applyFont="1" applyFill="1" applyBorder="1"/>
    <xf numFmtId="2" fontId="6" fillId="0" borderId="2" xfId="0" applyNumberFormat="1" applyFont="1" applyBorder="1"/>
    <xf numFmtId="1" fontId="11" fillId="0" borderId="16" xfId="0" applyNumberFormat="1" applyFont="1" applyFill="1" applyBorder="1"/>
    <xf numFmtId="1" fontId="11" fillId="0" borderId="3" xfId="0" applyNumberFormat="1" applyFont="1" applyFill="1" applyBorder="1"/>
    <xf numFmtId="167" fontId="11" fillId="0" borderId="5" xfId="0" applyNumberFormat="1" applyFont="1" applyFill="1" applyBorder="1"/>
    <xf numFmtId="3" fontId="9" fillId="0" borderId="3" xfId="0" applyNumberFormat="1" applyFont="1" applyFill="1" applyBorder="1" applyAlignment="1">
      <alignment horizontal="center"/>
    </xf>
    <xf numFmtId="167" fontId="11" fillId="0" borderId="14" xfId="0" applyNumberFormat="1" applyFont="1" applyFill="1" applyBorder="1"/>
    <xf numFmtId="167" fontId="6" fillId="0" borderId="2" xfId="0" applyNumberFormat="1" applyFont="1" applyFill="1" applyBorder="1" applyAlignment="1">
      <alignment horizontal="center"/>
    </xf>
    <xf numFmtId="3" fontId="11" fillId="0" borderId="5" xfId="1" applyNumberFormat="1" applyFont="1" applyFill="1" applyBorder="1" applyAlignment="1">
      <alignment horizontal="left"/>
    </xf>
    <xf numFmtId="0" fontId="11" fillId="0" borderId="5" xfId="0" applyFont="1" applyFill="1" applyBorder="1" applyAlignment="1">
      <alignment horizontal="center"/>
    </xf>
    <xf numFmtId="164" fontId="13" fillId="0" borderId="5" xfId="0" applyNumberFormat="1" applyFont="1" applyFill="1" applyBorder="1"/>
    <xf numFmtId="4" fontId="12" fillId="0" borderId="2" xfId="0" applyNumberFormat="1" applyFont="1" applyFill="1" applyBorder="1"/>
    <xf numFmtId="0" fontId="12" fillId="0" borderId="2" xfId="0" applyFont="1" applyBorder="1"/>
    <xf numFmtId="0" fontId="12" fillId="0" borderId="16" xfId="0" applyFont="1" applyBorder="1"/>
    <xf numFmtId="2" fontId="6" fillId="0" borderId="2" xfId="0" applyNumberFormat="1" applyFont="1" applyBorder="1" applyAlignment="1">
      <alignment vertical="center"/>
    </xf>
    <xf numFmtId="0" fontId="3" fillId="0" borderId="5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2" fontId="5" fillId="0" borderId="0" xfId="0" applyNumberFormat="1" applyFont="1" applyAlignment="1">
      <alignment vertical="center"/>
    </xf>
    <xf numFmtId="2" fontId="4" fillId="0" borderId="0" xfId="0" applyNumberFormat="1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" fontId="12" fillId="0" borderId="0" xfId="0" applyNumberFormat="1" applyFont="1" applyBorder="1" applyAlignment="1">
      <alignment horizontal="center" vertical="center"/>
    </xf>
    <xf numFmtId="1" fontId="12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4" fontId="6" fillId="0" borderId="0" xfId="0" applyNumberFormat="1" applyFont="1" applyBorder="1" applyAlignment="1">
      <alignment horizontal="center" vertical="center"/>
    </xf>
    <xf numFmtId="1" fontId="6" fillId="0" borderId="0" xfId="0" applyNumberFormat="1" applyFont="1" applyBorder="1" applyAlignment="1">
      <alignment horizontal="center" vertical="center"/>
    </xf>
    <xf numFmtId="164" fontId="11" fillId="0" borderId="14" xfId="0" applyNumberFormat="1" applyFont="1" applyFill="1" applyBorder="1"/>
    <xf numFmtId="4" fontId="6" fillId="0" borderId="16" xfId="0" applyNumberFormat="1" applyFont="1" applyBorder="1" applyAlignment="1">
      <alignment vertical="center"/>
    </xf>
    <xf numFmtId="4" fontId="6" fillId="0" borderId="17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vertical="center"/>
    </xf>
    <xf numFmtId="1" fontId="6" fillId="0" borderId="16" xfId="0" applyNumberFormat="1" applyFont="1" applyBorder="1" applyAlignment="1">
      <alignment vertical="center"/>
    </xf>
    <xf numFmtId="1" fontId="6" fillId="0" borderId="17" xfId="0" applyNumberFormat="1" applyFont="1" applyBorder="1" applyAlignment="1">
      <alignment vertical="center"/>
    </xf>
    <xf numFmtId="1" fontId="6" fillId="0" borderId="3" xfId="0" applyNumberFormat="1" applyFont="1" applyBorder="1" applyAlignment="1">
      <alignment vertical="center"/>
    </xf>
    <xf numFmtId="0" fontId="7" fillId="0" borderId="20" xfId="0" applyFont="1" applyFill="1" applyBorder="1" applyAlignment="1">
      <alignment horizontal="center"/>
    </xf>
    <xf numFmtId="3" fontId="11" fillId="0" borderId="20" xfId="0" applyNumberFormat="1" applyFont="1" applyFill="1" applyBorder="1"/>
    <xf numFmtId="2" fontId="11" fillId="0" borderId="20" xfId="0" applyNumberFormat="1" applyFont="1" applyFill="1" applyBorder="1"/>
    <xf numFmtId="4" fontId="11" fillId="0" borderId="20" xfId="0" applyNumberFormat="1" applyFont="1" applyFill="1" applyBorder="1"/>
    <xf numFmtId="1" fontId="11" fillId="0" borderId="20" xfId="0" applyNumberFormat="1" applyFont="1" applyFill="1" applyBorder="1"/>
    <xf numFmtId="3" fontId="11" fillId="0" borderId="20" xfId="0" applyNumberFormat="1" applyFont="1" applyFill="1" applyBorder="1" applyAlignment="1"/>
    <xf numFmtId="0" fontId="7" fillId="0" borderId="2" xfId="0" applyFont="1" applyFill="1" applyBorder="1" applyAlignment="1">
      <alignment horizontal="center"/>
    </xf>
    <xf numFmtId="2" fontId="11" fillId="0" borderId="2" xfId="0" applyNumberFormat="1" applyFont="1" applyFill="1" applyBorder="1"/>
    <xf numFmtId="3" fontId="11" fillId="0" borderId="2" xfId="0" applyNumberFormat="1" applyFont="1" applyFill="1" applyBorder="1" applyAlignment="1"/>
    <xf numFmtId="0" fontId="7" fillId="0" borderId="20" xfId="0" applyFont="1" applyFill="1" applyBorder="1"/>
    <xf numFmtId="0" fontId="11" fillId="0" borderId="20" xfId="0" applyFont="1" applyFill="1" applyBorder="1" applyAlignment="1">
      <alignment horizontal="center"/>
    </xf>
    <xf numFmtId="164" fontId="11" fillId="0" borderId="20" xfId="0" applyNumberFormat="1" applyFont="1" applyFill="1" applyBorder="1"/>
    <xf numFmtId="167" fontId="6" fillId="0" borderId="2" xfId="0" applyNumberFormat="1" applyFont="1" applyBorder="1" applyAlignment="1">
      <alignment vertical="center"/>
    </xf>
    <xf numFmtId="1" fontId="6" fillId="0" borderId="2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" fontId="13" fillId="0" borderId="5" xfId="0" applyNumberFormat="1" applyFont="1" applyFill="1" applyBorder="1"/>
    <xf numFmtId="2" fontId="13" fillId="0" borderId="5" xfId="0" applyNumberFormat="1" applyFont="1" applyFill="1" applyBorder="1"/>
    <xf numFmtId="2" fontId="12" fillId="0" borderId="2" xfId="0" applyNumberFormat="1" applyFont="1" applyFill="1" applyBorder="1"/>
    <xf numFmtId="2" fontId="12" fillId="0" borderId="2" xfId="0" applyNumberFormat="1" applyFont="1" applyBorder="1" applyAlignment="1">
      <alignment vertical="center"/>
    </xf>
    <xf numFmtId="4" fontId="10" fillId="0" borderId="2" xfId="0" applyNumberFormat="1" applyFont="1" applyBorder="1"/>
    <xf numFmtId="3" fontId="13" fillId="0" borderId="5" xfId="0" applyNumberFormat="1" applyFont="1" applyFill="1" applyBorder="1" applyAlignment="1"/>
    <xf numFmtId="0" fontId="4" fillId="0" borderId="2" xfId="0" applyFont="1" applyFill="1" applyBorder="1" applyAlignment="1">
      <alignment horizontal="left"/>
    </xf>
    <xf numFmtId="2" fontId="12" fillId="0" borderId="3" xfId="0" applyNumberFormat="1" applyFont="1" applyBorder="1" applyAlignment="1">
      <alignment vertical="center"/>
    </xf>
    <xf numFmtId="2" fontId="6" fillId="0" borderId="3" xfId="0" applyNumberFormat="1" applyFont="1" applyBorder="1" applyAlignment="1">
      <alignment vertical="center"/>
    </xf>
    <xf numFmtId="0" fontId="4" fillId="0" borderId="2" xfId="0" applyFont="1" applyFill="1" applyBorder="1" applyAlignment="1">
      <alignment horizontal="right"/>
    </xf>
    <xf numFmtId="4" fontId="13" fillId="0" borderId="2" xfId="0" applyNumberFormat="1" applyFont="1" applyFill="1" applyBorder="1"/>
    <xf numFmtId="4" fontId="9" fillId="0" borderId="5" xfId="0" applyNumberFormat="1" applyFont="1" applyFill="1" applyBorder="1"/>
    <xf numFmtId="0" fontId="12" fillId="2" borderId="16" xfId="0" applyFont="1" applyFill="1" applyBorder="1" applyAlignment="1">
      <alignment vertical="center"/>
    </xf>
    <xf numFmtId="2" fontId="3" fillId="0" borderId="0" xfId="0" applyNumberFormat="1" applyFont="1"/>
    <xf numFmtId="0" fontId="6" fillId="0" borderId="16" xfId="0" applyFont="1" applyFill="1" applyBorder="1" applyAlignment="1">
      <alignment vertical="center"/>
    </xf>
    <xf numFmtId="2" fontId="6" fillId="2" borderId="16" xfId="0" applyNumberFormat="1" applyFont="1" applyFill="1" applyBorder="1" applyAlignment="1">
      <alignment vertical="center"/>
    </xf>
    <xf numFmtId="3" fontId="11" fillId="2" borderId="5" xfId="0" applyNumberFormat="1" applyFont="1" applyFill="1" applyBorder="1" applyAlignment="1"/>
    <xf numFmtId="4" fontId="11" fillId="2" borderId="5" xfId="0" applyNumberFormat="1" applyFont="1" applyFill="1" applyBorder="1"/>
    <xf numFmtId="1" fontId="11" fillId="2" borderId="5" xfId="0" applyNumberFormat="1" applyFont="1" applyFill="1" applyBorder="1"/>
    <xf numFmtId="0" fontId="6" fillId="0" borderId="16" xfId="0" applyFont="1" applyBorder="1" applyAlignment="1">
      <alignment vertical="center"/>
    </xf>
    <xf numFmtId="2" fontId="11" fillId="2" borderId="5" xfId="0" applyNumberFormat="1" applyFont="1" applyFill="1" applyBorder="1"/>
    <xf numFmtId="4" fontId="13" fillId="2" borderId="5" xfId="0" applyNumberFormat="1" applyFont="1" applyFill="1" applyBorder="1"/>
    <xf numFmtId="0" fontId="3" fillId="2" borderId="0" xfId="0" applyFont="1" applyFill="1"/>
    <xf numFmtId="0" fontId="6" fillId="2" borderId="16" xfId="0" applyFont="1" applyFill="1" applyBorder="1" applyAlignment="1">
      <alignment vertical="center"/>
    </xf>
    <xf numFmtId="167" fontId="13" fillId="0" borderId="5" xfId="0" applyNumberFormat="1" applyFont="1" applyFill="1" applyBorder="1"/>
    <xf numFmtId="2" fontId="9" fillId="0" borderId="5" xfId="0" applyNumberFormat="1" applyFont="1" applyFill="1" applyBorder="1"/>
    <xf numFmtId="167" fontId="11" fillId="0" borderId="20" xfId="0" applyNumberFormat="1" applyFont="1" applyFill="1" applyBorder="1"/>
    <xf numFmtId="3" fontId="3" fillId="0" borderId="5" xfId="1" applyNumberFormat="1" applyFont="1" applyFill="1" applyBorder="1" applyAlignment="1">
      <alignment horizontal="left"/>
    </xf>
    <xf numFmtId="4" fontId="13" fillId="0" borderId="20" xfId="0" applyNumberFormat="1" applyFont="1" applyFill="1" applyBorder="1"/>
    <xf numFmtId="3" fontId="7" fillId="2" borderId="5" xfId="1" applyNumberFormat="1" applyFont="1" applyFill="1" applyBorder="1" applyAlignment="1">
      <alignment horizontal="left"/>
    </xf>
    <xf numFmtId="0" fontId="7" fillId="2" borderId="5" xfId="0" applyFont="1" applyFill="1" applyBorder="1"/>
    <xf numFmtId="3" fontId="3" fillId="2" borderId="5" xfId="1" applyNumberFormat="1" applyFont="1" applyFill="1" applyBorder="1" applyAlignment="1">
      <alignment horizontal="left"/>
    </xf>
    <xf numFmtId="3" fontId="13" fillId="0" borderId="14" xfId="0" applyNumberFormat="1" applyFont="1" applyFill="1" applyBorder="1" applyAlignment="1"/>
    <xf numFmtId="3" fontId="9" fillId="0" borderId="5" xfId="3" applyNumberFormat="1" applyFont="1" applyFill="1" applyBorder="1" applyAlignment="1">
      <alignment horizontal="left" vertical="center" wrapText="1"/>
    </xf>
    <xf numFmtId="4" fontId="3" fillId="0" borderId="0" xfId="0" applyNumberFormat="1" applyFont="1" applyFill="1" applyBorder="1"/>
    <xf numFmtId="3" fontId="9" fillId="0" borderId="2" xfId="3" applyNumberFormat="1" applyFont="1" applyFill="1" applyBorder="1" applyAlignment="1">
      <alignment horizontal="left" vertical="center" wrapText="1"/>
    </xf>
    <xf numFmtId="167" fontId="13" fillId="0" borderId="2" xfId="0" applyNumberFormat="1" applyFont="1" applyFill="1" applyBorder="1"/>
    <xf numFmtId="3" fontId="9" fillId="0" borderId="20" xfId="3" applyNumberFormat="1" applyFont="1" applyFill="1" applyBorder="1" applyAlignment="1">
      <alignment horizontal="left" vertical="center" wrapText="1"/>
    </xf>
    <xf numFmtId="167" fontId="13" fillId="0" borderId="20" xfId="0" applyNumberFormat="1" applyFont="1" applyFill="1" applyBorder="1"/>
    <xf numFmtId="167" fontId="6" fillId="0" borderId="2" xfId="0" applyNumberFormat="1" applyFont="1" applyFill="1" applyBorder="1" applyAlignment="1">
      <alignment vertical="center"/>
    </xf>
    <xf numFmtId="0" fontId="7" fillId="0" borderId="4" xfId="0" applyFont="1" applyFill="1" applyBorder="1" applyAlignment="1">
      <alignment horizontal="left"/>
    </xf>
    <xf numFmtId="3" fontId="7" fillId="0" borderId="4" xfId="0" applyNumberFormat="1" applyFont="1" applyFill="1" applyBorder="1"/>
    <xf numFmtId="2" fontId="7" fillId="0" borderId="4" xfId="0" applyNumberFormat="1" applyFont="1" applyFill="1" applyBorder="1"/>
    <xf numFmtId="4" fontId="7" fillId="0" borderId="4" xfId="0" applyNumberFormat="1" applyFont="1" applyFill="1" applyBorder="1"/>
    <xf numFmtId="1" fontId="7" fillId="0" borderId="4" xfId="0" applyNumberFormat="1" applyFont="1" applyFill="1" applyBorder="1"/>
    <xf numFmtId="0" fontId="7" fillId="2" borderId="5" xfId="0" applyFont="1" applyFill="1" applyBorder="1" applyAlignment="1">
      <alignment horizontal="center"/>
    </xf>
    <xf numFmtId="3" fontId="11" fillId="2" borderId="5" xfId="0" applyNumberFormat="1" applyFont="1" applyFill="1" applyBorder="1"/>
    <xf numFmtId="167" fontId="11" fillId="2" borderId="5" xfId="0" applyNumberFormat="1" applyFont="1" applyFill="1" applyBorder="1"/>
    <xf numFmtId="4" fontId="13" fillId="0" borderId="6" xfId="0" applyNumberFormat="1" applyFont="1" applyFill="1" applyBorder="1"/>
    <xf numFmtId="2" fontId="13" fillId="0" borderId="20" xfId="0" applyNumberFormat="1" applyFont="1" applyFill="1" applyBorder="1"/>
    <xf numFmtId="3" fontId="13" fillId="2" borderId="5" xfId="0" applyNumberFormat="1" applyFont="1" applyFill="1" applyBorder="1" applyAlignment="1"/>
    <xf numFmtId="3" fontId="13" fillId="0" borderId="20" xfId="0" applyNumberFormat="1" applyFont="1" applyFill="1" applyBorder="1" applyAlignment="1"/>
    <xf numFmtId="3" fontId="9" fillId="0" borderId="5" xfId="0" applyNumberFormat="1" applyFont="1" applyFill="1" applyBorder="1" applyAlignment="1"/>
    <xf numFmtId="0" fontId="4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0" fillId="0" borderId="2" xfId="0" applyNumberFormat="1" applyFont="1" applyBorder="1" applyAlignment="1">
      <alignment horizontal="center" vertical="center"/>
    </xf>
    <xf numFmtId="2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167" fontId="6" fillId="0" borderId="18" xfId="0" applyNumberFormat="1" applyFont="1" applyBorder="1" applyAlignment="1">
      <alignment horizontal="center" vertical="center"/>
    </xf>
    <xf numFmtId="167" fontId="6" fillId="0" borderId="7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center"/>
    </xf>
    <xf numFmtId="3" fontId="6" fillId="0" borderId="16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2" fillId="0" borderId="16" xfId="0" applyNumberFormat="1" applyFont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2" fontId="2" fillId="0" borderId="16" xfId="0" applyNumberFormat="1" applyFont="1" applyFill="1" applyBorder="1" applyAlignment="1">
      <alignment horizontal="center" vertical="center" wrapText="1"/>
    </xf>
    <xf numFmtId="2" fontId="2" fillId="0" borderId="17" xfId="0" applyNumberFormat="1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left"/>
    </xf>
    <xf numFmtId="0" fontId="4" fillId="0" borderId="15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7" fillId="0" borderId="23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3" fontId="6" fillId="0" borderId="17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left"/>
    </xf>
    <xf numFmtId="0" fontId="10" fillId="0" borderId="2" xfId="0" applyFont="1" applyFill="1" applyBorder="1" applyAlignment="1">
      <alignment horizontal="center"/>
    </xf>
    <xf numFmtId="0" fontId="5" fillId="0" borderId="18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3" fontId="10" fillId="0" borderId="16" xfId="0" applyNumberFormat="1" applyFont="1" applyFill="1" applyBorder="1" applyAlignment="1">
      <alignment horizontal="center" vertical="center"/>
    </xf>
    <xf numFmtId="3" fontId="10" fillId="0" borderId="3" xfId="0" applyNumberFormat="1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2" fontId="12" fillId="0" borderId="2" xfId="0" applyNumberFormat="1" applyFont="1" applyBorder="1" applyAlignment="1">
      <alignment horizontal="center"/>
    </xf>
    <xf numFmtId="2" fontId="12" fillId="0" borderId="10" xfId="0" applyNumberFormat="1" applyFont="1" applyBorder="1" applyAlignment="1">
      <alignment horizontal="center" vertical="center" wrapText="1"/>
    </xf>
    <xf numFmtId="2" fontId="12" fillId="0" borderId="8" xfId="0" applyNumberFormat="1" applyFont="1" applyBorder="1" applyAlignment="1">
      <alignment horizontal="center" vertical="center" wrapText="1"/>
    </xf>
    <xf numFmtId="2" fontId="12" fillId="0" borderId="11" xfId="0" applyNumberFormat="1" applyFont="1" applyBorder="1" applyAlignment="1">
      <alignment horizontal="center" vertical="center" wrapText="1"/>
    </xf>
    <xf numFmtId="2" fontId="12" fillId="0" borderId="12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2" fontId="12" fillId="0" borderId="13" xfId="0" applyNumberFormat="1" applyFont="1" applyBorder="1" applyAlignment="1">
      <alignment horizontal="center" vertical="center" wrapText="1"/>
    </xf>
    <xf numFmtId="4" fontId="12" fillId="0" borderId="16" xfId="0" applyNumberFormat="1" applyFont="1" applyBorder="1" applyAlignment="1">
      <alignment horizontal="center" vertical="center"/>
    </xf>
    <xf numFmtId="4" fontId="12" fillId="0" borderId="17" xfId="0" applyNumberFormat="1" applyFont="1" applyBorder="1" applyAlignment="1">
      <alignment horizontal="center" vertical="center"/>
    </xf>
    <xf numFmtId="4" fontId="12" fillId="0" borderId="3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" fontId="12" fillId="0" borderId="16" xfId="0" applyNumberFormat="1" applyFont="1" applyBorder="1" applyAlignment="1">
      <alignment horizontal="center" vertical="center"/>
    </xf>
    <xf numFmtId="1" fontId="12" fillId="0" borderId="17" xfId="0" applyNumberFormat="1" applyFont="1" applyBorder="1" applyAlignment="1">
      <alignment horizontal="center" vertical="center"/>
    </xf>
    <xf numFmtId="1" fontId="12" fillId="0" borderId="3" xfId="0" applyNumberFormat="1" applyFont="1" applyBorder="1" applyAlignment="1">
      <alignment horizontal="center" vertical="center"/>
    </xf>
    <xf numFmtId="4" fontId="10" fillId="0" borderId="2" xfId="0" applyNumberFormat="1" applyFont="1" applyBorder="1" applyAlignment="1">
      <alignment horizontal="center" vertical="center"/>
    </xf>
    <xf numFmtId="164" fontId="12" fillId="0" borderId="16" xfId="0" applyNumberFormat="1" applyFont="1" applyBorder="1" applyAlignment="1">
      <alignment horizontal="center" vertical="center"/>
    </xf>
    <xf numFmtId="164" fontId="12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2" fontId="6" fillId="0" borderId="11" xfId="0" applyNumberFormat="1" applyFont="1" applyBorder="1" applyAlignment="1">
      <alignment horizontal="center" vertical="center" wrapText="1"/>
    </xf>
    <xf numFmtId="2" fontId="6" fillId="0" borderId="12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3" xfId="0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4" fontId="6" fillId="0" borderId="16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2" fontId="6" fillId="0" borderId="16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0" borderId="10" xfId="0" applyFont="1" applyFill="1" applyBorder="1" applyAlignment="1">
      <alignment horizontal="center" vertical="center" wrapText="1"/>
    </xf>
    <xf numFmtId="1" fontId="6" fillId="0" borderId="18" xfId="0" applyNumberFormat="1" applyFont="1" applyBorder="1" applyAlignment="1">
      <alignment horizontal="center" vertical="center"/>
    </xf>
    <xf numFmtId="1" fontId="6" fillId="0" borderId="7" xfId="0" applyNumberFormat="1" applyFont="1" applyBorder="1" applyAlignment="1">
      <alignment horizontal="center" vertical="center"/>
    </xf>
    <xf numFmtId="2" fontId="6" fillId="2" borderId="18" xfId="0" applyNumberFormat="1" applyFont="1" applyFill="1" applyBorder="1" applyAlignment="1">
      <alignment horizontal="center"/>
    </xf>
    <xf numFmtId="2" fontId="6" fillId="2" borderId="7" xfId="0" applyNumberFormat="1" applyFont="1" applyFill="1" applyBorder="1" applyAlignment="1">
      <alignment horizontal="center"/>
    </xf>
    <xf numFmtId="2" fontId="10" fillId="0" borderId="16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164" fontId="6" fillId="0" borderId="16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2" fontId="12" fillId="0" borderId="16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" fontId="12" fillId="0" borderId="2" xfId="0" applyNumberFormat="1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1" fontId="6" fillId="0" borderId="16" xfId="0" applyNumberFormat="1" applyFont="1" applyFill="1" applyBorder="1" applyAlignment="1">
      <alignment horizontal="center"/>
    </xf>
    <xf numFmtId="1" fontId="6" fillId="0" borderId="3" xfId="0" applyNumberFormat="1" applyFont="1" applyFill="1" applyBorder="1" applyAlignment="1">
      <alignment horizontal="center"/>
    </xf>
    <xf numFmtId="0" fontId="19" fillId="0" borderId="3" xfId="0" applyFont="1" applyBorder="1"/>
    <xf numFmtId="1" fontId="11" fillId="0" borderId="16" xfId="0" applyNumberFormat="1" applyFont="1" applyFill="1" applyBorder="1" applyAlignment="1">
      <alignment horizontal="center"/>
    </xf>
    <xf numFmtId="1" fontId="11" fillId="0" borderId="3" xfId="0" applyNumberFormat="1" applyFont="1" applyFill="1" applyBorder="1" applyAlignment="1">
      <alignment horizontal="center"/>
    </xf>
    <xf numFmtId="0" fontId="13" fillId="0" borderId="23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2" fontId="6" fillId="0" borderId="16" xfId="0" applyNumberFormat="1" applyFont="1" applyFill="1" applyBorder="1" applyAlignment="1">
      <alignment horizontal="center" vertical="center" wrapText="1"/>
    </xf>
    <xf numFmtId="2" fontId="6" fillId="0" borderId="17" xfId="0" applyNumberFormat="1" applyFont="1" applyFill="1" applyBorder="1" applyAlignment="1">
      <alignment horizontal="center" vertical="center"/>
    </xf>
    <xf numFmtId="2" fontId="6" fillId="0" borderId="3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2" fontId="12" fillId="0" borderId="18" xfId="0" applyNumberFormat="1" applyFont="1" applyBorder="1" applyAlignment="1">
      <alignment horizontal="center"/>
    </xf>
    <xf numFmtId="2" fontId="12" fillId="0" borderId="7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3" fontId="12" fillId="0" borderId="16" xfId="0" applyNumberFormat="1" applyFont="1" applyFill="1" applyBorder="1" applyAlignment="1">
      <alignment horizontal="center" vertical="center"/>
    </xf>
    <xf numFmtId="3" fontId="12" fillId="0" borderId="3" xfId="0" applyNumberFormat="1" applyFont="1" applyFill="1" applyBorder="1" applyAlignment="1">
      <alignment horizontal="center" vertical="center"/>
    </xf>
    <xf numFmtId="3" fontId="12" fillId="0" borderId="17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164" fontId="10" fillId="0" borderId="16" xfId="0" applyNumberFormat="1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3" fontId="14" fillId="0" borderId="16" xfId="0" applyNumberFormat="1" applyFont="1" applyFill="1" applyBorder="1" applyAlignment="1">
      <alignment horizontal="center" vertical="center" textRotation="45"/>
    </xf>
    <xf numFmtId="3" fontId="14" fillId="0" borderId="3" xfId="0" applyNumberFormat="1" applyFont="1" applyFill="1" applyBorder="1" applyAlignment="1">
      <alignment horizontal="center" vertical="center" textRotation="45"/>
    </xf>
    <xf numFmtId="3" fontId="20" fillId="0" borderId="16" xfId="0" applyNumberFormat="1" applyFont="1" applyFill="1" applyBorder="1" applyAlignment="1">
      <alignment horizontal="center" vertical="center" textRotation="46"/>
    </xf>
    <xf numFmtId="3" fontId="20" fillId="0" borderId="3" xfId="0" applyNumberFormat="1" applyFont="1" applyFill="1" applyBorder="1" applyAlignment="1">
      <alignment horizontal="center" vertical="center" textRotation="46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4" fontId="10" fillId="0" borderId="16" xfId="0" applyNumberFormat="1" applyFont="1" applyBorder="1" applyAlignment="1">
      <alignment horizontal="center" vertical="center"/>
    </xf>
    <xf numFmtId="4" fontId="10" fillId="0" borderId="3" xfId="0" applyNumberFormat="1" applyFont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1" fontId="10" fillId="0" borderId="2" xfId="0" applyNumberFormat="1" applyFont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 wrapText="1"/>
    </xf>
    <xf numFmtId="2" fontId="2" fillId="0" borderId="11" xfId="0" applyNumberFormat="1" applyFont="1" applyFill="1" applyBorder="1" applyAlignment="1">
      <alignment horizontal="center" vertical="center" wrapText="1"/>
    </xf>
    <xf numFmtId="2" fontId="2" fillId="0" borderId="12" xfId="0" applyNumberFormat="1" applyFont="1" applyFill="1" applyBorder="1" applyAlignment="1">
      <alignment horizontal="center" vertical="center" wrapText="1"/>
    </xf>
    <xf numFmtId="2" fontId="2" fillId="0" borderId="13" xfId="0" applyNumberFormat="1" applyFont="1" applyFill="1" applyBorder="1" applyAlignment="1">
      <alignment horizontal="center" vertical="center" wrapText="1"/>
    </xf>
    <xf numFmtId="2" fontId="12" fillId="0" borderId="16" xfId="0" applyNumberFormat="1" applyFont="1" applyFill="1" applyBorder="1" applyAlignment="1">
      <alignment horizontal="center" vertical="center" wrapText="1"/>
    </xf>
    <xf numFmtId="2" fontId="12" fillId="0" borderId="17" xfId="0" applyNumberFormat="1" applyFont="1" applyFill="1" applyBorder="1" applyAlignment="1">
      <alignment horizontal="center" vertical="center"/>
    </xf>
    <xf numFmtId="2" fontId="12" fillId="0" borderId="3" xfId="0" applyNumberFormat="1" applyFont="1" applyFill="1" applyBorder="1" applyAlignment="1">
      <alignment horizontal="center" vertical="center"/>
    </xf>
    <xf numFmtId="1" fontId="6" fillId="0" borderId="16" xfId="0" applyNumberFormat="1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1" fontId="11" fillId="2" borderId="6" xfId="0" applyNumberFormat="1" applyFont="1" applyFill="1" applyBorder="1"/>
    <xf numFmtId="167" fontId="3" fillId="0" borderId="0" xfId="0" applyNumberFormat="1" applyFont="1" applyFill="1" applyBorder="1"/>
    <xf numFmtId="3" fontId="21" fillId="0" borderId="2" xfId="0" applyNumberFormat="1" applyFont="1" applyFill="1" applyBorder="1" applyAlignment="1">
      <alignment horizontal="center" wrapText="1"/>
    </xf>
    <xf numFmtId="1" fontId="3" fillId="0" borderId="0" xfId="0" applyNumberFormat="1" applyFont="1" applyFill="1" applyBorder="1"/>
    <xf numFmtId="164" fontId="12" fillId="2" borderId="2" xfId="0" applyNumberFormat="1" applyFont="1" applyFill="1" applyBorder="1" applyAlignment="1"/>
    <xf numFmtId="164" fontId="12" fillId="2" borderId="7" xfId="0" applyNumberFormat="1" applyFont="1" applyFill="1" applyBorder="1" applyAlignment="1"/>
    <xf numFmtId="165" fontId="6" fillId="2" borderId="18" xfId="0" applyNumberFormat="1" applyFont="1" applyFill="1" applyBorder="1" applyAlignment="1">
      <alignment horizontal="center"/>
    </xf>
    <xf numFmtId="165" fontId="6" fillId="2" borderId="7" xfId="0" applyNumberFormat="1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top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165" fontId="12" fillId="2" borderId="18" xfId="0" applyNumberFormat="1" applyFont="1" applyFill="1" applyBorder="1" applyAlignment="1">
      <alignment horizontal="center"/>
    </xf>
    <xf numFmtId="165" fontId="12" fillId="2" borderId="7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7" fillId="2" borderId="0" xfId="0" applyFont="1" applyFill="1" applyBorder="1"/>
    <xf numFmtId="0" fontId="17" fillId="2" borderId="0" xfId="0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8" fillId="2" borderId="0" xfId="0" applyFont="1" applyFill="1" applyBorder="1"/>
    <xf numFmtId="166" fontId="17" fillId="2" borderId="0" xfId="0" applyNumberFormat="1" applyFont="1" applyFill="1" applyBorder="1" applyAlignment="1">
      <alignment horizontal="center"/>
    </xf>
    <xf numFmtId="2" fontId="17" fillId="2" borderId="0" xfId="0" applyNumberFormat="1" applyFont="1" applyFill="1" applyBorder="1"/>
    <xf numFmtId="0" fontId="17" fillId="2" borderId="0" xfId="0" applyFont="1" applyFill="1" applyBorder="1" applyAlignment="1">
      <alignment horizontal="center"/>
    </xf>
    <xf numFmtId="2" fontId="3" fillId="2" borderId="0" xfId="0" applyNumberFormat="1" applyFont="1" applyFill="1"/>
    <xf numFmtId="0" fontId="3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9" fillId="2" borderId="0" xfId="0" applyFont="1" applyFill="1" applyBorder="1"/>
    <xf numFmtId="2" fontId="3" fillId="2" borderId="0" xfId="0" applyNumberFormat="1" applyFont="1" applyFill="1" applyBorder="1"/>
    <xf numFmtId="0" fontId="3" fillId="2" borderId="0" xfId="0" applyFont="1" applyFill="1" applyBorder="1" applyAlignment="1">
      <alignment horizontal="center"/>
    </xf>
    <xf numFmtId="1" fontId="13" fillId="2" borderId="5" xfId="0" applyNumberFormat="1" applyFont="1" applyFill="1" applyBorder="1"/>
    <xf numFmtId="4" fontId="3" fillId="2" borderId="0" xfId="0" applyNumberFormat="1" applyFont="1" applyFill="1" applyBorder="1"/>
    <xf numFmtId="1" fontId="11" fillId="2" borderId="20" xfId="0" applyNumberFormat="1" applyFont="1" applyFill="1" applyBorder="1"/>
    <xf numFmtId="4" fontId="3" fillId="2" borderId="0" xfId="0" applyNumberFormat="1" applyFont="1" applyFill="1"/>
    <xf numFmtId="164" fontId="6" fillId="2" borderId="7" xfId="0" applyNumberFormat="1" applyFont="1" applyFill="1" applyBorder="1" applyAlignment="1"/>
    <xf numFmtId="164" fontId="6" fillId="2" borderId="2" xfId="0" applyNumberFormat="1" applyFont="1" applyFill="1" applyBorder="1" applyAlignment="1"/>
    <xf numFmtId="166" fontId="3" fillId="2" borderId="0" xfId="0" applyNumberFormat="1" applyFont="1" applyFill="1" applyBorder="1" applyAlignment="1">
      <alignment horizontal="center"/>
    </xf>
    <xf numFmtId="1" fontId="13" fillId="2" borderId="20" xfId="0" applyNumberFormat="1" applyFont="1" applyFill="1" applyBorder="1"/>
    <xf numFmtId="2" fontId="6" fillId="2" borderId="3" xfId="0" applyNumberFormat="1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1" fillId="0" borderId="3" xfId="0" applyFont="1" applyBorder="1"/>
    <xf numFmtId="1" fontId="11" fillId="2" borderId="14" xfId="0" applyNumberFormat="1" applyFont="1" applyFill="1" applyBorder="1"/>
    <xf numFmtId="0" fontId="3" fillId="0" borderId="0" xfId="0" applyFont="1" applyBorder="1" applyAlignment="1">
      <alignment horizontal="center" vertical="center"/>
    </xf>
    <xf numFmtId="2" fontId="11" fillId="0" borderId="4" xfId="0" applyNumberFormat="1" applyFont="1" applyFill="1" applyBorder="1"/>
    <xf numFmtId="4" fontId="11" fillId="2" borderId="6" xfId="0" applyNumberFormat="1" applyFont="1" applyFill="1" applyBorder="1"/>
    <xf numFmtId="3" fontId="9" fillId="0" borderId="2" xfId="0" applyNumberFormat="1" applyFont="1" applyFill="1" applyBorder="1" applyAlignment="1">
      <alignment horizontal="center" wrapText="1"/>
    </xf>
    <xf numFmtId="2" fontId="11" fillId="2" borderId="20" xfId="0" applyNumberFormat="1" applyFont="1" applyFill="1" applyBorder="1"/>
    <xf numFmtId="3" fontId="3" fillId="0" borderId="0" xfId="0" applyNumberFormat="1" applyFont="1"/>
    <xf numFmtId="165" fontId="12" fillId="2" borderId="2" xfId="0" applyNumberFormat="1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167" fontId="6" fillId="2" borderId="18" xfId="0" applyNumberFormat="1" applyFont="1" applyFill="1" applyBorder="1" applyAlignment="1">
      <alignment horizontal="center" vertical="center"/>
    </xf>
    <xf numFmtId="167" fontId="6" fillId="2" borderId="7" xfId="0" applyNumberFormat="1" applyFont="1" applyFill="1" applyBorder="1" applyAlignment="1">
      <alignment horizontal="center" vertical="center"/>
    </xf>
    <xf numFmtId="3" fontId="3" fillId="0" borderId="0" xfId="0" applyNumberFormat="1" applyFont="1" applyFill="1"/>
    <xf numFmtId="0" fontId="3" fillId="2" borderId="0" xfId="0" applyFont="1" applyFill="1" applyBorder="1" applyAlignment="1"/>
    <xf numFmtId="0" fontId="11" fillId="2" borderId="0" xfId="0" applyFont="1" applyFill="1" applyBorder="1" applyAlignment="1">
      <alignment horizontal="center"/>
    </xf>
    <xf numFmtId="166" fontId="3" fillId="2" borderId="0" xfId="0" applyNumberFormat="1" applyFont="1" applyFill="1" applyBorder="1" applyAlignment="1"/>
  </cellXfs>
  <cellStyles count="4">
    <cellStyle name="Comma 2" xfId="2"/>
    <cellStyle name="Normal" xfId="0" builtinId="0"/>
    <cellStyle name="Normal_Sheet1" xfId="1"/>
    <cellStyle name="Normal_Sheet1_tinh an thang 7_tinh an thang 5 nam 2018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63"/>
  <sheetViews>
    <sheetView tabSelected="1" workbookViewId="0">
      <selection activeCell="P1" sqref="P1"/>
    </sheetView>
  </sheetViews>
  <sheetFormatPr defaultColWidth="9.109375" defaultRowHeight="21.6" customHeight="1"/>
  <cols>
    <col min="1" max="1" width="4" style="1" customWidth="1"/>
    <col min="2" max="2" width="12.5546875" style="1" customWidth="1"/>
    <col min="3" max="3" width="8" style="1" customWidth="1"/>
    <col min="4" max="4" width="8.88671875" style="1" customWidth="1"/>
    <col min="5" max="8" width="6.6640625" style="1" customWidth="1"/>
    <col min="9" max="9" width="6.88671875" style="1" customWidth="1"/>
    <col min="10" max="10" width="7.6640625" style="1" customWidth="1"/>
    <col min="11" max="11" width="5.44140625" style="1" customWidth="1"/>
    <col min="12" max="12" width="5.88671875" style="1" customWidth="1"/>
    <col min="13" max="13" width="7.77734375" style="1" customWidth="1"/>
    <col min="14" max="14" width="7.33203125" style="1" customWidth="1"/>
    <col min="15" max="15" width="10" style="1" customWidth="1"/>
    <col min="16" max="16" width="9.88671875" style="1" bestFit="1" customWidth="1"/>
    <col min="17" max="17" width="10.33203125" style="1" bestFit="1" customWidth="1"/>
    <col min="18" max="19" width="9.33203125" style="1" bestFit="1" customWidth="1"/>
    <col min="20" max="20" width="12.44140625" style="1" customWidth="1"/>
    <col min="21" max="21" width="9.33203125" style="1" bestFit="1" customWidth="1"/>
    <col min="22" max="16384" width="9.109375" style="1"/>
  </cols>
  <sheetData>
    <row r="1" spans="1:20" ht="22.2" customHeight="1">
      <c r="A1" s="11" t="s">
        <v>61</v>
      </c>
      <c r="B1" s="8"/>
      <c r="C1" s="8"/>
      <c r="D1" s="8"/>
      <c r="E1" s="8"/>
      <c r="F1" s="290" t="s">
        <v>31</v>
      </c>
      <c r="G1" s="290"/>
      <c r="H1" s="290"/>
      <c r="I1" s="290"/>
      <c r="J1" s="290"/>
      <c r="K1" s="290"/>
      <c r="L1" s="290"/>
      <c r="M1" s="290"/>
      <c r="N1" s="290"/>
      <c r="O1" s="367"/>
      <c r="P1" s="367"/>
      <c r="T1" s="2"/>
    </row>
    <row r="2" spans="1:20" ht="22.2" customHeight="1">
      <c r="A2" s="11"/>
      <c r="B2" s="8"/>
      <c r="C2" s="8"/>
      <c r="D2" s="8"/>
      <c r="E2" s="8"/>
      <c r="F2" s="172"/>
      <c r="G2" s="172"/>
      <c r="H2" s="172"/>
      <c r="I2" s="172"/>
      <c r="J2" s="172"/>
      <c r="K2" s="172"/>
      <c r="L2" s="172"/>
      <c r="M2" s="172"/>
      <c r="N2" s="172"/>
      <c r="O2" s="367"/>
      <c r="P2" s="367"/>
      <c r="T2" s="2"/>
    </row>
    <row r="3" spans="1:20" ht="21" customHeight="1">
      <c r="A3" s="88" t="s">
        <v>196</v>
      </c>
      <c r="B3" s="88"/>
      <c r="C3" s="88"/>
      <c r="D3" s="88"/>
      <c r="E3" s="88"/>
      <c r="F3" s="89"/>
      <c r="G3" s="89"/>
      <c r="H3" s="89"/>
      <c r="I3" s="172"/>
      <c r="J3" s="172"/>
      <c r="K3" s="172"/>
      <c r="L3" s="172"/>
      <c r="M3" s="172"/>
      <c r="N3" s="172"/>
      <c r="O3" s="367"/>
      <c r="P3" s="367"/>
      <c r="T3" s="2"/>
    </row>
    <row r="4" spans="1:20" s="2" customFormat="1" ht="19.2" customHeight="1">
      <c r="A4" s="191" t="s">
        <v>88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368"/>
    </row>
    <row r="5" spans="1:20" s="2" customFormat="1" ht="19.2" customHeight="1">
      <c r="A5" s="194" t="s">
        <v>99</v>
      </c>
      <c r="B5" s="194"/>
      <c r="C5" s="194"/>
      <c r="D5" s="194"/>
      <c r="E5" s="194" t="s">
        <v>98</v>
      </c>
      <c r="F5" s="194"/>
      <c r="G5" s="194"/>
      <c r="H5" s="194"/>
      <c r="I5" s="194"/>
      <c r="J5" s="194"/>
      <c r="K5" s="194"/>
      <c r="L5" s="194"/>
      <c r="M5" s="194"/>
      <c r="N5" s="194"/>
      <c r="O5" s="368"/>
    </row>
    <row r="6" spans="1:20" s="2" customFormat="1" ht="19.2" customHeight="1">
      <c r="A6" s="195" t="s">
        <v>90</v>
      </c>
      <c r="B6" s="195"/>
      <c r="C6" s="195"/>
      <c r="D6" s="195"/>
      <c r="E6" s="198" t="s">
        <v>148</v>
      </c>
      <c r="F6" s="198"/>
      <c r="G6" s="198"/>
      <c r="H6" s="198"/>
      <c r="I6" s="198"/>
      <c r="J6" s="199" t="s">
        <v>177</v>
      </c>
      <c r="K6" s="200"/>
      <c r="L6" s="200"/>
      <c r="M6" s="200"/>
      <c r="N6" s="201"/>
      <c r="O6" s="368"/>
    </row>
    <row r="7" spans="1:20" s="2" customFormat="1" ht="19.2" customHeight="1">
      <c r="A7" s="196" t="s">
        <v>153</v>
      </c>
      <c r="B7" s="196"/>
      <c r="C7" s="196"/>
      <c r="D7" s="196"/>
      <c r="E7" s="198"/>
      <c r="F7" s="198"/>
      <c r="G7" s="198"/>
      <c r="H7" s="198"/>
      <c r="I7" s="198"/>
      <c r="J7" s="202"/>
      <c r="K7" s="203"/>
      <c r="L7" s="203"/>
      <c r="M7" s="203"/>
      <c r="N7" s="204"/>
      <c r="O7" s="368"/>
    </row>
    <row r="8" spans="1:20" s="2" customFormat="1" ht="19.2" customHeight="1">
      <c r="A8" s="231" t="s">
        <v>154</v>
      </c>
      <c r="B8" s="232"/>
      <c r="C8" s="232"/>
      <c r="D8" s="233"/>
      <c r="E8" s="198"/>
      <c r="F8" s="198"/>
      <c r="G8" s="198"/>
      <c r="H8" s="198"/>
      <c r="I8" s="198"/>
      <c r="J8" s="202"/>
      <c r="K8" s="203"/>
      <c r="L8" s="203"/>
      <c r="M8" s="203"/>
      <c r="N8" s="204"/>
      <c r="O8" s="368"/>
    </row>
    <row r="9" spans="1:20" s="2" customFormat="1" ht="19.2" customHeight="1">
      <c r="A9" s="197" t="s">
        <v>180</v>
      </c>
      <c r="B9" s="197"/>
      <c r="C9" s="197"/>
      <c r="D9" s="197"/>
      <c r="E9" s="198"/>
      <c r="F9" s="198"/>
      <c r="G9" s="198"/>
      <c r="H9" s="198"/>
      <c r="I9" s="198"/>
      <c r="J9" s="205"/>
      <c r="K9" s="206"/>
      <c r="L9" s="206"/>
      <c r="M9" s="206"/>
      <c r="N9" s="207"/>
      <c r="O9" s="368"/>
    </row>
    <row r="10" spans="1:20" s="2" customFormat="1" ht="19.2" customHeight="1">
      <c r="A10" s="228" t="s">
        <v>122</v>
      </c>
      <c r="B10" s="229"/>
      <c r="C10" s="230"/>
      <c r="D10" s="125">
        <v>211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368"/>
    </row>
    <row r="11" spans="1:20" ht="19.2" customHeight="1">
      <c r="A11" s="208" t="s">
        <v>0</v>
      </c>
      <c r="B11" s="211" t="s">
        <v>19</v>
      </c>
      <c r="C11" s="214" t="s">
        <v>8</v>
      </c>
      <c r="D11" s="214" t="s">
        <v>9</v>
      </c>
      <c r="E11" s="217" t="s">
        <v>11</v>
      </c>
      <c r="F11" s="218"/>
      <c r="G11" s="217" t="s">
        <v>43</v>
      </c>
      <c r="H11" s="218"/>
      <c r="I11" s="221" t="s">
        <v>16</v>
      </c>
      <c r="J11" s="221" t="s">
        <v>41</v>
      </c>
      <c r="K11" s="221" t="s">
        <v>42</v>
      </c>
      <c r="L11" s="221" t="s">
        <v>17</v>
      </c>
      <c r="M11" s="221" t="s">
        <v>40</v>
      </c>
      <c r="N11" s="208" t="s">
        <v>18</v>
      </c>
      <c r="O11" s="369"/>
    </row>
    <row r="12" spans="1:20" ht="19.2" customHeight="1">
      <c r="A12" s="209"/>
      <c r="B12" s="212"/>
      <c r="C12" s="215"/>
      <c r="D12" s="215"/>
      <c r="E12" s="219"/>
      <c r="F12" s="220"/>
      <c r="G12" s="219"/>
      <c r="H12" s="220"/>
      <c r="I12" s="222"/>
      <c r="J12" s="222"/>
      <c r="K12" s="222"/>
      <c r="L12" s="222"/>
      <c r="M12" s="222"/>
      <c r="N12" s="209"/>
      <c r="O12" s="175"/>
    </row>
    <row r="13" spans="1:20" ht="19.2" customHeight="1">
      <c r="A13" s="209"/>
      <c r="B13" s="212"/>
      <c r="C13" s="215"/>
      <c r="D13" s="215"/>
      <c r="E13" s="221" t="s">
        <v>10</v>
      </c>
      <c r="F13" s="221" t="s">
        <v>12</v>
      </c>
      <c r="G13" s="221" t="s">
        <v>14</v>
      </c>
      <c r="H13" s="221" t="s">
        <v>15</v>
      </c>
      <c r="I13" s="222"/>
      <c r="J13" s="222"/>
      <c r="K13" s="222"/>
      <c r="L13" s="222"/>
      <c r="M13" s="222"/>
      <c r="N13" s="209"/>
      <c r="O13" s="175"/>
    </row>
    <row r="14" spans="1:20" ht="19.2" customHeight="1">
      <c r="A14" s="210"/>
      <c r="B14" s="213"/>
      <c r="C14" s="216"/>
      <c r="D14" s="216"/>
      <c r="E14" s="223"/>
      <c r="F14" s="223"/>
      <c r="G14" s="223"/>
      <c r="H14" s="223"/>
      <c r="I14" s="223"/>
      <c r="J14" s="223"/>
      <c r="K14" s="223"/>
      <c r="L14" s="223"/>
      <c r="M14" s="223"/>
      <c r="N14" s="210"/>
      <c r="O14" s="175"/>
    </row>
    <row r="15" spans="1:20" ht="19.8" customHeight="1">
      <c r="A15" s="237" t="s">
        <v>34</v>
      </c>
      <c r="B15" s="238"/>
      <c r="C15" s="238"/>
      <c r="D15" s="238"/>
      <c r="E15" s="238"/>
      <c r="F15" s="238"/>
      <c r="G15" s="238"/>
      <c r="H15" s="238"/>
      <c r="I15" s="238"/>
      <c r="J15" s="238"/>
      <c r="K15" s="238"/>
      <c r="L15" s="238"/>
      <c r="M15" s="238"/>
      <c r="N15" s="239"/>
      <c r="O15" s="175"/>
    </row>
    <row r="16" spans="1:20" s="2" customFormat="1" ht="19.8" customHeight="1">
      <c r="A16" s="15">
        <v>1</v>
      </c>
      <c r="B16" s="16" t="s">
        <v>2</v>
      </c>
      <c r="C16" s="51">
        <v>12</v>
      </c>
      <c r="D16" s="52">
        <f>C16/100*60</f>
        <v>7.1999999999999993</v>
      </c>
      <c r="E16" s="53">
        <f>C16/100*15</f>
        <v>1.7999999999999998</v>
      </c>
      <c r="F16" s="53"/>
      <c r="G16" s="53"/>
      <c r="H16" s="53"/>
      <c r="I16" s="53"/>
      <c r="J16" s="53">
        <f>C16/100*387</f>
        <v>46.44</v>
      </c>
      <c r="K16" s="53">
        <f>C16/100*0.09</f>
        <v>1.0799999999999999E-2</v>
      </c>
      <c r="L16" s="412">
        <v>270</v>
      </c>
      <c r="M16" s="77">
        <v>20</v>
      </c>
      <c r="N16" s="28">
        <f t="shared" ref="N16:N27" si="0">L16*M16</f>
        <v>5400</v>
      </c>
      <c r="O16" s="373"/>
    </row>
    <row r="17" spans="1:20" s="2" customFormat="1" ht="19.8" customHeight="1">
      <c r="A17" s="9">
        <v>2</v>
      </c>
      <c r="B17" s="10" t="s">
        <v>141</v>
      </c>
      <c r="C17" s="23">
        <f>L17/100*100</f>
        <v>1120</v>
      </c>
      <c r="D17" s="24">
        <f>C17/100*899</f>
        <v>10068.799999999999</v>
      </c>
      <c r="E17" s="25"/>
      <c r="F17" s="25"/>
      <c r="G17" s="119">
        <f>C17/100*100</f>
        <v>1120</v>
      </c>
      <c r="H17" s="25"/>
      <c r="I17" s="25"/>
      <c r="J17" s="25"/>
      <c r="K17" s="25"/>
      <c r="L17" s="137">
        <v>1120</v>
      </c>
      <c r="M17" s="24">
        <v>68</v>
      </c>
      <c r="N17" s="28">
        <f t="shared" si="0"/>
        <v>76160</v>
      </c>
      <c r="O17" s="373"/>
    </row>
    <row r="18" spans="1:20" s="2" customFormat="1" ht="19.8" customHeight="1">
      <c r="A18" s="9">
        <v>3</v>
      </c>
      <c r="B18" s="5" t="s">
        <v>1</v>
      </c>
      <c r="C18" s="23">
        <f>L18/100*100</f>
        <v>20045</v>
      </c>
      <c r="D18" s="24">
        <f>C18/100*318.3</f>
        <v>63803.235000000001</v>
      </c>
      <c r="E18" s="25"/>
      <c r="F18" s="119">
        <f>C18/100*7.9</f>
        <v>1583.5550000000001</v>
      </c>
      <c r="G18" s="25"/>
      <c r="H18" s="25">
        <f>C18/100*1</f>
        <v>200.45</v>
      </c>
      <c r="I18" s="119">
        <f>C18/100*75.9</f>
        <v>15214.155000000001</v>
      </c>
      <c r="J18" s="25">
        <f>C18/100*30</f>
        <v>6013.5</v>
      </c>
      <c r="K18" s="25">
        <f>C18/100*0.1</f>
        <v>20.045000000000002</v>
      </c>
      <c r="L18" s="137">
        <v>20045</v>
      </c>
      <c r="M18" s="75">
        <v>18</v>
      </c>
      <c r="N18" s="28">
        <f t="shared" si="0"/>
        <v>360810</v>
      </c>
      <c r="O18" s="153"/>
      <c r="P18" s="18"/>
    </row>
    <row r="19" spans="1:20" s="2" customFormat="1" ht="19.8" customHeight="1">
      <c r="A19" s="9">
        <v>4</v>
      </c>
      <c r="B19" s="10" t="s">
        <v>187</v>
      </c>
      <c r="C19" s="23">
        <f>L19/100*100</f>
        <v>170</v>
      </c>
      <c r="D19" s="24">
        <f>C19/100*390</f>
        <v>663</v>
      </c>
      <c r="E19" s="25"/>
      <c r="F19" s="25"/>
      <c r="G19" s="25"/>
      <c r="H19" s="25"/>
      <c r="I19" s="25">
        <f>C19/100*97.4</f>
        <v>165.58</v>
      </c>
      <c r="J19" s="27">
        <f>C19/100*178</f>
        <v>302.59999999999997</v>
      </c>
      <c r="K19" s="27">
        <f>C19/100*0.05</f>
        <v>8.5000000000000006E-2</v>
      </c>
      <c r="L19" s="137">
        <v>170</v>
      </c>
      <c r="M19" s="75">
        <v>25</v>
      </c>
      <c r="N19" s="28">
        <f t="shared" si="0"/>
        <v>4250</v>
      </c>
      <c r="O19" s="371"/>
    </row>
    <row r="20" spans="1:20" s="2" customFormat="1" ht="19.8" customHeight="1">
      <c r="A20" s="9">
        <v>5</v>
      </c>
      <c r="B20" s="10" t="s">
        <v>156</v>
      </c>
      <c r="C20" s="23">
        <f>L20/100*60</f>
        <v>8484</v>
      </c>
      <c r="D20" s="24">
        <f>C20/100*97</f>
        <v>8229.48</v>
      </c>
      <c r="E20" s="119">
        <f>C20/100*19.2</f>
        <v>1628.9280000000001</v>
      </c>
      <c r="F20" s="25"/>
      <c r="G20" s="25">
        <f>C20/100*2.7</f>
        <v>229.06800000000001</v>
      </c>
      <c r="H20" s="25"/>
      <c r="I20" s="25"/>
      <c r="J20" s="81">
        <f>C20/100*90</f>
        <v>7635.6</v>
      </c>
      <c r="K20" s="27">
        <f>C20/100*0.04</f>
        <v>3.3936000000000002</v>
      </c>
      <c r="L20" s="137">
        <v>14140</v>
      </c>
      <c r="M20" s="75">
        <v>95</v>
      </c>
      <c r="N20" s="124">
        <f t="shared" si="0"/>
        <v>1343300</v>
      </c>
      <c r="O20" s="153"/>
    </row>
    <row r="21" spans="1:20" s="2" customFormat="1" ht="19.8" customHeight="1">
      <c r="A21" s="9">
        <v>6</v>
      </c>
      <c r="B21" s="5" t="s">
        <v>69</v>
      </c>
      <c r="C21" s="23">
        <f>L21/100*48</f>
        <v>1785.6000000000001</v>
      </c>
      <c r="D21" s="24">
        <f>C21/100*199</f>
        <v>3553.3440000000005</v>
      </c>
      <c r="E21" s="25">
        <f>C21/100*20.3</f>
        <v>362.47680000000003</v>
      </c>
      <c r="F21" s="25"/>
      <c r="G21" s="25">
        <f>C21/100*13.1</f>
        <v>233.9136</v>
      </c>
      <c r="H21" s="25"/>
      <c r="I21" s="25"/>
      <c r="J21" s="27">
        <f>C21/100*12</f>
        <v>214.27200000000002</v>
      </c>
      <c r="K21" s="27">
        <f>C21/100*0.15</f>
        <v>2.6784000000000003</v>
      </c>
      <c r="L21" s="137">
        <v>3720</v>
      </c>
      <c r="M21" s="26">
        <v>84</v>
      </c>
      <c r="N21" s="28">
        <f t="shared" si="0"/>
        <v>312480</v>
      </c>
      <c r="O21" s="153"/>
      <c r="Q21" s="3"/>
      <c r="R21" s="3"/>
      <c r="S21" s="4"/>
    </row>
    <row r="22" spans="1:20" s="2" customFormat="1" ht="19.8" customHeight="1">
      <c r="A22" s="9">
        <v>7</v>
      </c>
      <c r="B22" s="5" t="s">
        <v>3</v>
      </c>
      <c r="C22" s="23">
        <f>L22/100*98</f>
        <v>2067.8000000000002</v>
      </c>
      <c r="D22" s="24">
        <f>C22/100*118</f>
        <v>2440.0039999999999</v>
      </c>
      <c r="E22" s="25">
        <f>C22/100*21</f>
        <v>434.238</v>
      </c>
      <c r="F22" s="25"/>
      <c r="G22" s="25">
        <f>C22/100*3.8</f>
        <v>78.576399999999992</v>
      </c>
      <c r="H22" s="25"/>
      <c r="I22" s="25"/>
      <c r="J22" s="27">
        <f>C22/100*12</f>
        <v>248.13600000000002</v>
      </c>
      <c r="K22" s="27">
        <f>C22/100*0.1</f>
        <v>2.0678000000000001</v>
      </c>
      <c r="L22" s="137">
        <v>2110</v>
      </c>
      <c r="M22" s="26">
        <v>260</v>
      </c>
      <c r="N22" s="124">
        <f t="shared" si="0"/>
        <v>548600</v>
      </c>
      <c r="O22" s="153"/>
      <c r="Q22" s="3"/>
      <c r="R22" s="3"/>
      <c r="S22" s="4"/>
    </row>
    <row r="23" spans="1:20" s="2" customFormat="1" ht="19.8" customHeight="1">
      <c r="A23" s="9">
        <v>8</v>
      </c>
      <c r="B23" s="5" t="s">
        <v>178</v>
      </c>
      <c r="C23" s="23">
        <f>L23/100*78</f>
        <v>6583.2000000000007</v>
      </c>
      <c r="D23" s="24">
        <f>C23/100*37</f>
        <v>2435.7840000000001</v>
      </c>
      <c r="E23" s="29"/>
      <c r="F23" s="29">
        <f>C23/100*2.8</f>
        <v>184.3296</v>
      </c>
      <c r="G23" s="29"/>
      <c r="H23" s="29">
        <f>C23/100*0.1</f>
        <v>6.5832000000000015</v>
      </c>
      <c r="I23" s="29">
        <f>C23/100*6.2</f>
        <v>408.15840000000009</v>
      </c>
      <c r="J23" s="29">
        <f>C23/100*46</f>
        <v>3028.2720000000004</v>
      </c>
      <c r="K23" s="29">
        <f>C23/100*0.06</f>
        <v>3.9499200000000005</v>
      </c>
      <c r="L23" s="370">
        <v>8440</v>
      </c>
      <c r="M23" s="26">
        <v>20</v>
      </c>
      <c r="N23" s="28">
        <f t="shared" si="0"/>
        <v>168800</v>
      </c>
      <c r="O23" s="153"/>
      <c r="Q23" s="3"/>
      <c r="R23" s="3"/>
      <c r="S23" s="4"/>
    </row>
    <row r="24" spans="1:20" s="2" customFormat="1" ht="19.8" customHeight="1">
      <c r="A24" s="9">
        <v>9</v>
      </c>
      <c r="B24" s="5" t="s">
        <v>155</v>
      </c>
      <c r="C24" s="23">
        <f>L24/100*81</f>
        <v>4276.8</v>
      </c>
      <c r="D24" s="24">
        <f>C24/100*17</f>
        <v>727.05600000000004</v>
      </c>
      <c r="E24" s="29"/>
      <c r="F24" s="29">
        <f>C24/100*0.9</f>
        <v>38.491199999999999</v>
      </c>
      <c r="G24" s="29"/>
      <c r="H24" s="29">
        <f>C24/100*0.2</f>
        <v>8.5536000000000012</v>
      </c>
      <c r="I24" s="29">
        <f>C24/100*2.8</f>
        <v>119.7504</v>
      </c>
      <c r="J24" s="25">
        <f>C24/100*28</f>
        <v>1197.5039999999999</v>
      </c>
      <c r="K24" s="27">
        <f>C24/100*0.04</f>
        <v>1.71072</v>
      </c>
      <c r="L24" s="370">
        <v>5280</v>
      </c>
      <c r="M24" s="75">
        <v>20</v>
      </c>
      <c r="N24" s="28">
        <f t="shared" si="0"/>
        <v>105600</v>
      </c>
      <c r="O24" s="153"/>
      <c r="P24" s="3"/>
    </row>
    <row r="25" spans="1:20" s="2" customFormat="1" ht="19.8" customHeight="1">
      <c r="A25" s="9">
        <v>10</v>
      </c>
      <c r="B25" s="5" t="s">
        <v>20</v>
      </c>
      <c r="C25" s="23">
        <f>L25/100*95</f>
        <v>3011.5</v>
      </c>
      <c r="D25" s="24">
        <f>C25/100*20</f>
        <v>602.29999999999995</v>
      </c>
      <c r="E25" s="25"/>
      <c r="F25" s="25">
        <f>C25/100*0.6</f>
        <v>18.068999999999999</v>
      </c>
      <c r="G25" s="25"/>
      <c r="H25" s="25">
        <f>C25/100*0.2</f>
        <v>6.0229999999999997</v>
      </c>
      <c r="I25" s="25">
        <f>C25/100*4</f>
        <v>120.46</v>
      </c>
      <c r="J25" s="27">
        <f>C25/100*12</f>
        <v>361.38</v>
      </c>
      <c r="K25" s="24">
        <f>C25/100*0.04</f>
        <v>1.2045999999999999</v>
      </c>
      <c r="L25" s="137">
        <v>3170</v>
      </c>
      <c r="M25" s="77">
        <v>22</v>
      </c>
      <c r="N25" s="28">
        <f t="shared" si="0"/>
        <v>69740</v>
      </c>
      <c r="O25" s="371"/>
      <c r="Q25" s="3"/>
      <c r="R25" s="3"/>
      <c r="S25" s="4"/>
    </row>
    <row r="26" spans="1:20" s="2" customFormat="1" ht="19.8" customHeight="1">
      <c r="A26" s="9">
        <v>11</v>
      </c>
      <c r="B26" s="5" t="s">
        <v>72</v>
      </c>
      <c r="C26" s="23">
        <f>L26/100*75</f>
        <v>322.5</v>
      </c>
      <c r="D26" s="24">
        <f>C26/100*17</f>
        <v>54.825000000000003</v>
      </c>
      <c r="E26" s="29"/>
      <c r="F26" s="29">
        <f>C26/100*1.9</f>
        <v>6.1274999999999995</v>
      </c>
      <c r="G26" s="29"/>
      <c r="H26" s="29"/>
      <c r="I26" s="29">
        <f>C26/100*2.2</f>
        <v>7.0950000000000006</v>
      </c>
      <c r="J26" s="27">
        <f>C26/100*150</f>
        <v>483.75</v>
      </c>
      <c r="K26" s="24">
        <f>C26/100*0.04</f>
        <v>0.129</v>
      </c>
      <c r="L26" s="370">
        <v>430</v>
      </c>
      <c r="M26" s="77">
        <v>30</v>
      </c>
      <c r="N26" s="28">
        <f t="shared" si="0"/>
        <v>12900</v>
      </c>
      <c r="O26" s="371"/>
      <c r="Q26" s="3"/>
      <c r="R26" s="3"/>
      <c r="S26" s="4"/>
    </row>
    <row r="27" spans="1:20" s="2" customFormat="1" ht="19.8" customHeight="1">
      <c r="A27" s="9">
        <v>12</v>
      </c>
      <c r="B27" s="5" t="s">
        <v>136</v>
      </c>
      <c r="C27" s="23">
        <f>L27/100*100</f>
        <v>210</v>
      </c>
      <c r="D27" s="24">
        <f>C27/100*247</f>
        <v>518.70000000000005</v>
      </c>
      <c r="E27" s="29"/>
      <c r="F27" s="29">
        <f>C27/100*17.5</f>
        <v>36.75</v>
      </c>
      <c r="G27" s="29"/>
      <c r="H27" s="29">
        <f>C27/100*1.6</f>
        <v>3.3600000000000003</v>
      </c>
      <c r="I27" s="29">
        <f>C27/100*39.2</f>
        <v>82.320000000000007</v>
      </c>
      <c r="J27" s="71"/>
      <c r="K27" s="71"/>
      <c r="L27" s="370">
        <v>210</v>
      </c>
      <c r="M27" s="75">
        <v>50</v>
      </c>
      <c r="N27" s="28">
        <f t="shared" si="0"/>
        <v>10500</v>
      </c>
      <c r="O27" s="153"/>
      <c r="Q27" s="3"/>
      <c r="R27" s="3"/>
      <c r="S27" s="4"/>
      <c r="T27" s="3"/>
    </row>
    <row r="28" spans="1:20" s="2" customFormat="1" ht="19.8" customHeight="1">
      <c r="A28" s="13">
        <v>13</v>
      </c>
      <c r="B28" s="6" t="s">
        <v>123</v>
      </c>
      <c r="C28" s="31"/>
      <c r="D28" s="32"/>
      <c r="E28" s="29"/>
      <c r="F28" s="29"/>
      <c r="G28" s="29"/>
      <c r="H28" s="29"/>
      <c r="I28" s="29"/>
      <c r="J28" s="25"/>
      <c r="K28" s="25"/>
      <c r="L28" s="30"/>
      <c r="M28" s="27"/>
      <c r="N28" s="33">
        <v>15750</v>
      </c>
      <c r="O28" s="153"/>
    </row>
    <row r="29" spans="1:20" s="2" customFormat="1" ht="19.8" customHeight="1">
      <c r="A29" s="21" t="s">
        <v>105</v>
      </c>
      <c r="B29" s="22"/>
      <c r="C29" s="34"/>
      <c r="D29" s="35">
        <f>SUM(D16:D28)</f>
        <v>93103.727999999988</v>
      </c>
      <c r="E29" s="36"/>
      <c r="F29" s="36"/>
      <c r="G29" s="36"/>
      <c r="H29" s="36"/>
      <c r="I29" s="36"/>
      <c r="J29" s="36"/>
      <c r="K29" s="36"/>
      <c r="L29" s="37"/>
      <c r="M29" s="37"/>
      <c r="N29" s="240">
        <f>SUM(N16:N28)</f>
        <v>3034290</v>
      </c>
      <c r="O29" s="153"/>
    </row>
    <row r="30" spans="1:20" s="2" customFormat="1" ht="19.8" customHeight="1">
      <c r="A30" s="21" t="s">
        <v>6</v>
      </c>
      <c r="B30" s="22"/>
      <c r="C30" s="34"/>
      <c r="D30" s="35">
        <f>D29/D10</f>
        <v>441.24989573459709</v>
      </c>
      <c r="E30" s="36"/>
      <c r="F30" s="36"/>
      <c r="G30" s="36"/>
      <c r="H30" s="36"/>
      <c r="I30" s="36"/>
      <c r="J30" s="36"/>
      <c r="K30" s="36"/>
      <c r="L30" s="37"/>
      <c r="M30" s="37"/>
      <c r="N30" s="241"/>
      <c r="O30" s="153"/>
    </row>
    <row r="31" spans="1:20" s="2" customFormat="1" ht="19.8" customHeight="1">
      <c r="A31" s="224" t="s">
        <v>48</v>
      </c>
      <c r="B31" s="225"/>
      <c r="C31" s="416" t="s">
        <v>151</v>
      </c>
      <c r="D31" s="20" t="s">
        <v>45</v>
      </c>
      <c r="E31" s="36"/>
      <c r="F31" s="36"/>
      <c r="G31" s="36"/>
      <c r="H31" s="36"/>
      <c r="I31" s="36"/>
      <c r="J31" s="36"/>
      <c r="K31" s="36"/>
      <c r="L31" s="37"/>
      <c r="M31" s="37"/>
      <c r="N31" s="38"/>
      <c r="O31" s="153"/>
    </row>
    <row r="32" spans="1:20" s="2" customFormat="1" ht="19.8" customHeight="1">
      <c r="A32" s="226"/>
      <c r="B32" s="227"/>
      <c r="C32" s="19" t="s">
        <v>59</v>
      </c>
      <c r="D32" s="20">
        <f>D30*100/1320</f>
        <v>33.428022404136144</v>
      </c>
      <c r="E32" s="36"/>
      <c r="F32" s="36"/>
      <c r="G32" s="36"/>
      <c r="H32" s="36"/>
      <c r="I32" s="36"/>
      <c r="J32" s="36"/>
      <c r="K32" s="36"/>
      <c r="L32" s="37"/>
      <c r="M32" s="37"/>
      <c r="N32" s="38"/>
      <c r="O32" s="153"/>
    </row>
    <row r="33" spans="1:22" s="2" customFormat="1" ht="19.8" customHeight="1">
      <c r="A33" s="235" t="s">
        <v>35</v>
      </c>
      <c r="B33" s="235"/>
      <c r="C33" s="56"/>
      <c r="D33" s="57"/>
      <c r="E33" s="58"/>
      <c r="F33" s="58"/>
      <c r="G33" s="58"/>
      <c r="H33" s="58"/>
      <c r="I33" s="58"/>
      <c r="J33" s="58"/>
      <c r="K33" s="58"/>
      <c r="L33" s="59"/>
      <c r="M33" s="59"/>
      <c r="N33" s="69"/>
      <c r="O33" s="153"/>
    </row>
    <row r="34" spans="1:22" s="2" customFormat="1" ht="19.8" customHeight="1">
      <c r="A34" s="9">
        <v>1</v>
      </c>
      <c r="B34" s="5" t="s">
        <v>140</v>
      </c>
      <c r="C34" s="23">
        <f>L34/100*100</f>
        <v>5060</v>
      </c>
      <c r="D34" s="24">
        <f>C34/100*295</f>
        <v>14927</v>
      </c>
      <c r="E34" s="25"/>
      <c r="F34" s="25">
        <f>C34/100*6</f>
        <v>303.60000000000002</v>
      </c>
      <c r="G34" s="25"/>
      <c r="H34" s="25">
        <f>C34/100*0.8</f>
        <v>40.480000000000004</v>
      </c>
      <c r="I34" s="119">
        <f>C34/100*28.8</f>
        <v>1457.28</v>
      </c>
      <c r="J34" s="27"/>
      <c r="K34" s="27"/>
      <c r="L34" s="137">
        <v>5060</v>
      </c>
      <c r="M34" s="77">
        <v>32</v>
      </c>
      <c r="N34" s="28">
        <f>L34*M34</f>
        <v>161920</v>
      </c>
      <c r="O34" s="153"/>
    </row>
    <row r="35" spans="1:22" s="2" customFormat="1" ht="19.8" customHeight="1">
      <c r="A35" s="9">
        <v>2</v>
      </c>
      <c r="B35" s="148" t="s">
        <v>141</v>
      </c>
      <c r="C35" s="23">
        <f>L35/100*100</f>
        <v>1000</v>
      </c>
      <c r="D35" s="24">
        <f>C35/100*899</f>
        <v>8990</v>
      </c>
      <c r="E35" s="25"/>
      <c r="F35" s="25"/>
      <c r="G35" s="119">
        <f>C35/100*100</f>
        <v>1000</v>
      </c>
      <c r="H35" s="25"/>
      <c r="I35" s="119"/>
      <c r="J35" s="27"/>
      <c r="K35" s="27"/>
      <c r="L35" s="137">
        <v>1000</v>
      </c>
      <c r="M35" s="75">
        <v>68</v>
      </c>
      <c r="N35" s="28">
        <f t="shared" ref="N35:N36" si="1">L35*M35</f>
        <v>68000</v>
      </c>
      <c r="O35" s="153"/>
    </row>
    <row r="36" spans="1:22" s="2" customFormat="1" ht="19.8" customHeight="1">
      <c r="A36" s="9">
        <v>3</v>
      </c>
      <c r="B36" s="148" t="s">
        <v>146</v>
      </c>
      <c r="C36" s="23">
        <f>L36/100*100</f>
        <v>110.00000000000001</v>
      </c>
      <c r="D36" s="120">
        <f>C36/100*900</f>
        <v>990.00000000000011</v>
      </c>
      <c r="E36" s="25"/>
      <c r="F36" s="25"/>
      <c r="G36" s="119"/>
      <c r="H36" s="25">
        <f>C36/100*100</f>
        <v>110.00000000000001</v>
      </c>
      <c r="I36" s="119"/>
      <c r="J36" s="25"/>
      <c r="K36" s="25"/>
      <c r="L36" s="137">
        <v>110</v>
      </c>
      <c r="M36" s="75">
        <v>63.5</v>
      </c>
      <c r="N36" s="28">
        <f t="shared" si="1"/>
        <v>6985</v>
      </c>
      <c r="O36" s="373"/>
    </row>
    <row r="37" spans="1:22" s="2" customFormat="1" ht="19.8" customHeight="1">
      <c r="A37" s="9">
        <v>3</v>
      </c>
      <c r="B37" s="148" t="s">
        <v>2</v>
      </c>
      <c r="C37" s="23">
        <f>L37/100*100</f>
        <v>250</v>
      </c>
      <c r="D37" s="24">
        <f>C37/100*60</f>
        <v>150</v>
      </c>
      <c r="E37" s="25">
        <f>C37/100*15</f>
        <v>37.5</v>
      </c>
      <c r="F37" s="25"/>
      <c r="G37" s="25"/>
      <c r="H37" s="25"/>
      <c r="I37" s="25"/>
      <c r="J37" s="25">
        <f>C37/100*387</f>
        <v>967.5</v>
      </c>
      <c r="K37" s="25">
        <f>C37/100*0.09</f>
        <v>0.22499999999999998</v>
      </c>
      <c r="L37" s="137">
        <v>250</v>
      </c>
      <c r="M37" s="75">
        <v>20</v>
      </c>
      <c r="N37" s="28">
        <f>L37*M37</f>
        <v>5000</v>
      </c>
      <c r="O37" s="153"/>
    </row>
    <row r="38" spans="1:22" s="2" customFormat="1" ht="19.8" customHeight="1">
      <c r="A38" s="9">
        <v>4</v>
      </c>
      <c r="B38" s="149" t="s">
        <v>136</v>
      </c>
      <c r="C38" s="23">
        <f>L38/100*100</f>
        <v>130</v>
      </c>
      <c r="D38" s="24">
        <f>C38/100*247</f>
        <v>321.10000000000002</v>
      </c>
      <c r="E38" s="29"/>
      <c r="F38" s="29">
        <f>C38/100*17.5</f>
        <v>22.75</v>
      </c>
      <c r="G38" s="29"/>
      <c r="H38" s="29">
        <f>C38/100*1.6</f>
        <v>2.08</v>
      </c>
      <c r="I38" s="29">
        <f>C38/100*39.2</f>
        <v>50.960000000000008</v>
      </c>
      <c r="J38" s="71"/>
      <c r="K38" s="71"/>
      <c r="L38" s="370">
        <v>130</v>
      </c>
      <c r="M38" s="75">
        <v>50</v>
      </c>
      <c r="N38" s="28">
        <f t="shared" ref="N38:N39" si="2">L38*M38</f>
        <v>6500</v>
      </c>
      <c r="O38" s="153"/>
      <c r="Q38" s="3"/>
      <c r="R38" s="3"/>
      <c r="S38" s="4"/>
      <c r="T38" s="3"/>
    </row>
    <row r="39" spans="1:22" s="2" customFormat="1" ht="19.8" customHeight="1">
      <c r="A39" s="9">
        <v>5</v>
      </c>
      <c r="B39" s="5" t="s">
        <v>179</v>
      </c>
      <c r="C39" s="23">
        <f>L39/100*90</f>
        <v>3816</v>
      </c>
      <c r="D39" s="24">
        <f>C39/100*29</f>
        <v>1106.6399999999999</v>
      </c>
      <c r="E39" s="25"/>
      <c r="F39" s="25">
        <f>C39/100*1.8</f>
        <v>68.688000000000002</v>
      </c>
      <c r="G39" s="25"/>
      <c r="H39" s="25">
        <f>C39/100*0.1</f>
        <v>3.8159999999999998</v>
      </c>
      <c r="I39" s="25">
        <f>C39/100*5.3</f>
        <v>202.24799999999996</v>
      </c>
      <c r="J39" s="25">
        <f>C39/100*48</f>
        <v>1831.6799999999998</v>
      </c>
      <c r="K39" s="25">
        <f>C39/100*0.05</f>
        <v>1.9079999999999999</v>
      </c>
      <c r="L39" s="137">
        <v>4240</v>
      </c>
      <c r="M39" s="75">
        <v>13</v>
      </c>
      <c r="N39" s="28">
        <f t="shared" si="2"/>
        <v>55120</v>
      </c>
      <c r="O39" s="153"/>
    </row>
    <row r="40" spans="1:22" s="2" customFormat="1" ht="19.8" customHeight="1">
      <c r="A40" s="9">
        <v>6</v>
      </c>
      <c r="B40" s="148" t="s">
        <v>74</v>
      </c>
      <c r="C40" s="23">
        <f>L40/100*98</f>
        <v>2557.8000000000002</v>
      </c>
      <c r="D40" s="24">
        <f>C40/100*139</f>
        <v>3555.3420000000006</v>
      </c>
      <c r="E40" s="25">
        <f>C40/100*19</f>
        <v>485.98200000000008</v>
      </c>
      <c r="F40" s="25"/>
      <c r="G40" s="25">
        <f>C40/100*7</f>
        <v>179.04600000000002</v>
      </c>
      <c r="H40" s="25"/>
      <c r="I40" s="25"/>
      <c r="J40" s="25">
        <f>C40/100*7</f>
        <v>179.04600000000002</v>
      </c>
      <c r="K40" s="25">
        <f>C40/100*0.9</f>
        <v>23.020200000000003</v>
      </c>
      <c r="L40" s="137">
        <v>2610</v>
      </c>
      <c r="M40" s="75">
        <v>137</v>
      </c>
      <c r="N40" s="28">
        <f t="shared" ref="N40:N41" si="3">L40*M40</f>
        <v>357570</v>
      </c>
      <c r="O40" s="153"/>
      <c r="P40" s="141"/>
    </row>
    <row r="41" spans="1:22" s="2" customFormat="1" ht="19.8" customHeight="1">
      <c r="A41" s="9">
        <v>7</v>
      </c>
      <c r="B41" s="152" t="s">
        <v>149</v>
      </c>
      <c r="C41" s="23">
        <f>L41/100*100</f>
        <v>3590</v>
      </c>
      <c r="D41" s="24">
        <f>C41/100*487</f>
        <v>17483.3</v>
      </c>
      <c r="E41" s="29"/>
      <c r="F41" s="29">
        <f>C41/100*19.5</f>
        <v>700.05</v>
      </c>
      <c r="G41" s="29"/>
      <c r="H41" s="29">
        <f>C41/100*23.2</f>
        <v>832.88</v>
      </c>
      <c r="I41" s="167">
        <f>C41/100*46</f>
        <v>1651.3999999999999</v>
      </c>
      <c r="J41" s="119">
        <f>C41/100*680</f>
        <v>24412</v>
      </c>
      <c r="K41" s="25">
        <f>C41/100*0.55</f>
        <v>19.745000000000001</v>
      </c>
      <c r="L41" s="30">
        <v>3590</v>
      </c>
      <c r="M41" s="143">
        <v>260</v>
      </c>
      <c r="N41" s="28">
        <f t="shared" si="3"/>
        <v>933400</v>
      </c>
      <c r="O41" s="153"/>
      <c r="P41" s="3"/>
    </row>
    <row r="42" spans="1:22" s="2" customFormat="1" ht="19.8" customHeight="1">
      <c r="A42" s="103">
        <v>8</v>
      </c>
      <c r="B42" s="112" t="s">
        <v>123</v>
      </c>
      <c r="C42" s="104"/>
      <c r="D42" s="417"/>
      <c r="E42" s="106"/>
      <c r="F42" s="106"/>
      <c r="G42" s="106"/>
      <c r="H42" s="106"/>
      <c r="I42" s="106"/>
      <c r="J42" s="106"/>
      <c r="K42" s="106"/>
      <c r="L42" s="107"/>
      <c r="M42" s="107"/>
      <c r="N42" s="108">
        <v>13550</v>
      </c>
      <c r="O42" s="153"/>
    </row>
    <row r="43" spans="1:22" ht="21.6" customHeight="1">
      <c r="A43" s="208" t="s">
        <v>0</v>
      </c>
      <c r="B43" s="211" t="s">
        <v>19</v>
      </c>
      <c r="C43" s="214" t="s">
        <v>8</v>
      </c>
      <c r="D43" s="214" t="s">
        <v>9</v>
      </c>
      <c r="E43" s="217" t="s">
        <v>11</v>
      </c>
      <c r="F43" s="218"/>
      <c r="G43" s="217" t="s">
        <v>43</v>
      </c>
      <c r="H43" s="218"/>
      <c r="I43" s="221" t="s">
        <v>16</v>
      </c>
      <c r="J43" s="221" t="s">
        <v>41</v>
      </c>
      <c r="K43" s="221" t="s">
        <v>42</v>
      </c>
      <c r="L43" s="221" t="s">
        <v>17</v>
      </c>
      <c r="M43" s="221" t="s">
        <v>40</v>
      </c>
      <c r="N43" s="208" t="s">
        <v>18</v>
      </c>
      <c r="O43" s="369"/>
    </row>
    <row r="44" spans="1:22" ht="21.6" customHeight="1">
      <c r="A44" s="209"/>
      <c r="B44" s="212"/>
      <c r="C44" s="215"/>
      <c r="D44" s="215"/>
      <c r="E44" s="219"/>
      <c r="F44" s="220"/>
      <c r="G44" s="219"/>
      <c r="H44" s="220"/>
      <c r="I44" s="222"/>
      <c r="J44" s="222"/>
      <c r="K44" s="222"/>
      <c r="L44" s="222"/>
      <c r="M44" s="222"/>
      <c r="N44" s="209"/>
      <c r="O44" s="175"/>
    </row>
    <row r="45" spans="1:22" ht="21.6" customHeight="1">
      <c r="A45" s="209"/>
      <c r="B45" s="212"/>
      <c r="C45" s="215"/>
      <c r="D45" s="215"/>
      <c r="E45" s="221" t="s">
        <v>10</v>
      </c>
      <c r="F45" s="221" t="s">
        <v>12</v>
      </c>
      <c r="G45" s="221" t="s">
        <v>14</v>
      </c>
      <c r="H45" s="221" t="s">
        <v>15</v>
      </c>
      <c r="I45" s="222"/>
      <c r="J45" s="222"/>
      <c r="K45" s="222"/>
      <c r="L45" s="222"/>
      <c r="M45" s="222"/>
      <c r="N45" s="209"/>
      <c r="O45" s="175"/>
    </row>
    <row r="46" spans="1:22" ht="21.6" customHeight="1">
      <c r="A46" s="210"/>
      <c r="B46" s="213"/>
      <c r="C46" s="216"/>
      <c r="D46" s="216"/>
      <c r="E46" s="223"/>
      <c r="F46" s="223"/>
      <c r="G46" s="223"/>
      <c r="H46" s="223"/>
      <c r="I46" s="223"/>
      <c r="J46" s="223"/>
      <c r="K46" s="223"/>
      <c r="L46" s="223"/>
      <c r="M46" s="223"/>
      <c r="N46" s="210"/>
      <c r="O46" s="175"/>
    </row>
    <row r="47" spans="1:22" s="2" customFormat="1" ht="21.6" customHeight="1">
      <c r="A47" s="236" t="s">
        <v>106</v>
      </c>
      <c r="B47" s="236"/>
      <c r="C47" s="34"/>
      <c r="D47" s="35">
        <f>SUM(D34:D42)</f>
        <v>47523.381999999998</v>
      </c>
      <c r="E47" s="43"/>
      <c r="F47" s="43"/>
      <c r="G47" s="43"/>
      <c r="H47" s="43"/>
      <c r="I47" s="43"/>
      <c r="J47" s="43"/>
      <c r="K47" s="43"/>
      <c r="L47" s="44"/>
      <c r="M47" s="44"/>
      <c r="N47" s="240">
        <f>SUM(N34:N42)</f>
        <v>1608045</v>
      </c>
      <c r="O47" s="153"/>
    </row>
    <row r="48" spans="1:22" ht="21.6" customHeight="1">
      <c r="A48" s="236" t="s">
        <v>7</v>
      </c>
      <c r="B48" s="236"/>
      <c r="C48" s="45"/>
      <c r="D48" s="46">
        <f>D47/D10</f>
        <v>225.22929857819904</v>
      </c>
      <c r="E48" s="46"/>
      <c r="F48" s="46"/>
      <c r="G48" s="46"/>
      <c r="H48" s="46"/>
      <c r="I48" s="46"/>
      <c r="J48" s="46"/>
      <c r="K48" s="46"/>
      <c r="L48" s="47"/>
      <c r="M48" s="47"/>
      <c r="N48" s="241"/>
      <c r="O48" s="404"/>
      <c r="P48" s="2"/>
      <c r="Q48" s="2"/>
      <c r="R48" s="2"/>
      <c r="S48" s="2"/>
      <c r="T48" s="2"/>
      <c r="U48" s="2"/>
      <c r="V48" s="2"/>
    </row>
    <row r="49" spans="1:23" ht="21.6" customHeight="1">
      <c r="A49" s="224" t="s">
        <v>47</v>
      </c>
      <c r="B49" s="225"/>
      <c r="C49" s="416" t="s">
        <v>151</v>
      </c>
      <c r="D49" s="20" t="s">
        <v>58</v>
      </c>
      <c r="E49" s="46"/>
      <c r="F49" s="46"/>
      <c r="G49" s="46"/>
      <c r="H49" s="46"/>
      <c r="I49" s="46"/>
      <c r="J49" s="48"/>
      <c r="K49" s="48"/>
      <c r="L49" s="47"/>
      <c r="M49" s="47"/>
      <c r="N49" s="176"/>
      <c r="O49" s="4"/>
      <c r="P49" s="2"/>
      <c r="Q49" s="2"/>
      <c r="R49" s="2"/>
      <c r="S49" s="2"/>
      <c r="T49" s="2"/>
      <c r="U49" s="2"/>
      <c r="V49" s="2"/>
    </row>
    <row r="50" spans="1:23" ht="21.6" customHeight="1">
      <c r="A50" s="226"/>
      <c r="B50" s="227"/>
      <c r="C50" s="19" t="s">
        <v>59</v>
      </c>
      <c r="D50" s="20">
        <f>D48*100/1320</f>
        <v>17.062825649863566</v>
      </c>
      <c r="E50" s="46"/>
      <c r="F50" s="46"/>
      <c r="G50" s="46"/>
      <c r="H50" s="46"/>
      <c r="I50" s="46"/>
      <c r="J50" s="48"/>
      <c r="K50" s="48"/>
      <c r="L50" s="47"/>
      <c r="M50" s="47"/>
      <c r="N50" s="176"/>
      <c r="O50" s="4"/>
      <c r="P50" s="2"/>
      <c r="Q50" s="2"/>
      <c r="R50" s="2"/>
      <c r="S50" s="2"/>
      <c r="T50" s="2"/>
      <c r="U50" s="2"/>
      <c r="V50" s="2"/>
    </row>
    <row r="51" spans="1:23" ht="21.6" customHeight="1">
      <c r="A51" s="264" t="s">
        <v>107</v>
      </c>
      <c r="B51" s="264"/>
      <c r="C51" s="263"/>
      <c r="D51" s="181">
        <f>D29+D47</f>
        <v>140627.10999999999</v>
      </c>
      <c r="E51" s="123">
        <f t="shared" ref="E51:K51" si="4">SUM(E16:E42)</f>
        <v>2950.9247999999998</v>
      </c>
      <c r="F51" s="123">
        <f t="shared" si="4"/>
        <v>2962.4103000000005</v>
      </c>
      <c r="G51" s="123">
        <f t="shared" si="4"/>
        <v>2840.6039999999998</v>
      </c>
      <c r="H51" s="123">
        <f t="shared" si="4"/>
        <v>1214.2257999999999</v>
      </c>
      <c r="I51" s="260">
        <f t="shared" si="4"/>
        <v>19479.406800000001</v>
      </c>
      <c r="J51" s="251">
        <f t="shared" si="4"/>
        <v>46921.68</v>
      </c>
      <c r="K51" s="251">
        <f t="shared" si="4"/>
        <v>80.17304</v>
      </c>
      <c r="L51" s="251"/>
      <c r="M51" s="251"/>
      <c r="N51" s="257">
        <f>N29+N47</f>
        <v>4642335</v>
      </c>
      <c r="P51" s="418"/>
      <c r="U51" s="12"/>
      <c r="V51" s="12"/>
    </row>
    <row r="52" spans="1:23" ht="21.6" customHeight="1">
      <c r="A52" s="264"/>
      <c r="B52" s="264"/>
      <c r="C52" s="263"/>
      <c r="D52" s="182"/>
      <c r="E52" s="244">
        <f>E51+F51</f>
        <v>5913.3351000000002</v>
      </c>
      <c r="F52" s="244"/>
      <c r="G52" s="244">
        <f>G51+H51</f>
        <v>4054.8297999999995</v>
      </c>
      <c r="H52" s="244"/>
      <c r="I52" s="260"/>
      <c r="J52" s="253"/>
      <c r="K52" s="253"/>
      <c r="L52" s="252"/>
      <c r="M52" s="252"/>
      <c r="N52" s="258"/>
      <c r="U52" s="12"/>
      <c r="V52" s="12"/>
    </row>
    <row r="53" spans="1:23" ht="21.6" customHeight="1">
      <c r="A53" s="245" t="s">
        <v>77</v>
      </c>
      <c r="B53" s="246"/>
      <c r="C53" s="247"/>
      <c r="D53" s="131">
        <f>D51/D10</f>
        <v>666.47919431279615</v>
      </c>
      <c r="E53" s="374">
        <f>E51/D10</f>
        <v>13.985425592417061</v>
      </c>
      <c r="F53" s="374">
        <f>F51/D10</f>
        <v>14.039859241706163</v>
      </c>
      <c r="G53" s="374">
        <f>G51/D10</f>
        <v>13.462578199052132</v>
      </c>
      <c r="H53" s="374">
        <f>H51/D10</f>
        <v>5.7546246445497626</v>
      </c>
      <c r="I53" s="180">
        <f>I51/D10</f>
        <v>92.319463507109006</v>
      </c>
      <c r="J53" s="261">
        <f>J51/D10</f>
        <v>222.37763033175355</v>
      </c>
      <c r="K53" s="261">
        <f>K51/D10</f>
        <v>0.37996701421800949</v>
      </c>
      <c r="L53" s="252"/>
      <c r="M53" s="252"/>
      <c r="N53" s="258"/>
      <c r="P53" s="395"/>
      <c r="Q53" s="396"/>
      <c r="R53" s="396"/>
      <c r="S53" s="396"/>
      <c r="T53" s="396"/>
      <c r="U53" s="397"/>
      <c r="V53" s="397"/>
      <c r="W53" s="1">
        <f>Q53+S53+U53</f>
        <v>0</v>
      </c>
    </row>
    <row r="54" spans="1:23" ht="21.6" customHeight="1">
      <c r="A54" s="248"/>
      <c r="B54" s="249"/>
      <c r="C54" s="250"/>
      <c r="D54" s="126"/>
      <c r="E54" s="419">
        <f>E53+F53</f>
        <v>28.025284834123223</v>
      </c>
      <c r="F54" s="419"/>
      <c r="G54" s="419">
        <f>G53+H53</f>
        <v>19.217202843601896</v>
      </c>
      <c r="H54" s="419"/>
      <c r="I54" s="180"/>
      <c r="J54" s="262"/>
      <c r="K54" s="262"/>
      <c r="L54" s="252"/>
      <c r="M54" s="252"/>
      <c r="N54" s="258"/>
      <c r="P54" s="398"/>
      <c r="Q54" s="396"/>
      <c r="R54" s="396"/>
      <c r="S54" s="396"/>
      <c r="T54" s="396"/>
      <c r="U54" s="396"/>
      <c r="V54" s="396"/>
    </row>
    <row r="55" spans="1:23" ht="21.6" customHeight="1">
      <c r="A55" s="242" t="s">
        <v>80</v>
      </c>
      <c r="B55" s="272"/>
      <c r="C55" s="243"/>
      <c r="D55" s="177" t="s">
        <v>28</v>
      </c>
      <c r="E55" s="420" t="s">
        <v>21</v>
      </c>
      <c r="F55" s="420"/>
      <c r="G55" s="420" t="s">
        <v>22</v>
      </c>
      <c r="H55" s="420"/>
      <c r="I55" s="421" t="s">
        <v>23</v>
      </c>
      <c r="J55" s="421">
        <v>600</v>
      </c>
      <c r="K55" s="421">
        <v>0.7</v>
      </c>
      <c r="L55" s="252"/>
      <c r="M55" s="252"/>
      <c r="N55" s="258"/>
      <c r="O55" s="379"/>
      <c r="P55" s="395"/>
      <c r="Q55" s="400"/>
      <c r="R55" s="400"/>
      <c r="S55" s="400"/>
      <c r="T55" s="400"/>
      <c r="U55" s="395"/>
      <c r="V55" s="395"/>
    </row>
    <row r="56" spans="1:23" ht="21.6" customHeight="1">
      <c r="A56" s="242" t="s">
        <v>78</v>
      </c>
      <c r="B56" s="272"/>
      <c r="C56" s="243"/>
      <c r="D56" s="49"/>
      <c r="E56" s="273">
        <f>E54*4.1</f>
        <v>114.90366781990521</v>
      </c>
      <c r="F56" s="274"/>
      <c r="G56" s="273">
        <f>G54*9</f>
        <v>172.95482559241708</v>
      </c>
      <c r="H56" s="274"/>
      <c r="I56" s="122">
        <f>I53*4.1</f>
        <v>378.5098003791469</v>
      </c>
      <c r="J56" s="254"/>
      <c r="K56" s="254"/>
      <c r="L56" s="252"/>
      <c r="M56" s="252"/>
      <c r="N56" s="258"/>
      <c r="O56" s="379"/>
      <c r="P56" s="399"/>
      <c r="Q56" s="395"/>
      <c r="R56" s="395"/>
      <c r="S56" s="395"/>
      <c r="T56" s="395"/>
      <c r="U56" s="395"/>
      <c r="V56" s="395"/>
    </row>
    <row r="57" spans="1:23" ht="21.6" customHeight="1">
      <c r="A57" s="275" t="s">
        <v>81</v>
      </c>
      <c r="B57" s="276"/>
      <c r="C57" s="242" t="s">
        <v>59</v>
      </c>
      <c r="D57" s="243"/>
      <c r="E57" s="422">
        <f>E56*100/D53</f>
        <v>17.240398320067872</v>
      </c>
      <c r="F57" s="423"/>
      <c r="G57" s="188">
        <f>G56*100/D53</f>
        <v>25.950521346844152</v>
      </c>
      <c r="H57" s="189"/>
      <c r="I57" s="115">
        <f>I56*100/D53</f>
        <v>56.792440575647191</v>
      </c>
      <c r="J57" s="255"/>
      <c r="K57" s="255"/>
      <c r="L57" s="252"/>
      <c r="M57" s="252"/>
      <c r="N57" s="258"/>
      <c r="O57" s="379"/>
    </row>
    <row r="58" spans="1:23" ht="21.6" customHeight="1">
      <c r="A58" s="277"/>
      <c r="B58" s="278"/>
      <c r="C58" s="242" t="s">
        <v>79</v>
      </c>
      <c r="D58" s="243"/>
      <c r="E58" s="242" t="s">
        <v>82</v>
      </c>
      <c r="F58" s="243"/>
      <c r="G58" s="242" t="s">
        <v>83</v>
      </c>
      <c r="H58" s="243"/>
      <c r="I58" s="178" t="s">
        <v>84</v>
      </c>
      <c r="J58" s="256"/>
      <c r="K58" s="256"/>
      <c r="L58" s="253"/>
      <c r="M58" s="253"/>
      <c r="N58" s="259"/>
      <c r="O58" s="379"/>
      <c r="P58" s="132"/>
    </row>
    <row r="59" spans="1:23" ht="21.6" customHeight="1">
      <c r="A59" s="90"/>
      <c r="B59" s="93"/>
      <c r="C59" s="90"/>
      <c r="D59" s="90"/>
      <c r="E59" s="90"/>
      <c r="F59" s="90"/>
      <c r="G59" s="90"/>
      <c r="H59" s="90"/>
      <c r="I59" s="90"/>
      <c r="J59" s="90"/>
      <c r="K59" s="90"/>
      <c r="L59" s="91"/>
      <c r="M59" s="91"/>
      <c r="N59" s="92"/>
      <c r="O59" s="379"/>
      <c r="Q59" s="132"/>
    </row>
    <row r="60" spans="1:23" ht="21" customHeight="1">
      <c r="A60" s="183" t="s">
        <v>114</v>
      </c>
      <c r="B60" s="183"/>
      <c r="C60" s="183"/>
      <c r="D60" s="183"/>
      <c r="E60" s="183"/>
      <c r="F60" s="183"/>
      <c r="G60" s="183"/>
      <c r="H60" s="183"/>
      <c r="I60" s="183"/>
      <c r="J60" s="183"/>
      <c r="K60" s="183"/>
      <c r="L60" s="183"/>
      <c r="M60" s="183"/>
      <c r="N60" s="183"/>
      <c r="O60" s="379"/>
    </row>
    <row r="61" spans="1:23" ht="21" customHeight="1">
      <c r="A61" s="117" t="s">
        <v>115</v>
      </c>
      <c r="B61" s="184" t="s">
        <v>116</v>
      </c>
      <c r="C61" s="184"/>
      <c r="D61" s="184"/>
      <c r="E61" s="184"/>
      <c r="F61" s="184"/>
      <c r="G61" s="184"/>
      <c r="H61" s="184"/>
      <c r="I61" s="184"/>
      <c r="J61" s="184"/>
      <c r="K61" s="184"/>
      <c r="L61" s="184"/>
      <c r="M61" s="184"/>
      <c r="N61" s="184"/>
      <c r="O61" s="379"/>
    </row>
    <row r="62" spans="1:23" ht="21" customHeight="1">
      <c r="A62" s="118"/>
      <c r="B62" s="185" t="s">
        <v>197</v>
      </c>
      <c r="C62" s="185"/>
      <c r="D62" s="185"/>
      <c r="E62" s="185"/>
      <c r="F62" s="185"/>
      <c r="G62" s="185"/>
      <c r="H62" s="185"/>
      <c r="I62" s="185"/>
      <c r="J62" s="185"/>
      <c r="K62" s="185"/>
      <c r="L62" s="185"/>
      <c r="M62" s="185"/>
      <c r="N62" s="185"/>
      <c r="O62" s="379"/>
    </row>
    <row r="63" spans="1:23" ht="21" customHeight="1">
      <c r="A63" s="118"/>
      <c r="B63" s="185" t="s">
        <v>198</v>
      </c>
      <c r="C63" s="185"/>
      <c r="D63" s="185"/>
      <c r="E63" s="185"/>
      <c r="F63" s="185"/>
      <c r="G63" s="185"/>
      <c r="H63" s="185"/>
      <c r="I63" s="185"/>
      <c r="J63" s="185"/>
      <c r="K63" s="185"/>
      <c r="L63" s="185"/>
      <c r="M63" s="185"/>
      <c r="N63" s="185"/>
      <c r="O63" s="379"/>
    </row>
    <row r="64" spans="1:23" ht="21" customHeight="1">
      <c r="A64" s="118"/>
      <c r="B64" s="185" t="s">
        <v>188</v>
      </c>
      <c r="C64" s="185"/>
      <c r="D64" s="185"/>
      <c r="E64" s="185"/>
      <c r="F64" s="185"/>
      <c r="G64" s="185"/>
      <c r="H64" s="185"/>
      <c r="I64" s="185"/>
      <c r="J64" s="185"/>
      <c r="K64" s="185"/>
      <c r="L64" s="185"/>
      <c r="M64" s="185"/>
      <c r="N64" s="185"/>
      <c r="O64" s="379"/>
    </row>
    <row r="65" spans="1:15" ht="21" customHeight="1">
      <c r="A65" s="90"/>
      <c r="B65" s="186" t="s">
        <v>117</v>
      </c>
      <c r="C65" s="186"/>
      <c r="D65" s="186"/>
      <c r="E65" s="186"/>
      <c r="F65" s="186"/>
      <c r="G65" s="186"/>
      <c r="H65" s="186"/>
      <c r="I65" s="186"/>
      <c r="J65" s="186"/>
      <c r="K65" s="186"/>
      <c r="L65" s="186"/>
      <c r="M65" s="186"/>
      <c r="N65" s="186"/>
      <c r="O65" s="379"/>
    </row>
    <row r="66" spans="1:15" ht="21" customHeight="1">
      <c r="A66" s="90"/>
      <c r="B66" s="90"/>
      <c r="C66" s="90"/>
      <c r="D66" s="90"/>
      <c r="E66" s="90"/>
      <c r="F66" s="90"/>
      <c r="G66" s="90"/>
      <c r="H66" s="90"/>
      <c r="I66" s="90"/>
      <c r="J66" s="90"/>
      <c r="K66" s="90"/>
      <c r="L66" s="94"/>
      <c r="M66" s="94"/>
      <c r="N66" s="95"/>
      <c r="O66" s="379"/>
    </row>
    <row r="67" spans="1:15" ht="21" customHeight="1">
      <c r="A67" s="187" t="s">
        <v>62</v>
      </c>
      <c r="B67" s="187"/>
      <c r="C67" s="187"/>
      <c r="D67" s="187"/>
      <c r="E67" s="380"/>
      <c r="F67" s="380"/>
      <c r="G67" s="380"/>
      <c r="H67" s="380"/>
      <c r="I67" s="380"/>
      <c r="J67" s="381" t="s">
        <v>33</v>
      </c>
      <c r="K67" s="381"/>
      <c r="L67" s="381"/>
      <c r="M67" s="381"/>
      <c r="N67" s="381"/>
      <c r="O67" s="379"/>
    </row>
    <row r="68" spans="1:15" ht="21" customHeight="1">
      <c r="A68" s="175"/>
      <c r="B68" s="175"/>
      <c r="C68" s="175"/>
      <c r="D68" s="380"/>
      <c r="E68" s="380"/>
      <c r="F68" s="380"/>
      <c r="G68" s="380"/>
      <c r="H68" s="382"/>
      <c r="I68" s="382"/>
      <c r="J68" s="382"/>
      <c r="K68" s="382"/>
      <c r="L68" s="382"/>
      <c r="M68" s="382"/>
      <c r="N68" s="382"/>
      <c r="O68" s="379"/>
    </row>
    <row r="69" spans="1:15" ht="21" customHeight="1">
      <c r="A69" s="175"/>
      <c r="B69" s="175"/>
      <c r="C69" s="175"/>
      <c r="D69" s="380"/>
      <c r="E69" s="380"/>
      <c r="F69" s="380"/>
      <c r="G69" s="380"/>
      <c r="H69" s="382"/>
      <c r="I69" s="382"/>
      <c r="J69" s="382"/>
      <c r="K69" s="382"/>
      <c r="L69" s="382"/>
      <c r="M69" s="382"/>
      <c r="N69" s="382"/>
      <c r="O69" s="379"/>
    </row>
    <row r="70" spans="1:15" ht="21" customHeight="1">
      <c r="A70" s="175"/>
      <c r="B70" s="175"/>
      <c r="C70" s="175"/>
      <c r="D70" s="380"/>
      <c r="E70" s="380"/>
      <c r="F70" s="380"/>
      <c r="G70" s="380"/>
      <c r="H70" s="382"/>
      <c r="I70" s="382"/>
      <c r="J70" s="383" t="s">
        <v>124</v>
      </c>
      <c r="K70" s="383"/>
      <c r="L70" s="383"/>
      <c r="M70" s="383"/>
      <c r="N70" s="383"/>
      <c r="O70" s="379"/>
    </row>
    <row r="71" spans="1:15" ht="21" customHeight="1">
      <c r="A71" s="179" t="s">
        <v>91</v>
      </c>
      <c r="B71" s="179"/>
      <c r="C71" s="179"/>
      <c r="D71" s="179"/>
      <c r="E71" s="380"/>
      <c r="F71" s="380"/>
      <c r="G71" s="380"/>
      <c r="H71" s="382"/>
      <c r="I71" s="382"/>
      <c r="J71" s="383"/>
      <c r="K71" s="383"/>
      <c r="L71" s="383"/>
      <c r="M71" s="383"/>
      <c r="N71" s="383"/>
      <c r="O71" s="379"/>
    </row>
    <row r="72" spans="1:15" ht="21.6" customHeight="1">
      <c r="A72" s="175"/>
      <c r="B72" s="175"/>
      <c r="C72" s="175"/>
      <c r="D72" s="380"/>
      <c r="E72" s="380"/>
      <c r="F72" s="380"/>
      <c r="G72" s="380"/>
      <c r="H72" s="382"/>
      <c r="I72" s="382"/>
      <c r="J72" s="382"/>
      <c r="K72" s="382"/>
      <c r="L72" s="382"/>
      <c r="M72" s="382"/>
      <c r="N72" s="382"/>
      <c r="O72" s="379"/>
    </row>
    <row r="73" spans="1:15" ht="21.6" customHeight="1">
      <c r="A73" s="175"/>
      <c r="B73" s="175"/>
      <c r="C73" s="175"/>
      <c r="D73" s="380"/>
      <c r="E73" s="380"/>
      <c r="F73" s="380"/>
      <c r="G73" s="380"/>
      <c r="H73" s="382"/>
      <c r="I73" s="382"/>
      <c r="J73" s="382"/>
      <c r="K73" s="382"/>
      <c r="L73" s="382"/>
      <c r="M73" s="382"/>
      <c r="N73" s="382"/>
      <c r="O73" s="379"/>
    </row>
    <row r="74" spans="1:15" ht="21.6" customHeight="1">
      <c r="A74" s="175"/>
      <c r="B74" s="175"/>
      <c r="C74" s="175"/>
      <c r="D74" s="380"/>
      <c r="E74" s="380"/>
      <c r="F74" s="380"/>
      <c r="G74" s="380"/>
      <c r="H74" s="382"/>
      <c r="I74" s="382"/>
      <c r="J74" s="383" t="s">
        <v>127</v>
      </c>
      <c r="K74" s="383"/>
      <c r="L74" s="383"/>
      <c r="M74" s="383"/>
      <c r="N74" s="383"/>
      <c r="O74" s="379"/>
    </row>
    <row r="75" spans="1:15" ht="21.6" customHeight="1">
      <c r="A75" s="175"/>
      <c r="B75" s="175"/>
      <c r="C75" s="175"/>
      <c r="D75" s="380"/>
      <c r="E75" s="380"/>
      <c r="F75" s="380"/>
      <c r="G75" s="380"/>
      <c r="H75" s="382"/>
      <c r="I75" s="382"/>
      <c r="J75" s="382"/>
      <c r="K75" s="382"/>
      <c r="L75" s="382"/>
      <c r="M75" s="382"/>
      <c r="N75" s="382"/>
      <c r="O75" s="379"/>
    </row>
    <row r="76" spans="1:15" ht="21.6" customHeight="1">
      <c r="A76" s="175"/>
      <c r="B76" s="175"/>
      <c r="C76" s="175"/>
      <c r="D76" s="380"/>
      <c r="E76" s="380"/>
      <c r="F76" s="380"/>
      <c r="G76" s="380"/>
      <c r="H76" s="382"/>
      <c r="I76" s="382"/>
      <c r="J76" s="382"/>
      <c r="K76" s="382"/>
      <c r="L76" s="382"/>
      <c r="M76" s="382"/>
      <c r="N76" s="382"/>
      <c r="O76" s="379"/>
    </row>
    <row r="77" spans="1:15" ht="21.6" customHeight="1">
      <c r="A77" s="175"/>
      <c r="B77" s="175"/>
      <c r="C77" s="175"/>
      <c r="D77" s="380"/>
      <c r="E77" s="380"/>
      <c r="F77" s="380"/>
      <c r="G77" s="380"/>
      <c r="H77" s="382"/>
      <c r="I77" s="382"/>
      <c r="J77" s="382"/>
      <c r="K77" s="382"/>
      <c r="L77" s="382"/>
      <c r="M77" s="382"/>
      <c r="N77" s="382"/>
      <c r="O77" s="379"/>
    </row>
    <row r="78" spans="1:15" ht="21.6" customHeight="1">
      <c r="A78" s="175"/>
      <c r="B78" s="175"/>
      <c r="C78" s="175"/>
      <c r="D78" s="380"/>
      <c r="E78" s="380"/>
      <c r="F78" s="380"/>
      <c r="G78" s="380"/>
      <c r="H78" s="382"/>
      <c r="I78" s="382"/>
      <c r="J78" s="382"/>
      <c r="K78" s="382"/>
      <c r="L78" s="382"/>
      <c r="M78" s="382"/>
      <c r="N78" s="382"/>
      <c r="O78" s="379"/>
    </row>
    <row r="79" spans="1:15" ht="24" customHeight="1">
      <c r="A79" s="175"/>
      <c r="B79" s="175"/>
      <c r="C79" s="175"/>
      <c r="D79" s="380"/>
      <c r="E79" s="380"/>
      <c r="F79" s="380"/>
      <c r="G79" s="380"/>
      <c r="H79" s="382"/>
      <c r="I79" s="382"/>
      <c r="J79" s="382"/>
      <c r="K79" s="382"/>
      <c r="L79" s="382"/>
      <c r="M79" s="382"/>
      <c r="N79" s="382"/>
      <c r="O79" s="379"/>
    </row>
    <row r="80" spans="1:15" ht="26.4" customHeight="1">
      <c r="A80" s="175"/>
      <c r="B80" s="175"/>
      <c r="C80" s="175"/>
      <c r="D80" s="380"/>
      <c r="E80" s="380"/>
      <c r="F80" s="380"/>
      <c r="G80" s="380"/>
      <c r="H80" s="382"/>
      <c r="I80" s="382"/>
      <c r="J80" s="382"/>
      <c r="K80" s="382"/>
      <c r="L80" s="382"/>
      <c r="M80" s="382"/>
      <c r="N80" s="382"/>
      <c r="O80" s="379"/>
    </row>
    <row r="81" spans="1:20" ht="17.399999999999999" customHeight="1">
      <c r="A81" s="11" t="s">
        <v>61</v>
      </c>
      <c r="B81" s="8"/>
      <c r="C81" s="8"/>
      <c r="D81" s="8"/>
      <c r="E81" s="8"/>
      <c r="F81" s="290" t="s">
        <v>32</v>
      </c>
      <c r="G81" s="290"/>
      <c r="H81" s="290"/>
      <c r="I81" s="290"/>
      <c r="J81" s="290"/>
      <c r="K81" s="290"/>
      <c r="L81" s="290"/>
      <c r="M81" s="290"/>
      <c r="N81" s="290"/>
      <c r="O81" s="367"/>
      <c r="P81" s="367"/>
      <c r="T81" s="2"/>
    </row>
    <row r="82" spans="1:20" ht="8.4" customHeight="1">
      <c r="A82" s="8"/>
      <c r="B82" s="8"/>
      <c r="C82" s="8"/>
      <c r="D82" s="8"/>
      <c r="E82" s="8"/>
      <c r="F82" s="172"/>
      <c r="G82" s="172"/>
      <c r="H82" s="172"/>
      <c r="I82" s="172"/>
      <c r="J82" s="172"/>
      <c r="K82" s="172"/>
      <c r="L82" s="172"/>
      <c r="M82" s="172"/>
      <c r="N82" s="172"/>
      <c r="O82" s="367"/>
      <c r="P82" s="367"/>
      <c r="T82" s="2"/>
    </row>
    <row r="83" spans="1:20" ht="17.399999999999999" customHeight="1">
      <c r="A83" s="8" t="s">
        <v>196</v>
      </c>
      <c r="B83" s="8"/>
      <c r="C83" s="8"/>
      <c r="D83" s="8"/>
      <c r="E83" s="8"/>
      <c r="F83" s="172"/>
      <c r="G83" s="172"/>
      <c r="H83" s="172"/>
      <c r="I83" s="172"/>
      <c r="J83" s="172"/>
      <c r="K83" s="172"/>
      <c r="L83" s="172"/>
      <c r="M83" s="172"/>
      <c r="N83" s="172"/>
      <c r="O83" s="367"/>
      <c r="P83" s="367"/>
      <c r="T83" s="2"/>
    </row>
    <row r="84" spans="1:20" s="2" customFormat="1" ht="7.8" customHeight="1">
      <c r="A84" s="190"/>
      <c r="B84" s="190"/>
      <c r="C84" s="190"/>
      <c r="D84" s="190"/>
      <c r="E84" s="190"/>
      <c r="F84" s="190"/>
      <c r="G84" s="190"/>
      <c r="H84" s="190"/>
      <c r="I84" s="190"/>
      <c r="J84" s="190"/>
      <c r="K84" s="190"/>
      <c r="L84" s="190"/>
      <c r="M84" s="190"/>
      <c r="N84" s="190"/>
      <c r="O84" s="368"/>
    </row>
    <row r="85" spans="1:20" s="2" customFormat="1" ht="16.2" customHeight="1">
      <c r="A85" s="191" t="s">
        <v>88</v>
      </c>
      <c r="B85" s="191"/>
      <c r="C85" s="191"/>
      <c r="D85" s="191"/>
      <c r="E85" s="191"/>
      <c r="F85" s="191"/>
      <c r="G85" s="191"/>
      <c r="H85" s="191"/>
      <c r="I85" s="191"/>
      <c r="J85" s="191"/>
      <c r="K85" s="191"/>
      <c r="L85" s="191"/>
      <c r="M85" s="191"/>
      <c r="N85" s="191"/>
      <c r="O85" s="368"/>
    </row>
    <row r="86" spans="1:20" s="2" customFormat="1" ht="16.2" customHeight="1">
      <c r="A86" s="194" t="s">
        <v>97</v>
      </c>
      <c r="B86" s="194"/>
      <c r="C86" s="194"/>
      <c r="D86" s="194"/>
      <c r="E86" s="194" t="s">
        <v>89</v>
      </c>
      <c r="F86" s="194"/>
      <c r="G86" s="194"/>
      <c r="H86" s="194"/>
      <c r="I86" s="194"/>
      <c r="J86" s="194"/>
      <c r="K86" s="194"/>
      <c r="L86" s="194"/>
      <c r="M86" s="194"/>
      <c r="N86" s="194"/>
      <c r="O86" s="368"/>
    </row>
    <row r="87" spans="1:20" s="2" customFormat="1" ht="16.2" customHeight="1">
      <c r="A87" s="194"/>
      <c r="B87" s="194"/>
      <c r="C87" s="194"/>
      <c r="D87" s="194"/>
      <c r="E87" s="194" t="s">
        <v>100</v>
      </c>
      <c r="F87" s="194"/>
      <c r="G87" s="194"/>
      <c r="H87" s="194"/>
      <c r="I87" s="194"/>
      <c r="J87" s="194" t="s">
        <v>101</v>
      </c>
      <c r="K87" s="194"/>
      <c r="L87" s="194"/>
      <c r="M87" s="194"/>
      <c r="N87" s="194"/>
      <c r="O87" s="368"/>
    </row>
    <row r="88" spans="1:20" s="2" customFormat="1" ht="17.399999999999999" customHeight="1">
      <c r="A88" s="195" t="s">
        <v>90</v>
      </c>
      <c r="B88" s="195"/>
      <c r="C88" s="195"/>
      <c r="D88" s="195"/>
      <c r="E88" s="198" t="s">
        <v>148</v>
      </c>
      <c r="F88" s="198"/>
      <c r="G88" s="198"/>
      <c r="H88" s="198"/>
      <c r="I88" s="198"/>
      <c r="J88" s="195" t="s">
        <v>90</v>
      </c>
      <c r="K88" s="195"/>
      <c r="L88" s="195"/>
      <c r="M88" s="195"/>
      <c r="N88" s="195"/>
      <c r="O88" s="368"/>
    </row>
    <row r="89" spans="1:20" s="2" customFormat="1" ht="17.399999999999999" customHeight="1">
      <c r="A89" s="196" t="s">
        <v>153</v>
      </c>
      <c r="B89" s="196"/>
      <c r="C89" s="196"/>
      <c r="D89" s="196"/>
      <c r="E89" s="198"/>
      <c r="F89" s="198"/>
      <c r="G89" s="198"/>
      <c r="H89" s="198"/>
      <c r="I89" s="198"/>
      <c r="J89" s="196" t="s">
        <v>112</v>
      </c>
      <c r="K89" s="196"/>
      <c r="L89" s="196"/>
      <c r="M89" s="196"/>
      <c r="N89" s="196"/>
      <c r="O89" s="368"/>
    </row>
    <row r="90" spans="1:20" s="2" customFormat="1" ht="17.399999999999999" customHeight="1">
      <c r="A90" s="231" t="s">
        <v>154</v>
      </c>
      <c r="B90" s="232"/>
      <c r="C90" s="232"/>
      <c r="D90" s="233"/>
      <c r="E90" s="198"/>
      <c r="F90" s="198"/>
      <c r="G90" s="198"/>
      <c r="H90" s="198"/>
      <c r="I90" s="198"/>
      <c r="J90" s="196" t="s">
        <v>181</v>
      </c>
      <c r="K90" s="196"/>
      <c r="L90" s="196"/>
      <c r="M90" s="196"/>
      <c r="N90" s="196"/>
      <c r="O90" s="368"/>
    </row>
    <row r="91" spans="1:20" s="2" customFormat="1" ht="17.399999999999999" customHeight="1">
      <c r="A91" s="197" t="s">
        <v>180</v>
      </c>
      <c r="B91" s="197"/>
      <c r="C91" s="197"/>
      <c r="D91" s="197"/>
      <c r="E91" s="198"/>
      <c r="F91" s="198"/>
      <c r="G91" s="198"/>
      <c r="H91" s="198"/>
      <c r="I91" s="198"/>
      <c r="J91" s="197"/>
      <c r="K91" s="197"/>
      <c r="L91" s="197"/>
      <c r="M91" s="197"/>
      <c r="N91" s="197"/>
      <c r="O91" s="368"/>
    </row>
    <row r="92" spans="1:20" s="2" customFormat="1" ht="17.399999999999999" customHeight="1">
      <c r="A92" s="228" t="s">
        <v>122</v>
      </c>
      <c r="B92" s="229"/>
      <c r="C92" s="230"/>
      <c r="D92" s="125">
        <v>53</v>
      </c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368"/>
    </row>
    <row r="93" spans="1:20" ht="17.399999999999999" customHeight="1">
      <c r="A93" s="208" t="s">
        <v>0</v>
      </c>
      <c r="B93" s="211" t="s">
        <v>19</v>
      </c>
      <c r="C93" s="214" t="s">
        <v>8</v>
      </c>
      <c r="D93" s="214" t="s">
        <v>9</v>
      </c>
      <c r="E93" s="217" t="s">
        <v>11</v>
      </c>
      <c r="F93" s="218"/>
      <c r="G93" s="217" t="s">
        <v>43</v>
      </c>
      <c r="H93" s="218"/>
      <c r="I93" s="221" t="s">
        <v>16</v>
      </c>
      <c r="J93" s="221" t="s">
        <v>41</v>
      </c>
      <c r="K93" s="221" t="s">
        <v>42</v>
      </c>
      <c r="L93" s="221" t="s">
        <v>17</v>
      </c>
      <c r="M93" s="221" t="s">
        <v>40</v>
      </c>
      <c r="N93" s="208" t="s">
        <v>18</v>
      </c>
      <c r="O93" s="369"/>
    </row>
    <row r="94" spans="1:20" ht="17.399999999999999" customHeight="1">
      <c r="A94" s="209"/>
      <c r="B94" s="212"/>
      <c r="C94" s="215"/>
      <c r="D94" s="215"/>
      <c r="E94" s="219"/>
      <c r="F94" s="220"/>
      <c r="G94" s="219"/>
      <c r="H94" s="220"/>
      <c r="I94" s="222"/>
      <c r="J94" s="222"/>
      <c r="K94" s="222"/>
      <c r="L94" s="222"/>
      <c r="M94" s="222"/>
      <c r="N94" s="209"/>
      <c r="O94" s="175"/>
    </row>
    <row r="95" spans="1:20" ht="17.399999999999999" customHeight="1">
      <c r="A95" s="209"/>
      <c r="B95" s="212"/>
      <c r="C95" s="215"/>
      <c r="D95" s="215"/>
      <c r="E95" s="221" t="s">
        <v>10</v>
      </c>
      <c r="F95" s="221" t="s">
        <v>12</v>
      </c>
      <c r="G95" s="221" t="s">
        <v>14</v>
      </c>
      <c r="H95" s="221" t="s">
        <v>15</v>
      </c>
      <c r="I95" s="222"/>
      <c r="J95" s="222"/>
      <c r="K95" s="222"/>
      <c r="L95" s="222"/>
      <c r="M95" s="222"/>
      <c r="N95" s="209"/>
      <c r="O95" s="175"/>
    </row>
    <row r="96" spans="1:20" ht="17.399999999999999" customHeight="1">
      <c r="A96" s="210"/>
      <c r="B96" s="213"/>
      <c r="C96" s="216"/>
      <c r="D96" s="216"/>
      <c r="E96" s="223"/>
      <c r="F96" s="223"/>
      <c r="G96" s="223"/>
      <c r="H96" s="223"/>
      <c r="I96" s="223"/>
      <c r="J96" s="223"/>
      <c r="K96" s="223"/>
      <c r="L96" s="223"/>
      <c r="M96" s="223"/>
      <c r="N96" s="210"/>
      <c r="O96" s="175"/>
    </row>
    <row r="97" spans="1:22" ht="16.2" customHeight="1">
      <c r="A97" s="237" t="s">
        <v>39</v>
      </c>
      <c r="B97" s="238"/>
      <c r="C97" s="238"/>
      <c r="D97" s="238"/>
      <c r="E97" s="238"/>
      <c r="F97" s="238"/>
      <c r="G97" s="238"/>
      <c r="H97" s="238"/>
      <c r="I97" s="238"/>
      <c r="J97" s="238"/>
      <c r="K97" s="238"/>
      <c r="L97" s="238"/>
      <c r="M97" s="238"/>
      <c r="N97" s="239"/>
      <c r="O97" s="175"/>
    </row>
    <row r="98" spans="1:22" s="2" customFormat="1" ht="16.2" customHeight="1">
      <c r="A98" s="15">
        <v>1</v>
      </c>
      <c r="B98" s="16" t="s">
        <v>2</v>
      </c>
      <c r="C98" s="51">
        <f>L98/100*100</f>
        <v>70</v>
      </c>
      <c r="D98" s="52">
        <f>C98/100*60</f>
        <v>42</v>
      </c>
      <c r="E98" s="53">
        <f>C98/100*15</f>
        <v>10.5</v>
      </c>
      <c r="F98" s="53"/>
      <c r="G98" s="53"/>
      <c r="H98" s="53"/>
      <c r="I98" s="53"/>
      <c r="J98" s="25">
        <f>C98/100*387</f>
        <v>270.89999999999998</v>
      </c>
      <c r="K98" s="25">
        <f>C98/100*0.09</f>
        <v>6.3E-2</v>
      </c>
      <c r="L98" s="412">
        <v>70</v>
      </c>
      <c r="M98" s="77">
        <v>20</v>
      </c>
      <c r="N98" s="28">
        <f t="shared" ref="N98:N109" si="5">L98*M98</f>
        <v>1400</v>
      </c>
      <c r="O98" s="153"/>
    </row>
    <row r="99" spans="1:22" s="2" customFormat="1" ht="16.2" customHeight="1">
      <c r="A99" s="9">
        <v>2</v>
      </c>
      <c r="B99" s="10" t="s">
        <v>141</v>
      </c>
      <c r="C99" s="23">
        <f>L99/100*100</f>
        <v>459.99999999999994</v>
      </c>
      <c r="D99" s="24">
        <f>C99/100*899</f>
        <v>4135.3999999999996</v>
      </c>
      <c r="E99" s="25"/>
      <c r="F99" s="25"/>
      <c r="G99" s="25">
        <f>C99/100*100</f>
        <v>459.99999999999994</v>
      </c>
      <c r="H99" s="25"/>
      <c r="I99" s="25"/>
      <c r="J99" s="25"/>
      <c r="K99" s="25"/>
      <c r="L99" s="137">
        <v>460</v>
      </c>
      <c r="M99" s="24">
        <v>68</v>
      </c>
      <c r="N99" s="28">
        <f t="shared" si="5"/>
        <v>31280</v>
      </c>
      <c r="O99" s="373"/>
    </row>
    <row r="100" spans="1:22" s="2" customFormat="1" ht="16.2" customHeight="1">
      <c r="A100" s="9">
        <v>3</v>
      </c>
      <c r="B100" s="5" t="s">
        <v>1</v>
      </c>
      <c r="C100" s="23">
        <f>L100/100*100</f>
        <v>2279</v>
      </c>
      <c r="D100" s="24">
        <f>C100/100*344</f>
        <v>7839.7599999999993</v>
      </c>
      <c r="E100" s="25"/>
      <c r="F100" s="25">
        <f>C100/100*7.9</f>
        <v>180.041</v>
      </c>
      <c r="G100" s="25"/>
      <c r="H100" s="25">
        <f>C100/100*1</f>
        <v>22.79</v>
      </c>
      <c r="I100" s="119">
        <f>C100/100*72</f>
        <v>1640.8799999999999</v>
      </c>
      <c r="J100" s="25">
        <f>C100/100*30</f>
        <v>683.69999999999993</v>
      </c>
      <c r="K100" s="25">
        <f>C100/100*0.1</f>
        <v>2.2789999999999999</v>
      </c>
      <c r="L100" s="137">
        <v>2279</v>
      </c>
      <c r="M100" s="77">
        <v>18</v>
      </c>
      <c r="N100" s="28">
        <f t="shared" si="5"/>
        <v>41022</v>
      </c>
      <c r="O100" s="153"/>
    </row>
    <row r="101" spans="1:22" s="2" customFormat="1" ht="19.8" customHeight="1">
      <c r="A101" s="9">
        <v>4</v>
      </c>
      <c r="B101" s="10" t="s">
        <v>187</v>
      </c>
      <c r="C101" s="23">
        <f>L101/100*100</f>
        <v>40</v>
      </c>
      <c r="D101" s="24">
        <f>C101/100*390</f>
        <v>156</v>
      </c>
      <c r="E101" s="25"/>
      <c r="F101" s="25"/>
      <c r="G101" s="25"/>
      <c r="H101" s="25"/>
      <c r="I101" s="25">
        <f>C101/100*97.4</f>
        <v>38.960000000000008</v>
      </c>
      <c r="J101" s="27">
        <f>C101/100*178</f>
        <v>71.2</v>
      </c>
      <c r="K101" s="27">
        <f>C101/100*0.05</f>
        <v>2.0000000000000004E-2</v>
      </c>
      <c r="L101" s="137">
        <v>40</v>
      </c>
      <c r="M101" s="75">
        <v>25</v>
      </c>
      <c r="N101" s="28">
        <f t="shared" si="5"/>
        <v>1000</v>
      </c>
      <c r="O101" s="371"/>
    </row>
    <row r="102" spans="1:22" s="2" customFormat="1" ht="16.2" customHeight="1">
      <c r="A102" s="9">
        <v>5</v>
      </c>
      <c r="B102" s="10" t="s">
        <v>156</v>
      </c>
      <c r="C102" s="23">
        <f>L102/100*60</f>
        <v>1908</v>
      </c>
      <c r="D102" s="24">
        <f>C102/100*97</f>
        <v>1850.7599999999998</v>
      </c>
      <c r="E102" s="119">
        <f>C102/100*18.2</f>
        <v>347.25599999999997</v>
      </c>
      <c r="F102" s="25"/>
      <c r="G102" s="25">
        <f>C102/100*2.7</f>
        <v>51.515999999999998</v>
      </c>
      <c r="H102" s="25"/>
      <c r="I102" s="25"/>
      <c r="J102" s="81">
        <f>C102/100*90</f>
        <v>1717.1999999999998</v>
      </c>
      <c r="K102" s="27">
        <f>C102/100*0.04</f>
        <v>0.76319999999999999</v>
      </c>
      <c r="L102" s="137">
        <v>3180</v>
      </c>
      <c r="M102" s="75">
        <v>95</v>
      </c>
      <c r="N102" s="28">
        <f t="shared" si="5"/>
        <v>302100</v>
      </c>
      <c r="O102" s="153"/>
    </row>
    <row r="103" spans="1:22" s="2" customFormat="1" ht="16.2" customHeight="1">
      <c r="A103" s="9">
        <v>6</v>
      </c>
      <c r="B103" s="5" t="s">
        <v>69</v>
      </c>
      <c r="C103" s="23">
        <f>L103/100*48</f>
        <v>384</v>
      </c>
      <c r="D103" s="24">
        <f>C103/100*199</f>
        <v>764.16</v>
      </c>
      <c r="E103" s="25">
        <f>C103/100*20.3</f>
        <v>77.951999999999998</v>
      </c>
      <c r="F103" s="25"/>
      <c r="G103" s="25">
        <f>C103/100*13.1</f>
        <v>50.303999999999995</v>
      </c>
      <c r="H103" s="25"/>
      <c r="I103" s="25"/>
      <c r="J103" s="27">
        <f>C103/100*12</f>
        <v>46.08</v>
      </c>
      <c r="K103" s="27">
        <f>C103/100*0.15</f>
        <v>0.57599999999999996</v>
      </c>
      <c r="L103" s="137">
        <v>800</v>
      </c>
      <c r="M103" s="26">
        <v>84</v>
      </c>
      <c r="N103" s="28">
        <f t="shared" si="5"/>
        <v>67200</v>
      </c>
      <c r="O103" s="153"/>
      <c r="Q103" s="3"/>
      <c r="R103" s="3"/>
      <c r="S103" s="4"/>
    </row>
    <row r="104" spans="1:22" s="2" customFormat="1" ht="16.2" customHeight="1">
      <c r="A104" s="9">
        <v>7</v>
      </c>
      <c r="B104" s="5" t="s">
        <v>3</v>
      </c>
      <c r="C104" s="23">
        <f>L104/100*98</f>
        <v>519.4</v>
      </c>
      <c r="D104" s="24">
        <f>C104/100*118</f>
        <v>612.89199999999994</v>
      </c>
      <c r="E104" s="25">
        <f>C104/100*21</f>
        <v>109.074</v>
      </c>
      <c r="F104" s="25"/>
      <c r="G104" s="25">
        <f>C104/100*3.8</f>
        <v>19.737199999999998</v>
      </c>
      <c r="H104" s="25"/>
      <c r="I104" s="25"/>
      <c r="J104" s="27">
        <f>C104/100*12</f>
        <v>62.328000000000003</v>
      </c>
      <c r="K104" s="27">
        <f>C104/100*0.1</f>
        <v>0.51939999999999997</v>
      </c>
      <c r="L104" s="137">
        <v>530</v>
      </c>
      <c r="M104" s="26">
        <v>260</v>
      </c>
      <c r="N104" s="124">
        <f t="shared" si="5"/>
        <v>137800</v>
      </c>
      <c r="O104" s="153"/>
      <c r="Q104" s="3"/>
      <c r="R104" s="3"/>
      <c r="S104" s="4"/>
    </row>
    <row r="105" spans="1:22" s="2" customFormat="1" ht="16.2" customHeight="1">
      <c r="A105" s="9">
        <v>8</v>
      </c>
      <c r="B105" s="5" t="s">
        <v>20</v>
      </c>
      <c r="C105" s="23">
        <f>L105/100*95</f>
        <v>503.5</v>
      </c>
      <c r="D105" s="24">
        <f>C105/100*20</f>
        <v>100.7</v>
      </c>
      <c r="E105" s="25"/>
      <c r="F105" s="25">
        <f>C105/100*0.6</f>
        <v>3.0209999999999999</v>
      </c>
      <c r="G105" s="25"/>
      <c r="H105" s="25">
        <f>C105/100*0.2</f>
        <v>1.0070000000000001</v>
      </c>
      <c r="I105" s="25">
        <f>C105/100*4</f>
        <v>20.14</v>
      </c>
      <c r="J105" s="27">
        <f>C105/100*12</f>
        <v>60.42</v>
      </c>
      <c r="K105" s="24">
        <f>C105/100*0.04</f>
        <v>0.20140000000000002</v>
      </c>
      <c r="L105" s="137">
        <v>530</v>
      </c>
      <c r="M105" s="77">
        <v>22</v>
      </c>
      <c r="N105" s="28">
        <f t="shared" si="5"/>
        <v>11660</v>
      </c>
      <c r="O105" s="371"/>
      <c r="Q105" s="3"/>
      <c r="R105" s="3"/>
      <c r="S105" s="4"/>
    </row>
    <row r="106" spans="1:22" s="2" customFormat="1" ht="16.2" customHeight="1">
      <c r="A106" s="9">
        <v>9</v>
      </c>
      <c r="B106" s="5" t="s">
        <v>72</v>
      </c>
      <c r="C106" s="23">
        <f>L106/100*75</f>
        <v>82.5</v>
      </c>
      <c r="D106" s="24">
        <f>C106/100*17</f>
        <v>14.024999999999999</v>
      </c>
      <c r="E106" s="29"/>
      <c r="F106" s="29">
        <f>C106/100*1.9</f>
        <v>1.5674999999999999</v>
      </c>
      <c r="G106" s="29"/>
      <c r="H106" s="29"/>
      <c r="I106" s="29">
        <f>C106/100*2.2</f>
        <v>1.8149999999999999</v>
      </c>
      <c r="J106" s="27">
        <f>C106/100*150</f>
        <v>123.75</v>
      </c>
      <c r="K106" s="24">
        <f>C106/100*0.04</f>
        <v>3.3000000000000002E-2</v>
      </c>
      <c r="L106" s="370">
        <v>110</v>
      </c>
      <c r="M106" s="77">
        <v>30</v>
      </c>
      <c r="N106" s="28">
        <f t="shared" si="5"/>
        <v>3300</v>
      </c>
      <c r="O106" s="371"/>
      <c r="Q106" s="3"/>
      <c r="R106" s="3"/>
      <c r="S106" s="4"/>
    </row>
    <row r="107" spans="1:22" s="2" customFormat="1" ht="15" customHeight="1">
      <c r="A107" s="9">
        <v>10</v>
      </c>
      <c r="B107" s="5" t="s">
        <v>178</v>
      </c>
      <c r="C107" s="23">
        <f>L107/100*78</f>
        <v>1326</v>
      </c>
      <c r="D107" s="24">
        <f>C107/100*37</f>
        <v>490.62</v>
      </c>
      <c r="E107" s="29"/>
      <c r="F107" s="29">
        <f>C107/100*2.8</f>
        <v>37.128</v>
      </c>
      <c r="G107" s="29"/>
      <c r="H107" s="29">
        <f>C107/100*0.1</f>
        <v>1.3260000000000001</v>
      </c>
      <c r="I107" s="29">
        <f>C107/100*6.2</f>
        <v>82.212000000000003</v>
      </c>
      <c r="J107" s="29">
        <f>C107/100*46</f>
        <v>609.96</v>
      </c>
      <c r="K107" s="29">
        <f>C107/100*0.06</f>
        <v>0.79559999999999997</v>
      </c>
      <c r="L107" s="370">
        <v>1700</v>
      </c>
      <c r="M107" s="26">
        <v>20</v>
      </c>
      <c r="N107" s="28">
        <f t="shared" si="5"/>
        <v>34000</v>
      </c>
      <c r="O107" s="153"/>
      <c r="Q107" s="3"/>
      <c r="R107" s="3"/>
      <c r="S107" s="4"/>
    </row>
    <row r="108" spans="1:22" s="2" customFormat="1" ht="16.2" customHeight="1">
      <c r="A108" s="9">
        <v>11</v>
      </c>
      <c r="B108" s="5" t="s">
        <v>155</v>
      </c>
      <c r="C108" s="23">
        <f>L108/100*81</f>
        <v>858.6</v>
      </c>
      <c r="D108" s="24">
        <f>C108/100*17</f>
        <v>145.96200000000002</v>
      </c>
      <c r="E108" s="29"/>
      <c r="F108" s="29">
        <f>C108/100*0.9</f>
        <v>7.7274000000000003</v>
      </c>
      <c r="G108" s="29"/>
      <c r="H108" s="29">
        <f>C108/100*0.2</f>
        <v>1.7172000000000001</v>
      </c>
      <c r="I108" s="29">
        <f>C108/100*2.8</f>
        <v>24.040800000000001</v>
      </c>
      <c r="J108" s="25">
        <f>C108/100*28</f>
        <v>240.40800000000002</v>
      </c>
      <c r="K108" s="27">
        <f>C108/100*0.04</f>
        <v>0.34344000000000002</v>
      </c>
      <c r="L108" s="370">
        <v>1060</v>
      </c>
      <c r="M108" s="75">
        <v>20</v>
      </c>
      <c r="N108" s="28">
        <f t="shared" si="5"/>
        <v>21200</v>
      </c>
      <c r="O108" s="153"/>
      <c r="P108" s="3"/>
    </row>
    <row r="109" spans="1:22" s="2" customFormat="1" ht="16.2" customHeight="1">
      <c r="A109" s="9">
        <v>12</v>
      </c>
      <c r="B109" s="5" t="s">
        <v>136</v>
      </c>
      <c r="C109" s="23">
        <f>L109/100*100</f>
        <v>40</v>
      </c>
      <c r="D109" s="24">
        <f>C109/100*247</f>
        <v>98.800000000000011</v>
      </c>
      <c r="E109" s="29"/>
      <c r="F109" s="29">
        <f>C109/100*17.5</f>
        <v>7</v>
      </c>
      <c r="G109" s="29"/>
      <c r="H109" s="29">
        <f>C109/100*1.6</f>
        <v>0.64000000000000012</v>
      </c>
      <c r="I109" s="29">
        <f>C109/100*39.2</f>
        <v>15.680000000000001</v>
      </c>
      <c r="J109" s="71"/>
      <c r="K109" s="71"/>
      <c r="L109" s="370">
        <v>40</v>
      </c>
      <c r="M109" s="75">
        <v>50</v>
      </c>
      <c r="N109" s="28">
        <f t="shared" si="5"/>
        <v>2000</v>
      </c>
      <c r="O109" s="153"/>
      <c r="Q109" s="3"/>
      <c r="R109" s="3"/>
      <c r="S109" s="4"/>
      <c r="T109" s="3"/>
    </row>
    <row r="110" spans="1:22" s="2" customFormat="1" ht="16.2" customHeight="1">
      <c r="A110" s="9">
        <v>13</v>
      </c>
      <c r="B110" s="6" t="s">
        <v>123</v>
      </c>
      <c r="C110" s="23"/>
      <c r="D110" s="24"/>
      <c r="E110" s="29"/>
      <c r="F110" s="29"/>
      <c r="G110" s="29"/>
      <c r="H110" s="29"/>
      <c r="I110" s="29"/>
      <c r="J110" s="29"/>
      <c r="K110" s="29"/>
      <c r="L110" s="30"/>
      <c r="M110" s="77"/>
      <c r="N110" s="28">
        <v>3750</v>
      </c>
      <c r="O110" s="153"/>
    </row>
    <row r="111" spans="1:22" s="2" customFormat="1" ht="16.2" customHeight="1">
      <c r="A111" s="236" t="s">
        <v>108</v>
      </c>
      <c r="B111" s="236"/>
      <c r="C111" s="34"/>
      <c r="D111" s="35">
        <f>SUM(D98:D110)</f>
        <v>16251.079</v>
      </c>
      <c r="E111" s="43"/>
      <c r="F111" s="43"/>
      <c r="G111" s="43"/>
      <c r="H111" s="43"/>
      <c r="I111" s="43"/>
      <c r="J111" s="43"/>
      <c r="K111" s="43"/>
      <c r="L111" s="44"/>
      <c r="M111" s="44"/>
      <c r="N111" s="192">
        <f>SUM(N98:N110)</f>
        <v>657712</v>
      </c>
      <c r="O111" s="153"/>
    </row>
    <row r="112" spans="1:22" ht="16.2" customHeight="1">
      <c r="A112" s="236" t="s">
        <v>37</v>
      </c>
      <c r="B112" s="236"/>
      <c r="C112" s="45"/>
      <c r="D112" s="46">
        <f>D111/D92</f>
        <v>306.62413207547172</v>
      </c>
      <c r="E112" s="46"/>
      <c r="F112" s="46"/>
      <c r="G112" s="46"/>
      <c r="H112" s="46"/>
      <c r="I112" s="46"/>
      <c r="J112" s="46"/>
      <c r="K112" s="46"/>
      <c r="L112" s="47"/>
      <c r="M112" s="47"/>
      <c r="N112" s="193"/>
      <c r="O112" s="4"/>
      <c r="P112" s="2"/>
      <c r="Q112" s="2"/>
      <c r="R112" s="2"/>
      <c r="S112" s="2"/>
      <c r="T112" s="2"/>
      <c r="U112" s="2"/>
      <c r="V112" s="2"/>
    </row>
    <row r="113" spans="1:22" ht="16.2" customHeight="1">
      <c r="A113" s="224" t="s">
        <v>44</v>
      </c>
      <c r="B113" s="225"/>
      <c r="C113" s="372" t="s">
        <v>151</v>
      </c>
      <c r="D113" s="20" t="s">
        <v>45</v>
      </c>
      <c r="E113" s="46"/>
      <c r="F113" s="46"/>
      <c r="G113" s="46"/>
      <c r="H113" s="46"/>
      <c r="I113" s="46"/>
      <c r="J113" s="48"/>
      <c r="K113" s="48"/>
      <c r="L113" s="47"/>
      <c r="M113" s="47"/>
      <c r="N113" s="176"/>
      <c r="O113" s="4"/>
      <c r="P113" s="2"/>
      <c r="Q113" s="2"/>
      <c r="R113" s="2"/>
      <c r="S113" s="2"/>
      <c r="T113" s="2"/>
      <c r="U113" s="2"/>
      <c r="V113" s="2"/>
    </row>
    <row r="114" spans="1:22" ht="16.2" customHeight="1">
      <c r="A114" s="226"/>
      <c r="B114" s="227"/>
      <c r="C114" s="19" t="s">
        <v>59</v>
      </c>
      <c r="D114" s="78">
        <f>D112*100/930</f>
        <v>32.970336782308785</v>
      </c>
      <c r="E114" s="46"/>
      <c r="F114" s="46"/>
      <c r="G114" s="46"/>
      <c r="H114" s="46"/>
      <c r="I114" s="46"/>
      <c r="J114" s="48"/>
      <c r="K114" s="48"/>
      <c r="L114" s="47"/>
      <c r="M114" s="47"/>
      <c r="N114" s="176"/>
      <c r="O114" s="4"/>
      <c r="P114" s="2"/>
      <c r="Q114" s="2"/>
      <c r="R114" s="2"/>
      <c r="S114" s="2"/>
      <c r="T114" s="2"/>
      <c r="U114" s="2"/>
      <c r="V114" s="2"/>
    </row>
    <row r="115" spans="1:22" s="2" customFormat="1" ht="16.2" customHeight="1">
      <c r="A115" s="235" t="s">
        <v>38</v>
      </c>
      <c r="B115" s="235"/>
      <c r="C115" s="56"/>
      <c r="D115" s="57"/>
      <c r="E115" s="58"/>
      <c r="F115" s="58"/>
      <c r="G115" s="58"/>
      <c r="H115" s="58"/>
      <c r="I115" s="58"/>
      <c r="J115" s="58"/>
      <c r="K115" s="58"/>
      <c r="L115" s="59"/>
      <c r="M115" s="59"/>
      <c r="N115" s="60"/>
      <c r="O115" s="153"/>
    </row>
    <row r="116" spans="1:22" s="2" customFormat="1" ht="16.2" customHeight="1">
      <c r="A116" s="15">
        <v>1</v>
      </c>
      <c r="B116" s="16" t="s">
        <v>2</v>
      </c>
      <c r="C116" s="51">
        <f>L116/100*100</f>
        <v>70</v>
      </c>
      <c r="D116" s="52">
        <f>C116/100*60</f>
        <v>42</v>
      </c>
      <c r="E116" s="53">
        <f>C116/100*15</f>
        <v>10.5</v>
      </c>
      <c r="F116" s="53"/>
      <c r="G116" s="53"/>
      <c r="H116" s="53"/>
      <c r="I116" s="53"/>
      <c r="J116" s="25">
        <f>C116/100*387</f>
        <v>270.89999999999998</v>
      </c>
      <c r="K116" s="25">
        <f>C116/100*0.09</f>
        <v>6.3E-2</v>
      </c>
      <c r="L116" s="412">
        <v>70</v>
      </c>
      <c r="M116" s="77">
        <v>20</v>
      </c>
      <c r="N116" s="28">
        <f>L116*M116</f>
        <v>1400</v>
      </c>
      <c r="O116" s="153"/>
    </row>
    <row r="117" spans="1:22" s="2" customFormat="1" ht="16.2" customHeight="1">
      <c r="A117" s="9">
        <v>2</v>
      </c>
      <c r="B117" s="148" t="s">
        <v>146</v>
      </c>
      <c r="C117" s="23">
        <f>L117/100*100</f>
        <v>80</v>
      </c>
      <c r="D117" s="120">
        <f>C117/100*900</f>
        <v>720</v>
      </c>
      <c r="E117" s="25"/>
      <c r="F117" s="25"/>
      <c r="G117" s="119"/>
      <c r="H117" s="25">
        <f>C117/100*100</f>
        <v>80</v>
      </c>
      <c r="I117" s="25"/>
      <c r="J117" s="25"/>
      <c r="K117" s="25"/>
      <c r="L117" s="137">
        <v>80</v>
      </c>
      <c r="M117" s="75">
        <v>63.5</v>
      </c>
      <c r="N117" s="28">
        <f t="shared" ref="N117" si="6">L117*M117</f>
        <v>5080</v>
      </c>
      <c r="O117" s="373"/>
    </row>
    <row r="118" spans="1:22" s="2" customFormat="1" ht="16.2" customHeight="1">
      <c r="A118" s="9">
        <v>3</v>
      </c>
      <c r="B118" s="5" t="s">
        <v>1</v>
      </c>
      <c r="C118" s="23">
        <f>L118/100*100</f>
        <v>2226</v>
      </c>
      <c r="D118" s="24">
        <f>C118/100*344</f>
        <v>7657.4400000000005</v>
      </c>
      <c r="E118" s="25"/>
      <c r="F118" s="25">
        <f>C118/100*7.9</f>
        <v>175.85400000000001</v>
      </c>
      <c r="G118" s="25"/>
      <c r="H118" s="25">
        <f>C118/100*1</f>
        <v>22.26</v>
      </c>
      <c r="I118" s="119">
        <f>C118/100*72</f>
        <v>1602.72</v>
      </c>
      <c r="J118" s="25">
        <f>C118/100*30</f>
        <v>667.80000000000007</v>
      </c>
      <c r="K118" s="25">
        <f>C118/100*0.1</f>
        <v>2.2260000000000004</v>
      </c>
      <c r="L118" s="137">
        <v>2226</v>
      </c>
      <c r="M118" s="77">
        <v>18</v>
      </c>
      <c r="N118" s="28">
        <f t="shared" ref="N118:N124" si="7">L118*M118</f>
        <v>40068</v>
      </c>
      <c r="O118" s="153"/>
    </row>
    <row r="119" spans="1:22" s="2" customFormat="1" ht="16.2" customHeight="1">
      <c r="A119" s="9">
        <v>4</v>
      </c>
      <c r="B119" s="5" t="s">
        <v>136</v>
      </c>
      <c r="C119" s="23">
        <f>L119/100*100</f>
        <v>40</v>
      </c>
      <c r="D119" s="24">
        <f>C119/100*247</f>
        <v>98.800000000000011</v>
      </c>
      <c r="E119" s="29"/>
      <c r="F119" s="29">
        <f>C119/100*17.5</f>
        <v>7</v>
      </c>
      <c r="G119" s="29"/>
      <c r="H119" s="29">
        <f>C119/100*1.6</f>
        <v>0.64000000000000012</v>
      </c>
      <c r="I119" s="29">
        <f>C119/100*39.2</f>
        <v>15.680000000000001</v>
      </c>
      <c r="J119" s="71"/>
      <c r="K119" s="71"/>
      <c r="L119" s="370">
        <v>40</v>
      </c>
      <c r="M119" s="75">
        <v>50</v>
      </c>
      <c r="N119" s="28">
        <f t="shared" si="7"/>
        <v>2000</v>
      </c>
      <c r="O119" s="153"/>
      <c r="Q119" s="3"/>
      <c r="R119" s="3"/>
      <c r="S119" s="4"/>
      <c r="T119" s="3"/>
    </row>
    <row r="120" spans="1:22" s="2" customFormat="1" ht="16.2" customHeight="1">
      <c r="A120" s="9">
        <v>5</v>
      </c>
      <c r="B120" s="10" t="s">
        <v>5</v>
      </c>
      <c r="C120" s="23">
        <f>L120/100*90</f>
        <v>72</v>
      </c>
      <c r="D120" s="24">
        <f>C120/100*281</f>
        <v>202.32</v>
      </c>
      <c r="E120" s="25"/>
      <c r="F120" s="25">
        <f>C120/100*9.5</f>
        <v>6.84</v>
      </c>
      <c r="G120" s="25"/>
      <c r="H120" s="25">
        <f>C120/100*0.2</f>
        <v>0.14399999999999999</v>
      </c>
      <c r="I120" s="25">
        <f>D120/100*58.5</f>
        <v>118.35720000000001</v>
      </c>
      <c r="J120" s="27">
        <f>C120/100*321</f>
        <v>231.12</v>
      </c>
      <c r="K120" s="27">
        <f>C120/100*0.14</f>
        <v>0.1008</v>
      </c>
      <c r="L120" s="137">
        <v>80</v>
      </c>
      <c r="M120" s="77">
        <v>120</v>
      </c>
      <c r="N120" s="28">
        <f t="shared" si="7"/>
        <v>9600</v>
      </c>
      <c r="O120" s="371"/>
    </row>
    <row r="121" spans="1:22" s="2" customFormat="1" ht="16.2" customHeight="1">
      <c r="A121" s="9">
        <v>6</v>
      </c>
      <c r="B121" s="10" t="s">
        <v>27</v>
      </c>
      <c r="C121" s="23">
        <f>L121/100*90</f>
        <v>45</v>
      </c>
      <c r="D121" s="24">
        <f>C121/100*253</f>
        <v>113.85000000000001</v>
      </c>
      <c r="E121" s="25"/>
      <c r="F121" s="25">
        <f>C121/100*32.4</f>
        <v>14.58</v>
      </c>
      <c r="G121" s="25"/>
      <c r="H121" s="25">
        <f>C121/100*3.6</f>
        <v>1.62</v>
      </c>
      <c r="I121" s="25">
        <f>C121/100*21.1</f>
        <v>9.495000000000001</v>
      </c>
      <c r="J121" s="27">
        <f>C121/100*165</f>
        <v>74.25</v>
      </c>
      <c r="K121" s="27">
        <f>C121/100*0.14</f>
        <v>6.3000000000000014E-2</v>
      </c>
      <c r="L121" s="137">
        <v>50</v>
      </c>
      <c r="M121" s="77">
        <v>275</v>
      </c>
      <c r="N121" s="28">
        <f t="shared" si="7"/>
        <v>13750</v>
      </c>
      <c r="O121" s="371"/>
    </row>
    <row r="122" spans="1:22" s="2" customFormat="1" ht="16.2" customHeight="1">
      <c r="A122" s="9">
        <v>7</v>
      </c>
      <c r="B122" s="10" t="s">
        <v>63</v>
      </c>
      <c r="C122" s="23">
        <f>L122/100*86</f>
        <v>1599.6000000000001</v>
      </c>
      <c r="D122" s="24">
        <f>C122/100*166</f>
        <v>2655.3360000000002</v>
      </c>
      <c r="E122" s="25">
        <f>C122/100*14.8</f>
        <v>236.74080000000004</v>
      </c>
      <c r="F122" s="25"/>
      <c r="G122" s="25">
        <f>C122/100*11.6</f>
        <v>185.55360000000002</v>
      </c>
      <c r="H122" s="25"/>
      <c r="I122" s="25">
        <f>C122/100*0.5</f>
        <v>7.9980000000000011</v>
      </c>
      <c r="J122" s="25">
        <f>C122/100*55</f>
        <v>879.78000000000009</v>
      </c>
      <c r="K122" s="25">
        <f>C122/100*0.16</f>
        <v>2.5593600000000003</v>
      </c>
      <c r="L122" s="137">
        <v>1860</v>
      </c>
      <c r="M122" s="77">
        <v>62</v>
      </c>
      <c r="N122" s="28">
        <f t="shared" si="7"/>
        <v>115320</v>
      </c>
      <c r="O122" s="153"/>
      <c r="Q122" s="3"/>
      <c r="R122" s="3"/>
      <c r="S122" s="4"/>
      <c r="T122" s="3"/>
    </row>
    <row r="123" spans="1:22" s="2" customFormat="1" ht="16.2" customHeight="1">
      <c r="A123" s="9">
        <v>8</v>
      </c>
      <c r="B123" s="148" t="s">
        <v>74</v>
      </c>
      <c r="C123" s="23">
        <f>L123/100*98</f>
        <v>460.6</v>
      </c>
      <c r="D123" s="24">
        <f>C123/100*139</f>
        <v>640.23400000000004</v>
      </c>
      <c r="E123" s="25">
        <f>C123/100*19</f>
        <v>87.513999999999996</v>
      </c>
      <c r="F123" s="25"/>
      <c r="G123" s="25">
        <f>C123/100*7</f>
        <v>32.241999999999997</v>
      </c>
      <c r="H123" s="25"/>
      <c r="I123" s="25"/>
      <c r="J123" s="25">
        <f>C123/100*7</f>
        <v>32.241999999999997</v>
      </c>
      <c r="K123" s="25">
        <f>C123/100*0.9</f>
        <v>4.1454000000000004</v>
      </c>
      <c r="L123" s="137">
        <v>470</v>
      </c>
      <c r="M123" s="75">
        <v>137</v>
      </c>
      <c r="N123" s="28">
        <f t="shared" si="7"/>
        <v>64390</v>
      </c>
      <c r="O123" s="153"/>
    </row>
    <row r="124" spans="1:22" s="2" customFormat="1" ht="16.8" customHeight="1">
      <c r="A124" s="9">
        <v>9</v>
      </c>
      <c r="B124" s="5" t="s">
        <v>179</v>
      </c>
      <c r="C124" s="23">
        <f>L124/100*90</f>
        <v>1287</v>
      </c>
      <c r="D124" s="24">
        <f>C124/100*29</f>
        <v>373.22999999999996</v>
      </c>
      <c r="E124" s="25"/>
      <c r="F124" s="25">
        <f>C124/100*1.8</f>
        <v>23.166</v>
      </c>
      <c r="G124" s="25"/>
      <c r="H124" s="25">
        <f>C124/100*0.1</f>
        <v>1.2869999999999999</v>
      </c>
      <c r="I124" s="25">
        <f>C124/100*5.3</f>
        <v>68.210999999999999</v>
      </c>
      <c r="J124" s="25">
        <f>C124/100*48</f>
        <v>617.76</v>
      </c>
      <c r="K124" s="25">
        <f>C124/100*0.05</f>
        <v>0.64349999999999996</v>
      </c>
      <c r="L124" s="137">
        <v>1430</v>
      </c>
      <c r="M124" s="75">
        <v>13</v>
      </c>
      <c r="N124" s="28">
        <f t="shared" si="7"/>
        <v>18590</v>
      </c>
      <c r="O124" s="153"/>
    </row>
    <row r="125" spans="1:22" s="2" customFormat="1" ht="16.2" customHeight="1">
      <c r="A125" s="9">
        <v>10</v>
      </c>
      <c r="B125" s="6" t="s">
        <v>123</v>
      </c>
      <c r="C125" s="23"/>
      <c r="D125" s="24"/>
      <c r="E125" s="25"/>
      <c r="F125" s="25"/>
      <c r="G125" s="25"/>
      <c r="H125" s="25"/>
      <c r="I125" s="25"/>
      <c r="J125" s="25"/>
      <c r="K125" s="25"/>
      <c r="L125" s="26"/>
      <c r="M125" s="26"/>
      <c r="N125" s="28">
        <v>3750</v>
      </c>
      <c r="O125" s="153"/>
    </row>
    <row r="126" spans="1:22" s="2" customFormat="1" ht="16.2" customHeight="1">
      <c r="A126" s="21" t="s">
        <v>109</v>
      </c>
      <c r="B126" s="22"/>
      <c r="C126" s="34"/>
      <c r="D126" s="35">
        <f>SUM(D116:D125)</f>
        <v>12503.21</v>
      </c>
      <c r="E126" s="43"/>
      <c r="F126" s="43"/>
      <c r="G126" s="43"/>
      <c r="H126" s="43"/>
      <c r="I126" s="43"/>
      <c r="J126" s="43"/>
      <c r="K126" s="43"/>
      <c r="L126" s="44"/>
      <c r="M126" s="44"/>
      <c r="N126" s="192">
        <f>SUM(N116:N125)</f>
        <v>273948</v>
      </c>
      <c r="O126" s="153"/>
    </row>
    <row r="127" spans="1:22" ht="16.2" customHeight="1">
      <c r="A127" s="21" t="s">
        <v>36</v>
      </c>
      <c r="B127" s="22"/>
      <c r="C127" s="61"/>
      <c r="D127" s="48">
        <f>D126/D92</f>
        <v>235.90962264150943</v>
      </c>
      <c r="E127" s="48"/>
      <c r="F127" s="48"/>
      <c r="G127" s="48"/>
      <c r="H127" s="48"/>
      <c r="I127" s="48"/>
      <c r="J127" s="48"/>
      <c r="K127" s="48"/>
      <c r="L127" s="62"/>
      <c r="M127" s="47"/>
      <c r="N127" s="234"/>
      <c r="O127" s="4"/>
      <c r="P127" s="424"/>
      <c r="Q127" s="2"/>
      <c r="R127" s="2"/>
      <c r="S127" s="2"/>
      <c r="T127" s="2"/>
      <c r="U127" s="2"/>
      <c r="V127" s="2"/>
    </row>
    <row r="128" spans="1:22" ht="16.2" customHeight="1">
      <c r="A128" s="224" t="s">
        <v>49</v>
      </c>
      <c r="B128" s="225"/>
      <c r="C128" s="372" t="s">
        <v>151</v>
      </c>
      <c r="D128" s="20" t="s">
        <v>46</v>
      </c>
      <c r="E128" s="46"/>
      <c r="F128" s="46"/>
      <c r="G128" s="46"/>
      <c r="H128" s="46"/>
      <c r="I128" s="46"/>
      <c r="J128" s="48"/>
      <c r="K128" s="48"/>
      <c r="L128" s="47"/>
      <c r="M128" s="47"/>
      <c r="N128" s="176"/>
      <c r="O128" s="4"/>
      <c r="P128" s="2"/>
      <c r="Q128" s="2"/>
      <c r="R128" s="2"/>
      <c r="S128" s="2"/>
      <c r="T128" s="2"/>
      <c r="U128" s="2"/>
      <c r="V128" s="2"/>
    </row>
    <row r="129" spans="1:22" ht="16.2" customHeight="1">
      <c r="A129" s="226"/>
      <c r="B129" s="227"/>
      <c r="C129" s="19" t="s">
        <v>60</v>
      </c>
      <c r="D129" s="78">
        <f>D127*100/930</f>
        <v>25.366626090484882</v>
      </c>
      <c r="E129" s="46"/>
      <c r="F129" s="46"/>
      <c r="G129" s="46"/>
      <c r="H129" s="46"/>
      <c r="I129" s="46"/>
      <c r="J129" s="48"/>
      <c r="K129" s="48"/>
      <c r="L129" s="47"/>
      <c r="M129" s="47"/>
      <c r="N129" s="176"/>
      <c r="O129" s="4"/>
      <c r="P129" s="2"/>
      <c r="Q129" s="2"/>
      <c r="R129" s="2"/>
      <c r="S129" s="2"/>
      <c r="T129" s="2"/>
      <c r="U129" s="2"/>
      <c r="V129" s="2"/>
    </row>
    <row r="130" spans="1:22" ht="16.2" customHeight="1">
      <c r="A130" s="235" t="s">
        <v>35</v>
      </c>
      <c r="B130" s="235"/>
      <c r="C130" s="63"/>
      <c r="D130" s="64"/>
      <c r="E130" s="64"/>
      <c r="F130" s="64"/>
      <c r="G130" s="64"/>
      <c r="H130" s="64"/>
      <c r="I130" s="64"/>
      <c r="J130" s="64"/>
      <c r="K130" s="64"/>
      <c r="L130" s="65"/>
      <c r="M130" s="65"/>
      <c r="N130" s="66"/>
      <c r="O130" s="4"/>
      <c r="P130" s="2"/>
      <c r="Q130" s="2"/>
      <c r="R130" s="2"/>
      <c r="S130" s="2"/>
      <c r="T130" s="2"/>
      <c r="U130" s="2"/>
      <c r="V130" s="2"/>
    </row>
    <row r="131" spans="1:22" s="2" customFormat="1" ht="16.2" customHeight="1">
      <c r="A131" s="109">
        <v>1</v>
      </c>
      <c r="B131" s="154" t="s">
        <v>149</v>
      </c>
      <c r="C131" s="34">
        <f>L131/100*100</f>
        <v>900</v>
      </c>
      <c r="D131" s="110">
        <f>C131/100*487</f>
        <v>4383</v>
      </c>
      <c r="E131" s="36"/>
      <c r="F131" s="36">
        <f>C131/100*19.5</f>
        <v>175.5</v>
      </c>
      <c r="G131" s="36"/>
      <c r="H131" s="36">
        <f>C131/100*23.2</f>
        <v>208.79999999999998</v>
      </c>
      <c r="I131" s="36">
        <f>C131/100*46</f>
        <v>414</v>
      </c>
      <c r="J131" s="129">
        <f>C131/100*680</f>
        <v>6120</v>
      </c>
      <c r="K131" s="36">
        <f>C131/100*0.55</f>
        <v>4.95</v>
      </c>
      <c r="L131" s="37">
        <v>900</v>
      </c>
      <c r="M131" s="155">
        <v>260</v>
      </c>
      <c r="N131" s="111">
        <f t="shared" ref="N131" si="8">L131*M131</f>
        <v>234000</v>
      </c>
      <c r="O131" s="153"/>
      <c r="P131" s="3"/>
    </row>
    <row r="132" spans="1:22" ht="17.399999999999999" customHeight="1">
      <c r="A132" s="208" t="s">
        <v>0</v>
      </c>
      <c r="B132" s="211" t="s">
        <v>19</v>
      </c>
      <c r="C132" s="214" t="s">
        <v>8</v>
      </c>
      <c r="D132" s="214" t="s">
        <v>9</v>
      </c>
      <c r="E132" s="217" t="s">
        <v>11</v>
      </c>
      <c r="F132" s="218"/>
      <c r="G132" s="217" t="s">
        <v>43</v>
      </c>
      <c r="H132" s="218"/>
      <c r="I132" s="221" t="s">
        <v>16</v>
      </c>
      <c r="J132" s="221" t="s">
        <v>41</v>
      </c>
      <c r="K132" s="221" t="s">
        <v>42</v>
      </c>
      <c r="L132" s="221" t="s">
        <v>17</v>
      </c>
      <c r="M132" s="221" t="s">
        <v>40</v>
      </c>
      <c r="N132" s="208" t="s">
        <v>18</v>
      </c>
      <c r="O132" s="369"/>
    </row>
    <row r="133" spans="1:22" ht="17.399999999999999" customHeight="1">
      <c r="A133" s="209"/>
      <c r="B133" s="212"/>
      <c r="C133" s="215"/>
      <c r="D133" s="215"/>
      <c r="E133" s="219"/>
      <c r="F133" s="220"/>
      <c r="G133" s="219"/>
      <c r="H133" s="220"/>
      <c r="I133" s="222"/>
      <c r="J133" s="222"/>
      <c r="K133" s="222"/>
      <c r="L133" s="222"/>
      <c r="M133" s="222"/>
      <c r="N133" s="209"/>
      <c r="O133" s="175"/>
    </row>
    <row r="134" spans="1:22" ht="17.399999999999999" customHeight="1">
      <c r="A134" s="209"/>
      <c r="B134" s="212"/>
      <c r="C134" s="215"/>
      <c r="D134" s="215"/>
      <c r="E134" s="221" t="s">
        <v>10</v>
      </c>
      <c r="F134" s="221" t="s">
        <v>12</v>
      </c>
      <c r="G134" s="221" t="s">
        <v>14</v>
      </c>
      <c r="H134" s="221" t="s">
        <v>15</v>
      </c>
      <c r="I134" s="222"/>
      <c r="J134" s="222"/>
      <c r="K134" s="222"/>
      <c r="L134" s="222"/>
      <c r="M134" s="222"/>
      <c r="N134" s="209"/>
      <c r="O134" s="175"/>
    </row>
    <row r="135" spans="1:22" ht="17.399999999999999" customHeight="1">
      <c r="A135" s="210"/>
      <c r="B135" s="213"/>
      <c r="C135" s="216"/>
      <c r="D135" s="216"/>
      <c r="E135" s="223"/>
      <c r="F135" s="223"/>
      <c r="G135" s="223"/>
      <c r="H135" s="223"/>
      <c r="I135" s="223"/>
      <c r="J135" s="223"/>
      <c r="K135" s="223"/>
      <c r="L135" s="223"/>
      <c r="M135" s="223"/>
      <c r="N135" s="210"/>
      <c r="O135" s="175"/>
    </row>
    <row r="136" spans="1:22" s="2" customFormat="1" ht="21.6" customHeight="1">
      <c r="A136" s="236" t="s">
        <v>110</v>
      </c>
      <c r="B136" s="236"/>
      <c r="C136" s="34"/>
      <c r="D136" s="35">
        <f>SUM(D131:D131)</f>
        <v>4383</v>
      </c>
      <c r="E136" s="43"/>
      <c r="F136" s="43"/>
      <c r="G136" s="43"/>
      <c r="H136" s="43"/>
      <c r="I136" s="43"/>
      <c r="J136" s="43"/>
      <c r="K136" s="43"/>
      <c r="L136" s="44"/>
      <c r="M136" s="67"/>
      <c r="N136" s="192">
        <f>SUM(N131:N131)</f>
        <v>234000</v>
      </c>
      <c r="O136" s="153"/>
    </row>
    <row r="137" spans="1:22" ht="21.6" customHeight="1">
      <c r="A137" s="236" t="s">
        <v>7</v>
      </c>
      <c r="B137" s="236"/>
      <c r="C137" s="45"/>
      <c r="D137" s="46">
        <f>D136/D92</f>
        <v>82.698113207547166</v>
      </c>
      <c r="E137" s="46"/>
      <c r="F137" s="46"/>
      <c r="G137" s="46"/>
      <c r="H137" s="46"/>
      <c r="I137" s="46"/>
      <c r="J137" s="46"/>
      <c r="K137" s="46"/>
      <c r="L137" s="47"/>
      <c r="M137" s="68"/>
      <c r="N137" s="193"/>
      <c r="O137" s="4"/>
      <c r="P137" s="2"/>
      <c r="Q137" s="2"/>
      <c r="R137" s="2"/>
      <c r="S137" s="2"/>
      <c r="T137" s="2"/>
      <c r="U137" s="2"/>
      <c r="V137" s="2"/>
    </row>
    <row r="138" spans="1:22" ht="21.6" customHeight="1">
      <c r="A138" s="224" t="s">
        <v>47</v>
      </c>
      <c r="B138" s="225"/>
      <c r="C138" s="372" t="s">
        <v>151</v>
      </c>
      <c r="D138" s="20" t="s">
        <v>50</v>
      </c>
      <c r="E138" s="46"/>
      <c r="F138" s="46"/>
      <c r="G138" s="46"/>
      <c r="H138" s="46"/>
      <c r="I138" s="46"/>
      <c r="J138" s="48"/>
      <c r="K138" s="48"/>
      <c r="L138" s="47"/>
      <c r="M138" s="47"/>
      <c r="N138" s="176"/>
      <c r="O138" s="4"/>
      <c r="P138" s="2"/>
      <c r="Q138" s="2"/>
      <c r="R138" s="2"/>
      <c r="S138" s="2"/>
      <c r="T138" s="2"/>
      <c r="U138" s="2"/>
      <c r="V138" s="2"/>
    </row>
    <row r="139" spans="1:22" ht="21.6" customHeight="1">
      <c r="A139" s="226"/>
      <c r="B139" s="227"/>
      <c r="C139" s="19" t="s">
        <v>59</v>
      </c>
      <c r="D139" s="20">
        <f>D137*100/930</f>
        <v>8.8922702373706617</v>
      </c>
      <c r="E139" s="46"/>
      <c r="F139" s="46"/>
      <c r="G139" s="46"/>
      <c r="H139" s="46"/>
      <c r="I139" s="46"/>
      <c r="J139" s="48"/>
      <c r="K139" s="48"/>
      <c r="L139" s="47"/>
      <c r="M139" s="47"/>
      <c r="N139" s="176"/>
      <c r="O139" s="4"/>
      <c r="P139" s="2"/>
      <c r="Q139" s="2"/>
      <c r="R139" s="2"/>
      <c r="S139" s="2"/>
      <c r="T139" s="2"/>
      <c r="U139" s="2"/>
      <c r="V139" s="2"/>
    </row>
    <row r="140" spans="1:22" ht="21.6" customHeight="1">
      <c r="A140" s="283" t="s">
        <v>111</v>
      </c>
      <c r="B140" s="284"/>
      <c r="C140" s="287"/>
      <c r="D140" s="289">
        <f>D111+D126+D136</f>
        <v>33137.288999999997</v>
      </c>
      <c r="E140" s="7">
        <f t="shared" ref="E140:K140" si="9">SUM(E98:E131)</f>
        <v>879.53679999999997</v>
      </c>
      <c r="F140" s="7">
        <f t="shared" si="9"/>
        <v>639.42489999999998</v>
      </c>
      <c r="G140" s="7">
        <f t="shared" si="9"/>
        <v>799.35279999999989</v>
      </c>
      <c r="H140" s="7">
        <f t="shared" si="9"/>
        <v>342.23119999999994</v>
      </c>
      <c r="I140" s="251">
        <f t="shared" si="9"/>
        <v>4060.1889999999994</v>
      </c>
      <c r="J140" s="251">
        <f t="shared" si="9"/>
        <v>12779.797999999999</v>
      </c>
      <c r="K140" s="281">
        <f t="shared" si="9"/>
        <v>20.345100000000002</v>
      </c>
      <c r="L140" s="265"/>
      <c r="M140" s="265"/>
      <c r="N140" s="257">
        <f>N111+N126+N136</f>
        <v>1165660</v>
      </c>
      <c r="U140" s="12"/>
      <c r="V140" s="12"/>
    </row>
    <row r="141" spans="1:22" ht="21.6" customHeight="1">
      <c r="A141" s="285"/>
      <c r="B141" s="286"/>
      <c r="C141" s="288"/>
      <c r="D141" s="256"/>
      <c r="E141" s="279">
        <f>E140+F140</f>
        <v>1518.9616999999998</v>
      </c>
      <c r="F141" s="280"/>
      <c r="G141" s="279">
        <f>G140+H140</f>
        <v>1141.5839999999998</v>
      </c>
      <c r="H141" s="280"/>
      <c r="I141" s="253"/>
      <c r="J141" s="253"/>
      <c r="K141" s="282"/>
      <c r="L141" s="265"/>
      <c r="M141" s="265"/>
      <c r="N141" s="258"/>
      <c r="U141" s="12"/>
      <c r="V141" s="12"/>
    </row>
    <row r="142" spans="1:22" ht="21.6" customHeight="1">
      <c r="A142" s="266" t="s">
        <v>77</v>
      </c>
      <c r="B142" s="267"/>
      <c r="C142" s="268"/>
      <c r="D142" s="133">
        <f>D140/D92</f>
        <v>625.23186792452827</v>
      </c>
      <c r="E142" s="406">
        <f>E140/D92</f>
        <v>16.59503396226415</v>
      </c>
      <c r="F142" s="405">
        <f>F140/D92</f>
        <v>12.06462075471698</v>
      </c>
      <c r="G142" s="406">
        <f>G140/D92</f>
        <v>15.08212830188679</v>
      </c>
      <c r="H142" s="405">
        <f>H140/D92</f>
        <v>6.4571924528301876</v>
      </c>
      <c r="I142" s="261">
        <f>I140/D92</f>
        <v>76.607339622641504</v>
      </c>
      <c r="J142" s="299">
        <f>J140/D92</f>
        <v>241.12826415094338</v>
      </c>
      <c r="K142" s="299">
        <f>K140/D92</f>
        <v>0.38386981132075476</v>
      </c>
      <c r="L142" s="265"/>
      <c r="M142" s="265"/>
      <c r="N142" s="258"/>
      <c r="P142" s="395"/>
      <c r="Q142" s="425"/>
      <c r="R142" s="425"/>
      <c r="S142" s="425"/>
      <c r="T142" s="425"/>
      <c r="U142" s="426"/>
      <c r="V142" s="395"/>
    </row>
    <row r="143" spans="1:22" ht="21.6" customHeight="1">
      <c r="A143" s="269"/>
      <c r="B143" s="270"/>
      <c r="C143" s="271"/>
      <c r="D143" s="127"/>
      <c r="E143" s="376">
        <f>E142+F142</f>
        <v>28.65965471698113</v>
      </c>
      <c r="F143" s="377"/>
      <c r="G143" s="376">
        <f>G142+H142</f>
        <v>21.539320754716979</v>
      </c>
      <c r="H143" s="377"/>
      <c r="I143" s="262"/>
      <c r="J143" s="300"/>
      <c r="K143" s="300"/>
      <c r="L143" s="265"/>
      <c r="M143" s="265"/>
      <c r="N143" s="258"/>
      <c r="P143" s="398"/>
      <c r="Q143" s="425"/>
      <c r="R143" s="425"/>
      <c r="S143" s="427"/>
      <c r="T143" s="427"/>
      <c r="U143" s="400"/>
      <c r="V143" s="395"/>
    </row>
    <row r="144" spans="1:22" ht="21.6" customHeight="1">
      <c r="A144" s="242" t="s">
        <v>80</v>
      </c>
      <c r="B144" s="272"/>
      <c r="C144" s="243"/>
      <c r="D144" s="178" t="s">
        <v>29</v>
      </c>
      <c r="E144" s="338" t="s">
        <v>24</v>
      </c>
      <c r="F144" s="338"/>
      <c r="G144" s="338" t="s">
        <v>25</v>
      </c>
      <c r="H144" s="338"/>
      <c r="I144" s="386" t="s">
        <v>26</v>
      </c>
      <c r="J144" s="173">
        <v>500</v>
      </c>
      <c r="K144" s="173">
        <v>0.5</v>
      </c>
      <c r="L144" s="265"/>
      <c r="M144" s="265"/>
      <c r="N144" s="258"/>
      <c r="O144" s="379"/>
      <c r="P144" s="395"/>
      <c r="Q144" s="400"/>
      <c r="R144" s="400"/>
      <c r="S144" s="400"/>
      <c r="T144" s="400"/>
      <c r="U144" s="395"/>
      <c r="V144" s="395"/>
    </row>
    <row r="145" spans="1:22" ht="21.6" customHeight="1">
      <c r="A145" s="242" t="s">
        <v>78</v>
      </c>
      <c r="B145" s="272"/>
      <c r="C145" s="243"/>
      <c r="D145" s="49"/>
      <c r="E145" s="273">
        <f>E143*4.1</f>
        <v>117.50458433962262</v>
      </c>
      <c r="F145" s="274"/>
      <c r="G145" s="273">
        <f>G143*9</f>
        <v>193.85388679245281</v>
      </c>
      <c r="H145" s="274"/>
      <c r="I145" s="85">
        <f>I142*4.1</f>
        <v>314.09009245283016</v>
      </c>
      <c r="J145" s="254"/>
      <c r="K145" s="254"/>
      <c r="L145" s="265"/>
      <c r="M145" s="265"/>
      <c r="N145" s="258"/>
      <c r="O145" s="379"/>
      <c r="P145" s="399"/>
      <c r="Q145" s="395"/>
      <c r="R145" s="395"/>
      <c r="S145" s="395"/>
      <c r="T145" s="395"/>
      <c r="U145" s="395"/>
      <c r="V145" s="395"/>
    </row>
    <row r="146" spans="1:22" ht="21.6" customHeight="1">
      <c r="A146" s="275" t="s">
        <v>81</v>
      </c>
      <c r="B146" s="276"/>
      <c r="C146" s="242" t="s">
        <v>59</v>
      </c>
      <c r="D146" s="243"/>
      <c r="E146" s="188">
        <f>E145*100/D142</f>
        <v>18.793761221685937</v>
      </c>
      <c r="F146" s="189"/>
      <c r="G146" s="188">
        <f>G145*100/D142</f>
        <v>31.005119338519208</v>
      </c>
      <c r="H146" s="189"/>
      <c r="I146" s="158">
        <f>I145*100/D142</f>
        <v>50.235777887563465</v>
      </c>
      <c r="J146" s="255"/>
      <c r="K146" s="255"/>
      <c r="L146" s="265"/>
      <c r="M146" s="265"/>
      <c r="N146" s="258"/>
      <c r="O146" s="379"/>
    </row>
    <row r="147" spans="1:22" ht="21.6" customHeight="1">
      <c r="A147" s="277"/>
      <c r="B147" s="278"/>
      <c r="C147" s="242" t="s">
        <v>79</v>
      </c>
      <c r="D147" s="243"/>
      <c r="E147" s="242" t="s">
        <v>82</v>
      </c>
      <c r="F147" s="243"/>
      <c r="G147" s="242" t="s">
        <v>85</v>
      </c>
      <c r="H147" s="243"/>
      <c r="I147" s="178" t="s">
        <v>86</v>
      </c>
      <c r="J147" s="256"/>
      <c r="K147" s="256"/>
      <c r="L147" s="265"/>
      <c r="M147" s="265"/>
      <c r="N147" s="259"/>
      <c r="O147" s="379"/>
      <c r="P147" s="132"/>
    </row>
    <row r="148" spans="1:22" ht="21.6" customHeight="1">
      <c r="A148" s="90"/>
      <c r="B148" s="93"/>
      <c r="C148" s="90"/>
      <c r="D148" s="90"/>
      <c r="E148" s="90"/>
      <c r="F148" s="90"/>
      <c r="G148" s="90"/>
      <c r="H148" s="90"/>
      <c r="I148" s="90"/>
      <c r="J148" s="90"/>
      <c r="K148" s="90"/>
      <c r="L148" s="91"/>
      <c r="M148" s="91"/>
      <c r="N148" s="92"/>
      <c r="O148" s="379"/>
      <c r="P148" s="132"/>
    </row>
    <row r="149" spans="1:22" ht="21" customHeight="1">
      <c r="A149" s="183" t="s">
        <v>114</v>
      </c>
      <c r="B149" s="183"/>
      <c r="C149" s="183"/>
      <c r="D149" s="183"/>
      <c r="E149" s="183"/>
      <c r="F149" s="183"/>
      <c r="G149" s="183"/>
      <c r="H149" s="183"/>
      <c r="I149" s="183"/>
      <c r="J149" s="183"/>
      <c r="K149" s="183"/>
      <c r="L149" s="183"/>
      <c r="M149" s="183"/>
      <c r="N149" s="183"/>
      <c r="O149" s="379"/>
    </row>
    <row r="150" spans="1:22" ht="21" customHeight="1">
      <c r="A150" s="117" t="s">
        <v>115</v>
      </c>
      <c r="B150" s="184" t="s">
        <v>116</v>
      </c>
      <c r="C150" s="184"/>
      <c r="D150" s="184"/>
      <c r="E150" s="184"/>
      <c r="F150" s="184"/>
      <c r="G150" s="184"/>
      <c r="H150" s="184"/>
      <c r="I150" s="184"/>
      <c r="J150" s="184"/>
      <c r="K150" s="184"/>
      <c r="L150" s="184"/>
      <c r="M150" s="184"/>
      <c r="N150" s="184"/>
      <c r="O150" s="379"/>
    </row>
    <row r="151" spans="1:22" ht="21" customHeight="1">
      <c r="A151" s="118"/>
      <c r="B151" s="185" t="s">
        <v>199</v>
      </c>
      <c r="C151" s="185"/>
      <c r="D151" s="185"/>
      <c r="E151" s="185"/>
      <c r="F151" s="185"/>
      <c r="G151" s="185"/>
      <c r="H151" s="185"/>
      <c r="I151" s="185"/>
      <c r="J151" s="185"/>
      <c r="K151" s="185"/>
      <c r="L151" s="185"/>
      <c r="M151" s="185"/>
      <c r="N151" s="185"/>
      <c r="O151" s="379"/>
    </row>
    <row r="152" spans="1:22" ht="21" customHeight="1">
      <c r="A152" s="118"/>
      <c r="B152" s="185" t="s">
        <v>200</v>
      </c>
      <c r="C152" s="185"/>
      <c r="D152" s="185"/>
      <c r="E152" s="185"/>
      <c r="F152" s="185"/>
      <c r="G152" s="185"/>
      <c r="H152" s="185"/>
      <c r="I152" s="185"/>
      <c r="J152" s="185"/>
      <c r="K152" s="185"/>
      <c r="L152" s="185"/>
      <c r="M152" s="185"/>
      <c r="N152" s="185"/>
      <c r="O152" s="379"/>
    </row>
    <row r="153" spans="1:22" ht="21" customHeight="1">
      <c r="A153" s="118"/>
      <c r="B153" s="185" t="s">
        <v>188</v>
      </c>
      <c r="C153" s="185"/>
      <c r="D153" s="185"/>
      <c r="E153" s="185"/>
      <c r="F153" s="185"/>
      <c r="G153" s="185"/>
      <c r="H153" s="185"/>
      <c r="I153" s="185"/>
      <c r="J153" s="185"/>
      <c r="K153" s="185"/>
      <c r="L153" s="185"/>
      <c r="M153" s="185"/>
      <c r="N153" s="185"/>
      <c r="O153" s="379"/>
    </row>
    <row r="154" spans="1:22" ht="21" customHeight="1">
      <c r="A154" s="90"/>
      <c r="B154" s="186" t="s">
        <v>135</v>
      </c>
      <c r="C154" s="186"/>
      <c r="D154" s="186"/>
      <c r="E154" s="186"/>
      <c r="F154" s="186"/>
      <c r="G154" s="186"/>
      <c r="H154" s="186"/>
      <c r="I154" s="186"/>
      <c r="J154" s="186"/>
      <c r="K154" s="186"/>
      <c r="L154" s="186"/>
      <c r="M154" s="186"/>
      <c r="N154" s="186"/>
      <c r="O154" s="379"/>
    </row>
    <row r="155" spans="1:22" ht="21" customHeight="1">
      <c r="A155" s="90"/>
      <c r="B155" s="90"/>
      <c r="C155" s="90"/>
      <c r="D155" s="90"/>
      <c r="E155" s="90"/>
      <c r="F155" s="90"/>
      <c r="G155" s="90"/>
      <c r="H155" s="90"/>
      <c r="I155" s="90"/>
      <c r="J155" s="90"/>
      <c r="K155" s="90"/>
      <c r="L155" s="94"/>
      <c r="M155" s="94"/>
      <c r="N155" s="95"/>
      <c r="O155" s="379"/>
    </row>
    <row r="156" spans="1:22" ht="21" customHeight="1">
      <c r="A156" s="187" t="s">
        <v>62</v>
      </c>
      <c r="B156" s="187"/>
      <c r="C156" s="187"/>
      <c r="D156" s="187"/>
      <c r="E156" s="380"/>
      <c r="F156" s="380"/>
      <c r="G156" s="380"/>
      <c r="H156" s="380"/>
      <c r="I156" s="380"/>
      <c r="J156" s="381" t="s">
        <v>33</v>
      </c>
      <c r="K156" s="381"/>
      <c r="L156" s="381"/>
      <c r="M156" s="381"/>
      <c r="N156" s="381"/>
      <c r="O156" s="379"/>
    </row>
    <row r="157" spans="1:22" ht="21" customHeight="1">
      <c r="A157" s="175"/>
      <c r="B157" s="175"/>
      <c r="C157" s="175"/>
      <c r="D157" s="380"/>
      <c r="E157" s="380"/>
      <c r="F157" s="380"/>
      <c r="G157" s="380"/>
      <c r="H157" s="382"/>
      <c r="I157" s="382"/>
      <c r="J157" s="382"/>
      <c r="K157" s="382"/>
      <c r="L157" s="382"/>
      <c r="M157" s="382"/>
      <c r="N157" s="382"/>
      <c r="O157" s="379"/>
    </row>
    <row r="158" spans="1:22" ht="21" customHeight="1">
      <c r="A158" s="175"/>
      <c r="B158" s="175"/>
      <c r="C158" s="175"/>
      <c r="D158" s="380"/>
      <c r="E158" s="380"/>
      <c r="F158" s="380"/>
      <c r="G158" s="380"/>
      <c r="H158" s="382"/>
      <c r="I158" s="382"/>
      <c r="J158" s="382"/>
      <c r="K158" s="382"/>
      <c r="L158" s="382"/>
      <c r="M158" s="382"/>
      <c r="N158" s="382"/>
      <c r="O158" s="379"/>
    </row>
    <row r="159" spans="1:22" ht="21" customHeight="1">
      <c r="A159" s="175"/>
      <c r="B159" s="175"/>
      <c r="C159" s="175"/>
      <c r="D159" s="380"/>
      <c r="E159" s="380"/>
      <c r="F159" s="380"/>
      <c r="G159" s="380"/>
      <c r="H159" s="382"/>
      <c r="I159" s="382"/>
      <c r="J159" s="383" t="s">
        <v>124</v>
      </c>
      <c r="K159" s="383"/>
      <c r="L159" s="383"/>
      <c r="M159" s="383"/>
      <c r="N159" s="383"/>
      <c r="O159" s="379"/>
    </row>
    <row r="160" spans="1:22" ht="21" customHeight="1">
      <c r="A160" s="179" t="s">
        <v>91</v>
      </c>
      <c r="B160" s="179"/>
      <c r="C160" s="179"/>
      <c r="D160" s="179"/>
      <c r="E160" s="380"/>
      <c r="F160" s="380"/>
      <c r="G160" s="380"/>
      <c r="H160" s="382"/>
      <c r="I160" s="382"/>
      <c r="J160" s="383"/>
      <c r="K160" s="383"/>
      <c r="L160" s="383"/>
      <c r="M160" s="383"/>
      <c r="N160" s="383"/>
      <c r="O160" s="379"/>
    </row>
    <row r="163" spans="10:14" ht="21.6" customHeight="1">
      <c r="J163" s="383" t="s">
        <v>127</v>
      </c>
      <c r="K163" s="383"/>
      <c r="L163" s="383"/>
      <c r="M163" s="383"/>
      <c r="N163" s="383"/>
    </row>
  </sheetData>
  <mergeCells count="207">
    <mergeCell ref="A90:D90"/>
    <mergeCell ref="J90:N90"/>
    <mergeCell ref="J159:N159"/>
    <mergeCell ref="J163:N163"/>
    <mergeCell ref="F1:N1"/>
    <mergeCell ref="F81:N81"/>
    <mergeCell ref="A4:N4"/>
    <mergeCell ref="A11:A14"/>
    <mergeCell ref="E11:F12"/>
    <mergeCell ref="G11:H12"/>
    <mergeCell ref="I11:I14"/>
    <mergeCell ref="N11:N14"/>
    <mergeCell ref="B11:B14"/>
    <mergeCell ref="C11:C14"/>
    <mergeCell ref="D11:D14"/>
    <mergeCell ref="L11:L14"/>
    <mergeCell ref="E13:E14"/>
    <mergeCell ref="E55:F55"/>
    <mergeCell ref="G55:H55"/>
    <mergeCell ref="F13:F14"/>
    <mergeCell ref="G13:G14"/>
    <mergeCell ref="H13:H14"/>
    <mergeCell ref="E56:F56"/>
    <mergeCell ref="G56:H56"/>
    <mergeCell ref="J53:J54"/>
    <mergeCell ref="E144:F144"/>
    <mergeCell ref="G144:H144"/>
    <mergeCell ref="A113:B114"/>
    <mergeCell ref="A128:B129"/>
    <mergeCell ref="K140:K141"/>
    <mergeCell ref="G54:H54"/>
    <mergeCell ref="I140:I141"/>
    <mergeCell ref="I142:I143"/>
    <mergeCell ref="E143:F143"/>
    <mergeCell ref="G143:H143"/>
    <mergeCell ref="A56:C56"/>
    <mergeCell ref="A57:B58"/>
    <mergeCell ref="G141:H141"/>
    <mergeCell ref="A140:B141"/>
    <mergeCell ref="C140:C141"/>
    <mergeCell ref="D140:D141"/>
    <mergeCell ref="E86:N86"/>
    <mergeCell ref="E87:I87"/>
    <mergeCell ref="J87:N87"/>
    <mergeCell ref="A132:A135"/>
    <mergeCell ref="J70:N70"/>
    <mergeCell ref="J74:N74"/>
    <mergeCell ref="A136:B136"/>
    <mergeCell ref="A137:B137"/>
    <mergeCell ref="A111:B111"/>
    <mergeCell ref="E93:F94"/>
    <mergeCell ref="G93:H94"/>
    <mergeCell ref="A97:N97"/>
    <mergeCell ref="I132:I135"/>
    <mergeCell ref="J132:J135"/>
    <mergeCell ref="K132:K135"/>
    <mergeCell ref="F134:F135"/>
    <mergeCell ref="G134:G135"/>
    <mergeCell ref="H134:H135"/>
    <mergeCell ref="B132:B135"/>
    <mergeCell ref="C132:C135"/>
    <mergeCell ref="D132:D135"/>
    <mergeCell ref="M132:M135"/>
    <mergeCell ref="U53:V53"/>
    <mergeCell ref="U54:V54"/>
    <mergeCell ref="A138:B139"/>
    <mergeCell ref="J142:J143"/>
    <mergeCell ref="K142:K143"/>
    <mergeCell ref="J140:J141"/>
    <mergeCell ref="C51:C52"/>
    <mergeCell ref="E54:F54"/>
    <mergeCell ref="E52:F52"/>
    <mergeCell ref="A51:B52"/>
    <mergeCell ref="L140:L147"/>
    <mergeCell ref="M140:M147"/>
    <mergeCell ref="N140:N147"/>
    <mergeCell ref="A142:C143"/>
    <mergeCell ref="A144:C144"/>
    <mergeCell ref="A145:C145"/>
    <mergeCell ref="E145:F145"/>
    <mergeCell ref="G145:H145"/>
    <mergeCell ref="J145:J147"/>
    <mergeCell ref="K145:K147"/>
    <mergeCell ref="A146:B147"/>
    <mergeCell ref="C146:D146"/>
    <mergeCell ref="E146:F146"/>
    <mergeCell ref="E141:F141"/>
    <mergeCell ref="Q53:R53"/>
    <mergeCell ref="S53:T53"/>
    <mergeCell ref="Q54:R54"/>
    <mergeCell ref="S54:T54"/>
    <mergeCell ref="L93:L96"/>
    <mergeCell ref="N93:N96"/>
    <mergeCell ref="L51:L58"/>
    <mergeCell ref="M51:M58"/>
    <mergeCell ref="J56:J58"/>
    <mergeCell ref="K56:K58"/>
    <mergeCell ref="J51:J52"/>
    <mergeCell ref="J93:J96"/>
    <mergeCell ref="K93:K96"/>
    <mergeCell ref="K51:K52"/>
    <mergeCell ref="N51:N58"/>
    <mergeCell ref="B64:N64"/>
    <mergeCell ref="B65:N65"/>
    <mergeCell ref="A67:D67"/>
    <mergeCell ref="J67:N67"/>
    <mergeCell ref="A71:D71"/>
    <mergeCell ref="J71:N71"/>
    <mergeCell ref="I51:I52"/>
    <mergeCell ref="K53:K54"/>
    <mergeCell ref="A86:D87"/>
    <mergeCell ref="A15:N15"/>
    <mergeCell ref="E95:E96"/>
    <mergeCell ref="A47:B47"/>
    <mergeCell ref="A48:B48"/>
    <mergeCell ref="N29:N30"/>
    <mergeCell ref="N47:N48"/>
    <mergeCell ref="E45:E46"/>
    <mergeCell ref="F45:F46"/>
    <mergeCell ref="G45:G46"/>
    <mergeCell ref="H45:H46"/>
    <mergeCell ref="C57:D57"/>
    <mergeCell ref="C58:D58"/>
    <mergeCell ref="E57:F57"/>
    <mergeCell ref="G57:H57"/>
    <mergeCell ref="E58:F58"/>
    <mergeCell ref="G52:H52"/>
    <mergeCell ref="A88:D88"/>
    <mergeCell ref="A49:B50"/>
    <mergeCell ref="E88:I91"/>
    <mergeCell ref="J88:N88"/>
    <mergeCell ref="F95:F96"/>
    <mergeCell ref="A53:C54"/>
    <mergeCell ref="A55:C55"/>
    <mergeCell ref="A33:B33"/>
    <mergeCell ref="N43:N46"/>
    <mergeCell ref="A89:D89"/>
    <mergeCell ref="J89:N89"/>
    <mergeCell ref="A91:D91"/>
    <mergeCell ref="J91:N91"/>
    <mergeCell ref="I93:I96"/>
    <mergeCell ref="E132:F133"/>
    <mergeCell ref="G132:H133"/>
    <mergeCell ref="M93:M96"/>
    <mergeCell ref="A92:C92"/>
    <mergeCell ref="G95:G96"/>
    <mergeCell ref="H95:H96"/>
    <mergeCell ref="N126:N127"/>
    <mergeCell ref="A130:B130"/>
    <mergeCell ref="A112:B112"/>
    <mergeCell ref="A115:B115"/>
    <mergeCell ref="A93:A96"/>
    <mergeCell ref="B93:B96"/>
    <mergeCell ref="C93:C96"/>
    <mergeCell ref="L132:L135"/>
    <mergeCell ref="N111:N112"/>
    <mergeCell ref="N132:N135"/>
    <mergeCell ref="E134:E135"/>
    <mergeCell ref="D93:D96"/>
    <mergeCell ref="E5:N5"/>
    <mergeCell ref="A5:D5"/>
    <mergeCell ref="A6:D6"/>
    <mergeCell ref="A7:D7"/>
    <mergeCell ref="A9:D9"/>
    <mergeCell ref="E6:I9"/>
    <mergeCell ref="J6:N9"/>
    <mergeCell ref="A43:A46"/>
    <mergeCell ref="B43:B46"/>
    <mergeCell ref="C43:C46"/>
    <mergeCell ref="D43:D46"/>
    <mergeCell ref="E43:F44"/>
    <mergeCell ref="G43:H44"/>
    <mergeCell ref="I43:I46"/>
    <mergeCell ref="J43:J46"/>
    <mergeCell ref="K43:K46"/>
    <mergeCell ref="M11:M14"/>
    <mergeCell ref="J11:J14"/>
    <mergeCell ref="K11:K14"/>
    <mergeCell ref="A31:B32"/>
    <mergeCell ref="A10:C10"/>
    <mergeCell ref="L43:L46"/>
    <mergeCell ref="M43:M46"/>
    <mergeCell ref="A8:D8"/>
    <mergeCell ref="A160:D160"/>
    <mergeCell ref="J160:N160"/>
    <mergeCell ref="I53:I54"/>
    <mergeCell ref="D51:D52"/>
    <mergeCell ref="A149:N149"/>
    <mergeCell ref="B150:N150"/>
    <mergeCell ref="B151:N151"/>
    <mergeCell ref="B152:N152"/>
    <mergeCell ref="B153:N153"/>
    <mergeCell ref="B154:N154"/>
    <mergeCell ref="A156:D156"/>
    <mergeCell ref="J156:N156"/>
    <mergeCell ref="G58:H58"/>
    <mergeCell ref="A60:N60"/>
    <mergeCell ref="B61:N61"/>
    <mergeCell ref="B62:N62"/>
    <mergeCell ref="B63:N63"/>
    <mergeCell ref="G146:H146"/>
    <mergeCell ref="C147:D147"/>
    <mergeCell ref="E147:F147"/>
    <mergeCell ref="G147:H147"/>
    <mergeCell ref="A84:N84"/>
    <mergeCell ref="A85:N85"/>
    <mergeCell ref="N136:N137"/>
  </mergeCells>
  <pageMargins left="0.25" right="8.3333333333333332E-3" top="0.44791666666666702" bottom="0.42708333333333298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158"/>
  <sheetViews>
    <sheetView workbookViewId="0">
      <selection activeCell="P1" sqref="P1"/>
    </sheetView>
  </sheetViews>
  <sheetFormatPr defaultColWidth="9.109375" defaultRowHeight="18" customHeight="1"/>
  <cols>
    <col min="1" max="1" width="4" style="1" customWidth="1"/>
    <col min="2" max="2" width="10.88671875" style="1" customWidth="1"/>
    <col min="3" max="3" width="6.6640625" style="1" customWidth="1"/>
    <col min="4" max="4" width="7.21875" style="1" customWidth="1"/>
    <col min="5" max="8" width="6.6640625" style="1" customWidth="1"/>
    <col min="9" max="9" width="7.77734375" style="1" customWidth="1"/>
    <col min="10" max="11" width="8.6640625" style="1" customWidth="1"/>
    <col min="12" max="12" width="6" style="1" customWidth="1"/>
    <col min="13" max="13" width="7" style="1" customWidth="1"/>
    <col min="14" max="14" width="7.33203125" style="1" customWidth="1"/>
    <col min="15" max="15" width="11.88671875" style="1" customWidth="1"/>
    <col min="16" max="16" width="9.109375" style="1"/>
    <col min="17" max="20" width="9.109375" style="1" customWidth="1"/>
    <col min="21" max="22" width="8.109375" style="1" customWidth="1"/>
    <col min="23" max="23" width="12.5546875" style="1" customWidth="1"/>
    <col min="24" max="16384" width="9.109375" style="1"/>
  </cols>
  <sheetData>
    <row r="1" spans="1:20" ht="22.2" customHeight="1">
      <c r="A1" s="11" t="s">
        <v>61</v>
      </c>
      <c r="B1" s="8"/>
      <c r="C1" s="8"/>
      <c r="D1" s="8"/>
      <c r="E1" s="8"/>
      <c r="F1" s="290" t="s">
        <v>31</v>
      </c>
      <c r="G1" s="290"/>
      <c r="H1" s="290"/>
      <c r="I1" s="290"/>
      <c r="J1" s="290"/>
      <c r="K1" s="290"/>
      <c r="L1" s="290"/>
      <c r="M1" s="290"/>
      <c r="N1" s="290"/>
      <c r="O1" s="367"/>
      <c r="P1" s="367"/>
      <c r="T1" s="2"/>
    </row>
    <row r="2" spans="1:20" ht="12" customHeight="1">
      <c r="A2" s="11"/>
      <c r="B2" s="8"/>
      <c r="C2" s="8"/>
      <c r="D2" s="8"/>
      <c r="E2" s="8"/>
      <c r="F2" s="172"/>
      <c r="G2" s="172"/>
      <c r="H2" s="172"/>
      <c r="I2" s="172"/>
      <c r="J2" s="172"/>
      <c r="K2" s="172"/>
      <c r="L2" s="172"/>
      <c r="M2" s="172"/>
      <c r="N2" s="172"/>
      <c r="O2" s="367"/>
      <c r="P2" s="367"/>
      <c r="T2" s="2"/>
    </row>
    <row r="3" spans="1:20" ht="22.2" customHeight="1">
      <c r="A3" s="8" t="s">
        <v>201</v>
      </c>
      <c r="B3" s="8"/>
      <c r="C3" s="8"/>
      <c r="D3" s="8"/>
      <c r="E3" s="8"/>
      <c r="F3" s="172"/>
      <c r="G3" s="172"/>
      <c r="H3" s="172"/>
      <c r="I3" s="172"/>
      <c r="J3" s="172"/>
      <c r="K3" s="172"/>
      <c r="L3" s="172"/>
      <c r="M3" s="172"/>
      <c r="N3" s="172"/>
      <c r="O3" s="367"/>
      <c r="P3" s="367"/>
      <c r="T3" s="2"/>
    </row>
    <row r="4" spans="1:20" ht="12" customHeight="1">
      <c r="A4" s="8"/>
      <c r="B4" s="8"/>
      <c r="C4" s="8"/>
      <c r="D4" s="8"/>
      <c r="E4" s="8"/>
      <c r="F4" s="172"/>
      <c r="G4" s="172"/>
      <c r="H4" s="172"/>
      <c r="I4" s="172"/>
      <c r="J4" s="172"/>
      <c r="K4" s="172"/>
      <c r="L4" s="172"/>
      <c r="M4" s="172"/>
      <c r="N4" s="172"/>
      <c r="O4" s="367"/>
      <c r="P4" s="367"/>
      <c r="T4" s="2"/>
    </row>
    <row r="5" spans="1:20" s="2" customFormat="1" ht="19.2" customHeight="1">
      <c r="A5" s="194" t="s">
        <v>97</v>
      </c>
      <c r="B5" s="194"/>
      <c r="C5" s="194"/>
      <c r="D5" s="194"/>
      <c r="E5" s="194" t="s">
        <v>98</v>
      </c>
      <c r="F5" s="194"/>
      <c r="G5" s="194"/>
      <c r="H5" s="194"/>
      <c r="I5" s="194"/>
      <c r="J5" s="194"/>
      <c r="K5" s="194"/>
      <c r="L5" s="194"/>
      <c r="M5" s="194"/>
      <c r="N5" s="194"/>
      <c r="O5" s="368"/>
    </row>
    <row r="6" spans="1:20" s="2" customFormat="1" ht="19.2" customHeight="1">
      <c r="A6" s="195" t="s">
        <v>90</v>
      </c>
      <c r="B6" s="195"/>
      <c r="C6" s="195"/>
      <c r="D6" s="195"/>
      <c r="E6" s="198" t="s">
        <v>148</v>
      </c>
      <c r="F6" s="198"/>
      <c r="G6" s="198"/>
      <c r="H6" s="198"/>
      <c r="I6" s="198"/>
      <c r="J6" s="199" t="s">
        <v>144</v>
      </c>
      <c r="K6" s="200"/>
      <c r="L6" s="200"/>
      <c r="M6" s="200"/>
      <c r="N6" s="201"/>
      <c r="O6" s="368"/>
    </row>
    <row r="7" spans="1:20" s="2" customFormat="1" ht="19.2" customHeight="1">
      <c r="A7" s="196" t="s">
        <v>134</v>
      </c>
      <c r="B7" s="196"/>
      <c r="C7" s="196"/>
      <c r="D7" s="196"/>
      <c r="E7" s="198"/>
      <c r="F7" s="198"/>
      <c r="G7" s="198"/>
      <c r="H7" s="198"/>
      <c r="I7" s="198"/>
      <c r="J7" s="202"/>
      <c r="K7" s="203"/>
      <c r="L7" s="203"/>
      <c r="M7" s="203"/>
      <c r="N7" s="204"/>
      <c r="O7" s="368"/>
    </row>
    <row r="8" spans="1:20" s="2" customFormat="1" ht="19.2" customHeight="1">
      <c r="A8" s="231" t="s">
        <v>157</v>
      </c>
      <c r="B8" s="232"/>
      <c r="C8" s="232"/>
      <c r="D8" s="233"/>
      <c r="E8" s="198"/>
      <c r="F8" s="198"/>
      <c r="G8" s="198"/>
      <c r="H8" s="198"/>
      <c r="I8" s="198"/>
      <c r="J8" s="202"/>
      <c r="K8" s="203"/>
      <c r="L8" s="203"/>
      <c r="M8" s="203"/>
      <c r="N8" s="204"/>
      <c r="O8" s="368"/>
    </row>
    <row r="9" spans="1:20" s="2" customFormat="1" ht="19.2" customHeight="1">
      <c r="A9" s="197" t="s">
        <v>167</v>
      </c>
      <c r="B9" s="197"/>
      <c r="C9" s="197"/>
      <c r="D9" s="197"/>
      <c r="E9" s="198"/>
      <c r="F9" s="198"/>
      <c r="G9" s="198"/>
      <c r="H9" s="198"/>
      <c r="I9" s="198"/>
      <c r="J9" s="205"/>
      <c r="K9" s="206"/>
      <c r="L9" s="206"/>
      <c r="M9" s="206"/>
      <c r="N9" s="207"/>
      <c r="O9" s="368"/>
    </row>
    <row r="10" spans="1:20" ht="19.2" customHeight="1">
      <c r="A10" s="228" t="s">
        <v>122</v>
      </c>
      <c r="B10" s="229"/>
      <c r="C10" s="230"/>
      <c r="D10" s="128">
        <v>215</v>
      </c>
      <c r="E10" s="8"/>
      <c r="F10" s="172"/>
      <c r="G10" s="172"/>
      <c r="H10" s="172"/>
      <c r="I10" s="172"/>
      <c r="J10" s="172"/>
      <c r="K10" s="172"/>
      <c r="L10" s="172"/>
      <c r="M10" s="172"/>
      <c r="N10" s="172"/>
      <c r="O10" s="367"/>
      <c r="P10" s="367"/>
      <c r="T10" s="2"/>
    </row>
    <row r="11" spans="1:20" ht="22.2" customHeight="1">
      <c r="A11" s="208" t="s">
        <v>0</v>
      </c>
      <c r="B11" s="211" t="s">
        <v>19</v>
      </c>
      <c r="C11" s="214" t="s">
        <v>8</v>
      </c>
      <c r="D11" s="214" t="s">
        <v>9</v>
      </c>
      <c r="E11" s="217" t="s">
        <v>11</v>
      </c>
      <c r="F11" s="218"/>
      <c r="G11" s="217" t="s">
        <v>13</v>
      </c>
      <c r="H11" s="218"/>
      <c r="I11" s="221" t="s">
        <v>16</v>
      </c>
      <c r="J11" s="221" t="s">
        <v>41</v>
      </c>
      <c r="K11" s="221" t="s">
        <v>42</v>
      </c>
      <c r="L11" s="221" t="s">
        <v>17</v>
      </c>
      <c r="M11" s="221" t="s">
        <v>40</v>
      </c>
      <c r="N11" s="208" t="s">
        <v>18</v>
      </c>
      <c r="O11" s="369"/>
    </row>
    <row r="12" spans="1:20" ht="22.2" customHeight="1">
      <c r="A12" s="209"/>
      <c r="B12" s="212"/>
      <c r="C12" s="215"/>
      <c r="D12" s="215"/>
      <c r="E12" s="219"/>
      <c r="F12" s="220"/>
      <c r="G12" s="219"/>
      <c r="H12" s="220"/>
      <c r="I12" s="222"/>
      <c r="J12" s="222"/>
      <c r="K12" s="222"/>
      <c r="L12" s="222"/>
      <c r="M12" s="222"/>
      <c r="N12" s="209"/>
      <c r="O12" s="175"/>
    </row>
    <row r="13" spans="1:20" ht="22.2" customHeight="1">
      <c r="A13" s="209"/>
      <c r="B13" s="212"/>
      <c r="C13" s="215"/>
      <c r="D13" s="215"/>
      <c r="E13" s="221" t="s">
        <v>10</v>
      </c>
      <c r="F13" s="221" t="s">
        <v>12</v>
      </c>
      <c r="G13" s="221" t="s">
        <v>14</v>
      </c>
      <c r="H13" s="221" t="s">
        <v>15</v>
      </c>
      <c r="I13" s="222"/>
      <c r="J13" s="222"/>
      <c r="K13" s="222"/>
      <c r="L13" s="222"/>
      <c r="M13" s="222"/>
      <c r="N13" s="209"/>
      <c r="O13" s="175"/>
    </row>
    <row r="14" spans="1:20" ht="22.2" customHeight="1">
      <c r="A14" s="210"/>
      <c r="B14" s="213"/>
      <c r="C14" s="216"/>
      <c r="D14" s="216"/>
      <c r="E14" s="223"/>
      <c r="F14" s="223"/>
      <c r="G14" s="223"/>
      <c r="H14" s="223"/>
      <c r="I14" s="223"/>
      <c r="J14" s="223"/>
      <c r="K14" s="223"/>
      <c r="L14" s="223"/>
      <c r="M14" s="223"/>
      <c r="N14" s="210"/>
      <c r="O14" s="175"/>
    </row>
    <row r="15" spans="1:20" ht="19.8" customHeight="1">
      <c r="A15" s="237" t="s">
        <v>34</v>
      </c>
      <c r="B15" s="238"/>
      <c r="C15" s="238"/>
      <c r="D15" s="238"/>
      <c r="E15" s="238"/>
      <c r="F15" s="238"/>
      <c r="G15" s="238"/>
      <c r="H15" s="238"/>
      <c r="I15" s="238"/>
      <c r="J15" s="238"/>
      <c r="K15" s="238"/>
      <c r="L15" s="238"/>
      <c r="M15" s="238"/>
      <c r="N15" s="239"/>
      <c r="O15" s="175"/>
    </row>
    <row r="16" spans="1:20" s="2" customFormat="1" ht="19.8" customHeight="1">
      <c r="A16" s="15">
        <v>1</v>
      </c>
      <c r="B16" s="16" t="s">
        <v>2</v>
      </c>
      <c r="C16" s="51">
        <f>L16/100*100</f>
        <v>280</v>
      </c>
      <c r="D16" s="52">
        <f>C16/100*60</f>
        <v>168</v>
      </c>
      <c r="E16" s="53">
        <f>C16/100*15</f>
        <v>42</v>
      </c>
      <c r="F16" s="53"/>
      <c r="G16" s="53"/>
      <c r="H16" s="53"/>
      <c r="I16" s="53"/>
      <c r="J16" s="96">
        <f>C16/100*387</f>
        <v>1083.5999999999999</v>
      </c>
      <c r="K16" s="96">
        <f>C16/100*0.09</f>
        <v>0.252</v>
      </c>
      <c r="L16" s="412">
        <v>280</v>
      </c>
      <c r="M16" s="77">
        <v>20</v>
      </c>
      <c r="N16" s="55">
        <f>L16*M16</f>
        <v>5600</v>
      </c>
      <c r="O16" s="371"/>
    </row>
    <row r="17" spans="1:20" s="2" customFormat="1" ht="19.8" customHeight="1">
      <c r="A17" s="9">
        <v>2</v>
      </c>
      <c r="B17" s="146" t="s">
        <v>141</v>
      </c>
      <c r="C17" s="23">
        <f>L17/100*100</f>
        <v>640</v>
      </c>
      <c r="D17" s="24">
        <f>C17/100*899</f>
        <v>5753.6</v>
      </c>
      <c r="E17" s="25"/>
      <c r="F17" s="25"/>
      <c r="G17" s="25">
        <f>C17/100*100</f>
        <v>640</v>
      </c>
      <c r="H17" s="25"/>
      <c r="I17" s="25"/>
      <c r="J17" s="27"/>
      <c r="K17" s="27"/>
      <c r="L17" s="137">
        <v>640</v>
      </c>
      <c r="M17" s="75">
        <v>68</v>
      </c>
      <c r="N17" s="28">
        <f t="shared" ref="N17" si="0">L17*M17</f>
        <v>43520</v>
      </c>
      <c r="O17" s="153"/>
    </row>
    <row r="18" spans="1:20" s="2" customFormat="1" ht="19.8" customHeight="1">
      <c r="A18" s="9">
        <v>3</v>
      </c>
      <c r="B18" s="5" t="s">
        <v>1</v>
      </c>
      <c r="C18" s="23">
        <f>L18/100*100</f>
        <v>20425</v>
      </c>
      <c r="D18" s="120">
        <f>C18/100*344</f>
        <v>70262</v>
      </c>
      <c r="E18" s="136"/>
      <c r="F18" s="119">
        <f>C18/100*7.9</f>
        <v>1613.575</v>
      </c>
      <c r="G18" s="136"/>
      <c r="H18" s="25">
        <f>C18/100*1</f>
        <v>204.25</v>
      </c>
      <c r="I18" s="119">
        <f>C18/100*72</f>
        <v>14706</v>
      </c>
      <c r="J18" s="27">
        <f>C18/100*30</f>
        <v>6127.5</v>
      </c>
      <c r="K18" s="27">
        <f>C18/100*0.1</f>
        <v>20.425000000000001</v>
      </c>
      <c r="L18" s="137">
        <v>20425</v>
      </c>
      <c r="M18" s="77">
        <v>18</v>
      </c>
      <c r="N18" s="28">
        <f t="shared" ref="N18:N26" si="1">L18*M18</f>
        <v>367650</v>
      </c>
      <c r="O18" s="371"/>
    </row>
    <row r="19" spans="1:20" s="2" customFormat="1" ht="19.8" customHeight="1">
      <c r="A19" s="9">
        <v>4</v>
      </c>
      <c r="B19" s="5" t="s">
        <v>93</v>
      </c>
      <c r="C19" s="23">
        <f>L19/100*81.7</f>
        <v>6152.01</v>
      </c>
      <c r="D19" s="24">
        <f>C19/100*27</f>
        <v>1661.0427</v>
      </c>
      <c r="E19" s="29"/>
      <c r="F19" s="29">
        <f>C19/100*0.3</f>
        <v>18.456029999999998</v>
      </c>
      <c r="G19" s="29"/>
      <c r="H19" s="29">
        <f>C19/100*0.1</f>
        <v>6.1520100000000006</v>
      </c>
      <c r="I19" s="29">
        <f>C19/100*6.1</f>
        <v>375.27260999999999</v>
      </c>
      <c r="J19" s="71">
        <f>C19/100*24</f>
        <v>1476.4823999999999</v>
      </c>
      <c r="K19" s="71">
        <f>C19/100*0.06</f>
        <v>3.6912059999999998</v>
      </c>
      <c r="L19" s="370">
        <v>7530</v>
      </c>
      <c r="M19" s="26">
        <v>22</v>
      </c>
      <c r="N19" s="28">
        <f t="shared" si="1"/>
        <v>165660</v>
      </c>
      <c r="O19" s="153"/>
      <c r="Q19" s="3"/>
      <c r="R19" s="3"/>
      <c r="S19" s="4"/>
    </row>
    <row r="20" spans="1:20" s="2" customFormat="1" ht="19.8" customHeight="1">
      <c r="A20" s="9">
        <v>5</v>
      </c>
      <c r="B20" s="5" t="s">
        <v>4</v>
      </c>
      <c r="C20" s="23">
        <f>L20/100*98.5</f>
        <v>2117.75</v>
      </c>
      <c r="D20" s="24">
        <f>C20/100*39</f>
        <v>825.9224999999999</v>
      </c>
      <c r="E20" s="29"/>
      <c r="F20" s="29">
        <f>C20/100*1.5</f>
        <v>31.766249999999999</v>
      </c>
      <c r="G20" s="29"/>
      <c r="H20" s="29">
        <f>C20/100*0.2</f>
        <v>4.2355</v>
      </c>
      <c r="I20" s="29">
        <f>C20/100*7.8</f>
        <v>165.18449999999999</v>
      </c>
      <c r="J20" s="29">
        <f>C20/100*43</f>
        <v>910.63249999999994</v>
      </c>
      <c r="K20" s="29">
        <f>C20/100*0.06</f>
        <v>1.2706499999999998</v>
      </c>
      <c r="L20" s="370">
        <v>2150</v>
      </c>
      <c r="M20" s="26">
        <v>17</v>
      </c>
      <c r="N20" s="28">
        <f t="shared" si="1"/>
        <v>36550</v>
      </c>
      <c r="O20" s="153"/>
      <c r="Q20" s="3"/>
      <c r="R20" s="3"/>
      <c r="S20" s="4"/>
    </row>
    <row r="21" spans="1:20" s="2" customFormat="1" ht="19.8" customHeight="1">
      <c r="A21" s="9">
        <v>6</v>
      </c>
      <c r="B21" s="5" t="s">
        <v>75</v>
      </c>
      <c r="C21" s="23">
        <f>L21/100*75</f>
        <v>1612.5</v>
      </c>
      <c r="D21" s="24">
        <f>C21/100*12</f>
        <v>193.5</v>
      </c>
      <c r="E21" s="25"/>
      <c r="F21" s="25">
        <f>C21/100*0.6</f>
        <v>9.6749999999999989</v>
      </c>
      <c r="G21" s="25"/>
      <c r="H21" s="25"/>
      <c r="I21" s="25">
        <f>C21/100*2.4</f>
        <v>38.699999999999996</v>
      </c>
      <c r="J21" s="25">
        <f>C21/100*26</f>
        <v>419.25</v>
      </c>
      <c r="K21" s="25">
        <f>C21/100*0.02</f>
        <v>0.32250000000000001</v>
      </c>
      <c r="L21" s="137">
        <v>2150</v>
      </c>
      <c r="M21" s="75">
        <v>25</v>
      </c>
      <c r="N21" s="28">
        <f t="shared" si="1"/>
        <v>53750</v>
      </c>
      <c r="O21" s="153"/>
    </row>
    <row r="22" spans="1:20" s="2" customFormat="1" ht="19.8" customHeight="1">
      <c r="A22" s="9">
        <v>7</v>
      </c>
      <c r="B22" s="5" t="s">
        <v>136</v>
      </c>
      <c r="C22" s="23">
        <f>L22/100*100</f>
        <v>220.00000000000003</v>
      </c>
      <c r="D22" s="24">
        <f>C22/100*247</f>
        <v>543.40000000000009</v>
      </c>
      <c r="E22" s="29"/>
      <c r="F22" s="29">
        <f>C22/100*17.5</f>
        <v>38.5</v>
      </c>
      <c r="G22" s="29"/>
      <c r="H22" s="29">
        <f>C22/100*1.6</f>
        <v>3.5200000000000005</v>
      </c>
      <c r="I22" s="29">
        <f>C22/100*39.2</f>
        <v>86.240000000000009</v>
      </c>
      <c r="J22" s="71"/>
      <c r="K22" s="71"/>
      <c r="L22" s="370">
        <v>220</v>
      </c>
      <c r="M22" s="75">
        <v>50</v>
      </c>
      <c r="N22" s="28">
        <f t="shared" si="1"/>
        <v>11000</v>
      </c>
      <c r="O22" s="153"/>
      <c r="Q22" s="3"/>
      <c r="R22" s="3"/>
      <c r="S22" s="4"/>
      <c r="T22" s="3"/>
    </row>
    <row r="23" spans="1:20" s="2" customFormat="1" ht="19.8" customHeight="1">
      <c r="A23" s="9">
        <v>8</v>
      </c>
      <c r="B23" s="5" t="s">
        <v>20</v>
      </c>
      <c r="C23" s="23">
        <f>L23/100*95</f>
        <v>2451</v>
      </c>
      <c r="D23" s="24">
        <f>C23/100*20</f>
        <v>490.20000000000005</v>
      </c>
      <c r="E23" s="25"/>
      <c r="F23" s="25">
        <f>C23/100*0.6</f>
        <v>14.706</v>
      </c>
      <c r="G23" s="25"/>
      <c r="H23" s="25">
        <f>C23/100*0.2</f>
        <v>4.902000000000001</v>
      </c>
      <c r="I23" s="25">
        <f>C23/100*4</f>
        <v>98.04</v>
      </c>
      <c r="J23" s="71">
        <f>C23/100*12</f>
        <v>294.12</v>
      </c>
      <c r="K23" s="71">
        <f>C23/100*0.04</f>
        <v>0.98040000000000005</v>
      </c>
      <c r="L23" s="370">
        <v>2580</v>
      </c>
      <c r="M23" s="75">
        <v>22</v>
      </c>
      <c r="N23" s="28">
        <f t="shared" si="1"/>
        <v>56760</v>
      </c>
      <c r="O23" s="153"/>
      <c r="Q23" s="3"/>
      <c r="R23" s="3"/>
    </row>
    <row r="24" spans="1:20" s="2" customFormat="1" ht="19.8" customHeight="1">
      <c r="A24" s="9">
        <v>9</v>
      </c>
      <c r="B24" s="5" t="s">
        <v>69</v>
      </c>
      <c r="C24" s="23">
        <f>L24/100*48</f>
        <v>1891.1999999999998</v>
      </c>
      <c r="D24" s="24">
        <f>C24/100*199</f>
        <v>3763.4879999999998</v>
      </c>
      <c r="E24" s="25">
        <f>C24/100*20.3</f>
        <v>383.91359999999997</v>
      </c>
      <c r="F24" s="25"/>
      <c r="G24" s="25">
        <f>C24/100*13.1</f>
        <v>247.74719999999999</v>
      </c>
      <c r="H24" s="25"/>
      <c r="I24" s="25"/>
      <c r="J24" s="27">
        <f>C24/100*12</f>
        <v>226.94399999999999</v>
      </c>
      <c r="K24" s="27">
        <f>C24/100*0.15</f>
        <v>2.8367999999999998</v>
      </c>
      <c r="L24" s="137">
        <v>3940</v>
      </c>
      <c r="M24" s="26">
        <v>84</v>
      </c>
      <c r="N24" s="28">
        <f t="shared" si="1"/>
        <v>330960</v>
      </c>
      <c r="O24" s="153"/>
      <c r="Q24" s="3"/>
      <c r="R24" s="3"/>
      <c r="S24" s="4"/>
    </row>
    <row r="25" spans="1:20" s="2" customFormat="1" ht="19.8" customHeight="1">
      <c r="A25" s="9">
        <v>10</v>
      </c>
      <c r="B25" s="10" t="s">
        <v>74</v>
      </c>
      <c r="C25" s="23">
        <f>L25/100*98</f>
        <v>2107</v>
      </c>
      <c r="D25" s="24">
        <f>C25/100*139</f>
        <v>2928.73</v>
      </c>
      <c r="E25" s="25">
        <f>C25/100*19</f>
        <v>400.33</v>
      </c>
      <c r="F25" s="25"/>
      <c r="G25" s="25">
        <f>C25/100*7</f>
        <v>147.49</v>
      </c>
      <c r="H25" s="25"/>
      <c r="I25" s="25"/>
      <c r="J25" s="25">
        <f>C25/100*7</f>
        <v>147.49</v>
      </c>
      <c r="K25" s="25">
        <f>C25/100*0.9</f>
        <v>18.963000000000001</v>
      </c>
      <c r="L25" s="137">
        <v>2150</v>
      </c>
      <c r="M25" s="75">
        <v>137</v>
      </c>
      <c r="N25" s="28">
        <f t="shared" si="1"/>
        <v>294550</v>
      </c>
      <c r="O25" s="153"/>
    </row>
    <row r="26" spans="1:20" s="2" customFormat="1" ht="19.8" customHeight="1">
      <c r="A26" s="9">
        <v>11</v>
      </c>
      <c r="B26" s="5" t="s">
        <v>3</v>
      </c>
      <c r="C26" s="23">
        <f>L26/100*98</f>
        <v>6703.2000000000007</v>
      </c>
      <c r="D26" s="24">
        <f>C26/100*118</f>
        <v>7909.7760000000017</v>
      </c>
      <c r="E26" s="119">
        <f>C26/100*27</f>
        <v>1809.8640000000003</v>
      </c>
      <c r="F26" s="25"/>
      <c r="G26" s="25">
        <f>C26/100*3.8</f>
        <v>254.72160000000002</v>
      </c>
      <c r="H26" s="25"/>
      <c r="I26" s="25"/>
      <c r="J26" s="71">
        <f>C26/100*12</f>
        <v>804.38400000000013</v>
      </c>
      <c r="K26" s="71">
        <f>C26/100*0.1</f>
        <v>6.7032000000000016</v>
      </c>
      <c r="L26" s="370">
        <v>6840</v>
      </c>
      <c r="M26" s="77">
        <v>260</v>
      </c>
      <c r="N26" s="124">
        <f t="shared" si="1"/>
        <v>1778400</v>
      </c>
      <c r="O26" s="371"/>
      <c r="Q26" s="3"/>
      <c r="R26" s="3"/>
    </row>
    <row r="27" spans="1:20" s="2" customFormat="1" ht="19.8" customHeight="1">
      <c r="A27" s="9">
        <v>12</v>
      </c>
      <c r="B27" s="6" t="s">
        <v>123</v>
      </c>
      <c r="C27" s="23"/>
      <c r="D27" s="24"/>
      <c r="E27" s="25"/>
      <c r="F27" s="25"/>
      <c r="G27" s="25"/>
      <c r="H27" s="25"/>
      <c r="I27" s="25"/>
      <c r="J27" s="25"/>
      <c r="K27" s="25"/>
      <c r="L27" s="26"/>
      <c r="M27" s="26"/>
      <c r="N27" s="28">
        <v>16500</v>
      </c>
      <c r="O27" s="153"/>
    </row>
    <row r="28" spans="1:20" s="2" customFormat="1" ht="19.8" customHeight="1">
      <c r="A28" s="21" t="s">
        <v>105</v>
      </c>
      <c r="B28" s="22"/>
      <c r="C28" s="34"/>
      <c r="D28" s="121">
        <f>SUM(D16:D26)</f>
        <v>94499.659199999995</v>
      </c>
      <c r="E28" s="36"/>
      <c r="F28" s="36"/>
      <c r="G28" s="36"/>
      <c r="H28" s="36"/>
      <c r="I28" s="36"/>
      <c r="J28" s="36"/>
      <c r="K28" s="36"/>
      <c r="L28" s="37"/>
      <c r="M28" s="37"/>
      <c r="N28" s="240">
        <f>SUM(N16:N27)</f>
        <v>3160900</v>
      </c>
      <c r="O28" s="153"/>
    </row>
    <row r="29" spans="1:20" s="2" customFormat="1" ht="19.8" customHeight="1">
      <c r="A29" s="21" t="s">
        <v>6</v>
      </c>
      <c r="B29" s="22"/>
      <c r="C29" s="34"/>
      <c r="D29" s="35">
        <f>D28/D10</f>
        <v>439.53329860465112</v>
      </c>
      <c r="E29" s="36"/>
      <c r="F29" s="36"/>
      <c r="G29" s="36"/>
      <c r="H29" s="36"/>
      <c r="I29" s="36"/>
      <c r="J29" s="36"/>
      <c r="K29" s="36"/>
      <c r="L29" s="37"/>
      <c r="M29" s="37"/>
      <c r="N29" s="241"/>
      <c r="O29" s="153"/>
    </row>
    <row r="30" spans="1:20" s="2" customFormat="1" ht="19.8" customHeight="1">
      <c r="A30" s="291" t="s">
        <v>51</v>
      </c>
      <c r="B30" s="225"/>
      <c r="C30" s="372" t="s">
        <v>151</v>
      </c>
      <c r="D30" s="20" t="s">
        <v>45</v>
      </c>
      <c r="E30" s="36"/>
      <c r="F30" s="36"/>
      <c r="G30" s="36"/>
      <c r="H30" s="36"/>
      <c r="I30" s="36"/>
      <c r="J30" s="36"/>
      <c r="K30" s="36"/>
      <c r="L30" s="37"/>
      <c r="M30" s="37"/>
      <c r="N30" s="38"/>
      <c r="O30" s="153"/>
    </row>
    <row r="31" spans="1:20" s="2" customFormat="1" ht="19.8" customHeight="1">
      <c r="A31" s="226"/>
      <c r="B31" s="227"/>
      <c r="C31" s="76" t="s">
        <v>59</v>
      </c>
      <c r="D31" s="20">
        <f>D29*100/1320</f>
        <v>33.297977167019027</v>
      </c>
      <c r="E31" s="36"/>
      <c r="F31" s="36"/>
      <c r="G31" s="36"/>
      <c r="H31" s="36"/>
      <c r="I31" s="36"/>
      <c r="J31" s="36"/>
      <c r="K31" s="36"/>
      <c r="L31" s="37"/>
      <c r="M31" s="37"/>
      <c r="N31" s="38"/>
      <c r="O31" s="153"/>
    </row>
    <row r="32" spans="1:20" s="2" customFormat="1" ht="19.8" customHeight="1">
      <c r="A32" s="235" t="s">
        <v>35</v>
      </c>
      <c r="B32" s="235"/>
      <c r="C32" s="56"/>
      <c r="D32" s="57"/>
      <c r="E32" s="58"/>
      <c r="F32" s="58"/>
      <c r="G32" s="58"/>
      <c r="H32" s="58"/>
      <c r="I32" s="58"/>
      <c r="J32" s="58"/>
      <c r="K32" s="58"/>
      <c r="L32" s="59"/>
      <c r="M32" s="59"/>
      <c r="N32" s="69"/>
      <c r="O32" s="153"/>
    </row>
    <row r="33" spans="1:22" s="2" customFormat="1" ht="19.8" customHeight="1">
      <c r="A33" s="15">
        <v>1</v>
      </c>
      <c r="B33" s="6" t="s">
        <v>123</v>
      </c>
      <c r="C33" s="51"/>
      <c r="D33" s="52"/>
      <c r="E33" s="53"/>
      <c r="F33" s="53"/>
      <c r="G33" s="53"/>
      <c r="H33" s="53"/>
      <c r="I33" s="53"/>
      <c r="J33" s="53"/>
      <c r="K33" s="53"/>
      <c r="L33" s="54"/>
      <c r="M33" s="54"/>
      <c r="N33" s="55">
        <v>13750</v>
      </c>
      <c r="O33" s="153"/>
    </row>
    <row r="34" spans="1:22" s="2" customFormat="1" ht="19.8" customHeight="1">
      <c r="A34" s="9">
        <v>2</v>
      </c>
      <c r="B34" s="5" t="s">
        <v>1</v>
      </c>
      <c r="C34" s="23">
        <f t="shared" ref="C34:C39" si="2">L34/100*100</f>
        <v>3225</v>
      </c>
      <c r="D34" s="144">
        <f>C34/100*344</f>
        <v>11094</v>
      </c>
      <c r="E34" s="25"/>
      <c r="F34" s="25">
        <f>C34/100*7.9</f>
        <v>254.77500000000001</v>
      </c>
      <c r="G34" s="25"/>
      <c r="H34" s="25">
        <f>C34/100*1</f>
        <v>32.25</v>
      </c>
      <c r="I34" s="25">
        <f>C34/100*72</f>
        <v>2322</v>
      </c>
      <c r="J34" s="27">
        <f>C34/100*30</f>
        <v>967.5</v>
      </c>
      <c r="K34" s="27">
        <f>C34/100*0.1</f>
        <v>3.2250000000000001</v>
      </c>
      <c r="L34" s="137">
        <v>3225</v>
      </c>
      <c r="M34" s="77">
        <v>18</v>
      </c>
      <c r="N34" s="28">
        <f t="shared" ref="N34:N42" si="3">L34*M34</f>
        <v>58050</v>
      </c>
      <c r="O34" s="371"/>
    </row>
    <row r="35" spans="1:22" s="2" customFormat="1" ht="19.8" customHeight="1">
      <c r="A35" s="9">
        <v>3</v>
      </c>
      <c r="B35" s="5" t="s">
        <v>73</v>
      </c>
      <c r="C35" s="23">
        <f t="shared" si="2"/>
        <v>2150</v>
      </c>
      <c r="D35" s="24">
        <f>C35/100*344</f>
        <v>7396</v>
      </c>
      <c r="E35" s="25"/>
      <c r="F35" s="25">
        <f>C35/100*8.6</f>
        <v>184.9</v>
      </c>
      <c r="G35" s="25"/>
      <c r="H35" s="25">
        <f>C35/100*1.5</f>
        <v>32.25</v>
      </c>
      <c r="I35" s="25">
        <f>C35/100*74.5</f>
        <v>1601.75</v>
      </c>
      <c r="J35" s="25">
        <f>C35/100*32</f>
        <v>688</v>
      </c>
      <c r="K35" s="25">
        <f>C35/100*0.14</f>
        <v>3.0100000000000002</v>
      </c>
      <c r="L35" s="137">
        <v>2150</v>
      </c>
      <c r="M35" s="75">
        <v>30</v>
      </c>
      <c r="N35" s="28">
        <f t="shared" si="3"/>
        <v>64500</v>
      </c>
      <c r="O35" s="153"/>
      <c r="P35" s="18"/>
    </row>
    <row r="36" spans="1:22" s="2" customFormat="1" ht="19.8" customHeight="1">
      <c r="A36" s="9">
        <v>4</v>
      </c>
      <c r="B36" s="16" t="s">
        <v>2</v>
      </c>
      <c r="C36" s="51">
        <f t="shared" si="2"/>
        <v>250</v>
      </c>
      <c r="D36" s="52">
        <f>C36/100*60</f>
        <v>150</v>
      </c>
      <c r="E36" s="53">
        <f>C36/100*15</f>
        <v>37.5</v>
      </c>
      <c r="F36" s="53"/>
      <c r="G36" s="53"/>
      <c r="H36" s="53"/>
      <c r="I36" s="53"/>
      <c r="J36" s="96">
        <f>C36/100*387</f>
        <v>967.5</v>
      </c>
      <c r="K36" s="96">
        <f>C36/100*0.09</f>
        <v>0.22499999999999998</v>
      </c>
      <c r="L36" s="412">
        <v>250</v>
      </c>
      <c r="M36" s="77">
        <v>20</v>
      </c>
      <c r="N36" s="28">
        <f t="shared" si="3"/>
        <v>5000</v>
      </c>
      <c r="O36" s="153"/>
    </row>
    <row r="37" spans="1:22" s="2" customFormat="1" ht="19.8" customHeight="1">
      <c r="A37" s="9">
        <v>5</v>
      </c>
      <c r="B37" s="5" t="s">
        <v>136</v>
      </c>
      <c r="C37" s="23">
        <f t="shared" si="2"/>
        <v>130</v>
      </c>
      <c r="D37" s="24">
        <f>C37/100*247</f>
        <v>321.10000000000002</v>
      </c>
      <c r="E37" s="29"/>
      <c r="F37" s="29">
        <f>C37/100*17.5</f>
        <v>22.75</v>
      </c>
      <c r="G37" s="29"/>
      <c r="H37" s="29">
        <f>C37/100*1.6</f>
        <v>2.08</v>
      </c>
      <c r="I37" s="29">
        <f>C37/100*39.2</f>
        <v>50.960000000000008</v>
      </c>
      <c r="J37" s="71"/>
      <c r="K37" s="71"/>
      <c r="L37" s="370">
        <v>130</v>
      </c>
      <c r="M37" s="75">
        <v>50</v>
      </c>
      <c r="N37" s="28">
        <f t="shared" si="3"/>
        <v>6500</v>
      </c>
      <c r="O37" s="153"/>
      <c r="Q37" s="3"/>
      <c r="R37" s="3"/>
      <c r="S37" s="4"/>
      <c r="T37" s="3"/>
    </row>
    <row r="38" spans="1:22" s="2" customFormat="1" ht="19.8" customHeight="1">
      <c r="A38" s="9">
        <v>6</v>
      </c>
      <c r="B38" s="79" t="s">
        <v>141</v>
      </c>
      <c r="C38" s="23">
        <f t="shared" si="2"/>
        <v>1510</v>
      </c>
      <c r="D38" s="120">
        <f>C38/100*899</f>
        <v>13574.9</v>
      </c>
      <c r="E38" s="25"/>
      <c r="F38" s="25"/>
      <c r="G38" s="119">
        <f>C38/100*99.6</f>
        <v>1503.9599999999998</v>
      </c>
      <c r="H38" s="25"/>
      <c r="I38" s="25"/>
      <c r="J38" s="25"/>
      <c r="K38" s="25"/>
      <c r="L38" s="137">
        <v>1510</v>
      </c>
      <c r="M38" s="24">
        <v>68</v>
      </c>
      <c r="N38" s="28">
        <f t="shared" si="3"/>
        <v>102680</v>
      </c>
      <c r="O38" s="373"/>
    </row>
    <row r="39" spans="1:22" s="2" customFormat="1" ht="19.8" customHeight="1">
      <c r="A39" s="9">
        <v>7</v>
      </c>
      <c r="B39" s="148" t="s">
        <v>146</v>
      </c>
      <c r="C39" s="23">
        <f t="shared" si="2"/>
        <v>220.00000000000003</v>
      </c>
      <c r="D39" s="120">
        <f>C39/100*900</f>
        <v>1980.0000000000002</v>
      </c>
      <c r="E39" s="25"/>
      <c r="F39" s="25"/>
      <c r="G39" s="119"/>
      <c r="H39" s="25">
        <f>C39/100*100</f>
        <v>220.00000000000003</v>
      </c>
      <c r="I39" s="25"/>
      <c r="J39" s="25"/>
      <c r="K39" s="25"/>
      <c r="L39" s="137">
        <v>220</v>
      </c>
      <c r="M39" s="75">
        <v>63.5</v>
      </c>
      <c r="N39" s="28">
        <f t="shared" si="3"/>
        <v>13970</v>
      </c>
      <c r="O39" s="373"/>
    </row>
    <row r="40" spans="1:22" s="2" customFormat="1" ht="19.8" customHeight="1">
      <c r="A40" s="9">
        <v>8</v>
      </c>
      <c r="B40" s="5" t="s">
        <v>4</v>
      </c>
      <c r="C40" s="23">
        <f>L40/100*98.5</f>
        <v>2117.75</v>
      </c>
      <c r="D40" s="24">
        <f>C40/100*39</f>
        <v>825.9224999999999</v>
      </c>
      <c r="E40" s="29"/>
      <c r="F40" s="29">
        <f>C40/100*1.5</f>
        <v>31.766249999999999</v>
      </c>
      <c r="G40" s="29"/>
      <c r="H40" s="29">
        <f>C40/100*0.2</f>
        <v>4.2355</v>
      </c>
      <c r="I40" s="29">
        <f>C40/100*7.8</f>
        <v>165.18449999999999</v>
      </c>
      <c r="J40" s="71">
        <f>C40/100*43</f>
        <v>910.63249999999994</v>
      </c>
      <c r="K40" s="71">
        <f>C40/100*0.06</f>
        <v>1.2706499999999998</v>
      </c>
      <c r="L40" s="370">
        <v>2150</v>
      </c>
      <c r="M40" s="26">
        <v>17</v>
      </c>
      <c r="N40" s="28">
        <f t="shared" si="3"/>
        <v>36550</v>
      </c>
      <c r="O40" s="153"/>
      <c r="Q40" s="3"/>
      <c r="R40" s="3"/>
      <c r="S40" s="4"/>
    </row>
    <row r="41" spans="1:22" s="2" customFormat="1" ht="19.8" customHeight="1">
      <c r="A41" s="9">
        <v>9</v>
      </c>
      <c r="B41" s="10" t="s">
        <v>64</v>
      </c>
      <c r="C41" s="23">
        <f>L41/100*40</f>
        <v>2012</v>
      </c>
      <c r="D41" s="24">
        <f>C41/100*276</f>
        <v>5553.12</v>
      </c>
      <c r="E41" s="25">
        <f>C41/100*17.8</f>
        <v>358.13600000000002</v>
      </c>
      <c r="F41" s="136"/>
      <c r="G41" s="25">
        <f>C41/100*21.8</f>
        <v>438.61600000000004</v>
      </c>
      <c r="H41" s="25"/>
      <c r="I41" s="25"/>
      <c r="J41" s="27">
        <f>C41/100*13</f>
        <v>261.56</v>
      </c>
      <c r="K41" s="27">
        <f>C41/100*0.07</f>
        <v>1.4084000000000001</v>
      </c>
      <c r="L41" s="137">
        <v>5030</v>
      </c>
      <c r="M41" s="75">
        <v>63</v>
      </c>
      <c r="N41" s="135">
        <f t="shared" si="3"/>
        <v>316890</v>
      </c>
      <c r="O41" s="153"/>
    </row>
    <row r="42" spans="1:22" s="2" customFormat="1" ht="19.8" customHeight="1">
      <c r="A42" s="103">
        <v>10</v>
      </c>
      <c r="B42" s="156" t="s">
        <v>149</v>
      </c>
      <c r="C42" s="104">
        <f>L42/100*100</f>
        <v>3660</v>
      </c>
      <c r="D42" s="168">
        <f>C42/100*487</f>
        <v>17824.2</v>
      </c>
      <c r="E42" s="106"/>
      <c r="F42" s="106">
        <f>C42/100*19.5</f>
        <v>713.7</v>
      </c>
      <c r="G42" s="106"/>
      <c r="H42" s="106">
        <f>C42/100*23.2</f>
        <v>849.12</v>
      </c>
      <c r="I42" s="106">
        <f>C42/100*46</f>
        <v>1683.6000000000001</v>
      </c>
      <c r="J42" s="147">
        <f>C42/100*680</f>
        <v>24888</v>
      </c>
      <c r="K42" s="106">
        <f>C42/100*0.55</f>
        <v>20.130000000000003</v>
      </c>
      <c r="L42" s="107">
        <v>3660</v>
      </c>
      <c r="M42" s="157">
        <v>260</v>
      </c>
      <c r="N42" s="108">
        <f t="shared" si="3"/>
        <v>951600</v>
      </c>
      <c r="O42" s="153"/>
      <c r="P42" s="3"/>
    </row>
    <row r="43" spans="1:22" ht="21.6" customHeight="1">
      <c r="A43" s="208" t="s">
        <v>0</v>
      </c>
      <c r="B43" s="211" t="s">
        <v>19</v>
      </c>
      <c r="C43" s="214" t="s">
        <v>8</v>
      </c>
      <c r="D43" s="214" t="s">
        <v>9</v>
      </c>
      <c r="E43" s="217" t="s">
        <v>11</v>
      </c>
      <c r="F43" s="218"/>
      <c r="G43" s="217" t="s">
        <v>13</v>
      </c>
      <c r="H43" s="218"/>
      <c r="I43" s="221" t="s">
        <v>16</v>
      </c>
      <c r="J43" s="221" t="s">
        <v>41</v>
      </c>
      <c r="K43" s="221" t="s">
        <v>42</v>
      </c>
      <c r="L43" s="221" t="s">
        <v>17</v>
      </c>
      <c r="M43" s="221" t="s">
        <v>40</v>
      </c>
      <c r="N43" s="208" t="s">
        <v>18</v>
      </c>
      <c r="O43" s="369"/>
    </row>
    <row r="44" spans="1:22" ht="21.6" customHeight="1">
      <c r="A44" s="209"/>
      <c r="B44" s="212"/>
      <c r="C44" s="215"/>
      <c r="D44" s="215"/>
      <c r="E44" s="219"/>
      <c r="F44" s="220"/>
      <c r="G44" s="219"/>
      <c r="H44" s="220"/>
      <c r="I44" s="222"/>
      <c r="J44" s="222"/>
      <c r="K44" s="222"/>
      <c r="L44" s="222"/>
      <c r="M44" s="222"/>
      <c r="N44" s="209"/>
      <c r="O44" s="175"/>
    </row>
    <row r="45" spans="1:22" ht="21.6" customHeight="1">
      <c r="A45" s="209"/>
      <c r="B45" s="212"/>
      <c r="C45" s="215"/>
      <c r="D45" s="215"/>
      <c r="E45" s="221" t="s">
        <v>10</v>
      </c>
      <c r="F45" s="221" t="s">
        <v>12</v>
      </c>
      <c r="G45" s="221" t="s">
        <v>14</v>
      </c>
      <c r="H45" s="221" t="s">
        <v>15</v>
      </c>
      <c r="I45" s="222"/>
      <c r="J45" s="222"/>
      <c r="K45" s="222"/>
      <c r="L45" s="222"/>
      <c r="M45" s="222"/>
      <c r="N45" s="209"/>
      <c r="O45" s="175"/>
    </row>
    <row r="46" spans="1:22" ht="21.6" customHeight="1">
      <c r="A46" s="210"/>
      <c r="B46" s="213"/>
      <c r="C46" s="216"/>
      <c r="D46" s="216"/>
      <c r="E46" s="223"/>
      <c r="F46" s="223"/>
      <c r="G46" s="223"/>
      <c r="H46" s="223"/>
      <c r="I46" s="223"/>
      <c r="J46" s="223"/>
      <c r="K46" s="223"/>
      <c r="L46" s="223"/>
      <c r="M46" s="223"/>
      <c r="N46" s="210"/>
      <c r="O46" s="175"/>
    </row>
    <row r="47" spans="1:22" s="2" customFormat="1" ht="21.6" customHeight="1">
      <c r="A47" s="21" t="s">
        <v>106</v>
      </c>
      <c r="B47" s="22"/>
      <c r="C47" s="34"/>
      <c r="D47" s="121">
        <f>SUM(D33:D42)</f>
        <v>58719.242500000008</v>
      </c>
      <c r="E47" s="43"/>
      <c r="F47" s="43"/>
      <c r="G47" s="43"/>
      <c r="H47" s="43"/>
      <c r="I47" s="43"/>
      <c r="J47" s="43"/>
      <c r="K47" s="43"/>
      <c r="L47" s="44"/>
      <c r="M47" s="44"/>
      <c r="N47" s="240">
        <f>SUM(N33:N42)</f>
        <v>1569490</v>
      </c>
      <c r="O47" s="153"/>
    </row>
    <row r="48" spans="1:22" ht="21.6" customHeight="1">
      <c r="A48" s="21" t="s">
        <v>7</v>
      </c>
      <c r="B48" s="22"/>
      <c r="C48" s="45"/>
      <c r="D48" s="72">
        <f>D47/D10</f>
        <v>273.11275581395353</v>
      </c>
      <c r="E48" s="46"/>
      <c r="F48" s="46"/>
      <c r="G48" s="46"/>
      <c r="H48" s="46"/>
      <c r="I48" s="46"/>
      <c r="J48" s="46"/>
      <c r="K48" s="46"/>
      <c r="L48" s="47"/>
      <c r="M48" s="47"/>
      <c r="N48" s="241"/>
      <c r="O48" s="4"/>
      <c r="P48" s="2"/>
      <c r="Q48" s="2"/>
      <c r="R48" s="2"/>
      <c r="S48" s="2"/>
      <c r="T48" s="2"/>
      <c r="U48" s="2"/>
      <c r="V48" s="2"/>
    </row>
    <row r="49" spans="1:23" ht="21.6" customHeight="1">
      <c r="A49" s="291" t="s">
        <v>52</v>
      </c>
      <c r="B49" s="225"/>
      <c r="C49" s="372" t="s">
        <v>151</v>
      </c>
      <c r="D49" s="20" t="s">
        <v>58</v>
      </c>
      <c r="E49" s="46"/>
      <c r="F49" s="46"/>
      <c r="G49" s="46"/>
      <c r="H49" s="46"/>
      <c r="I49" s="46"/>
      <c r="J49" s="48"/>
      <c r="K49" s="48"/>
      <c r="L49" s="47"/>
      <c r="M49" s="47"/>
      <c r="N49" s="176"/>
      <c r="O49" s="4"/>
      <c r="P49" s="2"/>
      <c r="Q49" s="2"/>
      <c r="R49" s="2"/>
      <c r="S49" s="2"/>
      <c r="T49" s="2"/>
      <c r="U49" s="2"/>
      <c r="V49" s="2"/>
      <c r="W49" s="2"/>
    </row>
    <row r="50" spans="1:23" ht="21.6" customHeight="1">
      <c r="A50" s="226"/>
      <c r="B50" s="227"/>
      <c r="C50" s="76" t="s">
        <v>60</v>
      </c>
      <c r="D50" s="20">
        <f>D48*100/1320</f>
        <v>20.690360288935871</v>
      </c>
      <c r="E50" s="46"/>
      <c r="F50" s="46"/>
      <c r="G50" s="46"/>
      <c r="H50" s="46"/>
      <c r="I50" s="46"/>
      <c r="J50" s="48"/>
      <c r="K50" s="48"/>
      <c r="L50" s="47"/>
      <c r="M50" s="47"/>
      <c r="N50" s="176"/>
      <c r="O50" s="4"/>
      <c r="P50" s="2"/>
      <c r="Q50" s="2"/>
      <c r="R50" s="2"/>
      <c r="S50" s="2"/>
      <c r="T50" s="2"/>
      <c r="U50" s="2"/>
      <c r="V50" s="2"/>
      <c r="W50" s="2"/>
    </row>
    <row r="51" spans="1:23" ht="21.6" customHeight="1">
      <c r="A51" s="283" t="s">
        <v>113</v>
      </c>
      <c r="B51" s="284"/>
      <c r="C51" s="287"/>
      <c r="D51" s="296">
        <f>D28+D47</f>
        <v>153218.90169999999</v>
      </c>
      <c r="E51" s="123">
        <f t="shared" ref="E51:K51" si="4">SUM(E16:E42)</f>
        <v>3031.7436000000002</v>
      </c>
      <c r="F51" s="123">
        <f t="shared" si="4"/>
        <v>2934.5695299999998</v>
      </c>
      <c r="G51" s="123">
        <f t="shared" si="4"/>
        <v>3232.5347999999999</v>
      </c>
      <c r="H51" s="123">
        <f t="shared" si="4"/>
        <v>1362.9950100000001</v>
      </c>
      <c r="I51" s="251">
        <f t="shared" si="4"/>
        <v>21292.931609999996</v>
      </c>
      <c r="J51" s="281">
        <f t="shared" si="4"/>
        <v>40173.595399999998</v>
      </c>
      <c r="K51" s="281">
        <f t="shared" si="4"/>
        <v>84.713806000000005</v>
      </c>
      <c r="L51" s="281"/>
      <c r="M51" s="281"/>
      <c r="N51" s="257">
        <f>N28+N47</f>
        <v>4730390</v>
      </c>
      <c r="U51" s="12"/>
      <c r="V51" s="12"/>
    </row>
    <row r="52" spans="1:23" ht="21.6" customHeight="1">
      <c r="A52" s="285"/>
      <c r="B52" s="286"/>
      <c r="C52" s="288"/>
      <c r="D52" s="297"/>
      <c r="E52" s="279">
        <f>E51+F51</f>
        <v>5966.3131300000005</v>
      </c>
      <c r="F52" s="280"/>
      <c r="G52" s="279">
        <f>G51+H51</f>
        <v>4595.52981</v>
      </c>
      <c r="H52" s="280"/>
      <c r="I52" s="253"/>
      <c r="J52" s="282"/>
      <c r="K52" s="282"/>
      <c r="L52" s="298"/>
      <c r="M52" s="298"/>
      <c r="N52" s="258"/>
      <c r="P52" s="395"/>
      <c r="Q52" s="396"/>
      <c r="R52" s="396"/>
      <c r="S52" s="396"/>
      <c r="T52" s="396"/>
      <c r="U52" s="397"/>
      <c r="V52" s="397"/>
    </row>
    <row r="53" spans="1:23" ht="21.6" customHeight="1">
      <c r="A53" s="245" t="s">
        <v>77</v>
      </c>
      <c r="B53" s="246"/>
      <c r="C53" s="247"/>
      <c r="D53" s="134">
        <f>D51/D10</f>
        <v>712.64605441860465</v>
      </c>
      <c r="E53" s="374">
        <f>E51/D10</f>
        <v>14.101133023255816</v>
      </c>
      <c r="F53" s="375">
        <f>F51/D10</f>
        <v>13.649160604651161</v>
      </c>
      <c r="G53" s="374">
        <f>G51/D10</f>
        <v>15.035045581395348</v>
      </c>
      <c r="H53" s="405">
        <f>H51/D10</f>
        <v>6.3395116744186053</v>
      </c>
      <c r="I53" s="261">
        <f>I51/D10</f>
        <v>99.036891209302311</v>
      </c>
      <c r="J53" s="299">
        <f>J51/D10</f>
        <v>186.85393209302325</v>
      </c>
      <c r="K53" s="299">
        <f>K51/D10</f>
        <v>0.39401770232558142</v>
      </c>
      <c r="L53" s="298"/>
      <c r="M53" s="298"/>
      <c r="N53" s="258"/>
      <c r="P53" s="398"/>
      <c r="Q53" s="396"/>
      <c r="R53" s="396"/>
      <c r="S53" s="396"/>
      <c r="T53" s="396"/>
      <c r="U53" s="396"/>
      <c r="V53" s="396"/>
    </row>
    <row r="54" spans="1:23" ht="21.6" customHeight="1">
      <c r="A54" s="248"/>
      <c r="B54" s="249"/>
      <c r="C54" s="250"/>
      <c r="D54" s="127"/>
      <c r="E54" s="376">
        <f>E53+F53</f>
        <v>27.750293627906977</v>
      </c>
      <c r="F54" s="377"/>
      <c r="G54" s="376">
        <f>G53+H53</f>
        <v>21.374557255813954</v>
      </c>
      <c r="H54" s="377"/>
      <c r="I54" s="262"/>
      <c r="J54" s="300"/>
      <c r="K54" s="300"/>
      <c r="L54" s="298"/>
      <c r="M54" s="298"/>
      <c r="N54" s="258"/>
      <c r="P54" s="395"/>
      <c r="Q54" s="395"/>
      <c r="R54" s="395"/>
      <c r="S54" s="395"/>
      <c r="T54" s="395"/>
      <c r="U54" s="395"/>
      <c r="V54" s="395"/>
    </row>
    <row r="55" spans="1:23" ht="21.6" customHeight="1">
      <c r="A55" s="304" t="s">
        <v>80</v>
      </c>
      <c r="B55" s="305"/>
      <c r="C55" s="306"/>
      <c r="D55" s="178" t="s">
        <v>28</v>
      </c>
      <c r="E55" s="194" t="s">
        <v>21</v>
      </c>
      <c r="F55" s="194"/>
      <c r="G55" s="194" t="s">
        <v>22</v>
      </c>
      <c r="H55" s="194"/>
      <c r="I55" s="174" t="s">
        <v>23</v>
      </c>
      <c r="J55" s="378">
        <v>600</v>
      </c>
      <c r="K55" s="378">
        <v>0.7</v>
      </c>
      <c r="L55" s="298"/>
      <c r="M55" s="298"/>
      <c r="N55" s="258"/>
      <c r="O55" s="379"/>
      <c r="P55" s="395"/>
      <c r="Q55" s="395"/>
      <c r="R55" s="395"/>
      <c r="S55" s="395"/>
      <c r="T55" s="395"/>
      <c r="U55" s="395"/>
      <c r="V55" s="395"/>
    </row>
    <row r="56" spans="1:23" ht="21.6" customHeight="1">
      <c r="A56" s="242" t="s">
        <v>78</v>
      </c>
      <c r="B56" s="272"/>
      <c r="C56" s="243"/>
      <c r="D56" s="49"/>
      <c r="E56" s="273">
        <f>E54*4.1</f>
        <v>113.7762038744186</v>
      </c>
      <c r="F56" s="274"/>
      <c r="G56" s="273">
        <f>G54*9</f>
        <v>192.37101530232559</v>
      </c>
      <c r="H56" s="274"/>
      <c r="I56" s="85">
        <f>I53*4.1</f>
        <v>406.05125395813945</v>
      </c>
      <c r="J56" s="254"/>
      <c r="K56" s="254"/>
      <c r="L56" s="298"/>
      <c r="M56" s="298"/>
      <c r="N56" s="258"/>
      <c r="O56" s="379"/>
      <c r="P56" s="399"/>
      <c r="Q56" s="400"/>
      <c r="R56" s="400"/>
      <c r="S56" s="400"/>
      <c r="T56" s="400"/>
      <c r="U56" s="395"/>
      <c r="V56" s="395"/>
    </row>
    <row r="57" spans="1:23" ht="21.6" customHeight="1">
      <c r="A57" s="275" t="s">
        <v>81</v>
      </c>
      <c r="B57" s="276"/>
      <c r="C57" s="242" t="s">
        <v>59</v>
      </c>
      <c r="D57" s="243"/>
      <c r="E57" s="292">
        <f>E56*100/D53</f>
        <v>15.965317308497585</v>
      </c>
      <c r="F57" s="293"/>
      <c r="G57" s="292">
        <f>G56*100/D53</f>
        <v>26.99390729936292</v>
      </c>
      <c r="H57" s="293"/>
      <c r="I57" s="116">
        <f>I56*100/D53</f>
        <v>56.97796984077975</v>
      </c>
      <c r="J57" s="255"/>
      <c r="K57" s="255"/>
      <c r="L57" s="298"/>
      <c r="M57" s="298"/>
      <c r="N57" s="258"/>
      <c r="O57" s="379"/>
      <c r="P57" s="395"/>
      <c r="Q57" s="395"/>
      <c r="R57" s="395"/>
      <c r="S57" s="395"/>
      <c r="T57" s="395"/>
      <c r="U57" s="395"/>
      <c r="V57" s="395"/>
    </row>
    <row r="58" spans="1:23" ht="18" customHeight="1">
      <c r="A58" s="277"/>
      <c r="B58" s="278"/>
      <c r="C58" s="242" t="s">
        <v>79</v>
      </c>
      <c r="D58" s="243"/>
      <c r="E58" s="242" t="s">
        <v>82</v>
      </c>
      <c r="F58" s="243"/>
      <c r="G58" s="242" t="s">
        <v>83</v>
      </c>
      <c r="H58" s="243"/>
      <c r="I58" s="178" t="s">
        <v>84</v>
      </c>
      <c r="J58" s="256"/>
      <c r="K58" s="256"/>
      <c r="L58" s="282"/>
      <c r="M58" s="282"/>
      <c r="N58" s="259"/>
      <c r="O58" s="379"/>
    </row>
    <row r="59" spans="1:23" ht="21" customHeight="1">
      <c r="A59" s="90"/>
      <c r="B59" s="93"/>
      <c r="C59" s="90"/>
      <c r="D59" s="90"/>
      <c r="E59" s="90"/>
      <c r="F59" s="90"/>
      <c r="G59" s="90"/>
      <c r="H59" s="90"/>
      <c r="I59" s="90"/>
      <c r="J59" s="90"/>
      <c r="K59" s="90"/>
      <c r="L59" s="91"/>
      <c r="M59" s="91"/>
      <c r="N59" s="92"/>
      <c r="O59" s="379"/>
      <c r="P59" s="132"/>
    </row>
    <row r="60" spans="1:23" ht="21" customHeight="1">
      <c r="A60" s="183" t="s">
        <v>114</v>
      </c>
      <c r="B60" s="183"/>
      <c r="C60" s="183"/>
      <c r="D60" s="183"/>
      <c r="E60" s="183"/>
      <c r="F60" s="183"/>
      <c r="G60" s="183"/>
      <c r="H60" s="183"/>
      <c r="I60" s="183"/>
      <c r="J60" s="183"/>
      <c r="K60" s="183"/>
      <c r="L60" s="183"/>
      <c r="M60" s="183"/>
      <c r="N60" s="183"/>
      <c r="O60" s="379"/>
    </row>
    <row r="61" spans="1:23" ht="21" customHeight="1">
      <c r="A61" s="117" t="s">
        <v>115</v>
      </c>
      <c r="B61" s="184" t="s">
        <v>116</v>
      </c>
      <c r="C61" s="184"/>
      <c r="D61" s="184"/>
      <c r="E61" s="184"/>
      <c r="F61" s="184"/>
      <c r="G61" s="184"/>
      <c r="H61" s="184"/>
      <c r="I61" s="184"/>
      <c r="J61" s="184"/>
      <c r="K61" s="184"/>
      <c r="L61" s="184"/>
      <c r="M61" s="184"/>
      <c r="N61" s="184"/>
      <c r="O61" s="379"/>
    </row>
    <row r="62" spans="1:23" ht="21" customHeight="1">
      <c r="A62" s="118"/>
      <c r="B62" s="185" t="s">
        <v>202</v>
      </c>
      <c r="C62" s="185"/>
      <c r="D62" s="185"/>
      <c r="E62" s="185"/>
      <c r="F62" s="185"/>
      <c r="G62" s="185"/>
      <c r="H62" s="185"/>
      <c r="I62" s="185"/>
      <c r="J62" s="185"/>
      <c r="K62" s="185"/>
      <c r="L62" s="185"/>
      <c r="M62" s="185"/>
      <c r="N62" s="185"/>
      <c r="O62" s="379"/>
    </row>
    <row r="63" spans="1:23" ht="21" customHeight="1">
      <c r="A63" s="118"/>
      <c r="B63" s="185" t="s">
        <v>190</v>
      </c>
      <c r="C63" s="185"/>
      <c r="D63" s="185"/>
      <c r="E63" s="185"/>
      <c r="F63" s="185"/>
      <c r="G63" s="185"/>
      <c r="H63" s="185"/>
      <c r="I63" s="185"/>
      <c r="J63" s="185"/>
      <c r="K63" s="185"/>
      <c r="L63" s="185"/>
      <c r="M63" s="185"/>
      <c r="N63" s="185"/>
      <c r="O63" s="379"/>
    </row>
    <row r="64" spans="1:23" ht="21" customHeight="1">
      <c r="A64" s="118"/>
      <c r="B64" s="185" t="s">
        <v>195</v>
      </c>
      <c r="C64" s="185"/>
      <c r="D64" s="185"/>
      <c r="E64" s="185"/>
      <c r="F64" s="185"/>
      <c r="G64" s="185"/>
      <c r="H64" s="185"/>
      <c r="I64" s="185"/>
      <c r="J64" s="185"/>
      <c r="K64" s="185"/>
      <c r="L64" s="185"/>
      <c r="M64" s="185"/>
      <c r="N64" s="185"/>
      <c r="O64" s="379"/>
    </row>
    <row r="65" spans="1:15" ht="21" customHeight="1">
      <c r="A65" s="90"/>
      <c r="B65" s="186" t="s">
        <v>117</v>
      </c>
      <c r="C65" s="186"/>
      <c r="D65" s="186"/>
      <c r="E65" s="186"/>
      <c r="F65" s="186"/>
      <c r="G65" s="186"/>
      <c r="H65" s="186"/>
      <c r="I65" s="186"/>
      <c r="J65" s="186"/>
      <c r="K65" s="186"/>
      <c r="L65" s="186"/>
      <c r="M65" s="186"/>
      <c r="N65" s="186"/>
      <c r="O65" s="379"/>
    </row>
    <row r="66" spans="1:15" ht="21" customHeight="1">
      <c r="A66" s="90"/>
      <c r="B66" s="90"/>
      <c r="C66" s="90"/>
      <c r="D66" s="90"/>
      <c r="E66" s="90"/>
      <c r="F66" s="90"/>
      <c r="G66" s="90"/>
      <c r="H66" s="90"/>
      <c r="I66" s="90"/>
      <c r="J66" s="90"/>
      <c r="K66" s="90"/>
      <c r="L66" s="94"/>
      <c r="M66" s="94"/>
      <c r="N66" s="95"/>
      <c r="O66" s="379"/>
    </row>
    <row r="67" spans="1:15" ht="22.2" customHeight="1">
      <c r="A67" s="187" t="s">
        <v>62</v>
      </c>
      <c r="B67" s="187"/>
      <c r="C67" s="187"/>
      <c r="D67" s="187"/>
      <c r="E67" s="380"/>
      <c r="F67" s="380"/>
      <c r="G67" s="380"/>
      <c r="H67" s="380"/>
      <c r="I67" s="380"/>
      <c r="J67" s="381" t="s">
        <v>33</v>
      </c>
      <c r="K67" s="381"/>
      <c r="L67" s="381"/>
      <c r="M67" s="381"/>
      <c r="N67" s="381"/>
      <c r="O67" s="379"/>
    </row>
    <row r="68" spans="1:15" ht="22.2" customHeight="1">
      <c r="A68" s="175"/>
      <c r="B68" s="175"/>
      <c r="C68" s="175"/>
      <c r="D68" s="380"/>
      <c r="E68" s="380"/>
      <c r="F68" s="380"/>
      <c r="G68" s="380"/>
      <c r="H68" s="382"/>
      <c r="I68" s="382"/>
      <c r="J68" s="382"/>
      <c r="K68" s="382"/>
      <c r="L68" s="382"/>
      <c r="M68" s="382"/>
      <c r="N68" s="382"/>
      <c r="O68" s="379"/>
    </row>
    <row r="69" spans="1:15" ht="22.2" customHeight="1">
      <c r="A69" s="175"/>
      <c r="B69" s="175"/>
      <c r="C69" s="175"/>
      <c r="D69" s="380"/>
      <c r="E69" s="380"/>
      <c r="F69" s="380"/>
      <c r="G69" s="380"/>
      <c r="H69" s="382"/>
      <c r="I69" s="382"/>
      <c r="J69" s="382"/>
      <c r="K69" s="382"/>
      <c r="L69" s="382"/>
      <c r="M69" s="382"/>
      <c r="N69" s="382"/>
      <c r="O69" s="379"/>
    </row>
    <row r="70" spans="1:15" ht="22.2" customHeight="1">
      <c r="A70" s="175"/>
      <c r="B70" s="175"/>
      <c r="C70" s="175"/>
      <c r="D70" s="380"/>
      <c r="E70" s="380"/>
      <c r="F70" s="380"/>
      <c r="G70" s="380"/>
      <c r="H70" s="382"/>
      <c r="I70" s="382"/>
      <c r="J70" s="383" t="s">
        <v>124</v>
      </c>
      <c r="K70" s="383"/>
      <c r="L70" s="383"/>
      <c r="M70" s="383"/>
      <c r="N70" s="383"/>
      <c r="O70" s="379"/>
    </row>
    <row r="71" spans="1:15" ht="22.2" customHeight="1">
      <c r="A71" s="179" t="s">
        <v>91</v>
      </c>
      <c r="B71" s="179"/>
      <c r="C71" s="179"/>
      <c r="D71" s="179"/>
      <c r="E71" s="380"/>
      <c r="F71" s="380"/>
      <c r="G71" s="380"/>
      <c r="H71" s="382"/>
      <c r="I71" s="382"/>
      <c r="J71" s="383"/>
      <c r="K71" s="383"/>
      <c r="L71" s="383"/>
      <c r="M71" s="383"/>
      <c r="N71" s="383"/>
      <c r="O71" s="379"/>
    </row>
    <row r="72" spans="1:15" ht="22.2" customHeight="1">
      <c r="A72" s="175"/>
      <c r="B72" s="175"/>
      <c r="C72" s="175"/>
      <c r="D72" s="380"/>
      <c r="E72" s="380"/>
      <c r="F72" s="380"/>
      <c r="G72" s="380"/>
      <c r="H72" s="382"/>
      <c r="I72" s="382"/>
      <c r="J72" s="382"/>
      <c r="K72" s="382"/>
      <c r="L72" s="382"/>
      <c r="M72" s="382"/>
      <c r="N72" s="382"/>
      <c r="O72" s="379"/>
    </row>
    <row r="73" spans="1:15" ht="18" customHeight="1">
      <c r="A73" s="175"/>
      <c r="B73" s="175"/>
      <c r="C73" s="175"/>
      <c r="D73" s="380"/>
      <c r="E73" s="380"/>
      <c r="F73" s="380"/>
      <c r="G73" s="380"/>
      <c r="H73" s="382"/>
      <c r="I73" s="382"/>
      <c r="J73" s="383" t="s">
        <v>127</v>
      </c>
      <c r="K73" s="383"/>
      <c r="L73" s="383"/>
      <c r="M73" s="383"/>
      <c r="N73" s="383"/>
      <c r="O73" s="379"/>
    </row>
    <row r="74" spans="1:15" ht="18" customHeight="1">
      <c r="A74" s="175"/>
      <c r="B74" s="175"/>
      <c r="C74" s="175"/>
      <c r="D74" s="380"/>
      <c r="E74" s="380"/>
      <c r="F74" s="380"/>
      <c r="G74" s="380"/>
      <c r="H74" s="382"/>
      <c r="I74" s="382"/>
      <c r="J74" s="383"/>
      <c r="K74" s="383"/>
      <c r="L74" s="383"/>
      <c r="M74" s="383"/>
      <c r="N74" s="383"/>
      <c r="O74" s="379"/>
    </row>
    <row r="75" spans="1:15" ht="18" customHeight="1">
      <c r="A75" s="175"/>
      <c r="B75" s="175"/>
      <c r="C75" s="175"/>
      <c r="D75" s="380"/>
      <c r="E75" s="380"/>
      <c r="F75" s="380"/>
      <c r="G75" s="380"/>
      <c r="H75" s="382"/>
      <c r="I75" s="382"/>
      <c r="J75" s="382"/>
      <c r="K75" s="382"/>
      <c r="L75" s="382"/>
      <c r="M75" s="382"/>
      <c r="N75" s="382"/>
      <c r="O75" s="379"/>
    </row>
    <row r="76" spans="1:15" ht="18" customHeight="1">
      <c r="A76" s="175"/>
      <c r="B76" s="175"/>
      <c r="C76" s="175"/>
      <c r="D76" s="380"/>
      <c r="E76" s="380"/>
      <c r="F76" s="380"/>
      <c r="G76" s="380"/>
      <c r="H76" s="382"/>
      <c r="I76" s="382"/>
      <c r="J76" s="382"/>
      <c r="K76" s="382"/>
      <c r="L76" s="382"/>
      <c r="M76" s="382"/>
      <c r="N76" s="382"/>
      <c r="O76" s="379"/>
    </row>
    <row r="77" spans="1:15" ht="18" customHeight="1">
      <c r="A77" s="175"/>
      <c r="B77" s="175"/>
      <c r="C77" s="175"/>
      <c r="D77" s="380"/>
      <c r="E77" s="380"/>
      <c r="F77" s="380"/>
      <c r="G77" s="380"/>
      <c r="H77" s="382"/>
      <c r="I77" s="382"/>
      <c r="J77" s="382"/>
      <c r="K77" s="382"/>
      <c r="L77" s="382"/>
      <c r="M77" s="382"/>
      <c r="N77" s="382"/>
      <c r="O77" s="379"/>
    </row>
    <row r="78" spans="1:15" ht="18" customHeight="1">
      <c r="A78" s="175"/>
      <c r="B78" s="175"/>
      <c r="C78" s="175"/>
      <c r="D78" s="380"/>
      <c r="E78" s="380"/>
      <c r="F78" s="380"/>
      <c r="G78" s="380"/>
      <c r="H78" s="382"/>
      <c r="I78" s="382"/>
      <c r="J78" s="382"/>
      <c r="K78" s="382"/>
      <c r="L78" s="382"/>
      <c r="M78" s="382"/>
      <c r="N78" s="382"/>
      <c r="O78" s="379"/>
    </row>
    <row r="79" spans="1:15" ht="18" customHeight="1">
      <c r="A79" s="175"/>
      <c r="B79" s="175"/>
      <c r="C79" s="175"/>
      <c r="D79" s="380"/>
      <c r="E79" s="380"/>
      <c r="F79" s="380"/>
      <c r="G79" s="380"/>
      <c r="H79" s="382"/>
      <c r="I79" s="382"/>
      <c r="J79" s="382"/>
      <c r="K79" s="382"/>
      <c r="L79" s="382"/>
      <c r="M79" s="382"/>
      <c r="N79" s="382"/>
      <c r="O79" s="379"/>
    </row>
    <row r="80" spans="1:15" ht="18" customHeight="1">
      <c r="A80" s="175"/>
      <c r="B80" s="175"/>
      <c r="C80" s="175"/>
      <c r="D80" s="380"/>
      <c r="E80" s="380"/>
      <c r="F80" s="380"/>
      <c r="G80" s="380"/>
      <c r="H80" s="382"/>
      <c r="I80" s="382"/>
      <c r="J80" s="382"/>
      <c r="K80" s="382"/>
      <c r="L80" s="382"/>
      <c r="M80" s="382"/>
      <c r="N80" s="382"/>
      <c r="O80" s="379"/>
    </row>
    <row r="81" spans="1:20" ht="18" customHeight="1">
      <c r="A81" s="175"/>
      <c r="B81" s="175"/>
      <c r="C81" s="175"/>
      <c r="D81" s="380"/>
      <c r="E81" s="380"/>
      <c r="F81" s="380"/>
      <c r="G81" s="380"/>
      <c r="H81" s="382"/>
      <c r="I81" s="382"/>
      <c r="J81" s="382"/>
      <c r="K81" s="382"/>
      <c r="L81" s="382"/>
      <c r="M81" s="382"/>
      <c r="N81" s="382"/>
      <c r="O81" s="379"/>
    </row>
    <row r="82" spans="1:20" ht="19.2" customHeight="1">
      <c r="A82" s="175"/>
      <c r="B82" s="175"/>
      <c r="C82" s="175"/>
      <c r="D82" s="380"/>
      <c r="E82" s="380"/>
      <c r="F82" s="380"/>
      <c r="G82" s="380"/>
      <c r="H82" s="382"/>
      <c r="I82" s="382"/>
      <c r="J82" s="382"/>
      <c r="K82" s="382"/>
      <c r="L82" s="382"/>
      <c r="M82" s="382"/>
      <c r="N82" s="382"/>
      <c r="O82" s="379"/>
    </row>
    <row r="83" spans="1:20" ht="19.2" customHeight="1">
      <c r="A83" s="11" t="s">
        <v>61</v>
      </c>
      <c r="B83" s="8"/>
      <c r="C83" s="8"/>
      <c r="D83" s="8"/>
      <c r="E83" s="8"/>
      <c r="F83" s="290" t="s">
        <v>32</v>
      </c>
      <c r="G83" s="290"/>
      <c r="H83" s="290"/>
      <c r="I83" s="290"/>
      <c r="J83" s="290"/>
      <c r="K83" s="290"/>
      <c r="L83" s="290"/>
      <c r="M83" s="290"/>
      <c r="N83" s="290"/>
      <c r="O83" s="367"/>
      <c r="P83" s="367"/>
      <c r="T83" s="2"/>
    </row>
    <row r="84" spans="1:20" ht="11.4" customHeight="1">
      <c r="A84" s="11"/>
      <c r="B84" s="8"/>
      <c r="C84" s="8"/>
      <c r="D84" s="8"/>
      <c r="E84" s="8"/>
      <c r="F84" s="172"/>
      <c r="G84" s="172"/>
      <c r="H84" s="172"/>
      <c r="I84" s="172"/>
      <c r="J84" s="172"/>
      <c r="K84" s="172"/>
      <c r="L84" s="172"/>
      <c r="M84" s="172"/>
      <c r="N84" s="172"/>
      <c r="O84" s="367"/>
      <c r="P84" s="367"/>
      <c r="T84" s="2"/>
    </row>
    <row r="85" spans="1:20" ht="19.2" customHeight="1">
      <c r="A85" s="8" t="s">
        <v>201</v>
      </c>
      <c r="B85" s="8"/>
      <c r="C85" s="8"/>
      <c r="D85" s="8"/>
      <c r="E85" s="8"/>
      <c r="F85" s="172"/>
      <c r="G85" s="172"/>
      <c r="H85" s="172"/>
      <c r="I85" s="172"/>
      <c r="J85" s="172"/>
      <c r="K85" s="172"/>
      <c r="L85" s="172"/>
      <c r="M85" s="172"/>
      <c r="N85" s="172"/>
      <c r="O85" s="367"/>
      <c r="P85" s="367"/>
      <c r="T85" s="2"/>
    </row>
    <row r="86" spans="1:20" ht="10.8" customHeight="1">
      <c r="A86" s="8"/>
      <c r="B86" s="8"/>
      <c r="C86" s="8"/>
      <c r="D86" s="8"/>
      <c r="E86" s="8"/>
      <c r="F86" s="172"/>
      <c r="G86" s="172"/>
      <c r="H86" s="172"/>
      <c r="I86" s="172"/>
      <c r="J86" s="172"/>
      <c r="K86" s="172"/>
      <c r="L86" s="172"/>
      <c r="M86" s="172"/>
      <c r="N86" s="172"/>
      <c r="O86" s="367"/>
      <c r="P86" s="367"/>
      <c r="T86" s="2"/>
    </row>
    <row r="87" spans="1:20" s="2" customFormat="1" ht="19.2" customHeight="1">
      <c r="A87" s="194" t="s">
        <v>97</v>
      </c>
      <c r="B87" s="194"/>
      <c r="C87" s="194"/>
      <c r="D87" s="194"/>
      <c r="E87" s="194" t="s">
        <v>89</v>
      </c>
      <c r="F87" s="194"/>
      <c r="G87" s="194"/>
      <c r="H87" s="194"/>
      <c r="I87" s="194"/>
      <c r="J87" s="194"/>
      <c r="K87" s="194"/>
      <c r="L87" s="194"/>
      <c r="M87" s="194"/>
      <c r="N87" s="194"/>
      <c r="O87" s="368"/>
    </row>
    <row r="88" spans="1:20" s="2" customFormat="1" ht="19.2" customHeight="1">
      <c r="A88" s="194"/>
      <c r="B88" s="194"/>
      <c r="C88" s="194"/>
      <c r="D88" s="194"/>
      <c r="E88" s="194" t="s">
        <v>100</v>
      </c>
      <c r="F88" s="194"/>
      <c r="G88" s="194"/>
      <c r="H88" s="194"/>
      <c r="I88" s="194"/>
      <c r="J88" s="194" t="s">
        <v>101</v>
      </c>
      <c r="K88" s="194"/>
      <c r="L88" s="194"/>
      <c r="M88" s="194"/>
      <c r="N88" s="194"/>
      <c r="O88" s="368"/>
    </row>
    <row r="89" spans="1:20" s="2" customFormat="1" ht="19.2" customHeight="1">
      <c r="A89" s="195" t="s">
        <v>90</v>
      </c>
      <c r="B89" s="195"/>
      <c r="C89" s="195"/>
      <c r="D89" s="195"/>
      <c r="E89" s="198" t="s">
        <v>148</v>
      </c>
      <c r="F89" s="198"/>
      <c r="G89" s="198"/>
      <c r="H89" s="198"/>
      <c r="I89" s="198"/>
      <c r="J89" s="195" t="s">
        <v>90</v>
      </c>
      <c r="K89" s="195"/>
      <c r="L89" s="195"/>
      <c r="M89" s="195"/>
      <c r="N89" s="195"/>
      <c r="O89" s="368"/>
    </row>
    <row r="90" spans="1:20" s="2" customFormat="1" ht="19.2" customHeight="1">
      <c r="A90" s="196" t="s">
        <v>134</v>
      </c>
      <c r="B90" s="196"/>
      <c r="C90" s="196"/>
      <c r="D90" s="196"/>
      <c r="E90" s="198"/>
      <c r="F90" s="198"/>
      <c r="G90" s="198"/>
      <c r="H90" s="198"/>
      <c r="I90" s="198"/>
      <c r="J90" s="196" t="s">
        <v>150</v>
      </c>
      <c r="K90" s="196"/>
      <c r="L90" s="196"/>
      <c r="M90" s="196"/>
      <c r="N90" s="196"/>
      <c r="O90" s="368"/>
    </row>
    <row r="91" spans="1:20" s="2" customFormat="1" ht="19.2" customHeight="1">
      <c r="A91" s="197" t="s">
        <v>167</v>
      </c>
      <c r="B91" s="197"/>
      <c r="C91" s="197"/>
      <c r="D91" s="197"/>
      <c r="E91" s="198"/>
      <c r="F91" s="198"/>
      <c r="G91" s="198"/>
      <c r="H91" s="198"/>
      <c r="I91" s="198"/>
      <c r="J91" s="197" t="s">
        <v>95</v>
      </c>
      <c r="K91" s="197"/>
      <c r="L91" s="197"/>
      <c r="M91" s="197"/>
      <c r="N91" s="197"/>
      <c r="O91" s="368"/>
    </row>
    <row r="92" spans="1:20" ht="19.2" customHeight="1">
      <c r="A92" s="228" t="s">
        <v>122</v>
      </c>
      <c r="B92" s="229"/>
      <c r="C92" s="230"/>
      <c r="D92" s="128">
        <v>57</v>
      </c>
      <c r="E92" s="8"/>
      <c r="F92" s="172"/>
      <c r="G92" s="172"/>
      <c r="H92" s="172"/>
      <c r="I92" s="172"/>
      <c r="J92" s="172"/>
      <c r="K92" s="172"/>
      <c r="L92" s="172"/>
      <c r="M92" s="172"/>
      <c r="N92" s="172"/>
      <c r="O92" s="367"/>
      <c r="P92" s="367"/>
      <c r="T92" s="2"/>
    </row>
    <row r="93" spans="1:20" ht="19.2" customHeight="1">
      <c r="A93" s="208" t="s">
        <v>0</v>
      </c>
      <c r="B93" s="211" t="s">
        <v>19</v>
      </c>
      <c r="C93" s="214" t="s">
        <v>8</v>
      </c>
      <c r="D93" s="214" t="s">
        <v>9</v>
      </c>
      <c r="E93" s="217" t="s">
        <v>11</v>
      </c>
      <c r="F93" s="218"/>
      <c r="G93" s="217" t="s">
        <v>13</v>
      </c>
      <c r="H93" s="218"/>
      <c r="I93" s="221" t="s">
        <v>16</v>
      </c>
      <c r="J93" s="221" t="s">
        <v>41</v>
      </c>
      <c r="K93" s="221" t="s">
        <v>42</v>
      </c>
      <c r="L93" s="221" t="s">
        <v>17</v>
      </c>
      <c r="M93" s="221" t="s">
        <v>40</v>
      </c>
      <c r="N93" s="208" t="s">
        <v>18</v>
      </c>
      <c r="O93" s="369"/>
    </row>
    <row r="94" spans="1:20" ht="19.2" customHeight="1">
      <c r="A94" s="209"/>
      <c r="B94" s="212"/>
      <c r="C94" s="215"/>
      <c r="D94" s="215"/>
      <c r="E94" s="219"/>
      <c r="F94" s="220"/>
      <c r="G94" s="219"/>
      <c r="H94" s="220"/>
      <c r="I94" s="222"/>
      <c r="J94" s="222"/>
      <c r="K94" s="222"/>
      <c r="L94" s="222"/>
      <c r="M94" s="222"/>
      <c r="N94" s="209"/>
      <c r="O94" s="175"/>
    </row>
    <row r="95" spans="1:20" ht="19.2" customHeight="1">
      <c r="A95" s="209"/>
      <c r="B95" s="212"/>
      <c r="C95" s="215"/>
      <c r="D95" s="215"/>
      <c r="E95" s="221" t="s">
        <v>10</v>
      </c>
      <c r="F95" s="221" t="s">
        <v>12</v>
      </c>
      <c r="G95" s="221" t="s">
        <v>14</v>
      </c>
      <c r="H95" s="221" t="s">
        <v>15</v>
      </c>
      <c r="I95" s="222"/>
      <c r="J95" s="222"/>
      <c r="K95" s="222"/>
      <c r="L95" s="222"/>
      <c r="M95" s="222"/>
      <c r="N95" s="209"/>
      <c r="O95" s="175"/>
    </row>
    <row r="96" spans="1:20" ht="19.2" customHeight="1">
      <c r="A96" s="210"/>
      <c r="B96" s="213"/>
      <c r="C96" s="216"/>
      <c r="D96" s="216"/>
      <c r="E96" s="223"/>
      <c r="F96" s="223"/>
      <c r="G96" s="223"/>
      <c r="H96" s="223"/>
      <c r="I96" s="223"/>
      <c r="J96" s="223"/>
      <c r="K96" s="223"/>
      <c r="L96" s="223"/>
      <c r="M96" s="223"/>
      <c r="N96" s="210"/>
      <c r="O96" s="175"/>
    </row>
    <row r="97" spans="1:23" ht="18.600000000000001" customHeight="1">
      <c r="A97" s="237" t="s">
        <v>39</v>
      </c>
      <c r="B97" s="238"/>
      <c r="C97" s="238"/>
      <c r="D97" s="238"/>
      <c r="E97" s="238"/>
      <c r="F97" s="238"/>
      <c r="G97" s="238"/>
      <c r="H97" s="238"/>
      <c r="I97" s="238"/>
      <c r="J97" s="238"/>
      <c r="K97" s="238"/>
      <c r="L97" s="238"/>
      <c r="M97" s="238"/>
      <c r="N97" s="239"/>
      <c r="O97" s="175"/>
    </row>
    <row r="98" spans="1:23" ht="18.600000000000001" customHeight="1">
      <c r="A98" s="17">
        <v>1</v>
      </c>
      <c r="B98" s="6" t="s">
        <v>123</v>
      </c>
      <c r="C98" s="70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28">
        <v>3950</v>
      </c>
      <c r="O98" s="413"/>
    </row>
    <row r="99" spans="1:23" s="2" customFormat="1" ht="18.600000000000001" customHeight="1">
      <c r="A99" s="9">
        <v>2</v>
      </c>
      <c r="B99" s="10" t="s">
        <v>2</v>
      </c>
      <c r="C99" s="23">
        <f>L99/100*100</f>
        <v>70</v>
      </c>
      <c r="D99" s="24">
        <f>C99/100*60</f>
        <v>42</v>
      </c>
      <c r="E99" s="25">
        <f>C99/100*15</f>
        <v>10.5</v>
      </c>
      <c r="F99" s="25"/>
      <c r="G99" s="25"/>
      <c r="H99" s="25"/>
      <c r="I99" s="25"/>
      <c r="J99" s="27">
        <f>C99/100*387</f>
        <v>270.89999999999998</v>
      </c>
      <c r="K99" s="27">
        <f>C99/100*0.09</f>
        <v>6.3E-2</v>
      </c>
      <c r="L99" s="137">
        <v>70</v>
      </c>
      <c r="M99" s="75">
        <v>20</v>
      </c>
      <c r="N99" s="28">
        <f>L99*M99</f>
        <v>1400</v>
      </c>
      <c r="O99" s="371"/>
    </row>
    <row r="100" spans="1:23" s="2" customFormat="1" ht="18.600000000000001" customHeight="1">
      <c r="A100" s="9">
        <v>3</v>
      </c>
      <c r="B100" s="79" t="s">
        <v>141</v>
      </c>
      <c r="C100" s="23">
        <f>L100/100*100</f>
        <v>459.99999999999994</v>
      </c>
      <c r="D100" s="24">
        <f>C100/100*899</f>
        <v>4135.3999999999996</v>
      </c>
      <c r="E100" s="25"/>
      <c r="F100" s="25"/>
      <c r="G100" s="25">
        <f>C100/100*100</f>
        <v>459.99999999999994</v>
      </c>
      <c r="H100" s="25"/>
      <c r="I100" s="25"/>
      <c r="J100" s="25"/>
      <c r="K100" s="25"/>
      <c r="L100" s="137">
        <v>460</v>
      </c>
      <c r="M100" s="24">
        <v>68</v>
      </c>
      <c r="N100" s="28">
        <f t="shared" ref="N100:N107" si="5">L100*M100</f>
        <v>31280</v>
      </c>
      <c r="O100" s="373"/>
    </row>
    <row r="101" spans="1:23" s="2" customFormat="1" ht="18.600000000000001" customHeight="1">
      <c r="A101" s="9">
        <v>4</v>
      </c>
      <c r="B101" s="5" t="s">
        <v>1</v>
      </c>
      <c r="C101" s="23">
        <f>L101/100*100</f>
        <v>2451</v>
      </c>
      <c r="D101" s="24">
        <f>C101/100*360</f>
        <v>8823.6</v>
      </c>
      <c r="E101" s="25"/>
      <c r="F101" s="25">
        <f>C101/100*7.9</f>
        <v>193.62900000000002</v>
      </c>
      <c r="G101" s="25"/>
      <c r="H101" s="25">
        <f>C101/100*1</f>
        <v>24.51</v>
      </c>
      <c r="I101" s="25">
        <f>C101/100*72.9</f>
        <v>1786.7790000000002</v>
      </c>
      <c r="J101" s="27">
        <f>C101/100*30</f>
        <v>735.30000000000007</v>
      </c>
      <c r="K101" s="27">
        <f>C101/100*0.1</f>
        <v>2.4510000000000005</v>
      </c>
      <c r="L101" s="137">
        <v>2451</v>
      </c>
      <c r="M101" s="75">
        <v>18</v>
      </c>
      <c r="N101" s="28">
        <f t="shared" si="5"/>
        <v>44118</v>
      </c>
      <c r="O101" s="371"/>
    </row>
    <row r="102" spans="1:23" s="2" customFormat="1" ht="18.600000000000001" customHeight="1">
      <c r="A102" s="9">
        <v>5</v>
      </c>
      <c r="B102" s="5" t="s">
        <v>93</v>
      </c>
      <c r="C102" s="23">
        <f>L102/100*81.7</f>
        <v>1021.25</v>
      </c>
      <c r="D102" s="24">
        <f>C102/100*27</f>
        <v>275.73750000000001</v>
      </c>
      <c r="E102" s="29"/>
      <c r="F102" s="29">
        <f>C102/100*0.3</f>
        <v>3.0637500000000002</v>
      </c>
      <c r="G102" s="29"/>
      <c r="H102" s="29">
        <f>C102/100*0.1</f>
        <v>1.02125</v>
      </c>
      <c r="I102" s="29">
        <f>C102/100*6.1</f>
        <v>62.296250000000001</v>
      </c>
      <c r="J102" s="71">
        <f>C102/100*24</f>
        <v>245.10000000000002</v>
      </c>
      <c r="K102" s="71">
        <f>C102/100*0.06</f>
        <v>0.61275000000000002</v>
      </c>
      <c r="L102" s="370">
        <v>1250</v>
      </c>
      <c r="M102" s="26">
        <v>22</v>
      </c>
      <c r="N102" s="28">
        <f t="shared" si="5"/>
        <v>27500</v>
      </c>
      <c r="O102" s="153"/>
      <c r="Q102" s="3"/>
      <c r="R102" s="3"/>
      <c r="S102" s="4"/>
    </row>
    <row r="103" spans="1:23" s="2" customFormat="1" ht="18.600000000000001" customHeight="1">
      <c r="A103" s="9">
        <v>6</v>
      </c>
      <c r="B103" s="5" t="s">
        <v>4</v>
      </c>
      <c r="C103" s="23">
        <f>L103/100*98.5</f>
        <v>453.09999999999997</v>
      </c>
      <c r="D103" s="24">
        <f>C103/100*39</f>
        <v>176.70899999999997</v>
      </c>
      <c r="E103" s="29"/>
      <c r="F103" s="29">
        <f>C103/100*1.5</f>
        <v>6.7965</v>
      </c>
      <c r="G103" s="29"/>
      <c r="H103" s="29">
        <f>C103/100*0.2</f>
        <v>0.90620000000000001</v>
      </c>
      <c r="I103" s="29">
        <f>C103/100*7.8</f>
        <v>35.341799999999999</v>
      </c>
      <c r="J103" s="71">
        <f>C103/100*43</f>
        <v>194.833</v>
      </c>
      <c r="K103" s="71">
        <f>C103/100*0.06</f>
        <v>0.27185999999999999</v>
      </c>
      <c r="L103" s="370">
        <v>460</v>
      </c>
      <c r="M103" s="26">
        <v>17</v>
      </c>
      <c r="N103" s="28">
        <f t="shared" si="5"/>
        <v>7820</v>
      </c>
      <c r="O103" s="153"/>
      <c r="Q103" s="3"/>
      <c r="R103" s="3"/>
      <c r="S103" s="4"/>
    </row>
    <row r="104" spans="1:23" s="2" customFormat="1" ht="18.600000000000001" customHeight="1">
      <c r="A104" s="9">
        <v>7</v>
      </c>
      <c r="B104" s="5" t="s">
        <v>136</v>
      </c>
      <c r="C104" s="23">
        <f>L104/100*100</f>
        <v>40</v>
      </c>
      <c r="D104" s="24">
        <f>C104/100*247</f>
        <v>98.800000000000011</v>
      </c>
      <c r="E104" s="29"/>
      <c r="F104" s="29">
        <f>C104/100*17.5</f>
        <v>7</v>
      </c>
      <c r="G104" s="29"/>
      <c r="H104" s="29">
        <f>C104/100*1.6</f>
        <v>0.64000000000000012</v>
      </c>
      <c r="I104" s="29">
        <f>C104/100*39.2</f>
        <v>15.680000000000001</v>
      </c>
      <c r="J104" s="71"/>
      <c r="K104" s="71"/>
      <c r="L104" s="370">
        <v>40</v>
      </c>
      <c r="M104" s="75">
        <v>50</v>
      </c>
      <c r="N104" s="28">
        <f t="shared" si="5"/>
        <v>2000</v>
      </c>
      <c r="O104" s="153"/>
      <c r="Q104" s="3"/>
      <c r="R104" s="3"/>
      <c r="S104" s="4"/>
      <c r="T104" s="3"/>
    </row>
    <row r="105" spans="1:23" s="2" customFormat="1" ht="18.600000000000001" customHeight="1">
      <c r="A105" s="9">
        <v>8</v>
      </c>
      <c r="B105" s="10" t="s">
        <v>74</v>
      </c>
      <c r="C105" s="23">
        <f>L105/100*98</f>
        <v>450.79999999999995</v>
      </c>
      <c r="D105" s="24">
        <f>C105/100*139</f>
        <v>626.61199999999985</v>
      </c>
      <c r="E105" s="25">
        <f>C105/100*19</f>
        <v>85.651999999999987</v>
      </c>
      <c r="F105" s="25"/>
      <c r="G105" s="25">
        <f>C105/100*7</f>
        <v>31.555999999999994</v>
      </c>
      <c r="H105" s="25"/>
      <c r="I105" s="25"/>
      <c r="J105" s="25">
        <f>C105/100*7</f>
        <v>31.555999999999994</v>
      </c>
      <c r="K105" s="25">
        <f>C105/100*0.9</f>
        <v>4.057199999999999</v>
      </c>
      <c r="L105" s="137">
        <v>460</v>
      </c>
      <c r="M105" s="75">
        <v>137</v>
      </c>
      <c r="N105" s="28">
        <f t="shared" si="5"/>
        <v>63020</v>
      </c>
      <c r="O105" s="153"/>
    </row>
    <row r="106" spans="1:23" s="2" customFormat="1" ht="18.600000000000001" customHeight="1">
      <c r="A106" s="9">
        <v>9</v>
      </c>
      <c r="B106" s="79" t="s">
        <v>3</v>
      </c>
      <c r="C106" s="23">
        <f>L106/100*98</f>
        <v>1734.6</v>
      </c>
      <c r="D106" s="24">
        <f>C106/100*118</f>
        <v>2046.828</v>
      </c>
      <c r="E106" s="25">
        <f>C106/100*21</f>
        <v>364.26600000000002</v>
      </c>
      <c r="F106" s="25"/>
      <c r="G106" s="25">
        <f>C106/100*3.8</f>
        <v>65.9148</v>
      </c>
      <c r="H106" s="25"/>
      <c r="I106" s="25"/>
      <c r="J106" s="25">
        <f>C106/100*12</f>
        <v>208.15199999999999</v>
      </c>
      <c r="K106" s="25">
        <f>C106/100*0.1</f>
        <v>1.7346000000000001</v>
      </c>
      <c r="L106" s="137">
        <v>1770</v>
      </c>
      <c r="M106" s="75">
        <v>260</v>
      </c>
      <c r="N106" s="28">
        <f t="shared" si="5"/>
        <v>460200</v>
      </c>
      <c r="O106" s="153"/>
    </row>
    <row r="107" spans="1:23" s="2" customFormat="1" ht="18.600000000000001" customHeight="1">
      <c r="A107" s="9">
        <v>10</v>
      </c>
      <c r="B107" s="5" t="s">
        <v>20</v>
      </c>
      <c r="C107" s="23">
        <f>L107/100*95</f>
        <v>646</v>
      </c>
      <c r="D107" s="24">
        <f>C107/100*20</f>
        <v>129.19999999999999</v>
      </c>
      <c r="E107" s="25"/>
      <c r="F107" s="25">
        <f>C107/100*0.6</f>
        <v>3.8759999999999999</v>
      </c>
      <c r="G107" s="25"/>
      <c r="H107" s="25">
        <f>C107/100*0.2</f>
        <v>1.292</v>
      </c>
      <c r="I107" s="25">
        <f>C107/100*4</f>
        <v>25.84</v>
      </c>
      <c r="J107" s="71">
        <f>C107/100*12</f>
        <v>77.52</v>
      </c>
      <c r="K107" s="71">
        <f>C107/100*0.04</f>
        <v>0.25840000000000002</v>
      </c>
      <c r="L107" s="30">
        <v>680</v>
      </c>
      <c r="M107" s="75">
        <v>22</v>
      </c>
      <c r="N107" s="28">
        <f t="shared" si="5"/>
        <v>14960</v>
      </c>
      <c r="O107" s="153"/>
      <c r="Q107" s="3"/>
      <c r="R107" s="3"/>
    </row>
    <row r="108" spans="1:23" s="2" customFormat="1" ht="18.600000000000001" customHeight="1">
      <c r="A108" s="21" t="s">
        <v>118</v>
      </c>
      <c r="B108" s="22"/>
      <c r="C108" s="34"/>
      <c r="D108" s="121">
        <f>SUM(D98:D107)</f>
        <v>16354.886499999999</v>
      </c>
      <c r="E108" s="43"/>
      <c r="F108" s="43"/>
      <c r="G108" s="43"/>
      <c r="H108" s="43"/>
      <c r="I108" s="43"/>
      <c r="J108" s="43"/>
      <c r="K108" s="43"/>
      <c r="L108" s="44"/>
      <c r="M108" s="44"/>
      <c r="N108" s="192">
        <f>SUM(N98:N107)</f>
        <v>656248</v>
      </c>
      <c r="O108" s="153"/>
    </row>
    <row r="109" spans="1:23" ht="18.600000000000001" customHeight="1">
      <c r="A109" s="21" t="s">
        <v>37</v>
      </c>
      <c r="B109" s="22"/>
      <c r="C109" s="45"/>
      <c r="D109" s="46">
        <f>D108/D92</f>
        <v>286.9278333333333</v>
      </c>
      <c r="E109" s="46"/>
      <c r="F109" s="46"/>
      <c r="G109" s="46"/>
      <c r="H109" s="46"/>
      <c r="I109" s="46"/>
      <c r="J109" s="46"/>
      <c r="K109" s="46"/>
      <c r="L109" s="47"/>
      <c r="M109" s="47"/>
      <c r="N109" s="193"/>
      <c r="O109" s="4"/>
      <c r="P109" s="2"/>
      <c r="Q109" s="2"/>
      <c r="R109" s="2"/>
      <c r="S109" s="2"/>
      <c r="T109" s="2"/>
      <c r="U109" s="2"/>
      <c r="V109" s="2"/>
    </row>
    <row r="110" spans="1:23" ht="18.600000000000001" customHeight="1">
      <c r="A110" s="291" t="s">
        <v>53</v>
      </c>
      <c r="B110" s="225"/>
      <c r="C110" s="372" t="s">
        <v>151</v>
      </c>
      <c r="D110" s="20" t="s">
        <v>45</v>
      </c>
      <c r="E110" s="46"/>
      <c r="F110" s="46"/>
      <c r="G110" s="46"/>
      <c r="H110" s="46"/>
      <c r="I110" s="46"/>
      <c r="J110" s="48"/>
      <c r="K110" s="48"/>
      <c r="L110" s="47"/>
      <c r="M110" s="47"/>
      <c r="N110" s="176"/>
      <c r="O110" s="4"/>
      <c r="P110" s="2"/>
      <c r="Q110" s="2"/>
      <c r="R110" s="2"/>
      <c r="S110" s="2"/>
      <c r="T110" s="2"/>
      <c r="U110" s="2"/>
      <c r="V110" s="2"/>
      <c r="W110" s="2"/>
    </row>
    <row r="111" spans="1:23" ht="18.600000000000001" customHeight="1">
      <c r="A111" s="226"/>
      <c r="B111" s="227"/>
      <c r="C111" s="76" t="s">
        <v>60</v>
      </c>
      <c r="D111" s="78">
        <f>D109*100/930</f>
        <v>30.852455197132613</v>
      </c>
      <c r="E111" s="46"/>
      <c r="F111" s="46"/>
      <c r="G111" s="46"/>
      <c r="H111" s="46"/>
      <c r="I111" s="46"/>
      <c r="J111" s="48"/>
      <c r="K111" s="48"/>
      <c r="L111" s="47"/>
      <c r="M111" s="47"/>
      <c r="N111" s="176"/>
      <c r="O111" s="4"/>
      <c r="P111" s="2"/>
      <c r="Q111" s="2"/>
      <c r="R111" s="2"/>
      <c r="S111" s="2"/>
      <c r="T111" s="2"/>
      <c r="U111" s="2"/>
      <c r="V111" s="2"/>
      <c r="W111" s="2"/>
    </row>
    <row r="112" spans="1:23" s="2" customFormat="1" ht="18.600000000000001" customHeight="1">
      <c r="A112" s="235" t="s">
        <v>38</v>
      </c>
      <c r="B112" s="235"/>
      <c r="C112" s="56"/>
      <c r="D112" s="57"/>
      <c r="E112" s="58"/>
      <c r="F112" s="58"/>
      <c r="G112" s="58"/>
      <c r="H112" s="58"/>
      <c r="I112" s="58"/>
      <c r="J112" s="58"/>
      <c r="K112" s="58"/>
      <c r="L112" s="59"/>
      <c r="M112" s="59"/>
      <c r="N112" s="60"/>
      <c r="O112" s="153"/>
    </row>
    <row r="113" spans="1:23" s="2" customFormat="1" ht="18.600000000000001" customHeight="1">
      <c r="A113" s="14">
        <v>1</v>
      </c>
      <c r="B113" s="6" t="s">
        <v>123</v>
      </c>
      <c r="C113" s="39"/>
      <c r="D113" s="414"/>
      <c r="E113" s="40"/>
      <c r="F113" s="40"/>
      <c r="G113" s="40"/>
      <c r="H113" s="40"/>
      <c r="I113" s="40"/>
      <c r="J113" s="40"/>
      <c r="K113" s="40"/>
      <c r="L113" s="41"/>
      <c r="M113" s="41"/>
      <c r="N113" s="42">
        <v>3950</v>
      </c>
      <c r="O113" s="153"/>
    </row>
    <row r="114" spans="1:23" s="2" customFormat="1" ht="18.600000000000001" customHeight="1">
      <c r="A114" s="9">
        <v>2</v>
      </c>
      <c r="B114" s="5" t="s">
        <v>1</v>
      </c>
      <c r="C114" s="23">
        <f>L114/100*100</f>
        <v>2394</v>
      </c>
      <c r="D114" s="24">
        <f>C114/100*360</f>
        <v>8618.4</v>
      </c>
      <c r="E114" s="25"/>
      <c r="F114" s="25">
        <f>C114/100*7.9</f>
        <v>189.126</v>
      </c>
      <c r="G114" s="25"/>
      <c r="H114" s="25">
        <f>C114/100*1</f>
        <v>23.94</v>
      </c>
      <c r="I114" s="25">
        <f>C114/100*72.9</f>
        <v>1745.2260000000003</v>
      </c>
      <c r="J114" s="27">
        <f>C114/100*30</f>
        <v>718.2</v>
      </c>
      <c r="K114" s="27">
        <f>C114/100*0.1</f>
        <v>2.3940000000000001</v>
      </c>
      <c r="L114" s="26">
        <v>2394</v>
      </c>
      <c r="M114" s="75">
        <v>18</v>
      </c>
      <c r="N114" s="135">
        <f>L114*M114</f>
        <v>43092</v>
      </c>
      <c r="O114" s="371"/>
    </row>
    <row r="115" spans="1:23" s="2" customFormat="1" ht="18.600000000000001" customHeight="1">
      <c r="A115" s="9">
        <v>3</v>
      </c>
      <c r="B115" s="10" t="s">
        <v>2</v>
      </c>
      <c r="C115" s="23">
        <f>L115/100*100</f>
        <v>70</v>
      </c>
      <c r="D115" s="24">
        <f>C115/100*60</f>
        <v>42</v>
      </c>
      <c r="E115" s="25">
        <f>C115/100*15</f>
        <v>10.5</v>
      </c>
      <c r="F115" s="25"/>
      <c r="G115" s="25"/>
      <c r="H115" s="25"/>
      <c r="I115" s="25"/>
      <c r="J115" s="27">
        <f>C115/100*387</f>
        <v>270.89999999999998</v>
      </c>
      <c r="K115" s="27">
        <f>C115/100*0.09</f>
        <v>6.3E-2</v>
      </c>
      <c r="L115" s="26">
        <v>70</v>
      </c>
      <c r="M115" s="75">
        <v>20</v>
      </c>
      <c r="N115" s="135">
        <f t="shared" ref="N115:N121" si="6">L115*M115</f>
        <v>1400</v>
      </c>
      <c r="O115" s="371"/>
    </row>
    <row r="116" spans="1:23" s="2" customFormat="1" ht="18.600000000000001" customHeight="1">
      <c r="A116" s="9">
        <v>4</v>
      </c>
      <c r="B116" s="79" t="s">
        <v>141</v>
      </c>
      <c r="C116" s="23">
        <f>L116/100*100</f>
        <v>110.00000000000001</v>
      </c>
      <c r="D116" s="24">
        <f>C116/100*900</f>
        <v>990.00000000000011</v>
      </c>
      <c r="E116" s="25"/>
      <c r="F116" s="25"/>
      <c r="G116" s="25">
        <f>C116/100*100</f>
        <v>110.00000000000001</v>
      </c>
      <c r="H116" s="25">
        <f>C116/100*100</f>
        <v>110.00000000000001</v>
      </c>
      <c r="I116" s="25"/>
      <c r="J116" s="27"/>
      <c r="K116" s="27"/>
      <c r="L116" s="26">
        <v>110</v>
      </c>
      <c r="M116" s="75">
        <v>68</v>
      </c>
      <c r="N116" s="135">
        <f t="shared" si="6"/>
        <v>7480</v>
      </c>
      <c r="O116" s="153"/>
    </row>
    <row r="117" spans="1:23" s="2" customFormat="1" ht="18.600000000000001" customHeight="1">
      <c r="A117" s="9">
        <v>5</v>
      </c>
      <c r="B117" s="10" t="s">
        <v>139</v>
      </c>
      <c r="C117" s="23">
        <f>L117/100*100</f>
        <v>290</v>
      </c>
      <c r="D117" s="24">
        <f>C117/100*53</f>
        <v>153.69999999999999</v>
      </c>
      <c r="E117" s="25"/>
      <c r="F117" s="25">
        <f>C117/100*6.3</f>
        <v>18.27</v>
      </c>
      <c r="G117" s="25"/>
      <c r="H117" s="25">
        <f>C117/100*0.04</f>
        <v>0.11599999999999999</v>
      </c>
      <c r="I117" s="25">
        <f>C117/100*6.8</f>
        <v>19.72</v>
      </c>
      <c r="J117" s="27">
        <f>C117/100*19</f>
        <v>55.1</v>
      </c>
      <c r="K117" s="27">
        <f>C117/100*0.03</f>
        <v>8.6999999999999994E-2</v>
      </c>
      <c r="L117" s="26">
        <v>290</v>
      </c>
      <c r="M117" s="75">
        <v>42.5</v>
      </c>
      <c r="N117" s="135">
        <f t="shared" si="6"/>
        <v>12325</v>
      </c>
      <c r="O117" s="371"/>
    </row>
    <row r="118" spans="1:23" s="2" customFormat="1" ht="18.600000000000001" customHeight="1">
      <c r="A118" s="9">
        <v>6</v>
      </c>
      <c r="B118" s="5" t="s">
        <v>75</v>
      </c>
      <c r="C118" s="23">
        <f>L118/100*75</f>
        <v>1020</v>
      </c>
      <c r="D118" s="24">
        <f>C118/100*12</f>
        <v>122.39999999999999</v>
      </c>
      <c r="E118" s="25">
        <f>C118/100*0.6</f>
        <v>6.1199999999999992</v>
      </c>
      <c r="F118" s="25"/>
      <c r="G118" s="25"/>
      <c r="H118" s="25"/>
      <c r="I118" s="25">
        <f>C118/100*2.4</f>
        <v>24.479999999999997</v>
      </c>
      <c r="J118" s="27">
        <f>C118/100*26</f>
        <v>265.2</v>
      </c>
      <c r="K118" s="27">
        <f>C118/100*0.02</f>
        <v>0.20399999999999999</v>
      </c>
      <c r="L118" s="26">
        <v>1360</v>
      </c>
      <c r="M118" s="26">
        <v>25</v>
      </c>
      <c r="N118" s="135">
        <f t="shared" si="6"/>
        <v>34000</v>
      </c>
      <c r="O118" s="153"/>
    </row>
    <row r="119" spans="1:23" s="2" customFormat="1" ht="18.600000000000001" customHeight="1">
      <c r="A119" s="9">
        <v>7</v>
      </c>
      <c r="B119" s="5" t="s">
        <v>4</v>
      </c>
      <c r="C119" s="23">
        <f>L119/100*98.5</f>
        <v>453.09999999999997</v>
      </c>
      <c r="D119" s="24">
        <f>C119/100*39</f>
        <v>176.70899999999997</v>
      </c>
      <c r="E119" s="29"/>
      <c r="F119" s="29">
        <f>C119/100*1.5</f>
        <v>6.7965</v>
      </c>
      <c r="G119" s="415"/>
      <c r="H119" s="29">
        <f>C119/100*0.2</f>
        <v>0.90620000000000001</v>
      </c>
      <c r="I119" s="29">
        <f>C119/100*7.8</f>
        <v>35.341799999999999</v>
      </c>
      <c r="J119" s="71">
        <f>C119/100*43</f>
        <v>194.833</v>
      </c>
      <c r="K119" s="71">
        <f>C119/100*0.06</f>
        <v>0.27185999999999999</v>
      </c>
      <c r="L119" s="30">
        <v>460</v>
      </c>
      <c r="M119" s="26">
        <v>17</v>
      </c>
      <c r="N119" s="135">
        <f t="shared" si="6"/>
        <v>7820</v>
      </c>
      <c r="O119" s="153"/>
      <c r="Q119" s="3"/>
      <c r="R119" s="3"/>
      <c r="S119" s="4"/>
    </row>
    <row r="120" spans="1:23" s="2" customFormat="1" ht="18.600000000000001" customHeight="1">
      <c r="A120" s="9">
        <v>8</v>
      </c>
      <c r="B120" s="10" t="s">
        <v>64</v>
      </c>
      <c r="C120" s="23">
        <f>L120/100*40</f>
        <v>1480</v>
      </c>
      <c r="D120" s="24">
        <f>C120/100*276</f>
        <v>4084.8</v>
      </c>
      <c r="E120" s="25">
        <f>C120/100*17.8</f>
        <v>263.44</v>
      </c>
      <c r="F120" s="136"/>
      <c r="G120" s="25">
        <f>C120/100*21.8</f>
        <v>322.64000000000004</v>
      </c>
      <c r="H120" s="25"/>
      <c r="I120" s="25"/>
      <c r="J120" s="27">
        <f>C120/100*13</f>
        <v>192.4</v>
      </c>
      <c r="K120" s="27">
        <f>C120/100*0.07</f>
        <v>1.0360000000000003</v>
      </c>
      <c r="L120" s="26">
        <v>3700</v>
      </c>
      <c r="M120" s="75">
        <v>63</v>
      </c>
      <c r="N120" s="135">
        <f t="shared" si="6"/>
        <v>233100</v>
      </c>
      <c r="O120" s="153"/>
    </row>
    <row r="121" spans="1:23" s="2" customFormat="1" ht="18.600000000000001" customHeight="1">
      <c r="A121" s="9">
        <v>9</v>
      </c>
      <c r="B121" s="5" t="s">
        <v>136</v>
      </c>
      <c r="C121" s="23">
        <f>L121/100*100</f>
        <v>40</v>
      </c>
      <c r="D121" s="24">
        <f>C121/100*247</f>
        <v>98.800000000000011</v>
      </c>
      <c r="E121" s="29"/>
      <c r="F121" s="29">
        <f>C121/100*17.5</f>
        <v>7</v>
      </c>
      <c r="G121" s="29"/>
      <c r="H121" s="29">
        <f>C121/100*1.6</f>
        <v>0.64000000000000012</v>
      </c>
      <c r="I121" s="29">
        <f>C121/100*39.2</f>
        <v>15.680000000000001</v>
      </c>
      <c r="J121" s="71"/>
      <c r="K121" s="71"/>
      <c r="L121" s="370">
        <v>40</v>
      </c>
      <c r="M121" s="75">
        <v>50</v>
      </c>
      <c r="N121" s="28">
        <f t="shared" si="6"/>
        <v>2000</v>
      </c>
      <c r="O121" s="153"/>
      <c r="Q121" s="3"/>
      <c r="R121" s="3"/>
      <c r="S121" s="4"/>
      <c r="T121" s="3"/>
    </row>
    <row r="122" spans="1:23" s="2" customFormat="1" ht="18.600000000000001" customHeight="1">
      <c r="A122" s="21" t="s">
        <v>119</v>
      </c>
      <c r="B122" s="22"/>
      <c r="C122" s="34"/>
      <c r="D122" s="121">
        <f>SUM(D113:D121)</f>
        <v>14286.809000000001</v>
      </c>
      <c r="E122" s="43"/>
      <c r="F122" s="43"/>
      <c r="G122" s="43"/>
      <c r="H122" s="43"/>
      <c r="I122" s="43"/>
      <c r="J122" s="43"/>
      <c r="K122" s="43"/>
      <c r="L122" s="44"/>
      <c r="M122" s="44"/>
      <c r="N122" s="192">
        <f>SUM(N113:N121)</f>
        <v>345167</v>
      </c>
      <c r="O122" s="153"/>
    </row>
    <row r="123" spans="1:23" ht="18.600000000000001" customHeight="1">
      <c r="A123" s="21" t="s">
        <v>36</v>
      </c>
      <c r="B123" s="22"/>
      <c r="C123" s="61"/>
      <c r="D123" s="48">
        <f>D122/D92</f>
        <v>250.64577192982458</v>
      </c>
      <c r="E123" s="48"/>
      <c r="F123" s="48"/>
      <c r="G123" s="48"/>
      <c r="H123" s="48"/>
      <c r="I123" s="48"/>
      <c r="J123" s="48"/>
      <c r="K123" s="48"/>
      <c r="L123" s="62"/>
      <c r="M123" s="47"/>
      <c r="N123" s="234"/>
      <c r="O123" s="4"/>
      <c r="P123" s="2"/>
      <c r="Q123" s="2"/>
      <c r="R123" s="2"/>
      <c r="S123" s="2"/>
      <c r="T123" s="2"/>
      <c r="U123" s="2"/>
      <c r="V123" s="2"/>
    </row>
    <row r="124" spans="1:23" ht="18.600000000000001" customHeight="1">
      <c r="A124" s="291" t="s">
        <v>54</v>
      </c>
      <c r="B124" s="225"/>
      <c r="C124" s="372" t="s">
        <v>151</v>
      </c>
      <c r="D124" s="20" t="s">
        <v>46</v>
      </c>
      <c r="E124" s="46"/>
      <c r="F124" s="46"/>
      <c r="G124" s="46"/>
      <c r="H124" s="46"/>
      <c r="I124" s="46"/>
      <c r="J124" s="48"/>
      <c r="K124" s="48"/>
      <c r="L124" s="47"/>
      <c r="M124" s="47"/>
      <c r="N124" s="176"/>
      <c r="O124" s="4"/>
      <c r="P124" s="2"/>
      <c r="Q124" s="2"/>
      <c r="R124" s="2"/>
      <c r="S124" s="2"/>
      <c r="T124" s="2"/>
      <c r="U124" s="2"/>
      <c r="V124" s="2"/>
      <c r="W124" s="2"/>
    </row>
    <row r="125" spans="1:23" ht="18.600000000000001" customHeight="1">
      <c r="A125" s="226"/>
      <c r="B125" s="227"/>
      <c r="C125" s="76" t="s">
        <v>60</v>
      </c>
      <c r="D125" s="78">
        <f>D123*100/930</f>
        <v>26.951158272024148</v>
      </c>
      <c r="E125" s="46"/>
      <c r="F125" s="46"/>
      <c r="G125" s="46"/>
      <c r="H125" s="46">
        <v>13</v>
      </c>
      <c r="I125" s="46"/>
      <c r="J125" s="48"/>
      <c r="K125" s="48"/>
      <c r="L125" s="47"/>
      <c r="M125" s="47"/>
      <c r="N125" s="176"/>
      <c r="O125" s="4"/>
      <c r="P125" s="2"/>
      <c r="Q125" s="2"/>
      <c r="R125" s="2"/>
      <c r="S125" s="2"/>
      <c r="T125" s="2"/>
      <c r="U125" s="2"/>
      <c r="V125" s="2"/>
      <c r="W125" s="2"/>
    </row>
    <row r="126" spans="1:23" ht="18.600000000000001" customHeight="1">
      <c r="A126" s="235" t="s">
        <v>35</v>
      </c>
      <c r="B126" s="235"/>
      <c r="C126" s="63"/>
      <c r="D126" s="64"/>
      <c r="E126" s="64"/>
      <c r="F126" s="64"/>
      <c r="G126" s="64"/>
      <c r="H126" s="64"/>
      <c r="I126" s="64"/>
      <c r="J126" s="64"/>
      <c r="K126" s="64"/>
      <c r="L126" s="65"/>
      <c r="M126" s="65"/>
      <c r="N126" s="66"/>
      <c r="O126" s="4"/>
      <c r="P126" s="2"/>
      <c r="Q126" s="2"/>
      <c r="R126" s="2"/>
      <c r="S126" s="2"/>
      <c r="T126" s="2"/>
      <c r="U126" s="2"/>
      <c r="V126" s="2"/>
    </row>
    <row r="127" spans="1:23" s="2" customFormat="1" ht="18.600000000000001" customHeight="1">
      <c r="A127" s="103">
        <v>1</v>
      </c>
      <c r="B127" s="156" t="s">
        <v>149</v>
      </c>
      <c r="C127" s="104">
        <f>L127/100*100</f>
        <v>969.99999999999989</v>
      </c>
      <c r="D127" s="105">
        <f>C127/100*487</f>
        <v>4723.8999999999996</v>
      </c>
      <c r="E127" s="106"/>
      <c r="F127" s="106">
        <f>C127/100*19.5</f>
        <v>189.14999999999998</v>
      </c>
      <c r="G127" s="106"/>
      <c r="H127" s="106">
        <f>C127/100*23.2</f>
        <v>225.03999999999996</v>
      </c>
      <c r="I127" s="106">
        <f>C127/100*46</f>
        <v>446.2</v>
      </c>
      <c r="J127" s="147">
        <f>C127/100*680</f>
        <v>6595.9999999999991</v>
      </c>
      <c r="K127" s="106">
        <f>C127/100*0.55</f>
        <v>5.335</v>
      </c>
      <c r="L127" s="107">
        <v>970</v>
      </c>
      <c r="M127" s="157">
        <v>260</v>
      </c>
      <c r="N127" s="108">
        <f t="shared" ref="N127" si="7">L127*M127</f>
        <v>252200</v>
      </c>
      <c r="O127" s="153"/>
      <c r="P127" s="3"/>
    </row>
    <row r="128" spans="1:23" ht="19.2" customHeight="1">
      <c r="A128" s="208" t="s">
        <v>0</v>
      </c>
      <c r="B128" s="211" t="s">
        <v>19</v>
      </c>
      <c r="C128" s="214" t="s">
        <v>8</v>
      </c>
      <c r="D128" s="214" t="s">
        <v>9</v>
      </c>
      <c r="E128" s="217" t="s">
        <v>11</v>
      </c>
      <c r="F128" s="218"/>
      <c r="G128" s="217" t="s">
        <v>13</v>
      </c>
      <c r="H128" s="218"/>
      <c r="I128" s="221" t="s">
        <v>16</v>
      </c>
      <c r="J128" s="221" t="s">
        <v>41</v>
      </c>
      <c r="K128" s="221" t="s">
        <v>42</v>
      </c>
      <c r="L128" s="221" t="s">
        <v>17</v>
      </c>
      <c r="M128" s="221" t="s">
        <v>40</v>
      </c>
      <c r="N128" s="208" t="s">
        <v>18</v>
      </c>
      <c r="O128" s="369"/>
    </row>
    <row r="129" spans="1:23" ht="19.2" customHeight="1">
      <c r="A129" s="209"/>
      <c r="B129" s="212"/>
      <c r="C129" s="215"/>
      <c r="D129" s="215"/>
      <c r="E129" s="219"/>
      <c r="F129" s="220"/>
      <c r="G129" s="219"/>
      <c r="H129" s="220"/>
      <c r="I129" s="222"/>
      <c r="J129" s="222"/>
      <c r="K129" s="222"/>
      <c r="L129" s="222"/>
      <c r="M129" s="222"/>
      <c r="N129" s="209"/>
      <c r="O129" s="175"/>
    </row>
    <row r="130" spans="1:23" ht="19.2" customHeight="1">
      <c r="A130" s="209"/>
      <c r="B130" s="212"/>
      <c r="C130" s="215"/>
      <c r="D130" s="215"/>
      <c r="E130" s="221" t="s">
        <v>10</v>
      </c>
      <c r="F130" s="221" t="s">
        <v>12</v>
      </c>
      <c r="G130" s="221" t="s">
        <v>14</v>
      </c>
      <c r="H130" s="221" t="s">
        <v>15</v>
      </c>
      <c r="I130" s="222"/>
      <c r="J130" s="222"/>
      <c r="K130" s="222"/>
      <c r="L130" s="222"/>
      <c r="M130" s="222"/>
      <c r="N130" s="209"/>
      <c r="O130" s="175"/>
    </row>
    <row r="131" spans="1:23" ht="19.2" customHeight="1">
      <c r="A131" s="210"/>
      <c r="B131" s="213"/>
      <c r="C131" s="216"/>
      <c r="D131" s="216"/>
      <c r="E131" s="223"/>
      <c r="F131" s="223"/>
      <c r="G131" s="223"/>
      <c r="H131" s="223"/>
      <c r="I131" s="223"/>
      <c r="J131" s="223"/>
      <c r="K131" s="223"/>
      <c r="L131" s="223"/>
      <c r="M131" s="223"/>
      <c r="N131" s="210"/>
      <c r="O131" s="175"/>
    </row>
    <row r="132" spans="1:23" s="2" customFormat="1" ht="19.2" customHeight="1">
      <c r="A132" s="21" t="s">
        <v>106</v>
      </c>
      <c r="B132" s="22"/>
      <c r="C132" s="34"/>
      <c r="D132" s="35">
        <f>SUM(D126:D127)</f>
        <v>4723.8999999999996</v>
      </c>
      <c r="E132" s="43"/>
      <c r="F132" s="43"/>
      <c r="G132" s="43"/>
      <c r="H132" s="43"/>
      <c r="I132" s="43"/>
      <c r="J132" s="43"/>
      <c r="K132" s="43"/>
      <c r="L132" s="44"/>
      <c r="M132" s="44"/>
      <c r="N132" s="192">
        <f>SUM(N126:N127)</f>
        <v>252200</v>
      </c>
      <c r="O132" s="153"/>
    </row>
    <row r="133" spans="1:23" ht="19.2" customHeight="1">
      <c r="A133" s="21" t="s">
        <v>7</v>
      </c>
      <c r="B133" s="22"/>
      <c r="C133" s="45"/>
      <c r="D133" s="46">
        <f>D132/D92</f>
        <v>82.875438596491222</v>
      </c>
      <c r="E133" s="46"/>
      <c r="F133" s="46"/>
      <c r="G133" s="46"/>
      <c r="H133" s="46"/>
      <c r="I133" s="46"/>
      <c r="J133" s="46"/>
      <c r="K133" s="46"/>
      <c r="L133" s="47"/>
      <c r="M133" s="47"/>
      <c r="N133" s="193"/>
      <c r="O133" s="4"/>
      <c r="P133" s="2"/>
      <c r="Q133" s="2"/>
      <c r="R133" s="2"/>
      <c r="S133" s="2"/>
      <c r="T133" s="2"/>
      <c r="U133" s="2"/>
      <c r="V133" s="2"/>
    </row>
    <row r="134" spans="1:23" ht="19.2" customHeight="1">
      <c r="A134" s="291" t="s">
        <v>52</v>
      </c>
      <c r="B134" s="225"/>
      <c r="C134" s="372" t="s">
        <v>151</v>
      </c>
      <c r="D134" s="20" t="s">
        <v>50</v>
      </c>
      <c r="E134" s="46"/>
      <c r="F134" s="46"/>
      <c r="G134" s="46"/>
      <c r="H134" s="46"/>
      <c r="I134" s="46"/>
      <c r="J134" s="48"/>
      <c r="K134" s="48"/>
      <c r="L134" s="47"/>
      <c r="M134" s="47"/>
      <c r="N134" s="176"/>
      <c r="O134" s="4"/>
      <c r="P134" s="2"/>
      <c r="Q134" s="2"/>
      <c r="R134" s="2"/>
      <c r="S134" s="2"/>
      <c r="T134" s="2"/>
      <c r="U134" s="2"/>
      <c r="V134" s="2"/>
      <c r="W134" s="2"/>
    </row>
    <row r="135" spans="1:23" ht="19.2" customHeight="1">
      <c r="A135" s="226"/>
      <c r="B135" s="227"/>
      <c r="C135" s="76" t="s">
        <v>60</v>
      </c>
      <c r="D135" s="20">
        <f>D133*100/930</f>
        <v>8.9113374834936803</v>
      </c>
      <c r="E135" s="46"/>
      <c r="F135" s="46"/>
      <c r="G135" s="46"/>
      <c r="H135" s="46"/>
      <c r="I135" s="46"/>
      <c r="J135" s="48"/>
      <c r="K135" s="48"/>
      <c r="L135" s="47"/>
      <c r="M135" s="47"/>
      <c r="N135" s="176"/>
      <c r="O135" s="4"/>
      <c r="P135" s="2"/>
      <c r="Q135" s="2"/>
      <c r="R135" s="2"/>
      <c r="S135" s="2"/>
      <c r="T135" s="2"/>
      <c r="U135" s="2"/>
      <c r="V135" s="2"/>
      <c r="W135" s="2"/>
    </row>
    <row r="136" spans="1:23" ht="19.2" customHeight="1">
      <c r="A136" s="283" t="s">
        <v>107</v>
      </c>
      <c r="B136" s="284"/>
      <c r="C136" s="287"/>
      <c r="D136" s="301">
        <f>D108+D122+D132</f>
        <v>35365.595500000003</v>
      </c>
      <c r="E136" s="7">
        <f>SUM(E99:E126)</f>
        <v>740.47800000000007</v>
      </c>
      <c r="F136" s="7">
        <f>SUM(F98:F127)</f>
        <v>624.70775000000003</v>
      </c>
      <c r="G136" s="7">
        <f t="shared" ref="G136" si="8">SUM(G99:G126)</f>
        <v>990.11079999999993</v>
      </c>
      <c r="H136" s="7">
        <f>SUM(H98:H127)</f>
        <v>402.01165000000003</v>
      </c>
      <c r="I136" s="281">
        <f>SUM(I98:I127)</f>
        <v>4212.5848500000002</v>
      </c>
      <c r="J136" s="281">
        <f>SUM(J98:J127)</f>
        <v>10055.993999999999</v>
      </c>
      <c r="K136" s="281">
        <f>SUM(K98:K127)</f>
        <v>18.839670000000002</v>
      </c>
      <c r="L136" s="265"/>
      <c r="M136" s="265"/>
      <c r="N136" s="303">
        <f>N108+N122+N132</f>
        <v>1253615</v>
      </c>
      <c r="U136" s="12"/>
      <c r="V136" s="12"/>
    </row>
    <row r="137" spans="1:23" ht="19.2" customHeight="1">
      <c r="A137" s="285"/>
      <c r="B137" s="286"/>
      <c r="C137" s="288"/>
      <c r="D137" s="302"/>
      <c r="E137" s="294">
        <f>E136+F136</f>
        <v>1365.1857500000001</v>
      </c>
      <c r="F137" s="295"/>
      <c r="G137" s="294">
        <f>G136+H136</f>
        <v>1392.1224499999998</v>
      </c>
      <c r="H137" s="295"/>
      <c r="I137" s="282"/>
      <c r="J137" s="282"/>
      <c r="K137" s="282"/>
      <c r="L137" s="265"/>
      <c r="M137" s="265"/>
      <c r="N137" s="303"/>
      <c r="U137" s="12"/>
      <c r="V137" s="12"/>
    </row>
    <row r="138" spans="1:23" ht="19.2" customHeight="1">
      <c r="A138" s="266" t="s">
        <v>77</v>
      </c>
      <c r="B138" s="267"/>
      <c r="C138" s="268"/>
      <c r="D138" s="133">
        <f>D136/D92</f>
        <v>620.44904385964912</v>
      </c>
      <c r="E138" s="406">
        <f>E136/D92</f>
        <v>12.990842105263159</v>
      </c>
      <c r="F138" s="405">
        <f>F136/D92</f>
        <v>10.959785087719299</v>
      </c>
      <c r="G138" s="406">
        <f>G136/D92</f>
        <v>17.370364912280699</v>
      </c>
      <c r="H138" s="405">
        <f>H136/D92</f>
        <v>7.0528359649122816</v>
      </c>
      <c r="I138" s="299">
        <f>I136/D92</f>
        <v>73.90499736842105</v>
      </c>
      <c r="J138" s="299">
        <f>J136/D92</f>
        <v>176.42094736842103</v>
      </c>
      <c r="K138" s="299">
        <f>K136/D92</f>
        <v>0.33052052631578949</v>
      </c>
      <c r="L138" s="265"/>
      <c r="M138" s="265"/>
      <c r="N138" s="303"/>
      <c r="P138" s="395"/>
      <c r="Q138" s="396"/>
      <c r="R138" s="396"/>
      <c r="S138" s="396"/>
      <c r="T138" s="396"/>
      <c r="U138" s="397"/>
      <c r="V138" s="397"/>
    </row>
    <row r="139" spans="1:23" ht="19.2" customHeight="1">
      <c r="A139" s="269"/>
      <c r="B139" s="270"/>
      <c r="C139" s="271"/>
      <c r="D139" s="127"/>
      <c r="E139" s="376">
        <f>E138+F138</f>
        <v>23.950627192982459</v>
      </c>
      <c r="F139" s="377"/>
      <c r="G139" s="376">
        <f>G138+H138</f>
        <v>24.423200877192983</v>
      </c>
      <c r="H139" s="377"/>
      <c r="I139" s="300"/>
      <c r="J139" s="300"/>
      <c r="K139" s="300"/>
      <c r="L139" s="265"/>
      <c r="M139" s="265"/>
      <c r="N139" s="303"/>
      <c r="P139" s="398"/>
      <c r="Q139" s="396"/>
      <c r="R139" s="396"/>
      <c r="S139" s="407"/>
      <c r="T139" s="407"/>
      <c r="U139" s="396"/>
      <c r="V139" s="396"/>
    </row>
    <row r="140" spans="1:23" ht="19.2" customHeight="1">
      <c r="A140" s="304" t="s">
        <v>80</v>
      </c>
      <c r="B140" s="305"/>
      <c r="C140" s="306"/>
      <c r="D140" s="178" t="s">
        <v>29</v>
      </c>
      <c r="E140" s="338" t="s">
        <v>24</v>
      </c>
      <c r="F140" s="338"/>
      <c r="G140" s="338" t="s">
        <v>25</v>
      </c>
      <c r="H140" s="338"/>
      <c r="I140" s="178" t="s">
        <v>26</v>
      </c>
      <c r="J140" s="173">
        <v>500</v>
      </c>
      <c r="K140" s="173">
        <v>0.5</v>
      </c>
      <c r="L140" s="265"/>
      <c r="M140" s="265"/>
      <c r="N140" s="303"/>
      <c r="O140" s="379"/>
      <c r="P140" s="395"/>
      <c r="Q140" s="400"/>
      <c r="R140" s="400"/>
      <c r="S140" s="400"/>
      <c r="T140" s="400"/>
      <c r="U140" s="395"/>
      <c r="V140" s="395"/>
    </row>
    <row r="141" spans="1:23" ht="19.2" customHeight="1">
      <c r="A141" s="242" t="s">
        <v>78</v>
      </c>
      <c r="B141" s="272"/>
      <c r="C141" s="243"/>
      <c r="D141" s="49"/>
      <c r="E141" s="273">
        <f>E139*4.1</f>
        <v>98.197571491228075</v>
      </c>
      <c r="F141" s="274"/>
      <c r="G141" s="273">
        <f>G139*9</f>
        <v>219.80880789473684</v>
      </c>
      <c r="H141" s="274"/>
      <c r="I141" s="85">
        <f>I138*4.1</f>
        <v>303.01048921052626</v>
      </c>
      <c r="J141" s="254"/>
      <c r="K141" s="254"/>
      <c r="L141" s="265"/>
      <c r="M141" s="265"/>
      <c r="N141" s="303"/>
      <c r="O141" s="379"/>
      <c r="P141" s="399"/>
      <c r="Q141" s="395"/>
      <c r="R141" s="395"/>
      <c r="S141" s="395"/>
      <c r="T141" s="395"/>
      <c r="U141" s="395"/>
      <c r="V141" s="395"/>
    </row>
    <row r="142" spans="1:23" ht="19.2" customHeight="1">
      <c r="A142" s="275" t="s">
        <v>87</v>
      </c>
      <c r="B142" s="276"/>
      <c r="C142" s="242" t="s">
        <v>59</v>
      </c>
      <c r="D142" s="243"/>
      <c r="E142" s="292">
        <f>E141*100/D138</f>
        <v>15.826855156447177</v>
      </c>
      <c r="F142" s="293"/>
      <c r="G142" s="292">
        <f>G141*100/D138</f>
        <v>35.427374748998645</v>
      </c>
      <c r="H142" s="293"/>
      <c r="I142" s="116">
        <f>I141*100/D138</f>
        <v>48.837288446054856</v>
      </c>
      <c r="J142" s="255"/>
      <c r="K142" s="255"/>
      <c r="L142" s="265"/>
      <c r="M142" s="265"/>
      <c r="N142" s="303"/>
      <c r="O142" s="379"/>
    </row>
    <row r="143" spans="1:23" ht="19.2" customHeight="1">
      <c r="A143" s="277"/>
      <c r="B143" s="278"/>
      <c r="C143" s="242" t="s">
        <v>79</v>
      </c>
      <c r="D143" s="243"/>
      <c r="E143" s="242" t="s">
        <v>82</v>
      </c>
      <c r="F143" s="243"/>
      <c r="G143" s="242" t="s">
        <v>85</v>
      </c>
      <c r="H143" s="243"/>
      <c r="I143" s="178" t="s">
        <v>86</v>
      </c>
      <c r="J143" s="256"/>
      <c r="K143" s="256"/>
      <c r="L143" s="265"/>
      <c r="M143" s="265"/>
      <c r="N143" s="303"/>
      <c r="O143" s="379"/>
      <c r="P143" s="132"/>
    </row>
    <row r="144" spans="1:23" ht="18" customHeight="1">
      <c r="A144" s="90"/>
      <c r="B144" s="93"/>
      <c r="C144" s="90"/>
      <c r="D144" s="90"/>
      <c r="E144" s="90"/>
      <c r="F144" s="90"/>
      <c r="G144" s="90"/>
      <c r="H144" s="90"/>
      <c r="I144" s="90"/>
      <c r="J144" s="90"/>
      <c r="K144" s="90"/>
      <c r="L144" s="91"/>
      <c r="M144" s="91"/>
      <c r="N144" s="92"/>
      <c r="O144" s="379"/>
    </row>
    <row r="145" spans="1:15" ht="21" customHeight="1">
      <c r="A145" s="183" t="s">
        <v>114</v>
      </c>
      <c r="B145" s="183"/>
      <c r="C145" s="183"/>
      <c r="D145" s="183"/>
      <c r="E145" s="183"/>
      <c r="F145" s="183"/>
      <c r="G145" s="183"/>
      <c r="H145" s="183"/>
      <c r="I145" s="183"/>
      <c r="J145" s="183"/>
      <c r="K145" s="183"/>
      <c r="L145" s="183"/>
      <c r="M145" s="183"/>
      <c r="N145" s="183"/>
      <c r="O145" s="379"/>
    </row>
    <row r="146" spans="1:15" ht="21" customHeight="1">
      <c r="A146" s="117" t="s">
        <v>115</v>
      </c>
      <c r="B146" s="184" t="s">
        <v>116</v>
      </c>
      <c r="C146" s="184"/>
      <c r="D146" s="184"/>
      <c r="E146" s="184"/>
      <c r="F146" s="184"/>
      <c r="G146" s="184"/>
      <c r="H146" s="184"/>
      <c r="I146" s="184"/>
      <c r="J146" s="184"/>
      <c r="K146" s="184"/>
      <c r="L146" s="184"/>
      <c r="M146" s="184"/>
      <c r="N146" s="184"/>
      <c r="O146" s="379"/>
    </row>
    <row r="147" spans="1:15" ht="21" customHeight="1">
      <c r="A147" s="118"/>
      <c r="B147" s="185" t="s">
        <v>204</v>
      </c>
      <c r="C147" s="185"/>
      <c r="D147" s="185"/>
      <c r="E147" s="185"/>
      <c r="F147" s="185"/>
      <c r="G147" s="185"/>
      <c r="H147" s="185"/>
      <c r="I147" s="185"/>
      <c r="J147" s="185"/>
      <c r="K147" s="185"/>
      <c r="L147" s="185"/>
      <c r="M147" s="185"/>
      <c r="N147" s="185"/>
      <c r="O147" s="379"/>
    </row>
    <row r="148" spans="1:15" ht="21" customHeight="1">
      <c r="A148" s="118"/>
      <c r="B148" s="185" t="s">
        <v>191</v>
      </c>
      <c r="C148" s="185"/>
      <c r="D148" s="185"/>
      <c r="E148" s="185"/>
      <c r="F148" s="185"/>
      <c r="G148" s="185"/>
      <c r="H148" s="185"/>
      <c r="I148" s="185"/>
      <c r="J148" s="185"/>
      <c r="K148" s="185"/>
      <c r="L148" s="185"/>
      <c r="M148" s="185"/>
      <c r="N148" s="185"/>
      <c r="O148" s="379"/>
    </row>
    <row r="149" spans="1:15" ht="21" customHeight="1">
      <c r="A149" s="118"/>
      <c r="B149" s="185" t="s">
        <v>203</v>
      </c>
      <c r="C149" s="185"/>
      <c r="D149" s="185"/>
      <c r="E149" s="185"/>
      <c r="F149" s="185"/>
      <c r="G149" s="185"/>
      <c r="H149" s="185"/>
      <c r="I149" s="185"/>
      <c r="J149" s="185"/>
      <c r="K149" s="185"/>
      <c r="L149" s="185"/>
      <c r="M149" s="185"/>
      <c r="N149" s="185"/>
      <c r="O149" s="379"/>
    </row>
    <row r="150" spans="1:15" ht="21" customHeight="1">
      <c r="A150" s="90"/>
      <c r="B150" s="186" t="s">
        <v>130</v>
      </c>
      <c r="C150" s="186"/>
      <c r="D150" s="186"/>
      <c r="E150" s="186"/>
      <c r="F150" s="186"/>
      <c r="G150" s="186"/>
      <c r="H150" s="186"/>
      <c r="I150" s="186"/>
      <c r="J150" s="186"/>
      <c r="K150" s="186"/>
      <c r="L150" s="186"/>
      <c r="M150" s="186"/>
      <c r="N150" s="186"/>
      <c r="O150" s="379"/>
    </row>
    <row r="151" spans="1:15" ht="21" customHeight="1">
      <c r="A151" s="90"/>
      <c r="B151" s="90"/>
      <c r="C151" s="90"/>
      <c r="D151" s="90"/>
      <c r="E151" s="90"/>
      <c r="F151" s="90"/>
      <c r="G151" s="90"/>
      <c r="H151" s="90"/>
      <c r="I151" s="90"/>
      <c r="J151" s="90"/>
      <c r="K151" s="90"/>
      <c r="L151" s="94"/>
      <c r="M151" s="94"/>
      <c r="N151" s="95"/>
      <c r="O151" s="379"/>
    </row>
    <row r="152" spans="1:15" ht="21" customHeight="1">
      <c r="A152" s="187" t="s">
        <v>62</v>
      </c>
      <c r="B152" s="187"/>
      <c r="C152" s="187"/>
      <c r="D152" s="187"/>
      <c r="E152" s="380"/>
      <c r="F152" s="380"/>
      <c r="G152" s="380"/>
      <c r="H152" s="380"/>
      <c r="I152" s="380"/>
      <c r="J152" s="381" t="s">
        <v>33</v>
      </c>
      <c r="K152" s="381"/>
      <c r="L152" s="381"/>
      <c r="M152" s="381"/>
      <c r="N152" s="381"/>
      <c r="O152" s="379"/>
    </row>
    <row r="153" spans="1:15" ht="21" customHeight="1">
      <c r="A153" s="175"/>
      <c r="B153" s="175"/>
      <c r="C153" s="175"/>
      <c r="D153" s="380"/>
      <c r="E153" s="380"/>
      <c r="F153" s="380"/>
      <c r="G153" s="380"/>
      <c r="H153" s="382"/>
      <c r="I153" s="382"/>
      <c r="J153" s="382"/>
      <c r="K153" s="382"/>
      <c r="L153" s="382"/>
      <c r="M153" s="382"/>
      <c r="N153" s="382"/>
      <c r="O153" s="379"/>
    </row>
    <row r="154" spans="1:15" ht="21" customHeight="1">
      <c r="A154" s="175"/>
      <c r="B154" s="175"/>
      <c r="C154" s="175"/>
      <c r="D154" s="380"/>
      <c r="E154" s="380"/>
      <c r="F154" s="380"/>
      <c r="G154" s="380"/>
      <c r="H154" s="382"/>
      <c r="I154" s="382"/>
      <c r="J154" s="382"/>
      <c r="K154" s="382"/>
      <c r="L154" s="382"/>
      <c r="M154" s="382"/>
      <c r="N154" s="382"/>
      <c r="O154" s="379"/>
    </row>
    <row r="155" spans="1:15" ht="21" customHeight="1">
      <c r="A155" s="175"/>
      <c r="B155" s="175"/>
      <c r="C155" s="175"/>
      <c r="D155" s="380"/>
      <c r="E155" s="380"/>
      <c r="F155" s="380"/>
      <c r="G155" s="380"/>
      <c r="H155" s="382"/>
      <c r="I155" s="382"/>
      <c r="J155" s="383" t="s">
        <v>124</v>
      </c>
      <c r="K155" s="383"/>
      <c r="L155" s="383"/>
      <c r="M155" s="383"/>
      <c r="N155" s="383"/>
      <c r="O155" s="379"/>
    </row>
    <row r="156" spans="1:15" ht="21" customHeight="1">
      <c r="A156" s="179" t="s">
        <v>91</v>
      </c>
      <c r="B156" s="179"/>
      <c r="C156" s="179"/>
      <c r="D156" s="179"/>
      <c r="E156" s="380"/>
      <c r="F156" s="380"/>
      <c r="G156" s="380"/>
      <c r="H156" s="382"/>
      <c r="I156" s="382"/>
      <c r="J156" s="383"/>
      <c r="K156" s="383"/>
      <c r="L156" s="383"/>
      <c r="M156" s="383"/>
      <c r="N156" s="383"/>
      <c r="O156" s="379"/>
    </row>
    <row r="157" spans="1:15" ht="21" customHeight="1"/>
    <row r="158" spans="1:15" ht="21" customHeight="1">
      <c r="J158" s="383" t="s">
        <v>127</v>
      </c>
      <c r="K158" s="383"/>
      <c r="L158" s="383"/>
      <c r="M158" s="383"/>
      <c r="N158" s="383"/>
    </row>
  </sheetData>
  <mergeCells count="203">
    <mergeCell ref="A8:D8"/>
    <mergeCell ref="J155:N155"/>
    <mergeCell ref="A156:D156"/>
    <mergeCell ref="J158:N158"/>
    <mergeCell ref="Q138:R138"/>
    <mergeCell ref="S138:T138"/>
    <mergeCell ref="U138:V138"/>
    <mergeCell ref="Q139:R139"/>
    <mergeCell ref="S139:T139"/>
    <mergeCell ref="U139:V139"/>
    <mergeCell ref="A140:C140"/>
    <mergeCell ref="A141:C141"/>
    <mergeCell ref="J141:J143"/>
    <mergeCell ref="K141:K143"/>
    <mergeCell ref="A142:B143"/>
    <mergeCell ref="C142:D142"/>
    <mergeCell ref="E142:F142"/>
    <mergeCell ref="G142:H142"/>
    <mergeCell ref="C143:D143"/>
    <mergeCell ref="E143:F143"/>
    <mergeCell ref="G143:H143"/>
    <mergeCell ref="J156:N156"/>
    <mergeCell ref="B146:N146"/>
    <mergeCell ref="B147:N147"/>
    <mergeCell ref="B148:N148"/>
    <mergeCell ref="N132:N133"/>
    <mergeCell ref="A136:B137"/>
    <mergeCell ref="C136:C137"/>
    <mergeCell ref="D136:D137"/>
    <mergeCell ref="L136:L143"/>
    <mergeCell ref="M136:M143"/>
    <mergeCell ref="N136:N143"/>
    <mergeCell ref="A138:C139"/>
    <mergeCell ref="I138:I139"/>
    <mergeCell ref="J138:J139"/>
    <mergeCell ref="K138:K139"/>
    <mergeCell ref="A134:B135"/>
    <mergeCell ref="A145:N145"/>
    <mergeCell ref="A112:B112"/>
    <mergeCell ref="N122:N123"/>
    <mergeCell ref="A124:B125"/>
    <mergeCell ref="A126:B126"/>
    <mergeCell ref="A128:A131"/>
    <mergeCell ref="B128:B131"/>
    <mergeCell ref="C128:C131"/>
    <mergeCell ref="D128:D131"/>
    <mergeCell ref="E128:F129"/>
    <mergeCell ref="G128:H129"/>
    <mergeCell ref="I128:I131"/>
    <mergeCell ref="J128:J131"/>
    <mergeCell ref="K128:K131"/>
    <mergeCell ref="L128:L131"/>
    <mergeCell ref="M128:M131"/>
    <mergeCell ref="N128:N131"/>
    <mergeCell ref="E130:E131"/>
    <mergeCell ref="F130:F131"/>
    <mergeCell ref="G130:G131"/>
    <mergeCell ref="H130:H131"/>
    <mergeCell ref="F83:N83"/>
    <mergeCell ref="A87:D88"/>
    <mergeCell ref="E87:N87"/>
    <mergeCell ref="E88:I88"/>
    <mergeCell ref="E89:I91"/>
    <mergeCell ref="A90:D90"/>
    <mergeCell ref="J90:N90"/>
    <mergeCell ref="A91:D91"/>
    <mergeCell ref="J91:N91"/>
    <mergeCell ref="A89:D89"/>
    <mergeCell ref="Q53:R53"/>
    <mergeCell ref="S53:T53"/>
    <mergeCell ref="U53:V53"/>
    <mergeCell ref="A56:C56"/>
    <mergeCell ref="J56:J58"/>
    <mergeCell ref="K56:K58"/>
    <mergeCell ref="A57:B58"/>
    <mergeCell ref="C58:D58"/>
    <mergeCell ref="E58:F58"/>
    <mergeCell ref="G58:H58"/>
    <mergeCell ref="A51:B52"/>
    <mergeCell ref="C51:C52"/>
    <mergeCell ref="D51:D52"/>
    <mergeCell ref="I51:I52"/>
    <mergeCell ref="J51:J52"/>
    <mergeCell ref="K51:K52"/>
    <mergeCell ref="L51:L58"/>
    <mergeCell ref="M51:M58"/>
    <mergeCell ref="N51:N58"/>
    <mergeCell ref="E52:F52"/>
    <mergeCell ref="G52:H52"/>
    <mergeCell ref="A53:C54"/>
    <mergeCell ref="I53:I54"/>
    <mergeCell ref="J53:J54"/>
    <mergeCell ref="K53:K54"/>
    <mergeCell ref="C57:D57"/>
    <mergeCell ref="L43:L46"/>
    <mergeCell ref="M43:M46"/>
    <mergeCell ref="N43:N46"/>
    <mergeCell ref="E45:E46"/>
    <mergeCell ref="F45:F46"/>
    <mergeCell ref="G45:G46"/>
    <mergeCell ref="H45:H46"/>
    <mergeCell ref="N47:N48"/>
    <mergeCell ref="A49:B50"/>
    <mergeCell ref="D11:D14"/>
    <mergeCell ref="E11:F12"/>
    <mergeCell ref="G11:H12"/>
    <mergeCell ref="I11:I14"/>
    <mergeCell ref="J11:J14"/>
    <mergeCell ref="K11:K14"/>
    <mergeCell ref="A30:B31"/>
    <mergeCell ref="A32:B32"/>
    <mergeCell ref="A43:A46"/>
    <mergeCell ref="B43:B46"/>
    <mergeCell ref="C43:C46"/>
    <mergeCell ref="D43:D46"/>
    <mergeCell ref="E43:F44"/>
    <mergeCell ref="G43:H44"/>
    <mergeCell ref="I43:I46"/>
    <mergeCell ref="J43:J46"/>
    <mergeCell ref="K43:K46"/>
    <mergeCell ref="U52:V52"/>
    <mergeCell ref="G54:H54"/>
    <mergeCell ref="F1:N1"/>
    <mergeCell ref="E54:F54"/>
    <mergeCell ref="G57:H57"/>
    <mergeCell ref="E55:F55"/>
    <mergeCell ref="E140:F140"/>
    <mergeCell ref="G140:H140"/>
    <mergeCell ref="E141:F141"/>
    <mergeCell ref="G141:H141"/>
    <mergeCell ref="E56:F56"/>
    <mergeCell ref="I136:I137"/>
    <mergeCell ref="E137:F137"/>
    <mergeCell ref="G137:H137"/>
    <mergeCell ref="Q52:R52"/>
    <mergeCell ref="S52:T52"/>
    <mergeCell ref="E139:F139"/>
    <mergeCell ref="G139:H139"/>
    <mergeCell ref="J88:N88"/>
    <mergeCell ref="J89:N89"/>
    <mergeCell ref="J136:J137"/>
    <mergeCell ref="K136:K137"/>
    <mergeCell ref="E57:F57"/>
    <mergeCell ref="A60:N60"/>
    <mergeCell ref="J74:N74"/>
    <mergeCell ref="A5:D5"/>
    <mergeCell ref="A6:D6"/>
    <mergeCell ref="A7:D7"/>
    <mergeCell ref="A55:C55"/>
    <mergeCell ref="G56:H56"/>
    <mergeCell ref="E5:N5"/>
    <mergeCell ref="E6:I9"/>
    <mergeCell ref="J6:N9"/>
    <mergeCell ref="A9:D9"/>
    <mergeCell ref="A10:C10"/>
    <mergeCell ref="G55:H55"/>
    <mergeCell ref="L11:L14"/>
    <mergeCell ref="M11:M14"/>
    <mergeCell ref="N11:N14"/>
    <mergeCell ref="E13:E14"/>
    <mergeCell ref="F13:F14"/>
    <mergeCell ref="G13:G14"/>
    <mergeCell ref="H13:H14"/>
    <mergeCell ref="A15:N15"/>
    <mergeCell ref="N28:N29"/>
    <mergeCell ref="A11:A14"/>
    <mergeCell ref="B11:B14"/>
    <mergeCell ref="C11:C14"/>
    <mergeCell ref="B61:N61"/>
    <mergeCell ref="B62:N62"/>
    <mergeCell ref="B63:N63"/>
    <mergeCell ref="B64:N64"/>
    <mergeCell ref="J70:N70"/>
    <mergeCell ref="J73:N73"/>
    <mergeCell ref="B65:N65"/>
    <mergeCell ref="A67:D67"/>
    <mergeCell ref="J67:N67"/>
    <mergeCell ref="A71:D71"/>
    <mergeCell ref="J71:N71"/>
    <mergeCell ref="B149:N149"/>
    <mergeCell ref="B150:N150"/>
    <mergeCell ref="A152:D152"/>
    <mergeCell ref="J152:N152"/>
    <mergeCell ref="A92:C92"/>
    <mergeCell ref="A93:A96"/>
    <mergeCell ref="B93:B96"/>
    <mergeCell ref="C93:C96"/>
    <mergeCell ref="D93:D96"/>
    <mergeCell ref="E93:F94"/>
    <mergeCell ref="G93:H94"/>
    <mergeCell ref="I93:I96"/>
    <mergeCell ref="J93:J96"/>
    <mergeCell ref="K93:K96"/>
    <mergeCell ref="L93:L96"/>
    <mergeCell ref="M93:M96"/>
    <mergeCell ref="N93:N96"/>
    <mergeCell ref="E95:E96"/>
    <mergeCell ref="F95:F96"/>
    <mergeCell ref="G95:G96"/>
    <mergeCell ref="H95:H96"/>
    <mergeCell ref="A97:N97"/>
    <mergeCell ref="N108:N109"/>
    <mergeCell ref="A110:B111"/>
  </mergeCells>
  <pageMargins left="0.15" right="0.10833333333333334" top="0.42708333333333331" bottom="0.39583333333333331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W156"/>
  <sheetViews>
    <sheetView workbookViewId="0">
      <selection activeCell="O2" sqref="O2"/>
    </sheetView>
  </sheetViews>
  <sheetFormatPr defaultColWidth="9.109375" defaultRowHeight="22.2" customHeight="1"/>
  <cols>
    <col min="1" max="1" width="4" style="1" customWidth="1"/>
    <col min="2" max="2" width="12.6640625" style="1" customWidth="1"/>
    <col min="3" max="3" width="6.88671875" style="1" customWidth="1"/>
    <col min="4" max="4" width="7.33203125" style="1" customWidth="1"/>
    <col min="5" max="8" width="6.6640625" style="1" customWidth="1"/>
    <col min="9" max="9" width="7.77734375" style="1" customWidth="1"/>
    <col min="10" max="10" width="8.21875" style="1" customWidth="1"/>
    <col min="11" max="11" width="8" style="1" customWidth="1"/>
    <col min="12" max="12" width="5.6640625" style="1" customWidth="1"/>
    <col min="13" max="13" width="6.6640625" style="1" customWidth="1"/>
    <col min="14" max="14" width="7.33203125" style="1" customWidth="1"/>
    <col min="15" max="15" width="11.88671875" style="1" customWidth="1"/>
    <col min="16" max="16" width="9.109375" style="1"/>
    <col min="17" max="22" width="8.6640625" style="1" customWidth="1"/>
    <col min="23" max="16384" width="9.109375" style="1"/>
  </cols>
  <sheetData>
    <row r="1" spans="1:20" ht="19.8" customHeight="1">
      <c r="A1" s="11" t="s">
        <v>61</v>
      </c>
      <c r="B1" s="8"/>
      <c r="C1" s="8"/>
      <c r="D1" s="8"/>
      <c r="E1" s="8"/>
      <c r="F1" s="290" t="s">
        <v>31</v>
      </c>
      <c r="G1" s="290"/>
      <c r="H1" s="290"/>
      <c r="I1" s="290"/>
      <c r="J1" s="290"/>
      <c r="K1" s="290"/>
      <c r="L1" s="290"/>
      <c r="M1" s="290"/>
      <c r="N1" s="290"/>
      <c r="O1" s="367"/>
      <c r="P1" s="367"/>
      <c r="Q1" s="2"/>
      <c r="R1" s="2"/>
      <c r="S1" s="2"/>
      <c r="T1" s="2"/>
    </row>
    <row r="2" spans="1:20" ht="19.8" customHeight="1">
      <c r="A2" s="11"/>
      <c r="B2" s="8"/>
      <c r="C2" s="8"/>
      <c r="D2" s="8"/>
      <c r="E2" s="8"/>
      <c r="F2" s="172"/>
      <c r="G2" s="172"/>
      <c r="H2" s="172"/>
      <c r="I2" s="172"/>
      <c r="J2" s="172"/>
      <c r="K2" s="172"/>
      <c r="L2" s="172"/>
      <c r="M2" s="172"/>
      <c r="N2" s="172"/>
      <c r="O2" s="367"/>
      <c r="P2" s="367"/>
      <c r="Q2" s="2"/>
      <c r="R2" s="2"/>
      <c r="S2" s="2"/>
      <c r="T2" s="2"/>
    </row>
    <row r="3" spans="1:20" ht="19.8" customHeight="1">
      <c r="A3" s="8" t="s">
        <v>205</v>
      </c>
      <c r="B3" s="8"/>
      <c r="C3" s="8"/>
      <c r="D3" s="8"/>
      <c r="E3" s="8"/>
      <c r="F3" s="172"/>
      <c r="G3" s="172"/>
      <c r="H3" s="172"/>
      <c r="I3" s="172"/>
      <c r="J3" s="172"/>
      <c r="K3" s="172"/>
      <c r="L3" s="172"/>
      <c r="M3" s="172"/>
      <c r="N3" s="172"/>
      <c r="O3" s="367"/>
      <c r="P3" s="367"/>
      <c r="T3" s="2"/>
    </row>
    <row r="4" spans="1:20" ht="19.8" customHeight="1">
      <c r="A4" s="8"/>
      <c r="B4" s="8"/>
      <c r="C4" s="8"/>
      <c r="D4" s="8"/>
      <c r="E4" s="8"/>
      <c r="F4" s="172"/>
      <c r="G4" s="172"/>
      <c r="H4" s="172"/>
      <c r="I4" s="172"/>
      <c r="J4" s="172"/>
      <c r="K4" s="172"/>
      <c r="L4" s="172"/>
      <c r="M4" s="172"/>
      <c r="N4" s="172"/>
      <c r="O4" s="367"/>
      <c r="P4" s="367"/>
      <c r="T4" s="2"/>
    </row>
    <row r="5" spans="1:20" s="2" customFormat="1" ht="19.8" customHeight="1">
      <c r="A5" s="194" t="s">
        <v>97</v>
      </c>
      <c r="B5" s="194"/>
      <c r="C5" s="194"/>
      <c r="D5" s="194"/>
      <c r="E5" s="194" t="s">
        <v>98</v>
      </c>
      <c r="F5" s="194"/>
      <c r="G5" s="194"/>
      <c r="H5" s="194"/>
      <c r="I5" s="194"/>
      <c r="J5" s="194"/>
      <c r="K5" s="194"/>
      <c r="L5" s="194"/>
      <c r="M5" s="194"/>
      <c r="N5" s="194"/>
      <c r="O5" s="368"/>
    </row>
    <row r="6" spans="1:20" s="2" customFormat="1" ht="19.8" customHeight="1">
      <c r="A6" s="195" t="s">
        <v>90</v>
      </c>
      <c r="B6" s="195"/>
      <c r="C6" s="195"/>
      <c r="D6" s="195"/>
      <c r="E6" s="198" t="s">
        <v>148</v>
      </c>
      <c r="F6" s="198"/>
      <c r="G6" s="198"/>
      <c r="H6" s="198"/>
      <c r="I6" s="198"/>
      <c r="J6" s="199" t="s">
        <v>145</v>
      </c>
      <c r="K6" s="200"/>
      <c r="L6" s="200"/>
      <c r="M6" s="200"/>
      <c r="N6" s="201"/>
      <c r="O6" s="368"/>
    </row>
    <row r="7" spans="1:20" s="2" customFormat="1" ht="19.8" customHeight="1">
      <c r="A7" s="312" t="s">
        <v>158</v>
      </c>
      <c r="B7" s="313"/>
      <c r="C7" s="313"/>
      <c r="D7" s="314"/>
      <c r="E7" s="198"/>
      <c r="F7" s="198"/>
      <c r="G7" s="198"/>
      <c r="H7" s="198"/>
      <c r="I7" s="198"/>
      <c r="J7" s="202"/>
      <c r="K7" s="203"/>
      <c r="L7" s="203"/>
      <c r="M7" s="203"/>
      <c r="N7" s="204"/>
      <c r="O7" s="368"/>
    </row>
    <row r="8" spans="1:20" s="2" customFormat="1" ht="19.8" customHeight="1">
      <c r="A8" s="196" t="s">
        <v>183</v>
      </c>
      <c r="B8" s="196"/>
      <c r="C8" s="196"/>
      <c r="D8" s="196"/>
      <c r="E8" s="198"/>
      <c r="F8" s="198"/>
      <c r="G8" s="198"/>
      <c r="H8" s="198"/>
      <c r="I8" s="198"/>
      <c r="J8" s="202"/>
      <c r="K8" s="203"/>
      <c r="L8" s="203"/>
      <c r="M8" s="203"/>
      <c r="N8" s="204"/>
      <c r="O8" s="368"/>
    </row>
    <row r="9" spans="1:20" s="2" customFormat="1" ht="19.8" customHeight="1">
      <c r="A9" s="197" t="s">
        <v>182</v>
      </c>
      <c r="B9" s="197"/>
      <c r="C9" s="197"/>
      <c r="D9" s="197"/>
      <c r="E9" s="198"/>
      <c r="F9" s="198"/>
      <c r="G9" s="198"/>
      <c r="H9" s="198"/>
      <c r="I9" s="198"/>
      <c r="J9" s="205"/>
      <c r="K9" s="206"/>
      <c r="L9" s="206"/>
      <c r="M9" s="206"/>
      <c r="N9" s="207"/>
      <c r="O9" s="368"/>
    </row>
    <row r="10" spans="1:20" s="2" customFormat="1" ht="19.8" customHeight="1">
      <c r="A10" s="228" t="s">
        <v>122</v>
      </c>
      <c r="B10" s="229"/>
      <c r="C10" s="230"/>
      <c r="D10" s="128">
        <v>195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368"/>
    </row>
    <row r="11" spans="1:20" ht="19.8" customHeight="1">
      <c r="A11" s="208" t="s">
        <v>0</v>
      </c>
      <c r="B11" s="211" t="s">
        <v>19</v>
      </c>
      <c r="C11" s="214" t="s">
        <v>8</v>
      </c>
      <c r="D11" s="214" t="s">
        <v>9</v>
      </c>
      <c r="E11" s="217" t="s">
        <v>11</v>
      </c>
      <c r="F11" s="218"/>
      <c r="G11" s="217" t="s">
        <v>13</v>
      </c>
      <c r="H11" s="218"/>
      <c r="I11" s="221" t="s">
        <v>16</v>
      </c>
      <c r="J11" s="221" t="s">
        <v>41</v>
      </c>
      <c r="K11" s="221" t="s">
        <v>42</v>
      </c>
      <c r="L11" s="315" t="s">
        <v>17</v>
      </c>
      <c r="M11" s="221" t="s">
        <v>55</v>
      </c>
      <c r="N11" s="208" t="s">
        <v>18</v>
      </c>
      <c r="O11" s="369"/>
    </row>
    <row r="12" spans="1:20" ht="19.8" customHeight="1">
      <c r="A12" s="209"/>
      <c r="B12" s="212"/>
      <c r="C12" s="215"/>
      <c r="D12" s="215"/>
      <c r="E12" s="219"/>
      <c r="F12" s="220"/>
      <c r="G12" s="219"/>
      <c r="H12" s="220"/>
      <c r="I12" s="222"/>
      <c r="J12" s="222"/>
      <c r="K12" s="222"/>
      <c r="L12" s="316"/>
      <c r="M12" s="222"/>
      <c r="N12" s="209"/>
      <c r="O12" s="175"/>
    </row>
    <row r="13" spans="1:20" ht="19.8" customHeight="1">
      <c r="A13" s="209"/>
      <c r="B13" s="212"/>
      <c r="C13" s="215"/>
      <c r="D13" s="215"/>
      <c r="E13" s="221" t="s">
        <v>10</v>
      </c>
      <c r="F13" s="221" t="s">
        <v>12</v>
      </c>
      <c r="G13" s="221" t="s">
        <v>14</v>
      </c>
      <c r="H13" s="221" t="s">
        <v>15</v>
      </c>
      <c r="I13" s="222"/>
      <c r="J13" s="222"/>
      <c r="K13" s="222"/>
      <c r="L13" s="316"/>
      <c r="M13" s="222"/>
      <c r="N13" s="209"/>
      <c r="O13" s="175"/>
    </row>
    <row r="14" spans="1:20" ht="19.8" customHeight="1">
      <c r="A14" s="210"/>
      <c r="B14" s="213"/>
      <c r="C14" s="216"/>
      <c r="D14" s="216"/>
      <c r="E14" s="223"/>
      <c r="F14" s="223"/>
      <c r="G14" s="223"/>
      <c r="H14" s="223"/>
      <c r="I14" s="223"/>
      <c r="J14" s="223"/>
      <c r="K14" s="223"/>
      <c r="L14" s="317"/>
      <c r="M14" s="223"/>
      <c r="N14" s="210"/>
      <c r="O14" s="175"/>
    </row>
    <row r="15" spans="1:20" ht="20.399999999999999" customHeight="1">
      <c r="A15" s="237" t="s">
        <v>34</v>
      </c>
      <c r="B15" s="238"/>
      <c r="C15" s="238"/>
      <c r="D15" s="238"/>
      <c r="E15" s="238"/>
      <c r="F15" s="238"/>
      <c r="G15" s="238"/>
      <c r="H15" s="238"/>
      <c r="I15" s="238"/>
      <c r="J15" s="238"/>
      <c r="K15" s="238"/>
      <c r="L15" s="238"/>
      <c r="M15" s="238"/>
      <c r="N15" s="239"/>
      <c r="O15" s="175"/>
    </row>
    <row r="16" spans="1:20" s="2" customFormat="1" ht="20.399999999999999" customHeight="1">
      <c r="A16" s="9">
        <v>1</v>
      </c>
      <c r="B16" s="6" t="s">
        <v>123</v>
      </c>
      <c r="C16" s="23"/>
      <c r="D16" s="139"/>
      <c r="E16" s="25"/>
      <c r="F16" s="25"/>
      <c r="G16" s="25"/>
      <c r="H16" s="25"/>
      <c r="I16" s="25"/>
      <c r="J16" s="25"/>
      <c r="K16" s="25"/>
      <c r="L16" s="26"/>
      <c r="M16" s="26"/>
      <c r="N16" s="28">
        <v>15000</v>
      </c>
      <c r="O16" s="153"/>
    </row>
    <row r="17" spans="1:20" s="2" customFormat="1" ht="20.399999999999999" customHeight="1">
      <c r="A17" s="9">
        <v>2</v>
      </c>
      <c r="B17" s="10" t="s">
        <v>2</v>
      </c>
      <c r="C17" s="23">
        <f>L17/100*100</f>
        <v>250</v>
      </c>
      <c r="D17" s="24">
        <f>C17/100*60</f>
        <v>150</v>
      </c>
      <c r="E17" s="25">
        <f>C17/100*15</f>
        <v>37.5</v>
      </c>
      <c r="F17" s="25"/>
      <c r="G17" s="25"/>
      <c r="H17" s="25"/>
      <c r="I17" s="25"/>
      <c r="J17" s="27">
        <f>C17/100*387</f>
        <v>967.5</v>
      </c>
      <c r="K17" s="27">
        <f>C17/100*0.09</f>
        <v>0.22499999999999998</v>
      </c>
      <c r="L17" s="137">
        <v>250</v>
      </c>
      <c r="M17" s="75">
        <v>20</v>
      </c>
      <c r="N17" s="28">
        <f>L17*M17</f>
        <v>5000</v>
      </c>
      <c r="O17" s="153"/>
    </row>
    <row r="18" spans="1:20" s="2" customFormat="1" ht="20.399999999999999" customHeight="1">
      <c r="A18" s="9">
        <v>3</v>
      </c>
      <c r="B18" s="10" t="s">
        <v>141</v>
      </c>
      <c r="C18" s="23">
        <f>L18/100*100</f>
        <v>1400</v>
      </c>
      <c r="D18" s="120">
        <f>C18/100*899</f>
        <v>12586</v>
      </c>
      <c r="E18" s="25"/>
      <c r="F18" s="25"/>
      <c r="G18" s="119">
        <f>C18/100*100</f>
        <v>1400</v>
      </c>
      <c r="H18" s="25"/>
      <c r="I18" s="25"/>
      <c r="J18" s="25"/>
      <c r="K18" s="25"/>
      <c r="L18" s="137">
        <v>1400</v>
      </c>
      <c r="M18" s="24">
        <v>68</v>
      </c>
      <c r="N18" s="28">
        <f t="shared" ref="N18" si="0">L18*M18</f>
        <v>95200</v>
      </c>
      <c r="O18" s="373"/>
    </row>
    <row r="19" spans="1:20" s="2" customFormat="1" ht="20.399999999999999" customHeight="1">
      <c r="A19" s="9">
        <v>4</v>
      </c>
      <c r="B19" s="10" t="s">
        <v>5</v>
      </c>
      <c r="C19" s="23">
        <f>L19/100*90</f>
        <v>150.29999999999998</v>
      </c>
      <c r="D19" s="24">
        <f>C19/100*281</f>
        <v>422.34299999999996</v>
      </c>
      <c r="E19" s="25"/>
      <c r="F19" s="25">
        <f>C19/100*9.5</f>
        <v>14.278499999999999</v>
      </c>
      <c r="G19" s="25"/>
      <c r="H19" s="25">
        <f>C19/100*0.2</f>
        <v>0.30059999999999998</v>
      </c>
      <c r="I19" s="25">
        <f>C19/100*58.5</f>
        <v>87.9255</v>
      </c>
      <c r="J19" s="27">
        <f>C19/100*321.3</f>
        <v>482.91389999999996</v>
      </c>
      <c r="K19" s="27">
        <f>C19/100*0.14</f>
        <v>0.21042</v>
      </c>
      <c r="L19" s="137">
        <v>167</v>
      </c>
      <c r="M19" s="75">
        <v>120</v>
      </c>
      <c r="N19" s="28">
        <f t="shared" ref="N19:N27" si="1">L19*M19</f>
        <v>20040</v>
      </c>
      <c r="O19" s="153"/>
    </row>
    <row r="20" spans="1:20" s="2" customFormat="1" ht="20.399999999999999" customHeight="1">
      <c r="A20" s="9">
        <v>5</v>
      </c>
      <c r="B20" s="10" t="s">
        <v>70</v>
      </c>
      <c r="C20" s="23">
        <f>L20/100*90</f>
        <v>108</v>
      </c>
      <c r="D20" s="24">
        <f>C20/100*253</f>
        <v>273.24</v>
      </c>
      <c r="E20" s="25"/>
      <c r="F20" s="25">
        <f>C20/100*32.4</f>
        <v>34.991999999999997</v>
      </c>
      <c r="G20" s="25"/>
      <c r="H20" s="25">
        <f>C20/100*3.6</f>
        <v>3.8880000000000003</v>
      </c>
      <c r="I20" s="25">
        <f>C20/100*21.1</f>
        <v>22.788000000000004</v>
      </c>
      <c r="J20" s="27">
        <f>C20/100*165.6</f>
        <v>178.84800000000001</v>
      </c>
      <c r="K20" s="27">
        <f>C20/100*0.14</f>
        <v>0.15120000000000003</v>
      </c>
      <c r="L20" s="137">
        <v>120</v>
      </c>
      <c r="M20" s="75">
        <v>275</v>
      </c>
      <c r="N20" s="28">
        <f t="shared" si="1"/>
        <v>33000</v>
      </c>
      <c r="O20" s="153"/>
    </row>
    <row r="21" spans="1:20" s="2" customFormat="1" ht="20.399999999999999" customHeight="1">
      <c r="A21" s="9">
        <v>6</v>
      </c>
      <c r="B21" s="5" t="s">
        <v>1</v>
      </c>
      <c r="C21" s="23">
        <f>L21/100*100</f>
        <v>18525</v>
      </c>
      <c r="D21" s="120">
        <f>C21/100*344</f>
        <v>63726</v>
      </c>
      <c r="E21" s="25"/>
      <c r="F21" s="140">
        <f>C21/100*7.9</f>
        <v>1463.4750000000001</v>
      </c>
      <c r="G21" s="25"/>
      <c r="H21" s="25">
        <f>C21/100*1</f>
        <v>185.25</v>
      </c>
      <c r="I21" s="140">
        <f>C21/100*73.3</f>
        <v>13578.824999999999</v>
      </c>
      <c r="J21" s="27">
        <f>C21/100*30</f>
        <v>5557.5</v>
      </c>
      <c r="K21" s="27">
        <f>C21/100*0.1</f>
        <v>18.525000000000002</v>
      </c>
      <c r="L21" s="401">
        <v>18525</v>
      </c>
      <c r="M21" s="75">
        <v>18</v>
      </c>
      <c r="N21" s="28">
        <f t="shared" si="1"/>
        <v>333450</v>
      </c>
      <c r="O21" s="153"/>
      <c r="R21" s="18"/>
      <c r="S21" s="18"/>
    </row>
    <row r="22" spans="1:20" s="2" customFormat="1" ht="20.399999999999999" customHeight="1">
      <c r="A22" s="9">
        <v>7</v>
      </c>
      <c r="B22" s="5" t="s">
        <v>63</v>
      </c>
      <c r="C22" s="23">
        <f>L22/100*86</f>
        <v>2519.8000000000002</v>
      </c>
      <c r="D22" s="24">
        <f>C22/100*166</f>
        <v>4182.8680000000004</v>
      </c>
      <c r="E22" s="25">
        <f>C22/100*14.8</f>
        <v>372.93040000000002</v>
      </c>
      <c r="F22" s="25"/>
      <c r="G22" s="25">
        <f>C22/100*11.6</f>
        <v>292.29680000000002</v>
      </c>
      <c r="H22" s="25"/>
      <c r="I22" s="25">
        <f>C22/100*0.5</f>
        <v>12.599</v>
      </c>
      <c r="J22" s="27">
        <f>C22/100*55</f>
        <v>1385.89</v>
      </c>
      <c r="K22" s="27">
        <f>C22/100*0.16</f>
        <v>4.0316799999999997</v>
      </c>
      <c r="L22" s="137">
        <v>2930</v>
      </c>
      <c r="M22" s="75">
        <v>62</v>
      </c>
      <c r="N22" s="28">
        <f t="shared" si="1"/>
        <v>181660</v>
      </c>
      <c r="O22" s="153"/>
      <c r="Q22" s="3"/>
      <c r="R22" s="3"/>
      <c r="S22" s="4"/>
    </row>
    <row r="23" spans="1:20" s="2" customFormat="1" ht="20.399999999999999" customHeight="1">
      <c r="A23" s="9">
        <v>8</v>
      </c>
      <c r="B23" s="10" t="s">
        <v>71</v>
      </c>
      <c r="C23" s="23">
        <f>L23/100*98</f>
        <v>7644</v>
      </c>
      <c r="D23" s="120">
        <f>C23/100*139</f>
        <v>10625.16</v>
      </c>
      <c r="E23" s="119">
        <f>C23/100*19</f>
        <v>1452.36</v>
      </c>
      <c r="F23" s="25"/>
      <c r="G23" s="25">
        <f>C23/100*7</f>
        <v>535.07999999999993</v>
      </c>
      <c r="H23" s="25"/>
      <c r="I23" s="25"/>
      <c r="J23" s="27">
        <f>C23/100*7</f>
        <v>535.07999999999993</v>
      </c>
      <c r="K23" s="27">
        <f>C23/100*0.9</f>
        <v>68.796000000000006</v>
      </c>
      <c r="L23" s="137">
        <v>7800</v>
      </c>
      <c r="M23" s="75">
        <v>137</v>
      </c>
      <c r="N23" s="124">
        <f t="shared" si="1"/>
        <v>1068600</v>
      </c>
      <c r="O23" s="153"/>
    </row>
    <row r="24" spans="1:20" s="2" customFormat="1" ht="20.399999999999999" customHeight="1">
      <c r="A24" s="9">
        <v>9</v>
      </c>
      <c r="B24" s="149" t="s">
        <v>96</v>
      </c>
      <c r="C24" s="23">
        <f>L24/100*90</f>
        <v>1485</v>
      </c>
      <c r="D24" s="24">
        <f>C24/100*90</f>
        <v>1336.5</v>
      </c>
      <c r="E24" s="25">
        <f>C24/100*18.4</f>
        <v>273.23999999999995</v>
      </c>
      <c r="F24" s="25"/>
      <c r="G24" s="25">
        <f>C24/100*1.8</f>
        <v>26.73</v>
      </c>
      <c r="H24" s="25"/>
      <c r="I24" s="25"/>
      <c r="J24" s="81">
        <f>C24/100*1120</f>
        <v>16632</v>
      </c>
      <c r="K24" s="27">
        <f>C24/100*0.02</f>
        <v>0.29699999999999999</v>
      </c>
      <c r="L24" s="137">
        <v>1650</v>
      </c>
      <c r="M24" s="26">
        <v>260</v>
      </c>
      <c r="N24" s="124">
        <f t="shared" si="1"/>
        <v>429000</v>
      </c>
      <c r="O24" s="153"/>
      <c r="Q24" s="3"/>
      <c r="R24" s="3"/>
      <c r="S24" s="4"/>
    </row>
    <row r="25" spans="1:20" s="2" customFormat="1" ht="20.399999999999999" customHeight="1">
      <c r="A25" s="9">
        <v>10</v>
      </c>
      <c r="B25" s="5" t="s">
        <v>179</v>
      </c>
      <c r="C25" s="23">
        <f>L25/100*90</f>
        <v>6128.9999999999991</v>
      </c>
      <c r="D25" s="24">
        <f>C25/100*29</f>
        <v>1777.4099999999999</v>
      </c>
      <c r="E25" s="25"/>
      <c r="F25" s="25">
        <f>C25/100*1.8</f>
        <v>110.32199999999999</v>
      </c>
      <c r="G25" s="25"/>
      <c r="H25" s="25">
        <f>C25/100*0.1</f>
        <v>6.1289999999999996</v>
      </c>
      <c r="I25" s="25">
        <f>C25/100*5.3</f>
        <v>324.83699999999993</v>
      </c>
      <c r="J25" s="25">
        <f>C25/100*48</f>
        <v>2941.9199999999996</v>
      </c>
      <c r="K25" s="25">
        <f>C25/100*0.05</f>
        <v>3.0644999999999998</v>
      </c>
      <c r="L25" s="137">
        <v>6810</v>
      </c>
      <c r="M25" s="75">
        <v>13</v>
      </c>
      <c r="N25" s="28">
        <f t="shared" si="1"/>
        <v>88530</v>
      </c>
      <c r="O25" s="153"/>
    </row>
    <row r="26" spans="1:20" s="2" customFormat="1" ht="20.399999999999999" customHeight="1">
      <c r="A26" s="9">
        <v>11</v>
      </c>
      <c r="B26" s="5" t="s">
        <v>93</v>
      </c>
      <c r="C26" s="23">
        <f>L26/100*81.7</f>
        <v>3186.3</v>
      </c>
      <c r="D26" s="24">
        <f>C26/100*27</f>
        <v>860.30100000000004</v>
      </c>
      <c r="E26" s="29"/>
      <c r="F26" s="29">
        <f>C26/100*0.3</f>
        <v>9.5589000000000013</v>
      </c>
      <c r="G26" s="29"/>
      <c r="H26" s="29">
        <f>C26/100*0.1</f>
        <v>3.1863000000000006</v>
      </c>
      <c r="I26" s="29">
        <f>C26/100*6.1</f>
        <v>194.36430000000001</v>
      </c>
      <c r="J26" s="71">
        <f>C26/100*24</f>
        <v>764.7120000000001</v>
      </c>
      <c r="K26" s="71">
        <f>C26/100*0.06</f>
        <v>1.91178</v>
      </c>
      <c r="L26" s="370">
        <v>3900</v>
      </c>
      <c r="M26" s="26">
        <v>22</v>
      </c>
      <c r="N26" s="28">
        <f t="shared" si="1"/>
        <v>85800</v>
      </c>
      <c r="O26" s="153"/>
      <c r="Q26" s="3"/>
      <c r="R26" s="3"/>
      <c r="S26" s="4"/>
    </row>
    <row r="27" spans="1:20" s="2" customFormat="1" ht="20.399999999999999" customHeight="1">
      <c r="A27" s="9">
        <v>12</v>
      </c>
      <c r="B27" s="5" t="s">
        <v>136</v>
      </c>
      <c r="C27" s="23">
        <f>L27/100*100</f>
        <v>200</v>
      </c>
      <c r="D27" s="24">
        <f>C27/100*247</f>
        <v>494</v>
      </c>
      <c r="E27" s="29"/>
      <c r="F27" s="29">
        <f>C27/100*17.5</f>
        <v>35</v>
      </c>
      <c r="G27" s="29"/>
      <c r="H27" s="29">
        <f>C27/100*1.6</f>
        <v>3.2</v>
      </c>
      <c r="I27" s="29">
        <f>C27/100*39.2</f>
        <v>78.400000000000006</v>
      </c>
      <c r="J27" s="71"/>
      <c r="K27" s="71"/>
      <c r="L27" s="370">
        <v>200</v>
      </c>
      <c r="M27" s="75">
        <v>50</v>
      </c>
      <c r="N27" s="28">
        <f t="shared" si="1"/>
        <v>10000</v>
      </c>
      <c r="O27" s="153"/>
      <c r="Q27" s="3"/>
      <c r="R27" s="3"/>
      <c r="S27" s="4"/>
      <c r="T27" s="3"/>
    </row>
    <row r="28" spans="1:20" s="2" customFormat="1" ht="20.399999999999999" customHeight="1">
      <c r="A28" s="21" t="s">
        <v>105</v>
      </c>
      <c r="B28" s="22"/>
      <c r="C28" s="34"/>
      <c r="D28" s="121">
        <f>SUM(D16:D27)</f>
        <v>96433.822000000015</v>
      </c>
      <c r="E28" s="36"/>
      <c r="F28" s="36"/>
      <c r="G28" s="36"/>
      <c r="H28" s="36"/>
      <c r="I28" s="36"/>
      <c r="J28" s="36"/>
      <c r="K28" s="36"/>
      <c r="L28" s="37"/>
      <c r="M28" s="310"/>
      <c r="N28" s="240">
        <f>SUM(N16:N27)</f>
        <v>2365280</v>
      </c>
      <c r="O28" s="153"/>
    </row>
    <row r="29" spans="1:20" s="2" customFormat="1" ht="20.399999999999999" customHeight="1">
      <c r="A29" s="21" t="s">
        <v>6</v>
      </c>
      <c r="B29" s="22"/>
      <c r="C29" s="34"/>
      <c r="D29" s="35">
        <f>D28/D10</f>
        <v>494.53242051282058</v>
      </c>
      <c r="E29" s="36"/>
      <c r="F29" s="36"/>
      <c r="G29" s="36"/>
      <c r="H29" s="36"/>
      <c r="I29" s="36"/>
      <c r="J29" s="36"/>
      <c r="K29" s="36"/>
      <c r="L29" s="37"/>
      <c r="M29" s="311"/>
      <c r="N29" s="241"/>
      <c r="O29" s="153"/>
    </row>
    <row r="30" spans="1:20" s="2" customFormat="1" ht="20.399999999999999" customHeight="1">
      <c r="A30" s="291" t="s">
        <v>51</v>
      </c>
      <c r="B30" s="225"/>
      <c r="C30" s="372" t="s">
        <v>151</v>
      </c>
      <c r="D30" s="20" t="s">
        <v>45</v>
      </c>
      <c r="E30" s="36"/>
      <c r="F30" s="36"/>
      <c r="G30" s="36"/>
      <c r="H30" s="36"/>
      <c r="I30" s="36"/>
      <c r="J30" s="36"/>
      <c r="K30" s="36"/>
      <c r="L30" s="37"/>
      <c r="M30" s="37"/>
      <c r="N30" s="38"/>
      <c r="O30" s="153"/>
    </row>
    <row r="31" spans="1:20" s="2" customFormat="1" ht="20.399999999999999" customHeight="1">
      <c r="A31" s="226"/>
      <c r="B31" s="227"/>
      <c r="C31" s="76" t="s">
        <v>60</v>
      </c>
      <c r="D31" s="20">
        <f>D29*100/1320</f>
        <v>37.464577311577315</v>
      </c>
      <c r="E31" s="36"/>
      <c r="F31" s="36"/>
      <c r="G31" s="36"/>
      <c r="H31" s="36"/>
      <c r="I31" s="36"/>
      <c r="J31" s="36"/>
      <c r="K31" s="36"/>
      <c r="L31" s="37"/>
      <c r="M31" s="37"/>
      <c r="N31" s="38"/>
      <c r="O31" s="153"/>
    </row>
    <row r="32" spans="1:20" s="2" customFormat="1" ht="20.399999999999999" customHeight="1">
      <c r="A32" s="235" t="s">
        <v>35</v>
      </c>
      <c r="B32" s="235"/>
      <c r="C32" s="56"/>
      <c r="D32" s="57"/>
      <c r="E32" s="58"/>
      <c r="F32" s="58"/>
      <c r="G32" s="58"/>
      <c r="H32" s="58"/>
      <c r="I32" s="58"/>
      <c r="J32" s="58"/>
      <c r="K32" s="58"/>
      <c r="L32" s="59"/>
      <c r="M32" s="59"/>
      <c r="N32" s="69"/>
      <c r="O32" s="153"/>
    </row>
    <row r="33" spans="1:23" s="2" customFormat="1" ht="20.399999999999999" customHeight="1">
      <c r="A33" s="9">
        <v>1</v>
      </c>
      <c r="B33" s="6" t="s">
        <v>123</v>
      </c>
      <c r="C33" s="23"/>
      <c r="D33" s="139"/>
      <c r="E33" s="25"/>
      <c r="F33" s="25"/>
      <c r="G33" s="25"/>
      <c r="H33" s="25"/>
      <c r="I33" s="25">
        <v>49</v>
      </c>
      <c r="J33" s="25"/>
      <c r="K33" s="25"/>
      <c r="L33" s="26"/>
      <c r="M33" s="26"/>
      <c r="N33" s="28">
        <v>12800</v>
      </c>
      <c r="O33" s="153"/>
    </row>
    <row r="34" spans="1:23" s="2" customFormat="1" ht="20.399999999999999" customHeight="1">
      <c r="A34" s="9">
        <v>2</v>
      </c>
      <c r="B34" s="5" t="s">
        <v>1</v>
      </c>
      <c r="C34" s="23">
        <f>L34/100*100</f>
        <v>2925</v>
      </c>
      <c r="D34" s="120">
        <f>C34/100*344</f>
        <v>10062</v>
      </c>
      <c r="E34" s="25"/>
      <c r="F34" s="25">
        <f>C34/100*7.9</f>
        <v>231.07500000000002</v>
      </c>
      <c r="G34" s="25"/>
      <c r="H34" s="25">
        <f>C34/100*1</f>
        <v>29.25</v>
      </c>
      <c r="I34" s="25">
        <f>C34/100*73.3</f>
        <v>2144.0250000000001</v>
      </c>
      <c r="J34" s="27">
        <f>C34/100*30</f>
        <v>877.5</v>
      </c>
      <c r="K34" s="27">
        <f>C34/100*0.1</f>
        <v>2.9250000000000003</v>
      </c>
      <c r="L34" s="137">
        <v>2925</v>
      </c>
      <c r="M34" s="77">
        <v>18</v>
      </c>
      <c r="N34" s="28">
        <f t="shared" ref="N34:N35" si="2">L34*M34</f>
        <v>52650</v>
      </c>
      <c r="O34" s="153"/>
    </row>
    <row r="35" spans="1:23" s="2" customFormat="1" ht="20.399999999999999" customHeight="1">
      <c r="A35" s="9">
        <v>3</v>
      </c>
      <c r="B35" s="5" t="s">
        <v>73</v>
      </c>
      <c r="C35" s="23">
        <f>L35/100*100</f>
        <v>1950</v>
      </c>
      <c r="D35" s="24">
        <f>C35/100*344</f>
        <v>6708</v>
      </c>
      <c r="E35" s="25"/>
      <c r="F35" s="25">
        <f>C35/100*8.6</f>
        <v>167.7</v>
      </c>
      <c r="G35" s="25"/>
      <c r="H35" s="25">
        <f>C35/100*1.5</f>
        <v>29.25</v>
      </c>
      <c r="I35" s="25">
        <f>C35/100*74.5</f>
        <v>1452.75</v>
      </c>
      <c r="J35" s="25">
        <f>C35/100*32</f>
        <v>624</v>
      </c>
      <c r="K35" s="25">
        <f>C35/100*0.14</f>
        <v>2.7300000000000004</v>
      </c>
      <c r="L35" s="137">
        <v>1950</v>
      </c>
      <c r="M35" s="75">
        <v>30</v>
      </c>
      <c r="N35" s="28">
        <f t="shared" si="2"/>
        <v>58500</v>
      </c>
      <c r="O35" s="153"/>
      <c r="P35" s="18"/>
    </row>
    <row r="36" spans="1:23" s="2" customFormat="1" ht="20.399999999999999" customHeight="1">
      <c r="A36" s="9">
        <v>4</v>
      </c>
      <c r="B36" s="10" t="s">
        <v>2</v>
      </c>
      <c r="C36" s="23">
        <f>L36/100*100</f>
        <v>229.99999999999997</v>
      </c>
      <c r="D36" s="24">
        <f>C36/100*60</f>
        <v>138</v>
      </c>
      <c r="E36" s="25">
        <f>C36/100*15</f>
        <v>34.5</v>
      </c>
      <c r="F36" s="25"/>
      <c r="G36" s="25"/>
      <c r="H36" s="25"/>
      <c r="I36" s="25"/>
      <c r="J36" s="27">
        <f>C36/100*387</f>
        <v>890.09999999999991</v>
      </c>
      <c r="K36" s="27">
        <f>C36/100*0.09</f>
        <v>0.20699999999999999</v>
      </c>
      <c r="L36" s="137">
        <v>230</v>
      </c>
      <c r="M36" s="75">
        <v>20</v>
      </c>
      <c r="N36" s="28">
        <f>L36*M36</f>
        <v>4600</v>
      </c>
      <c r="O36" s="153"/>
    </row>
    <row r="37" spans="1:23" s="2" customFormat="1" ht="20.399999999999999" customHeight="1">
      <c r="A37" s="9">
        <v>5</v>
      </c>
      <c r="B37" s="148" t="s">
        <v>146</v>
      </c>
      <c r="C37" s="23">
        <f t="shared" ref="C37" si="3">L37/100*100</f>
        <v>200</v>
      </c>
      <c r="D37" s="120">
        <f>C37/100*900</f>
        <v>1800</v>
      </c>
      <c r="E37" s="25"/>
      <c r="F37" s="25"/>
      <c r="G37" s="119"/>
      <c r="H37" s="25">
        <f>C37/100*100</f>
        <v>200</v>
      </c>
      <c r="I37" s="25"/>
      <c r="J37" s="25"/>
      <c r="K37" s="25"/>
      <c r="L37" s="137">
        <v>200</v>
      </c>
      <c r="M37" s="75">
        <v>63.5</v>
      </c>
      <c r="N37" s="28">
        <f t="shared" ref="N37" si="4">L37*M37</f>
        <v>12700</v>
      </c>
      <c r="O37" s="373"/>
    </row>
    <row r="38" spans="1:23" s="2" customFormat="1" ht="20.399999999999999" customHeight="1">
      <c r="A38" s="9">
        <v>6</v>
      </c>
      <c r="B38" s="5" t="s">
        <v>69</v>
      </c>
      <c r="C38" s="23">
        <f>L38/100*48</f>
        <v>4665.6000000000004</v>
      </c>
      <c r="D38" s="24">
        <f>C38/100*199</f>
        <v>9284.5440000000017</v>
      </c>
      <c r="E38" s="25">
        <f>C38/100*20.3</f>
        <v>947.11680000000013</v>
      </c>
      <c r="F38" s="25"/>
      <c r="G38" s="25">
        <f>C38/100*13.1</f>
        <v>611.19360000000006</v>
      </c>
      <c r="H38" s="25"/>
      <c r="I38" s="25"/>
      <c r="J38" s="27">
        <f>C38/100*12</f>
        <v>559.87200000000007</v>
      </c>
      <c r="K38" s="27">
        <f>C38/100*0.15</f>
        <v>6.9984000000000011</v>
      </c>
      <c r="L38" s="26">
        <v>9720</v>
      </c>
      <c r="M38" s="137">
        <v>84</v>
      </c>
      <c r="N38" s="28">
        <f t="shared" ref="N38:N41" si="5">L38*M38</f>
        <v>816480</v>
      </c>
      <c r="O38" s="153"/>
      <c r="Q38" s="3"/>
      <c r="R38" s="3"/>
      <c r="S38" s="4"/>
    </row>
    <row r="39" spans="1:23" s="2" customFormat="1" ht="20.399999999999999" customHeight="1">
      <c r="A39" s="9">
        <v>7</v>
      </c>
      <c r="B39" s="5" t="s">
        <v>136</v>
      </c>
      <c r="C39" s="23">
        <f>L39/100*100</f>
        <v>120</v>
      </c>
      <c r="D39" s="24">
        <f>C39/100*247</f>
        <v>296.39999999999998</v>
      </c>
      <c r="E39" s="29"/>
      <c r="F39" s="29">
        <f>C39/100*17.5</f>
        <v>21</v>
      </c>
      <c r="G39" s="29"/>
      <c r="H39" s="29">
        <f>C39/100*1.6</f>
        <v>1.92</v>
      </c>
      <c r="I39" s="29">
        <f>C39/100*39.2</f>
        <v>47.04</v>
      </c>
      <c r="J39" s="71"/>
      <c r="K39" s="71"/>
      <c r="L39" s="370">
        <v>120</v>
      </c>
      <c r="M39" s="75">
        <v>50</v>
      </c>
      <c r="N39" s="28">
        <f t="shared" si="5"/>
        <v>6000</v>
      </c>
      <c r="O39" s="153"/>
      <c r="Q39" s="3"/>
      <c r="R39" s="3"/>
      <c r="S39" s="4"/>
      <c r="T39" s="3"/>
    </row>
    <row r="40" spans="1:23" s="2" customFormat="1" ht="20.399999999999999" customHeight="1">
      <c r="A40" s="9">
        <v>8</v>
      </c>
      <c r="B40" s="5" t="s">
        <v>75</v>
      </c>
      <c r="C40" s="23">
        <f>L40/100*75</f>
        <v>2925</v>
      </c>
      <c r="D40" s="24">
        <f>C40/100*12</f>
        <v>351</v>
      </c>
      <c r="E40" s="25"/>
      <c r="F40" s="25">
        <f>C40/100*0.6</f>
        <v>17.55</v>
      </c>
      <c r="G40" s="25"/>
      <c r="H40" s="25"/>
      <c r="I40" s="25">
        <f>C40/100*2.4</f>
        <v>70.2</v>
      </c>
      <c r="J40" s="25">
        <f>C40/100*26</f>
        <v>760.5</v>
      </c>
      <c r="K40" s="25">
        <f>C40/100*0.02</f>
        <v>0.58499999999999996</v>
      </c>
      <c r="L40" s="137">
        <v>3900</v>
      </c>
      <c r="M40" s="75">
        <v>25</v>
      </c>
      <c r="N40" s="28">
        <f t="shared" si="5"/>
        <v>97500</v>
      </c>
      <c r="O40" s="153"/>
    </row>
    <row r="41" spans="1:23" s="2" customFormat="1" ht="20.399999999999999" customHeight="1">
      <c r="A41" s="103">
        <v>9</v>
      </c>
      <c r="B41" s="156" t="s">
        <v>149</v>
      </c>
      <c r="C41" s="104">
        <f>L41/100*100</f>
        <v>3320.0000000000005</v>
      </c>
      <c r="D41" s="168">
        <f>C41/100*487</f>
        <v>16168.400000000001</v>
      </c>
      <c r="E41" s="106"/>
      <c r="F41" s="106">
        <f>C41/100*19.5</f>
        <v>647.40000000000009</v>
      </c>
      <c r="G41" s="106"/>
      <c r="H41" s="106">
        <f>C41/100*23.2</f>
        <v>770.24</v>
      </c>
      <c r="I41" s="106">
        <f>C41/100*46</f>
        <v>1527.2</v>
      </c>
      <c r="J41" s="147">
        <f>C41/100*680</f>
        <v>22576.000000000004</v>
      </c>
      <c r="K41" s="106">
        <f>C41/100*0.55</f>
        <v>18.260000000000002</v>
      </c>
      <c r="L41" s="107">
        <v>3320</v>
      </c>
      <c r="M41" s="157">
        <v>260</v>
      </c>
      <c r="N41" s="108">
        <f t="shared" si="5"/>
        <v>863200</v>
      </c>
      <c r="O41" s="153"/>
      <c r="P41" s="3"/>
    </row>
    <row r="42" spans="1:23" ht="19.2" customHeight="1">
      <c r="A42" s="208" t="s">
        <v>0</v>
      </c>
      <c r="B42" s="211" t="s">
        <v>19</v>
      </c>
      <c r="C42" s="214" t="s">
        <v>8</v>
      </c>
      <c r="D42" s="214" t="s">
        <v>9</v>
      </c>
      <c r="E42" s="217" t="s">
        <v>11</v>
      </c>
      <c r="F42" s="218"/>
      <c r="G42" s="217" t="s">
        <v>13</v>
      </c>
      <c r="H42" s="218"/>
      <c r="I42" s="221" t="s">
        <v>16</v>
      </c>
      <c r="J42" s="221" t="s">
        <v>41</v>
      </c>
      <c r="K42" s="221" t="s">
        <v>42</v>
      </c>
      <c r="L42" s="221" t="s">
        <v>17</v>
      </c>
      <c r="M42" s="221" t="s">
        <v>55</v>
      </c>
      <c r="N42" s="208" t="s">
        <v>18</v>
      </c>
      <c r="O42" s="369"/>
    </row>
    <row r="43" spans="1:23" ht="19.2" customHeight="1">
      <c r="A43" s="209"/>
      <c r="B43" s="212"/>
      <c r="C43" s="215"/>
      <c r="D43" s="215"/>
      <c r="E43" s="219"/>
      <c r="F43" s="220"/>
      <c r="G43" s="219"/>
      <c r="H43" s="220"/>
      <c r="I43" s="222"/>
      <c r="J43" s="222"/>
      <c r="K43" s="222"/>
      <c r="L43" s="222"/>
      <c r="M43" s="222"/>
      <c r="N43" s="209"/>
      <c r="O43" s="175"/>
    </row>
    <row r="44" spans="1:23" ht="19.2" customHeight="1">
      <c r="A44" s="209"/>
      <c r="B44" s="212"/>
      <c r="C44" s="215"/>
      <c r="D44" s="215"/>
      <c r="E44" s="221" t="s">
        <v>10</v>
      </c>
      <c r="F44" s="221" t="s">
        <v>12</v>
      </c>
      <c r="G44" s="221" t="s">
        <v>14</v>
      </c>
      <c r="H44" s="221" t="s">
        <v>15</v>
      </c>
      <c r="I44" s="222"/>
      <c r="J44" s="222"/>
      <c r="K44" s="222"/>
      <c r="L44" s="222"/>
      <c r="M44" s="222"/>
      <c r="N44" s="209"/>
      <c r="O44" s="175"/>
    </row>
    <row r="45" spans="1:23" ht="30.6" customHeight="1">
      <c r="A45" s="210"/>
      <c r="B45" s="213"/>
      <c r="C45" s="216"/>
      <c r="D45" s="216"/>
      <c r="E45" s="223"/>
      <c r="F45" s="223"/>
      <c r="G45" s="223"/>
      <c r="H45" s="223"/>
      <c r="I45" s="223"/>
      <c r="J45" s="223"/>
      <c r="K45" s="223"/>
      <c r="L45" s="223"/>
      <c r="M45" s="223"/>
      <c r="N45" s="210"/>
      <c r="O45" s="175"/>
    </row>
    <row r="46" spans="1:23" s="2" customFormat="1" ht="22.2" customHeight="1">
      <c r="A46" s="21" t="s">
        <v>106</v>
      </c>
      <c r="B46" s="22"/>
      <c r="C46" s="34"/>
      <c r="D46" s="121">
        <f>SUM(D33:D41)</f>
        <v>44808.344000000005</v>
      </c>
      <c r="E46" s="43"/>
      <c r="F46" s="43"/>
      <c r="G46" s="43"/>
      <c r="H46" s="43"/>
      <c r="I46" s="43"/>
      <c r="J46" s="43"/>
      <c r="K46" s="43"/>
      <c r="L46" s="44"/>
      <c r="M46" s="307"/>
      <c r="N46" s="240">
        <f>SUM(N33:N41)</f>
        <v>1924430</v>
      </c>
      <c r="O46" s="153"/>
    </row>
    <row r="47" spans="1:23" ht="22.2" customHeight="1">
      <c r="A47" s="21" t="s">
        <v>7</v>
      </c>
      <c r="B47" s="22"/>
      <c r="C47" s="45"/>
      <c r="D47" s="46">
        <f>D46/D10</f>
        <v>229.78637948717952</v>
      </c>
      <c r="E47" s="46"/>
      <c r="F47" s="46"/>
      <c r="G47" s="46"/>
      <c r="H47" s="46"/>
      <c r="I47" s="46"/>
      <c r="J47" s="46"/>
      <c r="K47" s="46"/>
      <c r="L47" s="47"/>
      <c r="M47" s="308"/>
      <c r="N47" s="241"/>
      <c r="O47" s="404"/>
      <c r="P47" s="2"/>
      <c r="Q47" s="2"/>
      <c r="R47" s="2"/>
      <c r="S47" s="2"/>
      <c r="T47" s="2"/>
      <c r="U47" s="2"/>
      <c r="V47" s="2"/>
    </row>
    <row r="48" spans="1:23" ht="22.2" customHeight="1">
      <c r="A48" s="291" t="s">
        <v>52</v>
      </c>
      <c r="B48" s="225"/>
      <c r="C48" s="372" t="s">
        <v>151</v>
      </c>
      <c r="D48" s="20" t="s">
        <v>58</v>
      </c>
      <c r="E48" s="46"/>
      <c r="F48" s="46"/>
      <c r="G48" s="46"/>
      <c r="H48" s="46"/>
      <c r="I48" s="46"/>
      <c r="J48" s="48"/>
      <c r="K48" s="48"/>
      <c r="L48" s="47"/>
      <c r="M48" s="47"/>
      <c r="N48" s="176"/>
      <c r="O48" s="4"/>
      <c r="P48" s="2"/>
      <c r="Q48" s="2"/>
      <c r="R48" s="2"/>
      <c r="S48" s="2"/>
      <c r="T48" s="2"/>
      <c r="U48" s="2"/>
      <c r="V48" s="2"/>
      <c r="W48" s="2"/>
    </row>
    <row r="49" spans="1:23" ht="22.2" customHeight="1">
      <c r="A49" s="226"/>
      <c r="B49" s="227"/>
      <c r="C49" s="76" t="s">
        <v>60</v>
      </c>
      <c r="D49" s="20">
        <f>D47*100/1320</f>
        <v>17.408059052059055</v>
      </c>
      <c r="E49" s="46"/>
      <c r="F49" s="46"/>
      <c r="G49" s="46"/>
      <c r="H49" s="46"/>
      <c r="I49" s="46"/>
      <c r="J49" s="48"/>
      <c r="K49" s="48"/>
      <c r="L49" s="47"/>
      <c r="M49" s="47"/>
      <c r="N49" s="176"/>
      <c r="O49" s="4"/>
      <c r="P49" s="2"/>
      <c r="Q49" s="2"/>
      <c r="R49" s="2"/>
      <c r="S49" s="2"/>
      <c r="T49" s="2"/>
      <c r="U49" s="2"/>
      <c r="V49" s="2"/>
      <c r="W49" s="2"/>
    </row>
    <row r="50" spans="1:23" ht="22.2" customHeight="1">
      <c r="A50" s="283" t="s">
        <v>107</v>
      </c>
      <c r="B50" s="284"/>
      <c r="C50" s="287"/>
      <c r="D50" s="296">
        <f>D28+D46</f>
        <v>141242.16600000003</v>
      </c>
      <c r="E50" s="123">
        <f>SUM(E16:E41)</f>
        <v>3117.6471999999999</v>
      </c>
      <c r="F50" s="123">
        <f>SUM(F17:F41)</f>
        <v>2752.3514000000005</v>
      </c>
      <c r="G50" s="123">
        <f>SUM(G17:G41)</f>
        <v>2865.3004000000001</v>
      </c>
      <c r="H50" s="123">
        <f>SUM(H17:H41)</f>
        <v>1232.6139000000001</v>
      </c>
      <c r="I50" s="251">
        <f>SUM(I17:I41)</f>
        <v>19589.953799999999</v>
      </c>
      <c r="J50" s="251">
        <f>SUM(J16:J41)</f>
        <v>55734.335899999991</v>
      </c>
      <c r="K50" s="281">
        <f>SUM(K16:K41)</f>
        <v>128.91797999999997</v>
      </c>
      <c r="L50" s="265"/>
      <c r="M50" s="265"/>
      <c r="N50" s="303">
        <f>N28+N46</f>
        <v>4289710</v>
      </c>
      <c r="U50" s="12"/>
      <c r="V50" s="12"/>
    </row>
    <row r="51" spans="1:23" ht="22.2" customHeight="1">
      <c r="A51" s="285"/>
      <c r="B51" s="286"/>
      <c r="C51" s="288"/>
      <c r="D51" s="297"/>
      <c r="E51" s="279">
        <f>E50+F50</f>
        <v>5869.9986000000008</v>
      </c>
      <c r="F51" s="280"/>
      <c r="G51" s="279">
        <f>G50+H50</f>
        <v>4097.9143000000004</v>
      </c>
      <c r="H51" s="280"/>
      <c r="I51" s="253"/>
      <c r="J51" s="253"/>
      <c r="K51" s="282"/>
      <c r="L51" s="265"/>
      <c r="M51" s="265"/>
      <c r="N51" s="303"/>
      <c r="U51" s="12"/>
      <c r="V51" s="12"/>
    </row>
    <row r="52" spans="1:23" ht="22.2" customHeight="1">
      <c r="A52" s="245" t="s">
        <v>77</v>
      </c>
      <c r="B52" s="246"/>
      <c r="C52" s="247"/>
      <c r="D52" s="138">
        <f>D50/D10</f>
        <v>724.31880000000012</v>
      </c>
      <c r="E52" s="374">
        <f>E50/D10</f>
        <v>15.987934358974359</v>
      </c>
      <c r="F52" s="375">
        <f>F50/D10</f>
        <v>14.114622564102566</v>
      </c>
      <c r="G52" s="374">
        <f>G50/D10</f>
        <v>14.693848205128205</v>
      </c>
      <c r="H52" s="405">
        <f>H50/D10</f>
        <v>6.3210969230769232</v>
      </c>
      <c r="I52" s="261">
        <f>I50/D10</f>
        <v>100.46130153846154</v>
      </c>
      <c r="J52" s="299">
        <f>J50/D10</f>
        <v>285.81710717948715</v>
      </c>
      <c r="K52" s="299">
        <f>K50/D10</f>
        <v>0.66111784615384606</v>
      </c>
      <c r="L52" s="265"/>
      <c r="M52" s="265"/>
      <c r="N52" s="303"/>
      <c r="P52" s="395"/>
      <c r="Q52" s="396"/>
      <c r="R52" s="396"/>
      <c r="S52" s="396"/>
      <c r="T52" s="396"/>
      <c r="U52" s="397"/>
      <c r="V52" s="397"/>
    </row>
    <row r="53" spans="1:23" ht="22.2" customHeight="1">
      <c r="A53" s="248"/>
      <c r="B53" s="249"/>
      <c r="C53" s="250"/>
      <c r="D53" s="409"/>
      <c r="E53" s="376">
        <f>E52+F52</f>
        <v>30.102556923076925</v>
      </c>
      <c r="F53" s="377"/>
      <c r="G53" s="376">
        <f>G52+H52</f>
        <v>21.014945128205127</v>
      </c>
      <c r="H53" s="377"/>
      <c r="I53" s="262"/>
      <c r="J53" s="300"/>
      <c r="K53" s="300"/>
      <c r="L53" s="265"/>
      <c r="M53" s="265"/>
      <c r="N53" s="303"/>
      <c r="P53" s="398"/>
      <c r="Q53" s="396"/>
      <c r="R53" s="396"/>
      <c r="S53" s="396"/>
      <c r="T53" s="396"/>
      <c r="U53" s="396"/>
      <c r="V53" s="396"/>
    </row>
    <row r="54" spans="1:23" ht="22.2" customHeight="1">
      <c r="A54" s="304" t="s">
        <v>80</v>
      </c>
      <c r="B54" s="305"/>
      <c r="C54" s="306"/>
      <c r="D54" s="178" t="s">
        <v>28</v>
      </c>
      <c r="E54" s="194" t="s">
        <v>21</v>
      </c>
      <c r="F54" s="194"/>
      <c r="G54" s="194" t="s">
        <v>22</v>
      </c>
      <c r="H54" s="194"/>
      <c r="I54" s="174" t="s">
        <v>23</v>
      </c>
      <c r="J54" s="378">
        <v>600</v>
      </c>
      <c r="K54" s="378">
        <v>0.7</v>
      </c>
      <c r="L54" s="265"/>
      <c r="M54" s="265"/>
      <c r="N54" s="303"/>
      <c r="O54" s="379"/>
      <c r="P54" s="395"/>
      <c r="Q54" s="400"/>
      <c r="R54" s="400"/>
      <c r="S54" s="400"/>
      <c r="T54" s="400"/>
      <c r="U54" s="395"/>
      <c r="V54" s="395"/>
    </row>
    <row r="55" spans="1:23" ht="22.2" customHeight="1">
      <c r="A55" s="242" t="s">
        <v>78</v>
      </c>
      <c r="B55" s="272"/>
      <c r="C55" s="243"/>
      <c r="D55" s="49"/>
      <c r="E55" s="273">
        <f>E53*4.1</f>
        <v>123.42048338461538</v>
      </c>
      <c r="F55" s="274"/>
      <c r="G55" s="273">
        <f>G53*9</f>
        <v>189.13450615384613</v>
      </c>
      <c r="H55" s="274"/>
      <c r="I55" s="85">
        <f>I52*4.1</f>
        <v>411.89133630769226</v>
      </c>
      <c r="J55" s="254"/>
      <c r="K55" s="254"/>
      <c r="L55" s="265"/>
      <c r="M55" s="265"/>
      <c r="N55" s="303"/>
      <c r="O55" s="379"/>
      <c r="P55" s="399"/>
      <c r="Q55" s="395"/>
      <c r="R55" s="395"/>
      <c r="S55" s="395"/>
      <c r="T55" s="395"/>
      <c r="U55" s="395"/>
      <c r="V55" s="395"/>
    </row>
    <row r="56" spans="1:23" ht="22.2" customHeight="1">
      <c r="A56" s="275" t="s">
        <v>81</v>
      </c>
      <c r="B56" s="276"/>
      <c r="C56" s="242" t="s">
        <v>59</v>
      </c>
      <c r="D56" s="243"/>
      <c r="E56" s="188">
        <f>E55*100/D52</f>
        <v>17.039525052313341</v>
      </c>
      <c r="F56" s="189"/>
      <c r="G56" s="188">
        <f>G55*100/D52</f>
        <v>26.112052614656157</v>
      </c>
      <c r="H56" s="189"/>
      <c r="I56" s="115">
        <f>I55*100/D52</f>
        <v>56.86602864756405</v>
      </c>
      <c r="J56" s="255"/>
      <c r="K56" s="255"/>
      <c r="L56" s="265"/>
      <c r="M56" s="265"/>
      <c r="N56" s="303"/>
      <c r="O56" s="379"/>
    </row>
    <row r="57" spans="1:23" ht="22.2" customHeight="1">
      <c r="A57" s="277"/>
      <c r="B57" s="278"/>
      <c r="C57" s="242" t="s">
        <v>79</v>
      </c>
      <c r="D57" s="243"/>
      <c r="E57" s="242" t="s">
        <v>82</v>
      </c>
      <c r="F57" s="243"/>
      <c r="G57" s="242" t="s">
        <v>83</v>
      </c>
      <c r="H57" s="243"/>
      <c r="I57" s="178" t="s">
        <v>84</v>
      </c>
      <c r="J57" s="256"/>
      <c r="K57" s="256"/>
      <c r="L57" s="265"/>
      <c r="M57" s="265"/>
      <c r="N57" s="303"/>
      <c r="O57" s="379"/>
      <c r="P57" s="132"/>
    </row>
    <row r="58" spans="1:23" ht="22.2" customHeight="1">
      <c r="A58" s="90"/>
      <c r="B58" s="93"/>
      <c r="C58" s="90"/>
      <c r="D58" s="90"/>
      <c r="E58" s="90"/>
      <c r="F58" s="90"/>
      <c r="G58" s="90"/>
      <c r="H58" s="90"/>
      <c r="I58" s="90"/>
      <c r="J58" s="90"/>
      <c r="K58" s="90"/>
      <c r="L58" s="91"/>
      <c r="M58" s="91"/>
      <c r="N58" s="92"/>
      <c r="O58" s="379"/>
    </row>
    <row r="59" spans="1:23" ht="21" customHeight="1">
      <c r="A59" s="183" t="s">
        <v>114</v>
      </c>
      <c r="B59" s="183"/>
      <c r="C59" s="183"/>
      <c r="D59" s="183"/>
      <c r="E59" s="183"/>
      <c r="F59" s="183"/>
      <c r="G59" s="183"/>
      <c r="H59" s="183"/>
      <c r="I59" s="183"/>
      <c r="J59" s="183"/>
      <c r="K59" s="183"/>
      <c r="L59" s="183"/>
      <c r="M59" s="183"/>
      <c r="N59" s="183"/>
      <c r="O59" s="379"/>
    </row>
    <row r="60" spans="1:23" ht="21" customHeight="1">
      <c r="A60" s="117" t="s">
        <v>115</v>
      </c>
      <c r="B60" s="184" t="s">
        <v>125</v>
      </c>
      <c r="C60" s="184"/>
      <c r="D60" s="184"/>
      <c r="E60" s="184"/>
      <c r="F60" s="184"/>
      <c r="G60" s="184"/>
      <c r="H60" s="184"/>
      <c r="I60" s="184"/>
      <c r="J60" s="184"/>
      <c r="K60" s="184"/>
      <c r="L60" s="184"/>
      <c r="M60" s="184"/>
      <c r="N60" s="184"/>
      <c r="O60" s="379"/>
    </row>
    <row r="61" spans="1:23" ht="21" customHeight="1">
      <c r="A61" s="118"/>
      <c r="B61" s="185" t="s">
        <v>206</v>
      </c>
      <c r="C61" s="185"/>
      <c r="D61" s="185"/>
      <c r="E61" s="185"/>
      <c r="F61" s="185"/>
      <c r="G61" s="185"/>
      <c r="H61" s="185"/>
      <c r="I61" s="185"/>
      <c r="J61" s="185"/>
      <c r="K61" s="185"/>
      <c r="L61" s="185"/>
      <c r="M61" s="185"/>
      <c r="N61" s="185"/>
      <c r="O61" s="379"/>
    </row>
    <row r="62" spans="1:23" ht="21" customHeight="1">
      <c r="A62" s="118"/>
      <c r="B62" s="185" t="s">
        <v>207</v>
      </c>
      <c r="C62" s="185"/>
      <c r="D62" s="185"/>
      <c r="E62" s="185"/>
      <c r="F62" s="185"/>
      <c r="G62" s="185"/>
      <c r="H62" s="185"/>
      <c r="I62" s="185"/>
      <c r="J62" s="185"/>
      <c r="K62" s="185"/>
      <c r="L62" s="185"/>
      <c r="M62" s="185"/>
      <c r="N62" s="185"/>
      <c r="O62" s="379"/>
    </row>
    <row r="63" spans="1:23" ht="21" customHeight="1">
      <c r="A63" s="118"/>
      <c r="B63" s="185" t="s">
        <v>208</v>
      </c>
      <c r="C63" s="185"/>
      <c r="D63" s="185"/>
      <c r="E63" s="185"/>
      <c r="F63" s="185"/>
      <c r="G63" s="185"/>
      <c r="H63" s="185"/>
      <c r="I63" s="185"/>
      <c r="J63" s="185"/>
      <c r="K63" s="185"/>
      <c r="L63" s="185"/>
      <c r="M63" s="185"/>
      <c r="N63" s="185"/>
      <c r="O63" s="379"/>
    </row>
    <row r="64" spans="1:23" ht="21" customHeight="1">
      <c r="A64" s="90"/>
      <c r="B64" s="186" t="s">
        <v>117</v>
      </c>
      <c r="C64" s="186"/>
      <c r="D64" s="186"/>
      <c r="E64" s="186"/>
      <c r="F64" s="186"/>
      <c r="G64" s="186"/>
      <c r="H64" s="186"/>
      <c r="I64" s="186"/>
      <c r="J64" s="186"/>
      <c r="K64" s="186"/>
      <c r="L64" s="186"/>
      <c r="M64" s="186"/>
      <c r="N64" s="186"/>
      <c r="O64" s="379"/>
    </row>
    <row r="65" spans="1:20" ht="21" customHeight="1">
      <c r="A65" s="90"/>
      <c r="B65" s="90"/>
      <c r="C65" s="90"/>
      <c r="D65" s="90"/>
      <c r="E65" s="90"/>
      <c r="F65" s="90"/>
      <c r="G65" s="90"/>
      <c r="H65" s="90"/>
      <c r="I65" s="90"/>
      <c r="J65" s="90"/>
      <c r="K65" s="90"/>
      <c r="L65" s="94"/>
      <c r="M65" s="94"/>
      <c r="N65" s="95"/>
      <c r="O65" s="379"/>
    </row>
    <row r="66" spans="1:20" ht="21" customHeight="1">
      <c r="A66" s="187" t="s">
        <v>62</v>
      </c>
      <c r="B66" s="187"/>
      <c r="C66" s="187"/>
      <c r="D66" s="187"/>
      <c r="E66" s="380"/>
      <c r="F66" s="380"/>
      <c r="G66" s="380"/>
      <c r="H66" s="380"/>
      <c r="I66" s="380"/>
      <c r="J66" s="381" t="s">
        <v>33</v>
      </c>
      <c r="K66" s="381"/>
      <c r="L66" s="381"/>
      <c r="M66" s="381"/>
      <c r="N66" s="381"/>
      <c r="O66" s="379"/>
    </row>
    <row r="67" spans="1:20" ht="21" customHeight="1">
      <c r="A67" s="175"/>
      <c r="B67" s="175"/>
      <c r="C67" s="175"/>
      <c r="D67" s="380"/>
      <c r="E67" s="380"/>
      <c r="F67" s="380"/>
      <c r="G67" s="380"/>
      <c r="H67" s="382"/>
      <c r="I67" s="382"/>
      <c r="J67" s="382"/>
      <c r="K67" s="382"/>
      <c r="L67" s="382"/>
      <c r="M67" s="382"/>
      <c r="N67" s="382"/>
      <c r="O67" s="379"/>
    </row>
    <row r="68" spans="1:20" ht="21" customHeight="1">
      <c r="A68" s="175"/>
      <c r="B68" s="175"/>
      <c r="C68" s="175"/>
      <c r="D68" s="380"/>
      <c r="E68" s="380"/>
      <c r="F68" s="380"/>
      <c r="G68" s="380"/>
      <c r="H68" s="382"/>
      <c r="I68" s="382"/>
      <c r="J68" s="382"/>
      <c r="K68" s="382"/>
      <c r="L68" s="382"/>
      <c r="M68" s="382"/>
      <c r="N68" s="382"/>
      <c r="O68" s="379"/>
    </row>
    <row r="69" spans="1:20" ht="21" customHeight="1">
      <c r="A69" s="175"/>
      <c r="B69" s="175"/>
      <c r="C69" s="175"/>
      <c r="D69" s="380"/>
      <c r="E69" s="380"/>
      <c r="F69" s="380"/>
      <c r="G69" s="380"/>
      <c r="H69" s="382"/>
      <c r="I69" s="382"/>
      <c r="J69" s="383" t="s">
        <v>124</v>
      </c>
      <c r="K69" s="383"/>
      <c r="L69" s="383"/>
      <c r="M69" s="383"/>
      <c r="N69" s="383"/>
      <c r="O69" s="379"/>
    </row>
    <row r="70" spans="1:20" ht="22.2" customHeight="1">
      <c r="A70" s="179" t="s">
        <v>91</v>
      </c>
      <c r="B70" s="179"/>
      <c r="C70" s="179"/>
      <c r="D70" s="179"/>
      <c r="E70" s="380"/>
      <c r="F70" s="380"/>
      <c r="G70" s="380"/>
      <c r="H70" s="382"/>
      <c r="I70" s="382"/>
      <c r="J70" s="383"/>
      <c r="K70" s="383"/>
      <c r="L70" s="383"/>
      <c r="M70" s="383"/>
      <c r="N70" s="383"/>
      <c r="O70" s="379"/>
    </row>
    <row r="71" spans="1:20" ht="22.2" customHeight="1">
      <c r="A71" s="90"/>
      <c r="B71" s="90"/>
      <c r="C71" s="90"/>
      <c r="D71" s="90"/>
      <c r="E71" s="90"/>
      <c r="F71" s="90"/>
      <c r="G71" s="90"/>
      <c r="H71" s="90"/>
      <c r="I71" s="90"/>
      <c r="J71" s="90"/>
      <c r="K71" s="90"/>
      <c r="L71" s="94"/>
      <c r="M71" s="94"/>
      <c r="N71" s="95"/>
      <c r="O71" s="379"/>
    </row>
    <row r="72" spans="1:20" ht="22.2" customHeight="1">
      <c r="A72" s="90"/>
      <c r="B72" s="90"/>
      <c r="C72" s="90"/>
      <c r="D72" s="90"/>
      <c r="E72" s="90"/>
      <c r="F72" s="90"/>
      <c r="G72" s="90"/>
      <c r="H72" s="90"/>
      <c r="I72" s="90"/>
      <c r="J72" s="383" t="s">
        <v>127</v>
      </c>
      <c r="K72" s="383"/>
      <c r="L72" s="383"/>
      <c r="M72" s="383"/>
      <c r="N72" s="383"/>
      <c r="O72" s="379"/>
    </row>
    <row r="73" spans="1:20" ht="22.2" customHeight="1">
      <c r="A73" s="90"/>
      <c r="B73" s="90"/>
      <c r="C73" s="90"/>
      <c r="D73" s="90"/>
      <c r="E73" s="90"/>
      <c r="F73" s="90"/>
      <c r="G73" s="90"/>
      <c r="H73" s="90"/>
      <c r="I73" s="90"/>
      <c r="J73" s="90"/>
      <c r="K73" s="90"/>
      <c r="L73" s="94"/>
      <c r="M73" s="94"/>
      <c r="N73" s="95"/>
      <c r="O73" s="379"/>
    </row>
    <row r="74" spans="1:20" ht="22.2" customHeight="1">
      <c r="A74" s="90"/>
      <c r="B74" s="90"/>
      <c r="C74" s="90"/>
      <c r="D74" s="90"/>
      <c r="E74" s="90"/>
      <c r="F74" s="90"/>
      <c r="G74" s="90"/>
      <c r="H74" s="90"/>
      <c r="I74" s="90"/>
      <c r="J74" s="90"/>
      <c r="K74" s="90"/>
      <c r="L74" s="94"/>
      <c r="M74" s="94"/>
      <c r="N74" s="95"/>
      <c r="O74" s="379"/>
    </row>
    <row r="75" spans="1:20" ht="22.2" customHeight="1">
      <c r="A75" s="90"/>
      <c r="B75" s="90"/>
      <c r="C75" s="90"/>
      <c r="D75" s="90"/>
      <c r="E75" s="90"/>
      <c r="F75" s="90"/>
      <c r="G75" s="90"/>
      <c r="H75" s="90"/>
      <c r="I75" s="90"/>
      <c r="J75" s="90"/>
      <c r="K75" s="90"/>
      <c r="L75" s="94"/>
      <c r="M75" s="94"/>
      <c r="N75" s="95"/>
      <c r="O75" s="379"/>
    </row>
    <row r="76" spans="1:20" ht="22.2" customHeight="1">
      <c r="A76" s="90"/>
      <c r="B76" s="90"/>
      <c r="C76" s="90"/>
      <c r="D76" s="90"/>
      <c r="E76" s="90"/>
      <c r="F76" s="90"/>
      <c r="G76" s="90"/>
      <c r="H76" s="90"/>
      <c r="I76" s="90"/>
      <c r="J76" s="90"/>
      <c r="K76" s="90"/>
      <c r="L76" s="94"/>
      <c r="M76" s="94"/>
      <c r="N76" s="95"/>
      <c r="O76" s="379"/>
    </row>
    <row r="77" spans="1:20" ht="22.2" customHeight="1">
      <c r="A77" s="90"/>
      <c r="B77" s="90"/>
      <c r="C77" s="90"/>
      <c r="D77" s="90"/>
      <c r="E77" s="90"/>
      <c r="F77" s="90"/>
      <c r="G77" s="90"/>
      <c r="H77" s="90"/>
      <c r="I77" s="90"/>
      <c r="J77" s="90"/>
      <c r="K77" s="90"/>
      <c r="L77" s="94"/>
      <c r="M77" s="94"/>
      <c r="N77" s="95"/>
      <c r="O77" s="379"/>
    </row>
    <row r="78" spans="1:20" ht="22.2" customHeight="1">
      <c r="A78" s="90"/>
      <c r="B78" s="90"/>
      <c r="C78" s="90"/>
      <c r="D78" s="90"/>
      <c r="E78" s="90"/>
      <c r="F78" s="90"/>
      <c r="G78" s="90"/>
      <c r="H78" s="90"/>
      <c r="I78" s="90"/>
      <c r="J78" s="90"/>
      <c r="K78" s="90"/>
      <c r="L78" s="94"/>
      <c r="M78" s="94"/>
      <c r="N78" s="95"/>
      <c r="O78" s="379"/>
    </row>
    <row r="79" spans="1:20" ht="22.2" customHeight="1">
      <c r="A79" s="90"/>
      <c r="B79" s="90"/>
      <c r="C79" s="90"/>
      <c r="D79" s="90"/>
      <c r="E79" s="90"/>
      <c r="F79" s="90"/>
      <c r="G79" s="90"/>
      <c r="H79" s="90"/>
      <c r="I79" s="90"/>
      <c r="J79" s="90"/>
      <c r="K79" s="90"/>
      <c r="L79" s="94"/>
      <c r="M79" s="94"/>
      <c r="N79" s="95"/>
      <c r="O79" s="379"/>
    </row>
    <row r="80" spans="1:20" ht="17.399999999999999" customHeight="1">
      <c r="A80" s="11" t="s">
        <v>61</v>
      </c>
      <c r="B80" s="8"/>
      <c r="C80" s="8"/>
      <c r="D80" s="8"/>
      <c r="E80" s="8"/>
      <c r="F80" s="290" t="s">
        <v>32</v>
      </c>
      <c r="G80" s="290"/>
      <c r="H80" s="290"/>
      <c r="I80" s="290"/>
      <c r="J80" s="290"/>
      <c r="K80" s="290"/>
      <c r="L80" s="290"/>
      <c r="M80" s="290"/>
      <c r="N80" s="290"/>
      <c r="O80" s="367"/>
      <c r="P80" s="410"/>
      <c r="Q80" s="410"/>
      <c r="R80" s="141"/>
      <c r="S80" s="141"/>
      <c r="T80" s="2"/>
    </row>
    <row r="81" spans="1:20" ht="17.399999999999999" customHeight="1">
      <c r="A81" s="8" t="s">
        <v>205</v>
      </c>
      <c r="B81" s="8"/>
      <c r="C81" s="8"/>
      <c r="D81" s="8"/>
      <c r="E81" s="8"/>
      <c r="F81" s="172"/>
      <c r="G81" s="172"/>
      <c r="H81" s="172"/>
      <c r="I81" s="172"/>
      <c r="J81" s="172"/>
      <c r="K81" s="172"/>
      <c r="L81" s="172"/>
      <c r="M81" s="172"/>
      <c r="N81" s="172"/>
      <c r="O81" s="367"/>
      <c r="P81" s="367"/>
      <c r="T81" s="2"/>
    </row>
    <row r="82" spans="1:20" s="2" customFormat="1" ht="17.399999999999999" customHeight="1">
      <c r="A82" s="194" t="s">
        <v>97</v>
      </c>
      <c r="B82" s="194"/>
      <c r="C82" s="194"/>
      <c r="D82" s="194"/>
      <c r="E82" s="194" t="s">
        <v>89</v>
      </c>
      <c r="F82" s="194"/>
      <c r="G82" s="194"/>
      <c r="H82" s="194"/>
      <c r="I82" s="194"/>
      <c r="J82" s="194"/>
      <c r="K82" s="194"/>
      <c r="L82" s="194"/>
      <c r="M82" s="194"/>
      <c r="N82" s="194"/>
      <c r="O82" s="368"/>
    </row>
    <row r="83" spans="1:20" s="2" customFormat="1" ht="17.399999999999999" customHeight="1">
      <c r="A83" s="194"/>
      <c r="B83" s="194"/>
      <c r="C83" s="194"/>
      <c r="D83" s="194"/>
      <c r="E83" s="194" t="s">
        <v>100</v>
      </c>
      <c r="F83" s="194"/>
      <c r="G83" s="194"/>
      <c r="H83" s="194"/>
      <c r="I83" s="194"/>
      <c r="J83" s="194" t="s">
        <v>101</v>
      </c>
      <c r="K83" s="194"/>
      <c r="L83" s="194"/>
      <c r="M83" s="194"/>
      <c r="N83" s="194"/>
      <c r="O83" s="368"/>
    </row>
    <row r="84" spans="1:20" s="2" customFormat="1" ht="17.399999999999999" customHeight="1">
      <c r="A84" s="195" t="s">
        <v>90</v>
      </c>
      <c r="B84" s="195"/>
      <c r="C84" s="195"/>
      <c r="D84" s="195"/>
      <c r="E84" s="198" t="s">
        <v>148</v>
      </c>
      <c r="F84" s="198"/>
      <c r="G84" s="198"/>
      <c r="H84" s="198"/>
      <c r="I84" s="198"/>
      <c r="J84" s="195" t="s">
        <v>90</v>
      </c>
      <c r="K84" s="195"/>
      <c r="L84" s="195"/>
      <c r="M84" s="195"/>
      <c r="N84" s="195"/>
      <c r="O84" s="368"/>
    </row>
    <row r="85" spans="1:20" s="2" customFormat="1" ht="17.399999999999999" customHeight="1">
      <c r="A85" s="312" t="s">
        <v>158</v>
      </c>
      <c r="B85" s="313"/>
      <c r="C85" s="313"/>
      <c r="D85" s="314"/>
      <c r="E85" s="198"/>
      <c r="F85" s="198"/>
      <c r="G85" s="198"/>
      <c r="H85" s="198"/>
      <c r="I85" s="198"/>
      <c r="J85" s="196" t="s">
        <v>102</v>
      </c>
      <c r="K85" s="196"/>
      <c r="L85" s="196"/>
      <c r="M85" s="196"/>
      <c r="N85" s="196"/>
      <c r="O85" s="368"/>
    </row>
    <row r="86" spans="1:20" s="2" customFormat="1" ht="17.399999999999999" customHeight="1">
      <c r="A86" s="197" t="s">
        <v>182</v>
      </c>
      <c r="B86" s="197"/>
      <c r="C86" s="197"/>
      <c r="D86" s="197"/>
      <c r="E86" s="198"/>
      <c r="F86" s="198"/>
      <c r="G86" s="198"/>
      <c r="H86" s="198"/>
      <c r="I86" s="198"/>
      <c r="J86" s="197" t="s">
        <v>166</v>
      </c>
      <c r="K86" s="197"/>
      <c r="L86" s="197"/>
      <c r="M86" s="197"/>
      <c r="N86" s="197"/>
      <c r="O86" s="203"/>
      <c r="P86" s="203"/>
      <c r="Q86" s="203"/>
      <c r="R86" s="203"/>
    </row>
    <row r="87" spans="1:20" ht="17.399999999999999" customHeight="1">
      <c r="A87" s="228" t="s">
        <v>122</v>
      </c>
      <c r="B87" s="229"/>
      <c r="C87" s="230"/>
      <c r="D87" s="128">
        <v>55</v>
      </c>
      <c r="E87" s="8"/>
      <c r="F87" s="172"/>
      <c r="G87" s="172"/>
      <c r="H87" s="172"/>
      <c r="I87" s="172"/>
      <c r="J87" s="172"/>
      <c r="K87" s="172"/>
      <c r="L87" s="172"/>
      <c r="M87" s="172"/>
      <c r="N87" s="172"/>
      <c r="O87" s="367"/>
      <c r="P87" s="367"/>
      <c r="T87" s="2"/>
    </row>
    <row r="88" spans="1:20" ht="17.399999999999999" customHeight="1">
      <c r="A88" s="208" t="s">
        <v>0</v>
      </c>
      <c r="B88" s="211" t="s">
        <v>19</v>
      </c>
      <c r="C88" s="214" t="s">
        <v>8</v>
      </c>
      <c r="D88" s="214" t="s">
        <v>9</v>
      </c>
      <c r="E88" s="217" t="s">
        <v>11</v>
      </c>
      <c r="F88" s="218"/>
      <c r="G88" s="217" t="s">
        <v>13</v>
      </c>
      <c r="H88" s="218"/>
      <c r="I88" s="221" t="s">
        <v>16</v>
      </c>
      <c r="J88" s="221" t="s">
        <v>41</v>
      </c>
      <c r="K88" s="221" t="s">
        <v>42</v>
      </c>
      <c r="L88" s="221" t="s">
        <v>17</v>
      </c>
      <c r="M88" s="221" t="s">
        <v>55</v>
      </c>
      <c r="N88" s="208" t="s">
        <v>18</v>
      </c>
      <c r="O88" s="369"/>
    </row>
    <row r="89" spans="1:20" ht="17.399999999999999" customHeight="1">
      <c r="A89" s="209"/>
      <c r="B89" s="212"/>
      <c r="C89" s="215"/>
      <c r="D89" s="215"/>
      <c r="E89" s="219"/>
      <c r="F89" s="220"/>
      <c r="G89" s="219"/>
      <c r="H89" s="220"/>
      <c r="I89" s="222"/>
      <c r="J89" s="222"/>
      <c r="K89" s="222"/>
      <c r="L89" s="222"/>
      <c r="M89" s="222"/>
      <c r="N89" s="209"/>
      <c r="O89" s="175"/>
    </row>
    <row r="90" spans="1:20" ht="17.399999999999999" customHeight="1">
      <c r="A90" s="209"/>
      <c r="B90" s="212"/>
      <c r="C90" s="215"/>
      <c r="D90" s="215"/>
      <c r="E90" s="221" t="s">
        <v>10</v>
      </c>
      <c r="F90" s="221" t="s">
        <v>12</v>
      </c>
      <c r="G90" s="221" t="s">
        <v>14</v>
      </c>
      <c r="H90" s="221" t="s">
        <v>15</v>
      </c>
      <c r="I90" s="222"/>
      <c r="J90" s="222"/>
      <c r="K90" s="222"/>
      <c r="L90" s="222"/>
      <c r="M90" s="222"/>
      <c r="N90" s="209"/>
      <c r="O90" s="175"/>
    </row>
    <row r="91" spans="1:20" ht="17.399999999999999" customHeight="1">
      <c r="A91" s="210"/>
      <c r="B91" s="213"/>
      <c r="C91" s="216"/>
      <c r="D91" s="216"/>
      <c r="E91" s="223"/>
      <c r="F91" s="223"/>
      <c r="G91" s="223"/>
      <c r="H91" s="223"/>
      <c r="I91" s="223"/>
      <c r="J91" s="223"/>
      <c r="K91" s="223"/>
      <c r="L91" s="223"/>
      <c r="M91" s="223"/>
      <c r="N91" s="210"/>
      <c r="O91" s="175"/>
    </row>
    <row r="92" spans="1:20" ht="18.600000000000001" customHeight="1">
      <c r="A92" s="237" t="s">
        <v>39</v>
      </c>
      <c r="B92" s="238"/>
      <c r="C92" s="238"/>
      <c r="D92" s="238"/>
      <c r="E92" s="238"/>
      <c r="F92" s="238"/>
      <c r="G92" s="238"/>
      <c r="H92" s="238"/>
      <c r="I92" s="238"/>
      <c r="J92" s="238"/>
      <c r="K92" s="238"/>
      <c r="L92" s="238"/>
      <c r="M92" s="238"/>
      <c r="N92" s="239"/>
      <c r="O92" s="175"/>
    </row>
    <row r="93" spans="1:20" s="2" customFormat="1" ht="18.600000000000001" customHeight="1">
      <c r="A93" s="9">
        <v>1</v>
      </c>
      <c r="B93" s="10" t="s">
        <v>2</v>
      </c>
      <c r="C93" s="23">
        <f>L93/100*100</f>
        <v>70</v>
      </c>
      <c r="D93" s="24">
        <f>C93/100*60</f>
        <v>42</v>
      </c>
      <c r="E93" s="25">
        <f>C93/100*15</f>
        <v>10.5</v>
      </c>
      <c r="F93" s="25"/>
      <c r="G93" s="25"/>
      <c r="H93" s="25"/>
      <c r="I93" s="25"/>
      <c r="J93" s="27">
        <f>C93/100*387</f>
        <v>270.89999999999998</v>
      </c>
      <c r="K93" s="27">
        <f>C93/100*0.09</f>
        <v>6.3E-2</v>
      </c>
      <c r="L93" s="137">
        <v>70</v>
      </c>
      <c r="M93" s="75">
        <v>20</v>
      </c>
      <c r="N93" s="28">
        <f>L93*M93</f>
        <v>1400</v>
      </c>
      <c r="O93" s="153"/>
    </row>
    <row r="94" spans="1:20" s="2" customFormat="1" ht="18.600000000000001" customHeight="1">
      <c r="A94" s="9">
        <v>2</v>
      </c>
      <c r="B94" s="148" t="s">
        <v>141</v>
      </c>
      <c r="C94" s="23">
        <f>L94/100*100</f>
        <v>280</v>
      </c>
      <c r="D94" s="24">
        <f>C94/100*899</f>
        <v>2517.1999999999998</v>
      </c>
      <c r="E94" s="25"/>
      <c r="F94" s="25"/>
      <c r="G94" s="25">
        <f>C94/100*100</f>
        <v>280</v>
      </c>
      <c r="H94" s="25"/>
      <c r="I94" s="25"/>
      <c r="J94" s="25"/>
      <c r="K94" s="25"/>
      <c r="L94" s="137">
        <v>280</v>
      </c>
      <c r="M94" s="24">
        <v>68</v>
      </c>
      <c r="N94" s="28">
        <f t="shared" ref="N94:N103" si="6">L94*M94</f>
        <v>19040</v>
      </c>
      <c r="O94" s="373"/>
    </row>
    <row r="95" spans="1:20" s="2" customFormat="1" ht="18.600000000000001" customHeight="1">
      <c r="A95" s="9">
        <v>3</v>
      </c>
      <c r="B95" s="148" t="s">
        <v>146</v>
      </c>
      <c r="C95" s="23">
        <f>L95/100*100</f>
        <v>130</v>
      </c>
      <c r="D95" s="120">
        <f>C95/100*900</f>
        <v>1170</v>
      </c>
      <c r="E95" s="25"/>
      <c r="F95" s="25"/>
      <c r="G95" s="119"/>
      <c r="H95" s="25">
        <f>C95/100*100</f>
        <v>130</v>
      </c>
      <c r="I95" s="25"/>
      <c r="J95" s="25"/>
      <c r="K95" s="25"/>
      <c r="L95" s="137">
        <v>130</v>
      </c>
      <c r="M95" s="75">
        <v>63.5</v>
      </c>
      <c r="N95" s="28">
        <f t="shared" si="6"/>
        <v>8255</v>
      </c>
      <c r="O95" s="373"/>
    </row>
    <row r="96" spans="1:20" s="2" customFormat="1" ht="18.600000000000001" customHeight="1">
      <c r="A96" s="9">
        <v>3</v>
      </c>
      <c r="B96" s="149" t="s">
        <v>1</v>
      </c>
      <c r="C96" s="23">
        <f>L96/100*100</f>
        <v>2365</v>
      </c>
      <c r="D96" s="120">
        <f>C96/100*352.7</f>
        <v>8341.3549999999996</v>
      </c>
      <c r="E96" s="25"/>
      <c r="F96" s="119">
        <f>C96/100*7.9</f>
        <v>186.83500000000001</v>
      </c>
      <c r="G96" s="25"/>
      <c r="H96" s="25">
        <f>C96/100*1</f>
        <v>23.65</v>
      </c>
      <c r="I96" s="119">
        <f>C96/100*75.9</f>
        <v>1795.0350000000001</v>
      </c>
      <c r="J96" s="27">
        <f>C96/100*30</f>
        <v>709.5</v>
      </c>
      <c r="K96" s="27">
        <f>C96/100*0.1</f>
        <v>2.3649999999999998</v>
      </c>
      <c r="L96" s="401">
        <v>2365</v>
      </c>
      <c r="M96" s="75">
        <v>18</v>
      </c>
      <c r="N96" s="28">
        <f t="shared" si="6"/>
        <v>42570</v>
      </c>
      <c r="O96" s="153"/>
    </row>
    <row r="97" spans="1:23" s="2" customFormat="1" ht="18.600000000000001" customHeight="1">
      <c r="A97" s="9">
        <v>4</v>
      </c>
      <c r="B97" s="148" t="s">
        <v>5</v>
      </c>
      <c r="C97" s="23">
        <f>L97/100*90</f>
        <v>11.700000000000001</v>
      </c>
      <c r="D97" s="24">
        <f>C97/100*281</f>
        <v>32.877000000000002</v>
      </c>
      <c r="E97" s="25"/>
      <c r="F97" s="25">
        <f>C97/100*9.5</f>
        <v>1.1115000000000002</v>
      </c>
      <c r="G97" s="25"/>
      <c r="H97" s="25">
        <f>C97/100*0.2</f>
        <v>2.3400000000000004E-2</v>
      </c>
      <c r="I97" s="25">
        <f>C97/100*58.5</f>
        <v>6.8445</v>
      </c>
      <c r="J97" s="27">
        <f>C97/100*321.3</f>
        <v>37.592100000000002</v>
      </c>
      <c r="K97" s="27">
        <f>C97/100*0.14</f>
        <v>1.6380000000000002E-2</v>
      </c>
      <c r="L97" s="137">
        <v>13</v>
      </c>
      <c r="M97" s="75">
        <v>120</v>
      </c>
      <c r="N97" s="28">
        <f t="shared" si="6"/>
        <v>1560</v>
      </c>
      <c r="O97" s="153"/>
    </row>
    <row r="98" spans="1:23" s="2" customFormat="1" ht="18.600000000000001" customHeight="1">
      <c r="A98" s="9">
        <v>5</v>
      </c>
      <c r="B98" s="148" t="s">
        <v>70</v>
      </c>
      <c r="C98" s="23">
        <f>L98/100*90</f>
        <v>13.5</v>
      </c>
      <c r="D98" s="24">
        <f>C98/100*253</f>
        <v>34.155000000000001</v>
      </c>
      <c r="E98" s="25"/>
      <c r="F98" s="25">
        <f>C98/100*32.4</f>
        <v>4.3739999999999997</v>
      </c>
      <c r="G98" s="25"/>
      <c r="H98" s="25">
        <f>C98/100*3.6</f>
        <v>0.48600000000000004</v>
      </c>
      <c r="I98" s="25">
        <f>C98/100*21.1</f>
        <v>2.8485000000000005</v>
      </c>
      <c r="J98" s="27">
        <f>C98/100*165.6</f>
        <v>22.356000000000002</v>
      </c>
      <c r="K98" s="27">
        <f>C98/100*0.14</f>
        <v>1.8900000000000004E-2</v>
      </c>
      <c r="L98" s="137">
        <v>15</v>
      </c>
      <c r="M98" s="75">
        <v>275</v>
      </c>
      <c r="N98" s="28">
        <f t="shared" si="6"/>
        <v>4125</v>
      </c>
      <c r="O98" s="153"/>
    </row>
    <row r="99" spans="1:23" s="2" customFormat="1" ht="18.600000000000001" customHeight="1">
      <c r="A99" s="9">
        <v>7</v>
      </c>
      <c r="B99" s="149" t="s">
        <v>63</v>
      </c>
      <c r="C99" s="23">
        <f>L99/100*86</f>
        <v>610.6</v>
      </c>
      <c r="D99" s="24">
        <f>C99/100*166</f>
        <v>1013.596</v>
      </c>
      <c r="E99" s="25">
        <f>C99/100*14.8</f>
        <v>90.368800000000007</v>
      </c>
      <c r="F99" s="25"/>
      <c r="G99" s="25">
        <f>C99/100*11.6</f>
        <v>70.829599999999999</v>
      </c>
      <c r="H99" s="25"/>
      <c r="I99" s="25">
        <f>C99/100*0.5</f>
        <v>3.0529999999999999</v>
      </c>
      <c r="J99" s="27">
        <f>C99/100*55</f>
        <v>335.83</v>
      </c>
      <c r="K99" s="27">
        <f>C99/100*0.16</f>
        <v>0.97696000000000005</v>
      </c>
      <c r="L99" s="137">
        <v>710</v>
      </c>
      <c r="M99" s="75">
        <v>62</v>
      </c>
      <c r="N99" s="28">
        <f t="shared" si="6"/>
        <v>44020</v>
      </c>
      <c r="O99" s="153"/>
      <c r="Q99" s="3"/>
      <c r="R99" s="3"/>
      <c r="S99" s="4"/>
    </row>
    <row r="100" spans="1:23" s="2" customFormat="1" ht="18.600000000000001" customHeight="1">
      <c r="A100" s="9">
        <v>8</v>
      </c>
      <c r="B100" s="148" t="s">
        <v>71</v>
      </c>
      <c r="C100" s="23">
        <f>L100/100*98</f>
        <v>1401.4</v>
      </c>
      <c r="D100" s="24">
        <f>C100/100*139</f>
        <v>1947.9460000000001</v>
      </c>
      <c r="E100" s="25">
        <f>C100/100*19</f>
        <v>266.26600000000002</v>
      </c>
      <c r="F100" s="25"/>
      <c r="G100" s="25">
        <f>C100/100*7</f>
        <v>98.098000000000013</v>
      </c>
      <c r="H100" s="25"/>
      <c r="I100" s="25"/>
      <c r="J100" s="27">
        <f>C100/100*7</f>
        <v>98.098000000000013</v>
      </c>
      <c r="K100" s="27">
        <f>C100/100*0.9</f>
        <v>12.6126</v>
      </c>
      <c r="L100" s="137">
        <v>1430</v>
      </c>
      <c r="M100" s="75">
        <v>137</v>
      </c>
      <c r="N100" s="28">
        <f t="shared" si="6"/>
        <v>195910</v>
      </c>
      <c r="O100" s="153"/>
    </row>
    <row r="101" spans="1:23" s="2" customFormat="1" ht="18.600000000000001" customHeight="1">
      <c r="A101" s="9">
        <v>9</v>
      </c>
      <c r="B101" s="149" t="s">
        <v>96</v>
      </c>
      <c r="C101" s="23">
        <f>L101/100*90</f>
        <v>396.00000000000006</v>
      </c>
      <c r="D101" s="24">
        <f>C101/100*90</f>
        <v>356.40000000000003</v>
      </c>
      <c r="E101" s="25">
        <f>C101/100*18.4</f>
        <v>72.864000000000004</v>
      </c>
      <c r="F101" s="25"/>
      <c r="G101" s="25">
        <f>C101/100*1.8</f>
        <v>7.128000000000001</v>
      </c>
      <c r="H101" s="25"/>
      <c r="I101" s="25"/>
      <c r="J101" s="81">
        <f>C101/100*1120</f>
        <v>4435.2000000000007</v>
      </c>
      <c r="K101" s="27">
        <f>C101/100*0.02</f>
        <v>7.9200000000000007E-2</v>
      </c>
      <c r="L101" s="137">
        <v>440</v>
      </c>
      <c r="M101" s="26">
        <v>260</v>
      </c>
      <c r="N101" s="124">
        <f t="shared" si="6"/>
        <v>114400</v>
      </c>
      <c r="O101" s="153"/>
      <c r="Q101" s="3"/>
      <c r="R101" s="3"/>
      <c r="S101" s="4"/>
    </row>
    <row r="102" spans="1:23" s="2" customFormat="1" ht="18" customHeight="1">
      <c r="A102" s="9">
        <v>10</v>
      </c>
      <c r="B102" s="5" t="s">
        <v>179</v>
      </c>
      <c r="C102" s="23">
        <f>L102/100*90</f>
        <v>1386</v>
      </c>
      <c r="D102" s="24">
        <f>C102/100*29</f>
        <v>401.94</v>
      </c>
      <c r="E102" s="25"/>
      <c r="F102" s="25">
        <f>C102/100*1.8</f>
        <v>24.948</v>
      </c>
      <c r="G102" s="25"/>
      <c r="H102" s="25">
        <f>C102/100*0.1</f>
        <v>1.3860000000000001</v>
      </c>
      <c r="I102" s="25">
        <f>C102/100*5.3</f>
        <v>73.457999999999998</v>
      </c>
      <c r="J102" s="25">
        <f>C102/100*48</f>
        <v>665.28</v>
      </c>
      <c r="K102" s="25">
        <f>C102/100*0.05</f>
        <v>0.69300000000000006</v>
      </c>
      <c r="L102" s="137">
        <v>1540</v>
      </c>
      <c r="M102" s="75">
        <v>13</v>
      </c>
      <c r="N102" s="28">
        <f t="shared" si="6"/>
        <v>20020</v>
      </c>
      <c r="O102" s="153"/>
    </row>
    <row r="103" spans="1:23" s="2" customFormat="1" ht="18.600000000000001" customHeight="1">
      <c r="A103" s="9">
        <v>11</v>
      </c>
      <c r="B103" s="5" t="s">
        <v>136</v>
      </c>
      <c r="C103" s="23">
        <f>L103/100*100</f>
        <v>45</v>
      </c>
      <c r="D103" s="24">
        <f>C103/100*247</f>
        <v>111.15</v>
      </c>
      <c r="E103" s="29"/>
      <c r="F103" s="29">
        <f>C103/100*17.5</f>
        <v>7.875</v>
      </c>
      <c r="G103" s="29"/>
      <c r="H103" s="29">
        <f>C103/100*1.6</f>
        <v>0.72000000000000008</v>
      </c>
      <c r="I103" s="29">
        <f>C103/100*39.2</f>
        <v>17.64</v>
      </c>
      <c r="J103" s="71"/>
      <c r="K103" s="71"/>
      <c r="L103" s="370">
        <v>45</v>
      </c>
      <c r="M103" s="75">
        <v>50</v>
      </c>
      <c r="N103" s="28">
        <f t="shared" si="6"/>
        <v>2250</v>
      </c>
      <c r="O103" s="153"/>
      <c r="Q103" s="3"/>
      <c r="R103" s="3"/>
      <c r="S103" s="4"/>
      <c r="T103" s="3"/>
    </row>
    <row r="104" spans="1:23" s="2" customFormat="1" ht="18.600000000000001" customHeight="1">
      <c r="A104" s="9">
        <v>12</v>
      </c>
      <c r="B104" s="6" t="s">
        <v>123</v>
      </c>
      <c r="C104" s="23"/>
      <c r="D104" s="139"/>
      <c r="E104" s="25"/>
      <c r="F104" s="25"/>
      <c r="G104" s="25"/>
      <c r="H104" s="25"/>
      <c r="I104" s="25"/>
      <c r="J104" s="27"/>
      <c r="K104" s="27"/>
      <c r="L104" s="26"/>
      <c r="M104" s="26"/>
      <c r="N104" s="28">
        <v>3950</v>
      </c>
      <c r="O104" s="153"/>
    </row>
    <row r="105" spans="1:23" s="2" customFormat="1" ht="18.600000000000001" customHeight="1">
      <c r="A105" s="21" t="s">
        <v>118</v>
      </c>
      <c r="B105" s="22"/>
      <c r="C105" s="34"/>
      <c r="D105" s="121">
        <f>SUM(D93:D104)</f>
        <v>15968.619000000001</v>
      </c>
      <c r="E105" s="43"/>
      <c r="F105" s="43"/>
      <c r="G105" s="43"/>
      <c r="H105" s="43"/>
      <c r="I105" s="43"/>
      <c r="J105" s="43"/>
      <c r="K105" s="43"/>
      <c r="L105" s="44"/>
      <c r="M105" s="307"/>
      <c r="N105" s="192">
        <f>SUM(N93:N104)</f>
        <v>457500</v>
      </c>
      <c r="O105" s="153"/>
    </row>
    <row r="106" spans="1:23" ht="18.600000000000001" customHeight="1">
      <c r="A106" s="21" t="s">
        <v>37</v>
      </c>
      <c r="B106" s="22"/>
      <c r="C106" s="45"/>
      <c r="D106" s="46">
        <f>D105/D87</f>
        <v>290.33852727272728</v>
      </c>
      <c r="E106" s="46"/>
      <c r="F106" s="46"/>
      <c r="G106" s="46"/>
      <c r="H106" s="46"/>
      <c r="I106" s="46"/>
      <c r="J106" s="46"/>
      <c r="K106" s="46"/>
      <c r="L106" s="47"/>
      <c r="M106" s="308"/>
      <c r="N106" s="193"/>
      <c r="O106" s="404"/>
      <c r="P106" s="2"/>
      <c r="Q106" s="2"/>
      <c r="R106" s="2"/>
      <c r="S106" s="2"/>
      <c r="T106" s="2"/>
      <c r="U106" s="2"/>
      <c r="V106" s="2"/>
    </row>
    <row r="107" spans="1:23" ht="18.600000000000001" customHeight="1">
      <c r="A107" s="291" t="s">
        <v>53</v>
      </c>
      <c r="B107" s="225"/>
      <c r="C107" s="372" t="s">
        <v>151</v>
      </c>
      <c r="D107" s="20" t="s">
        <v>45</v>
      </c>
      <c r="E107" s="46"/>
      <c r="F107" s="46"/>
      <c r="G107" s="46"/>
      <c r="H107" s="46"/>
      <c r="I107" s="46"/>
      <c r="J107" s="48"/>
      <c r="K107" s="48"/>
      <c r="L107" s="47"/>
      <c r="M107" s="47"/>
      <c r="N107" s="176"/>
      <c r="O107" s="4"/>
      <c r="P107" s="2"/>
      <c r="Q107" s="2"/>
      <c r="R107" s="2"/>
      <c r="S107" s="2"/>
      <c r="T107" s="2"/>
      <c r="U107" s="2"/>
      <c r="V107" s="2"/>
      <c r="W107" s="2"/>
    </row>
    <row r="108" spans="1:23" ht="18.600000000000001" customHeight="1">
      <c r="A108" s="226"/>
      <c r="B108" s="227"/>
      <c r="C108" s="76" t="s">
        <v>60</v>
      </c>
      <c r="D108" s="78">
        <f>D106*100/930</f>
        <v>31.219196480938415</v>
      </c>
      <c r="E108" s="46"/>
      <c r="F108" s="46"/>
      <c r="G108" s="46"/>
      <c r="H108" s="46"/>
      <c r="I108" s="46"/>
      <c r="J108" s="48"/>
      <c r="K108" s="48"/>
      <c r="L108" s="47"/>
      <c r="M108" s="47"/>
      <c r="N108" s="176"/>
      <c r="O108" s="4"/>
      <c r="P108" s="2"/>
      <c r="Q108" s="2"/>
      <c r="R108" s="2"/>
      <c r="S108" s="2"/>
      <c r="T108" s="2"/>
      <c r="U108" s="2"/>
      <c r="V108" s="2"/>
      <c r="W108" s="2"/>
    </row>
    <row r="109" spans="1:23" s="2" customFormat="1" ht="18.600000000000001" customHeight="1">
      <c r="A109" s="235" t="s">
        <v>38</v>
      </c>
      <c r="B109" s="235"/>
      <c r="C109" s="56"/>
      <c r="D109" s="57"/>
      <c r="E109" s="58"/>
      <c r="F109" s="58"/>
      <c r="G109" s="58"/>
      <c r="H109" s="58"/>
      <c r="I109" s="58"/>
      <c r="J109" s="58"/>
      <c r="K109" s="58"/>
      <c r="L109" s="59"/>
      <c r="M109" s="59"/>
      <c r="N109" s="60"/>
      <c r="O109" s="153"/>
    </row>
    <row r="110" spans="1:23" s="2" customFormat="1" ht="18.600000000000001" customHeight="1">
      <c r="A110" s="9">
        <v>1</v>
      </c>
      <c r="B110" s="10" t="s">
        <v>2</v>
      </c>
      <c r="C110" s="23">
        <f>L110/100*100</f>
        <v>70</v>
      </c>
      <c r="D110" s="24">
        <f>C110/100*60</f>
        <v>42</v>
      </c>
      <c r="E110" s="25">
        <f>C110/100*15</f>
        <v>10.5</v>
      </c>
      <c r="F110" s="25"/>
      <c r="G110" s="25"/>
      <c r="H110" s="25"/>
      <c r="I110" s="25"/>
      <c r="J110" s="27">
        <f>C110/100*387</f>
        <v>270.89999999999998</v>
      </c>
      <c r="K110" s="27">
        <f>C110/100*0.09</f>
        <v>6.3E-2</v>
      </c>
      <c r="L110" s="137">
        <v>70</v>
      </c>
      <c r="M110" s="75">
        <v>20</v>
      </c>
      <c r="N110" s="28">
        <f>L110*M110</f>
        <v>1400</v>
      </c>
      <c r="O110" s="153"/>
    </row>
    <row r="111" spans="1:23" s="2" customFormat="1" ht="18.600000000000001" customHeight="1">
      <c r="A111" s="9">
        <v>2</v>
      </c>
      <c r="B111" s="10" t="s">
        <v>141</v>
      </c>
      <c r="C111" s="23">
        <f>L111/100*100</f>
        <v>220.00000000000003</v>
      </c>
      <c r="D111" s="24">
        <f>C111/100*899</f>
        <v>1977.8000000000002</v>
      </c>
      <c r="E111" s="25"/>
      <c r="F111" s="25"/>
      <c r="G111" s="25">
        <f>C111/100*100</f>
        <v>220.00000000000003</v>
      </c>
      <c r="H111" s="25"/>
      <c r="I111" s="25"/>
      <c r="J111" s="27"/>
      <c r="K111" s="27"/>
      <c r="L111" s="137">
        <v>220</v>
      </c>
      <c r="M111" s="75">
        <v>68</v>
      </c>
      <c r="N111" s="28">
        <f t="shared" ref="N111" si="7">L111*M111</f>
        <v>14960</v>
      </c>
      <c r="O111" s="153"/>
    </row>
    <row r="112" spans="1:23" s="2" customFormat="1" ht="18.600000000000001" customHeight="1">
      <c r="A112" s="9">
        <v>3</v>
      </c>
      <c r="B112" s="5" t="s">
        <v>1</v>
      </c>
      <c r="C112" s="23">
        <f>L112/100*100</f>
        <v>2310</v>
      </c>
      <c r="D112" s="24">
        <f>C112/100*352.7</f>
        <v>8147.37</v>
      </c>
      <c r="E112" s="25"/>
      <c r="F112" s="25">
        <f>C112/100*7.9</f>
        <v>182.49</v>
      </c>
      <c r="G112" s="25"/>
      <c r="H112" s="25">
        <f>C112/100*1</f>
        <v>23.1</v>
      </c>
      <c r="I112" s="25">
        <f>C112/100*75.9</f>
        <v>1753.2900000000002</v>
      </c>
      <c r="J112" s="27">
        <f>C112/100*30</f>
        <v>693</v>
      </c>
      <c r="K112" s="27">
        <f>C112/100*0.1</f>
        <v>2.31</v>
      </c>
      <c r="L112" s="137">
        <v>2310</v>
      </c>
      <c r="M112" s="75">
        <v>18</v>
      </c>
      <c r="N112" s="28">
        <f t="shared" ref="N112:N117" si="8">L112*M112</f>
        <v>41580</v>
      </c>
      <c r="O112" s="153"/>
    </row>
    <row r="113" spans="1:23" s="2" customFormat="1" ht="18.600000000000001" customHeight="1">
      <c r="A113" s="9">
        <v>4</v>
      </c>
      <c r="B113" s="5" t="s">
        <v>136</v>
      </c>
      <c r="C113" s="23">
        <f>L113/100*100</f>
        <v>45</v>
      </c>
      <c r="D113" s="24">
        <f>C113/100*247</f>
        <v>111.15</v>
      </c>
      <c r="E113" s="29"/>
      <c r="F113" s="29">
        <f>C113/100*17.5</f>
        <v>7.875</v>
      </c>
      <c r="G113" s="29"/>
      <c r="H113" s="29">
        <f>C113/100*1.6</f>
        <v>0.72000000000000008</v>
      </c>
      <c r="I113" s="29">
        <f>C113/100*39.2</f>
        <v>17.64</v>
      </c>
      <c r="J113" s="71"/>
      <c r="K113" s="71"/>
      <c r="L113" s="370">
        <v>45</v>
      </c>
      <c r="M113" s="75">
        <v>50</v>
      </c>
      <c r="N113" s="28">
        <f t="shared" si="8"/>
        <v>2250</v>
      </c>
      <c r="O113" s="153"/>
      <c r="Q113" s="3"/>
      <c r="R113" s="3"/>
      <c r="S113" s="4"/>
      <c r="T113" s="3"/>
    </row>
    <row r="114" spans="1:23" s="2" customFormat="1" ht="18.600000000000001" customHeight="1">
      <c r="A114" s="9">
        <v>5</v>
      </c>
      <c r="B114" s="10" t="s">
        <v>70</v>
      </c>
      <c r="C114" s="23">
        <f>L114/100*90</f>
        <v>13.5</v>
      </c>
      <c r="D114" s="24">
        <f>C114/100*253</f>
        <v>34.155000000000001</v>
      </c>
      <c r="E114" s="25"/>
      <c r="F114" s="25">
        <f>C114/100*32.4</f>
        <v>4.3739999999999997</v>
      </c>
      <c r="G114" s="25"/>
      <c r="H114" s="25">
        <f>C114/100*3.6</f>
        <v>0.48600000000000004</v>
      </c>
      <c r="I114" s="25">
        <f>C114/100*21.1</f>
        <v>2.8485000000000005</v>
      </c>
      <c r="J114" s="27">
        <f>C114/100*165.6</f>
        <v>22.356000000000002</v>
      </c>
      <c r="K114" s="27">
        <f>C114/100*0.14</f>
        <v>1.8900000000000004E-2</v>
      </c>
      <c r="L114" s="137">
        <v>15</v>
      </c>
      <c r="M114" s="75">
        <v>275</v>
      </c>
      <c r="N114" s="28">
        <f t="shared" si="8"/>
        <v>4125</v>
      </c>
      <c r="O114" s="153"/>
    </row>
    <row r="115" spans="1:23" s="2" customFormat="1" ht="18.600000000000001" customHeight="1">
      <c r="A115" s="9">
        <v>6</v>
      </c>
      <c r="B115" s="5" t="s">
        <v>75</v>
      </c>
      <c r="C115" s="23">
        <f>L115/100*75</f>
        <v>1320</v>
      </c>
      <c r="D115" s="24">
        <f>C115/100*12</f>
        <v>158.39999999999998</v>
      </c>
      <c r="E115" s="25"/>
      <c r="F115" s="25">
        <f>C115/100*0.6</f>
        <v>7.919999999999999</v>
      </c>
      <c r="G115" s="25"/>
      <c r="H115" s="25"/>
      <c r="I115" s="25">
        <f>C115/100*2.4</f>
        <v>31.679999999999996</v>
      </c>
      <c r="J115" s="25">
        <f>C115/100*26</f>
        <v>343.2</v>
      </c>
      <c r="K115" s="25">
        <f>C115/100*0.02</f>
        <v>0.26400000000000001</v>
      </c>
      <c r="L115" s="137">
        <v>1760</v>
      </c>
      <c r="M115" s="75">
        <v>25</v>
      </c>
      <c r="N115" s="28">
        <f t="shared" si="8"/>
        <v>44000</v>
      </c>
      <c r="O115" s="153"/>
    </row>
    <row r="116" spans="1:23" s="2" customFormat="1" ht="18.600000000000001" customHeight="1">
      <c r="A116" s="9">
        <v>7</v>
      </c>
      <c r="B116" s="10" t="s">
        <v>71</v>
      </c>
      <c r="C116" s="23">
        <f>L116/100*98</f>
        <v>539</v>
      </c>
      <c r="D116" s="24">
        <f>C116/100*139</f>
        <v>749.20999999999992</v>
      </c>
      <c r="E116" s="25">
        <f>C116/100*19</f>
        <v>102.41</v>
      </c>
      <c r="F116" s="25"/>
      <c r="G116" s="25">
        <f>C116/100*7</f>
        <v>37.729999999999997</v>
      </c>
      <c r="H116" s="25"/>
      <c r="I116" s="25"/>
      <c r="J116" s="27">
        <f>C116/100*7</f>
        <v>37.729999999999997</v>
      </c>
      <c r="K116" s="27">
        <f>C116/100*0.9</f>
        <v>4.851</v>
      </c>
      <c r="L116" s="137">
        <v>550</v>
      </c>
      <c r="M116" s="75">
        <v>137</v>
      </c>
      <c r="N116" s="28">
        <f t="shared" si="8"/>
        <v>75350</v>
      </c>
      <c r="O116" s="153"/>
    </row>
    <row r="117" spans="1:23" s="2" customFormat="1" ht="18.600000000000001" customHeight="1">
      <c r="A117" s="9">
        <v>8</v>
      </c>
      <c r="B117" s="10" t="s">
        <v>92</v>
      </c>
      <c r="C117" s="23">
        <f>L117/100*48</f>
        <v>1848</v>
      </c>
      <c r="D117" s="24">
        <f>C117/100*199</f>
        <v>3677.52</v>
      </c>
      <c r="E117" s="25">
        <f>C117/100*20.3</f>
        <v>375.14400000000001</v>
      </c>
      <c r="F117" s="25"/>
      <c r="G117" s="25">
        <f>C117/100*13.1</f>
        <v>242.08799999999999</v>
      </c>
      <c r="H117" s="25"/>
      <c r="I117" s="25"/>
      <c r="J117" s="27">
        <f>C117/100*12</f>
        <v>221.76</v>
      </c>
      <c r="K117" s="27">
        <f>C117/100*0.15</f>
        <v>2.7719999999999998</v>
      </c>
      <c r="L117" s="137">
        <v>3850</v>
      </c>
      <c r="M117" s="75">
        <v>84</v>
      </c>
      <c r="N117" s="28">
        <f t="shared" si="8"/>
        <v>323400</v>
      </c>
      <c r="O117" s="153"/>
      <c r="Q117" s="153"/>
    </row>
    <row r="118" spans="1:23" s="2" customFormat="1" ht="18.600000000000001" customHeight="1">
      <c r="A118" s="9">
        <v>9</v>
      </c>
      <c r="B118" s="6" t="s">
        <v>123</v>
      </c>
      <c r="C118" s="23"/>
      <c r="D118" s="139"/>
      <c r="E118" s="25"/>
      <c r="F118" s="25"/>
      <c r="G118" s="25"/>
      <c r="H118" s="25"/>
      <c r="I118" s="25"/>
      <c r="J118" s="27"/>
      <c r="K118" s="27"/>
      <c r="L118" s="26"/>
      <c r="M118" s="26"/>
      <c r="N118" s="28">
        <v>3950</v>
      </c>
      <c r="O118" s="153"/>
    </row>
    <row r="119" spans="1:23" s="2" customFormat="1" ht="18.600000000000001" customHeight="1">
      <c r="A119" s="21" t="s">
        <v>119</v>
      </c>
      <c r="B119" s="22"/>
      <c r="C119" s="34"/>
      <c r="D119" s="121">
        <f>SUM(D110:D118)</f>
        <v>14897.605</v>
      </c>
      <c r="E119" s="43"/>
      <c r="F119" s="43"/>
      <c r="G119" s="43"/>
      <c r="H119" s="43"/>
      <c r="I119" s="43"/>
      <c r="J119" s="43"/>
      <c r="K119" s="43"/>
      <c r="L119" s="44"/>
      <c r="M119" s="307"/>
      <c r="N119" s="192">
        <f>SUM(N110:N118)</f>
        <v>511015</v>
      </c>
      <c r="O119" s="153"/>
    </row>
    <row r="120" spans="1:23" ht="18.600000000000001" customHeight="1">
      <c r="A120" s="21" t="s">
        <v>36</v>
      </c>
      <c r="B120" s="22"/>
      <c r="C120" s="61"/>
      <c r="D120" s="48">
        <f>D119/D87</f>
        <v>270.86554545454544</v>
      </c>
      <c r="E120" s="48"/>
      <c r="F120" s="48"/>
      <c r="G120" s="48"/>
      <c r="H120" s="48"/>
      <c r="I120" s="48"/>
      <c r="J120" s="48"/>
      <c r="K120" s="48"/>
      <c r="L120" s="62"/>
      <c r="M120" s="308"/>
      <c r="N120" s="234"/>
      <c r="O120" s="404"/>
      <c r="P120" s="2"/>
      <c r="Q120" s="2"/>
      <c r="R120" s="2"/>
      <c r="S120" s="2"/>
      <c r="T120" s="2"/>
      <c r="U120" s="2"/>
      <c r="V120" s="2"/>
    </row>
    <row r="121" spans="1:23" ht="18.600000000000001" customHeight="1">
      <c r="A121" s="291" t="s">
        <v>54</v>
      </c>
      <c r="B121" s="225"/>
      <c r="C121" s="372" t="s">
        <v>151</v>
      </c>
      <c r="D121" s="20" t="s">
        <v>46</v>
      </c>
      <c r="E121" s="46"/>
      <c r="F121" s="46"/>
      <c r="G121" s="46"/>
      <c r="H121" s="46"/>
      <c r="I121" s="46"/>
      <c r="J121" s="48"/>
      <c r="K121" s="48"/>
      <c r="L121" s="47"/>
      <c r="M121" s="47"/>
      <c r="N121" s="176"/>
      <c r="O121" s="4"/>
      <c r="P121" s="2"/>
      <c r="Q121" s="2"/>
      <c r="R121" s="2"/>
      <c r="S121" s="2"/>
      <c r="T121" s="2"/>
      <c r="U121" s="2"/>
      <c r="V121" s="2"/>
      <c r="W121" s="2"/>
    </row>
    <row r="122" spans="1:23" ht="18.600000000000001" customHeight="1">
      <c r="A122" s="226"/>
      <c r="B122" s="227"/>
      <c r="C122" s="76" t="s">
        <v>60</v>
      </c>
      <c r="D122" s="78">
        <f>D120*100/930</f>
        <v>29.12532746823069</v>
      </c>
      <c r="E122" s="46"/>
      <c r="F122" s="46"/>
      <c r="G122" s="46"/>
      <c r="H122" s="46"/>
      <c r="I122" s="46"/>
      <c r="J122" s="48"/>
      <c r="K122" s="48"/>
      <c r="L122" s="47"/>
      <c r="M122" s="47"/>
      <c r="N122" s="176"/>
      <c r="O122" s="4"/>
      <c r="P122" s="2"/>
      <c r="Q122" s="2"/>
      <c r="R122" s="2"/>
      <c r="S122" s="2"/>
      <c r="T122" s="2"/>
      <c r="U122" s="2"/>
      <c r="V122" s="2"/>
      <c r="W122" s="2"/>
    </row>
    <row r="123" spans="1:23" ht="18.600000000000001" customHeight="1">
      <c r="A123" s="235" t="s">
        <v>35</v>
      </c>
      <c r="B123" s="235"/>
      <c r="C123" s="63"/>
      <c r="D123" s="64"/>
      <c r="E123" s="64"/>
      <c r="F123" s="64"/>
      <c r="G123" s="64"/>
      <c r="H123" s="64"/>
      <c r="I123" s="64"/>
      <c r="J123" s="64"/>
      <c r="K123" s="64"/>
      <c r="L123" s="65"/>
      <c r="M123" s="65"/>
      <c r="N123" s="66"/>
      <c r="O123" s="404"/>
      <c r="P123" s="2"/>
      <c r="Q123" s="2"/>
      <c r="R123" s="2"/>
      <c r="S123" s="2"/>
      <c r="T123" s="2"/>
      <c r="U123" s="2"/>
      <c r="V123" s="2"/>
    </row>
    <row r="124" spans="1:23" s="2" customFormat="1" ht="18.600000000000001" customHeight="1">
      <c r="A124" s="103">
        <v>1</v>
      </c>
      <c r="B124" s="156" t="s">
        <v>149</v>
      </c>
      <c r="C124" s="104">
        <f>L124/100*100</f>
        <v>930.00000000000011</v>
      </c>
      <c r="D124" s="105">
        <f>C124/100*487</f>
        <v>4529.1000000000004</v>
      </c>
      <c r="E124" s="106"/>
      <c r="F124" s="106">
        <f>C124/100*19.5</f>
        <v>181.35000000000002</v>
      </c>
      <c r="G124" s="106"/>
      <c r="H124" s="106">
        <f>C124/100*23.2</f>
        <v>215.76000000000002</v>
      </c>
      <c r="I124" s="106">
        <f>C124/100*46</f>
        <v>427.8</v>
      </c>
      <c r="J124" s="147">
        <f>C124/100*680</f>
        <v>6324.0000000000009</v>
      </c>
      <c r="K124" s="106">
        <f>C124/100*0.55</f>
        <v>5.1150000000000011</v>
      </c>
      <c r="L124" s="107">
        <v>930</v>
      </c>
      <c r="M124" s="157">
        <v>260</v>
      </c>
      <c r="N124" s="108">
        <f t="shared" ref="N124" si="9">L124*M124</f>
        <v>241800</v>
      </c>
      <c r="O124" s="153"/>
      <c r="P124" s="3"/>
    </row>
    <row r="125" spans="1:23" ht="17.399999999999999" customHeight="1">
      <c r="A125" s="208" t="s">
        <v>0</v>
      </c>
      <c r="B125" s="211" t="s">
        <v>19</v>
      </c>
      <c r="C125" s="214" t="s">
        <v>8</v>
      </c>
      <c r="D125" s="214" t="s">
        <v>9</v>
      </c>
      <c r="E125" s="217" t="s">
        <v>11</v>
      </c>
      <c r="F125" s="218"/>
      <c r="G125" s="217" t="s">
        <v>13</v>
      </c>
      <c r="H125" s="218"/>
      <c r="I125" s="221" t="s">
        <v>16</v>
      </c>
      <c r="J125" s="221" t="s">
        <v>41</v>
      </c>
      <c r="K125" s="221" t="s">
        <v>42</v>
      </c>
      <c r="L125" s="221" t="s">
        <v>17</v>
      </c>
      <c r="M125" s="221" t="s">
        <v>55</v>
      </c>
      <c r="N125" s="208" t="s">
        <v>18</v>
      </c>
      <c r="O125" s="369"/>
    </row>
    <row r="126" spans="1:23" ht="17.399999999999999" customHeight="1">
      <c r="A126" s="209"/>
      <c r="B126" s="212"/>
      <c r="C126" s="215"/>
      <c r="D126" s="215"/>
      <c r="E126" s="219"/>
      <c r="F126" s="220"/>
      <c r="G126" s="219"/>
      <c r="H126" s="220"/>
      <c r="I126" s="222"/>
      <c r="J126" s="222"/>
      <c r="K126" s="222"/>
      <c r="L126" s="222"/>
      <c r="M126" s="222"/>
      <c r="N126" s="209"/>
      <c r="O126" s="175"/>
    </row>
    <row r="127" spans="1:23" ht="17.399999999999999" customHeight="1">
      <c r="A127" s="209"/>
      <c r="B127" s="212"/>
      <c r="C127" s="215"/>
      <c r="D127" s="215"/>
      <c r="E127" s="221" t="s">
        <v>10</v>
      </c>
      <c r="F127" s="221" t="s">
        <v>12</v>
      </c>
      <c r="G127" s="221" t="s">
        <v>14</v>
      </c>
      <c r="H127" s="221" t="s">
        <v>15</v>
      </c>
      <c r="I127" s="222"/>
      <c r="J127" s="222"/>
      <c r="K127" s="222"/>
      <c r="L127" s="222"/>
      <c r="M127" s="222"/>
      <c r="N127" s="209"/>
      <c r="O127" s="175"/>
    </row>
    <row r="128" spans="1:23" ht="17.399999999999999" customHeight="1">
      <c r="A128" s="210"/>
      <c r="B128" s="213"/>
      <c r="C128" s="216"/>
      <c r="D128" s="216"/>
      <c r="E128" s="223"/>
      <c r="F128" s="223"/>
      <c r="G128" s="223"/>
      <c r="H128" s="223"/>
      <c r="I128" s="223"/>
      <c r="J128" s="223"/>
      <c r="K128" s="223"/>
      <c r="L128" s="223"/>
      <c r="M128" s="223"/>
      <c r="N128" s="210"/>
      <c r="O128" s="175"/>
    </row>
    <row r="129" spans="1:23" s="2" customFormat="1" ht="18" customHeight="1">
      <c r="A129" s="21" t="s">
        <v>106</v>
      </c>
      <c r="B129" s="22"/>
      <c r="C129" s="34"/>
      <c r="D129" s="35">
        <f>SUM(D123:D124)</f>
        <v>4529.1000000000004</v>
      </c>
      <c r="E129" s="43"/>
      <c r="F129" s="43"/>
      <c r="G129" s="43"/>
      <c r="H129" s="43"/>
      <c r="I129" s="43"/>
      <c r="J129" s="43"/>
      <c r="K129" s="43"/>
      <c r="L129" s="44"/>
      <c r="M129" s="307"/>
      <c r="N129" s="192">
        <f>SUM(N123:N124)</f>
        <v>241800</v>
      </c>
      <c r="O129" s="153"/>
    </row>
    <row r="130" spans="1:23" ht="18" customHeight="1">
      <c r="A130" s="21" t="s">
        <v>7</v>
      </c>
      <c r="B130" s="22"/>
      <c r="C130" s="45"/>
      <c r="D130" s="46">
        <f>D129/D87</f>
        <v>82.347272727272738</v>
      </c>
      <c r="E130" s="46"/>
      <c r="F130" s="46"/>
      <c r="G130" s="46"/>
      <c r="H130" s="46"/>
      <c r="I130" s="46"/>
      <c r="J130" s="46"/>
      <c r="K130" s="46"/>
      <c r="L130" s="47"/>
      <c r="M130" s="308"/>
      <c r="N130" s="193"/>
      <c r="O130" s="404"/>
      <c r="P130" s="2"/>
      <c r="Q130" s="2"/>
      <c r="R130" s="2"/>
      <c r="S130" s="2"/>
      <c r="T130" s="2"/>
      <c r="U130" s="2"/>
      <c r="V130" s="2"/>
    </row>
    <row r="131" spans="1:23" ht="18" customHeight="1">
      <c r="A131" s="291" t="s">
        <v>52</v>
      </c>
      <c r="B131" s="225"/>
      <c r="C131" s="372" t="s">
        <v>151</v>
      </c>
      <c r="D131" s="20" t="s">
        <v>50</v>
      </c>
      <c r="E131" s="46"/>
      <c r="F131" s="46"/>
      <c r="G131" s="46"/>
      <c r="H131" s="46"/>
      <c r="I131" s="46"/>
      <c r="J131" s="48"/>
      <c r="K131" s="48"/>
      <c r="L131" s="47"/>
      <c r="M131" s="47"/>
      <c r="N131" s="176"/>
      <c r="O131" s="4"/>
      <c r="P131" s="2"/>
      <c r="Q131" s="2"/>
      <c r="R131" s="2"/>
      <c r="S131" s="2"/>
      <c r="T131" s="2"/>
      <c r="U131" s="2"/>
      <c r="V131" s="2"/>
      <c r="W131" s="2"/>
    </row>
    <row r="132" spans="1:23" ht="18" customHeight="1">
      <c r="A132" s="226"/>
      <c r="B132" s="227"/>
      <c r="C132" s="76" t="s">
        <v>60</v>
      </c>
      <c r="D132" s="20">
        <f>D130*100/930</f>
        <v>8.8545454545454554</v>
      </c>
      <c r="E132" s="46"/>
      <c r="F132" s="46"/>
      <c r="G132" s="46"/>
      <c r="H132" s="46"/>
      <c r="I132" s="46"/>
      <c r="J132" s="48"/>
      <c r="K132" s="48"/>
      <c r="L132" s="47"/>
      <c r="M132" s="47"/>
      <c r="N132" s="176"/>
      <c r="O132" s="4"/>
      <c r="P132" s="2"/>
      <c r="Q132" s="2"/>
      <c r="R132" s="2"/>
      <c r="S132" s="2"/>
      <c r="T132" s="2"/>
      <c r="U132" s="2"/>
      <c r="V132" s="2"/>
      <c r="W132" s="2"/>
    </row>
    <row r="133" spans="1:23" ht="18" customHeight="1">
      <c r="A133" s="283" t="s">
        <v>107</v>
      </c>
      <c r="B133" s="284"/>
      <c r="C133" s="287"/>
      <c r="D133" s="301">
        <f>D105+D119+D129</f>
        <v>35395.324000000001</v>
      </c>
      <c r="E133" s="7">
        <f>SUM(E93:E130)</f>
        <v>928.05280000000005</v>
      </c>
      <c r="F133" s="7">
        <f>SUM(F93:F130)</f>
        <v>609.15250000000015</v>
      </c>
      <c r="G133" s="7">
        <f>SUM(G93:G130)</f>
        <v>955.87360000000001</v>
      </c>
      <c r="H133" s="7">
        <f>SUM(H93:H130)</f>
        <v>396.33140000000003</v>
      </c>
      <c r="I133" s="281">
        <f>SUM(I93:I130)</f>
        <v>4132.1375000000007</v>
      </c>
      <c r="J133" s="251">
        <f>SUM(J93:J124)</f>
        <v>14487.7021</v>
      </c>
      <c r="K133" s="281">
        <f>SUM(K93:K124)</f>
        <v>32.218939999999996</v>
      </c>
      <c r="L133" s="265"/>
      <c r="M133" s="265"/>
      <c r="N133" s="303">
        <f>N105+N119+N129</f>
        <v>1210315</v>
      </c>
      <c r="U133" s="12"/>
      <c r="V133" s="12"/>
    </row>
    <row r="134" spans="1:23" ht="18" customHeight="1">
      <c r="A134" s="285"/>
      <c r="B134" s="286"/>
      <c r="C134" s="288"/>
      <c r="D134" s="302"/>
      <c r="E134" s="279">
        <f>E133+F133</f>
        <v>1537.2053000000001</v>
      </c>
      <c r="F134" s="280"/>
      <c r="G134" s="279">
        <f>G133+H133</f>
        <v>1352.2049999999999</v>
      </c>
      <c r="H134" s="280"/>
      <c r="I134" s="411"/>
      <c r="J134" s="309"/>
      <c r="K134" s="411"/>
      <c r="L134" s="265"/>
      <c r="M134" s="265"/>
      <c r="N134" s="303"/>
      <c r="P134" s="395"/>
      <c r="Q134" s="396"/>
      <c r="R134" s="396"/>
      <c r="S134" s="396"/>
      <c r="T134" s="396"/>
      <c r="U134" s="397"/>
      <c r="V134" s="397"/>
    </row>
    <row r="135" spans="1:23" ht="18" customHeight="1">
      <c r="A135" s="266" t="s">
        <v>77</v>
      </c>
      <c r="B135" s="267"/>
      <c r="C135" s="268"/>
      <c r="D135" s="138">
        <f>D133/D87</f>
        <v>643.55134545454541</v>
      </c>
      <c r="E135" s="406">
        <f>E133/D87</f>
        <v>16.873687272727274</v>
      </c>
      <c r="F135" s="405">
        <f>F133/D87</f>
        <v>11.075500000000003</v>
      </c>
      <c r="G135" s="406">
        <f>G133/D87</f>
        <v>17.379519999999999</v>
      </c>
      <c r="H135" s="405">
        <f>H133/D87</f>
        <v>7.206025454545455</v>
      </c>
      <c r="I135" s="299">
        <f>I133/D87</f>
        <v>75.129772727272737</v>
      </c>
      <c r="J135" s="299">
        <f>J133/D87</f>
        <v>263.41276545454548</v>
      </c>
      <c r="K135" s="299">
        <f>K133/D87</f>
        <v>0.58579890909090904</v>
      </c>
      <c r="L135" s="265"/>
      <c r="M135" s="265"/>
      <c r="N135" s="303"/>
      <c r="P135" s="398"/>
      <c r="Q135" s="396"/>
      <c r="R135" s="396"/>
      <c r="S135" s="407"/>
      <c r="T135" s="407"/>
      <c r="U135" s="396"/>
      <c r="V135" s="396"/>
    </row>
    <row r="136" spans="1:23" ht="18" customHeight="1">
      <c r="A136" s="269"/>
      <c r="B136" s="270"/>
      <c r="C136" s="271"/>
      <c r="D136" s="127"/>
      <c r="E136" s="376">
        <f>E135+F135</f>
        <v>27.949187272727279</v>
      </c>
      <c r="F136" s="377"/>
      <c r="G136" s="376">
        <f>G135+H135</f>
        <v>24.585545454545453</v>
      </c>
      <c r="H136" s="377"/>
      <c r="I136" s="411"/>
      <c r="J136" s="411"/>
      <c r="K136" s="411"/>
      <c r="L136" s="265"/>
      <c r="M136" s="265"/>
      <c r="N136" s="303"/>
      <c r="P136" s="395"/>
      <c r="Q136" s="395"/>
      <c r="R136" s="395"/>
      <c r="S136" s="395"/>
      <c r="T136" s="395"/>
      <c r="U136" s="395"/>
      <c r="V136" s="395"/>
    </row>
    <row r="137" spans="1:23" ht="18" customHeight="1">
      <c r="A137" s="304" t="s">
        <v>80</v>
      </c>
      <c r="B137" s="305"/>
      <c r="C137" s="306"/>
      <c r="D137" s="178" t="s">
        <v>29</v>
      </c>
      <c r="E137" s="338" t="s">
        <v>24</v>
      </c>
      <c r="F137" s="338"/>
      <c r="G137" s="338" t="s">
        <v>25</v>
      </c>
      <c r="H137" s="338"/>
      <c r="I137" s="178" t="s">
        <v>26</v>
      </c>
      <c r="J137" s="173">
        <v>500</v>
      </c>
      <c r="K137" s="173">
        <v>0.5</v>
      </c>
      <c r="L137" s="265"/>
      <c r="M137" s="265"/>
      <c r="N137" s="303"/>
      <c r="O137" s="379"/>
      <c r="P137" s="395"/>
      <c r="Q137" s="400"/>
      <c r="R137" s="400"/>
      <c r="S137" s="400"/>
      <c r="T137" s="395"/>
      <c r="U137" s="395"/>
      <c r="V137" s="395"/>
    </row>
    <row r="138" spans="1:23" ht="18" customHeight="1">
      <c r="A138" s="242" t="s">
        <v>78</v>
      </c>
      <c r="B138" s="272"/>
      <c r="C138" s="243"/>
      <c r="D138" s="49"/>
      <c r="E138" s="273">
        <f>E136*4.1</f>
        <v>114.59166781818183</v>
      </c>
      <c r="F138" s="274"/>
      <c r="G138" s="273">
        <f>G136*9</f>
        <v>221.2699090909091</v>
      </c>
      <c r="H138" s="274"/>
      <c r="I138" s="85">
        <f>I135*4.1</f>
        <v>308.0320681818182</v>
      </c>
      <c r="J138" s="254"/>
      <c r="K138" s="254"/>
      <c r="L138" s="265"/>
      <c r="M138" s="265"/>
      <c r="N138" s="303"/>
      <c r="O138" s="379"/>
      <c r="P138" s="399"/>
      <c r="Q138" s="395"/>
      <c r="R138" s="395"/>
      <c r="S138" s="395"/>
      <c r="T138" s="395"/>
      <c r="U138" s="395"/>
      <c r="V138" s="395"/>
    </row>
    <row r="139" spans="1:23" ht="18" customHeight="1">
      <c r="A139" s="275" t="s">
        <v>87</v>
      </c>
      <c r="B139" s="276"/>
      <c r="C139" s="242" t="s">
        <v>59</v>
      </c>
      <c r="D139" s="243"/>
      <c r="E139" s="292">
        <f>E138*100/D135</f>
        <v>17.806142218107684</v>
      </c>
      <c r="F139" s="293"/>
      <c r="G139" s="292">
        <f>G138*100/D135</f>
        <v>34.382634836172151</v>
      </c>
      <c r="H139" s="293"/>
      <c r="I139" s="116">
        <f>I138*100/D135</f>
        <v>47.864412118391691</v>
      </c>
      <c r="J139" s="255"/>
      <c r="K139" s="255"/>
      <c r="L139" s="265"/>
      <c r="M139" s="265"/>
      <c r="N139" s="303"/>
      <c r="O139" s="379"/>
    </row>
    <row r="140" spans="1:23" ht="18" customHeight="1">
      <c r="A140" s="277"/>
      <c r="B140" s="278"/>
      <c r="C140" s="242" t="s">
        <v>79</v>
      </c>
      <c r="D140" s="243"/>
      <c r="E140" s="242" t="s">
        <v>82</v>
      </c>
      <c r="F140" s="243"/>
      <c r="G140" s="242" t="s">
        <v>85</v>
      </c>
      <c r="H140" s="243"/>
      <c r="I140" s="178" t="s">
        <v>86</v>
      </c>
      <c r="J140" s="256"/>
      <c r="K140" s="256"/>
      <c r="L140" s="265"/>
      <c r="M140" s="265"/>
      <c r="N140" s="303"/>
      <c r="O140" s="379"/>
      <c r="P140" s="132"/>
    </row>
    <row r="141" spans="1:23" ht="22.2" customHeight="1">
      <c r="A141" s="90"/>
      <c r="B141" s="93"/>
      <c r="C141" s="90"/>
      <c r="D141" s="90"/>
      <c r="E141" s="90"/>
      <c r="F141" s="90"/>
      <c r="G141" s="90"/>
      <c r="H141" s="90"/>
      <c r="I141" s="90"/>
      <c r="J141" s="90"/>
      <c r="K141" s="90"/>
      <c r="L141" s="91"/>
      <c r="M141" s="91"/>
      <c r="N141" s="92"/>
      <c r="O141" s="379"/>
    </row>
    <row r="142" spans="1:23" ht="21" customHeight="1">
      <c r="A142" s="183" t="s">
        <v>114</v>
      </c>
      <c r="B142" s="183"/>
      <c r="C142" s="183"/>
      <c r="D142" s="183"/>
      <c r="E142" s="183"/>
      <c r="F142" s="183"/>
      <c r="G142" s="183"/>
      <c r="H142" s="183"/>
      <c r="I142" s="183"/>
      <c r="J142" s="183"/>
      <c r="K142" s="183"/>
      <c r="L142" s="183"/>
      <c r="M142" s="183"/>
      <c r="N142" s="183"/>
      <c r="O142" s="379"/>
    </row>
    <row r="143" spans="1:23" ht="21" customHeight="1">
      <c r="A143" s="117" t="s">
        <v>115</v>
      </c>
      <c r="B143" s="184" t="s">
        <v>126</v>
      </c>
      <c r="C143" s="184"/>
      <c r="D143" s="184"/>
      <c r="E143" s="184"/>
      <c r="F143" s="184"/>
      <c r="G143" s="184"/>
      <c r="H143" s="184"/>
      <c r="I143" s="184"/>
      <c r="J143" s="184"/>
      <c r="K143" s="184"/>
      <c r="L143" s="184"/>
      <c r="M143" s="184"/>
      <c r="N143" s="184"/>
      <c r="O143" s="379"/>
    </row>
    <row r="144" spans="1:23" ht="21" customHeight="1">
      <c r="A144" s="118"/>
      <c r="B144" s="185" t="s">
        <v>209</v>
      </c>
      <c r="C144" s="185"/>
      <c r="D144" s="185"/>
      <c r="E144" s="185"/>
      <c r="F144" s="185"/>
      <c r="G144" s="185"/>
      <c r="H144" s="185"/>
      <c r="I144" s="185"/>
      <c r="J144" s="185"/>
      <c r="K144" s="185"/>
      <c r="L144" s="185"/>
      <c r="M144" s="185"/>
      <c r="N144" s="185"/>
      <c r="O144" s="379"/>
    </row>
    <row r="145" spans="1:15" ht="21" customHeight="1">
      <c r="A145" s="118"/>
      <c r="B145" s="185" t="s">
        <v>192</v>
      </c>
      <c r="C145" s="185"/>
      <c r="D145" s="185"/>
      <c r="E145" s="185"/>
      <c r="F145" s="185"/>
      <c r="G145" s="185"/>
      <c r="H145" s="185"/>
      <c r="I145" s="185"/>
      <c r="J145" s="185"/>
      <c r="K145" s="185"/>
      <c r="L145" s="185"/>
      <c r="M145" s="185"/>
      <c r="N145" s="185"/>
      <c r="O145" s="379"/>
    </row>
    <row r="146" spans="1:15" ht="21" customHeight="1">
      <c r="A146" s="118"/>
      <c r="B146" s="185" t="s">
        <v>152</v>
      </c>
      <c r="C146" s="185"/>
      <c r="D146" s="185"/>
      <c r="E146" s="185"/>
      <c r="F146" s="185"/>
      <c r="G146" s="185"/>
      <c r="H146" s="185"/>
      <c r="I146" s="185"/>
      <c r="J146" s="185"/>
      <c r="K146" s="185"/>
      <c r="L146" s="185"/>
      <c r="M146" s="185"/>
      <c r="N146" s="185"/>
      <c r="O146" s="379"/>
    </row>
    <row r="147" spans="1:15" ht="21" customHeight="1">
      <c r="A147" s="90"/>
      <c r="B147" s="186" t="s">
        <v>117</v>
      </c>
      <c r="C147" s="186"/>
      <c r="D147" s="186"/>
      <c r="E147" s="186"/>
      <c r="F147" s="186"/>
      <c r="G147" s="186"/>
      <c r="H147" s="186"/>
      <c r="I147" s="186"/>
      <c r="J147" s="186"/>
      <c r="K147" s="186"/>
      <c r="L147" s="186"/>
      <c r="M147" s="186"/>
      <c r="N147" s="186"/>
      <c r="O147" s="379"/>
    </row>
    <row r="148" spans="1:15" ht="21" customHeight="1">
      <c r="A148" s="90"/>
      <c r="B148" s="90"/>
      <c r="C148" s="90"/>
      <c r="D148" s="90"/>
      <c r="E148" s="90"/>
      <c r="F148" s="90"/>
      <c r="G148" s="90"/>
      <c r="H148" s="90"/>
      <c r="I148" s="90"/>
      <c r="J148" s="90"/>
      <c r="K148" s="90"/>
      <c r="L148" s="94"/>
      <c r="M148" s="94"/>
      <c r="N148" s="95"/>
      <c r="O148" s="379"/>
    </row>
    <row r="149" spans="1:15" ht="21" customHeight="1">
      <c r="A149" s="187" t="s">
        <v>62</v>
      </c>
      <c r="B149" s="187"/>
      <c r="C149" s="187"/>
      <c r="D149" s="187"/>
      <c r="E149" s="380"/>
      <c r="F149" s="380"/>
      <c r="G149" s="380"/>
      <c r="H149" s="380"/>
      <c r="I149" s="380"/>
      <c r="J149" s="381" t="s">
        <v>33</v>
      </c>
      <c r="K149" s="381"/>
      <c r="L149" s="381"/>
      <c r="M149" s="381"/>
      <c r="N149" s="381"/>
      <c r="O149" s="379"/>
    </row>
    <row r="150" spans="1:15" ht="21" customHeight="1">
      <c r="A150" s="175"/>
      <c r="B150" s="175"/>
      <c r="C150" s="175"/>
      <c r="D150" s="380"/>
      <c r="E150" s="380"/>
      <c r="F150" s="380"/>
      <c r="G150" s="380"/>
      <c r="H150" s="382"/>
      <c r="I150" s="382"/>
      <c r="J150" s="382"/>
      <c r="K150" s="382"/>
      <c r="L150" s="382"/>
      <c r="M150" s="382"/>
      <c r="N150" s="382"/>
      <c r="O150" s="379"/>
    </row>
    <row r="151" spans="1:15" ht="21" customHeight="1">
      <c r="A151" s="175"/>
      <c r="B151" s="175"/>
      <c r="C151" s="175"/>
      <c r="D151" s="380"/>
      <c r="E151" s="380"/>
      <c r="F151" s="380"/>
      <c r="G151" s="380"/>
      <c r="H151" s="382"/>
      <c r="I151" s="382"/>
      <c r="J151" s="382"/>
      <c r="K151" s="382"/>
      <c r="L151" s="382"/>
      <c r="M151" s="382"/>
      <c r="N151" s="382"/>
      <c r="O151" s="379"/>
    </row>
    <row r="152" spans="1:15" ht="21" customHeight="1">
      <c r="A152" s="175"/>
      <c r="B152" s="175"/>
      <c r="C152" s="175"/>
      <c r="D152" s="380"/>
      <c r="E152" s="380"/>
      <c r="F152" s="380"/>
      <c r="G152" s="380"/>
      <c r="H152" s="382"/>
      <c r="I152" s="382"/>
      <c r="J152" s="383" t="s">
        <v>124</v>
      </c>
      <c r="K152" s="383"/>
      <c r="L152" s="383"/>
      <c r="M152" s="383"/>
      <c r="N152" s="383"/>
      <c r="O152" s="379"/>
    </row>
    <row r="153" spans="1:15" ht="22.2" customHeight="1">
      <c r="A153" s="179" t="s">
        <v>91</v>
      </c>
      <c r="B153" s="179"/>
      <c r="C153" s="179"/>
      <c r="D153" s="179"/>
      <c r="E153" s="380"/>
      <c r="F153" s="380"/>
      <c r="G153" s="380"/>
      <c r="H153" s="382"/>
      <c r="I153" s="382"/>
      <c r="O153" s="379"/>
    </row>
    <row r="155" spans="1:15" ht="22.2" customHeight="1">
      <c r="J155" s="383" t="s">
        <v>127</v>
      </c>
      <c r="K155" s="383"/>
      <c r="L155" s="383"/>
      <c r="M155" s="383"/>
      <c r="N155" s="383"/>
    </row>
    <row r="156" spans="1:15" ht="22.2" customHeight="1">
      <c r="J156" s="383"/>
      <c r="K156" s="383"/>
      <c r="L156" s="383"/>
      <c r="M156" s="383"/>
      <c r="N156" s="383"/>
    </row>
  </sheetData>
  <mergeCells count="208">
    <mergeCell ref="A7:D7"/>
    <mergeCell ref="A82:D83"/>
    <mergeCell ref="E82:N82"/>
    <mergeCell ref="E83:I83"/>
    <mergeCell ref="J83:N83"/>
    <mergeCell ref="A11:A14"/>
    <mergeCell ref="B11:B14"/>
    <mergeCell ref="C11:C14"/>
    <mergeCell ref="N28:N29"/>
    <mergeCell ref="D11:D14"/>
    <mergeCell ref="G11:H12"/>
    <mergeCell ref="I11:I14"/>
    <mergeCell ref="L11:L14"/>
    <mergeCell ref="N11:N14"/>
    <mergeCell ref="E13:E14"/>
    <mergeCell ref="F13:F14"/>
    <mergeCell ref="G13:G14"/>
    <mergeCell ref="H13:H14"/>
    <mergeCell ref="J42:J45"/>
    <mergeCell ref="K42:K45"/>
    <mergeCell ref="G44:G45"/>
    <mergeCell ref="H44:H45"/>
    <mergeCell ref="C57:D57"/>
    <mergeCell ref="G42:H43"/>
    <mergeCell ref="A153:D153"/>
    <mergeCell ref="J156:N156"/>
    <mergeCell ref="A8:D8"/>
    <mergeCell ref="A9:D9"/>
    <mergeCell ref="K125:K128"/>
    <mergeCell ref="L125:L128"/>
    <mergeCell ref="M125:M128"/>
    <mergeCell ref="A85:D85"/>
    <mergeCell ref="J11:J14"/>
    <mergeCell ref="K11:K14"/>
    <mergeCell ref="M11:M14"/>
    <mergeCell ref="A42:A45"/>
    <mergeCell ref="J86:N86"/>
    <mergeCell ref="E55:F55"/>
    <mergeCell ref="G51:H51"/>
    <mergeCell ref="I52:I53"/>
    <mergeCell ref="E51:F51"/>
    <mergeCell ref="A50:B51"/>
    <mergeCell ref="A10:C10"/>
    <mergeCell ref="A66:D66"/>
    <mergeCell ref="B61:N61"/>
    <mergeCell ref="B64:N64"/>
    <mergeCell ref="F44:F45"/>
    <mergeCell ref="F90:F91"/>
    <mergeCell ref="L42:L45"/>
    <mergeCell ref="M42:M45"/>
    <mergeCell ref="A52:C53"/>
    <mergeCell ref="A54:C54"/>
    <mergeCell ref="A87:C87"/>
    <mergeCell ref="A86:D86"/>
    <mergeCell ref="B88:B91"/>
    <mergeCell ref="I42:I45"/>
    <mergeCell ref="E57:F57"/>
    <mergeCell ref="A48:B49"/>
    <mergeCell ref="J85:N85"/>
    <mergeCell ref="C50:C51"/>
    <mergeCell ref="D50:D51"/>
    <mergeCell ref="J55:J57"/>
    <mergeCell ref="K55:K57"/>
    <mergeCell ref="A56:B57"/>
    <mergeCell ref="C56:D56"/>
    <mergeCell ref="E56:F56"/>
    <mergeCell ref="G56:H56"/>
    <mergeCell ref="E53:F53"/>
    <mergeCell ref="M50:M57"/>
    <mergeCell ref="A59:N59"/>
    <mergeCell ref="B60:N60"/>
    <mergeCell ref="G53:H53"/>
    <mergeCell ref="E54:F54"/>
    <mergeCell ref="G54:H54"/>
    <mergeCell ref="B62:N62"/>
    <mergeCell ref="B63:N63"/>
    <mergeCell ref="E88:F89"/>
    <mergeCell ref="G88:H89"/>
    <mergeCell ref="A84:D84"/>
    <mergeCell ref="E84:I86"/>
    <mergeCell ref="J84:N84"/>
    <mergeCell ref="J66:N66"/>
    <mergeCell ref="A70:D70"/>
    <mergeCell ref="J70:N70"/>
    <mergeCell ref="J69:N69"/>
    <mergeCell ref="J72:N72"/>
    <mergeCell ref="F1:N1"/>
    <mergeCell ref="F80:N80"/>
    <mergeCell ref="I50:I51"/>
    <mergeCell ref="M46:M47"/>
    <mergeCell ref="L88:L91"/>
    <mergeCell ref="A15:N15"/>
    <mergeCell ref="A30:B31"/>
    <mergeCell ref="M28:M29"/>
    <mergeCell ref="J50:J51"/>
    <mergeCell ref="K50:K51"/>
    <mergeCell ref="J52:J53"/>
    <mergeCell ref="K52:K53"/>
    <mergeCell ref="J88:J91"/>
    <mergeCell ref="K88:K91"/>
    <mergeCell ref="M88:M91"/>
    <mergeCell ref="A55:C55"/>
    <mergeCell ref="N42:N45"/>
    <mergeCell ref="E44:E45"/>
    <mergeCell ref="A32:B32"/>
    <mergeCell ref="G55:H55"/>
    <mergeCell ref="L50:L57"/>
    <mergeCell ref="N46:N47"/>
    <mergeCell ref="E11:F12"/>
    <mergeCell ref="A88:A91"/>
    <mergeCell ref="A5:D5"/>
    <mergeCell ref="E5:N5"/>
    <mergeCell ref="A6:D6"/>
    <mergeCell ref="E6:I9"/>
    <mergeCell ref="J6:N9"/>
    <mergeCell ref="M133:M140"/>
    <mergeCell ref="B42:B45"/>
    <mergeCell ref="C42:C45"/>
    <mergeCell ref="D42:D45"/>
    <mergeCell ref="E42:F43"/>
    <mergeCell ref="A107:B108"/>
    <mergeCell ref="A121:B122"/>
    <mergeCell ref="G57:H57"/>
    <mergeCell ref="N50:N57"/>
    <mergeCell ref="A138:C138"/>
    <mergeCell ref="E138:F138"/>
    <mergeCell ref="G138:H138"/>
    <mergeCell ref="J138:J140"/>
    <mergeCell ref="K138:K140"/>
    <mergeCell ref="A139:B140"/>
    <mergeCell ref="C139:D139"/>
    <mergeCell ref="E139:F139"/>
    <mergeCell ref="G139:H139"/>
    <mergeCell ref="C140:D140"/>
    <mergeCell ref="A123:B123"/>
    <mergeCell ref="C133:C134"/>
    <mergeCell ref="M129:M130"/>
    <mergeCell ref="J125:J128"/>
    <mergeCell ref="E127:E128"/>
    <mergeCell ref="F127:F128"/>
    <mergeCell ref="G127:G128"/>
    <mergeCell ref="G136:H136"/>
    <mergeCell ref="N88:N91"/>
    <mergeCell ref="E90:E91"/>
    <mergeCell ref="K133:K134"/>
    <mergeCell ref="A133:B134"/>
    <mergeCell ref="N125:N128"/>
    <mergeCell ref="A92:N92"/>
    <mergeCell ref="N105:N106"/>
    <mergeCell ref="E134:F134"/>
    <mergeCell ref="G134:H134"/>
    <mergeCell ref="I135:I136"/>
    <mergeCell ref="E125:F126"/>
    <mergeCell ref="G125:H126"/>
    <mergeCell ref="I125:I128"/>
    <mergeCell ref="M119:M120"/>
    <mergeCell ref="A125:A128"/>
    <mergeCell ref="B125:B128"/>
    <mergeCell ref="U52:V52"/>
    <mergeCell ref="U53:V53"/>
    <mergeCell ref="Q135:R135"/>
    <mergeCell ref="S135:T135"/>
    <mergeCell ref="Q52:R52"/>
    <mergeCell ref="S52:T52"/>
    <mergeCell ref="Q53:R53"/>
    <mergeCell ref="S53:T53"/>
    <mergeCell ref="Q134:R134"/>
    <mergeCell ref="S134:T134"/>
    <mergeCell ref="U134:V134"/>
    <mergeCell ref="U135:V135"/>
    <mergeCell ref="O86:R86"/>
    <mergeCell ref="N133:N140"/>
    <mergeCell ref="C125:C128"/>
    <mergeCell ref="D125:D128"/>
    <mergeCell ref="H127:H128"/>
    <mergeCell ref="A135:C136"/>
    <mergeCell ref="N129:N130"/>
    <mergeCell ref="L133:L140"/>
    <mergeCell ref="D133:D134"/>
    <mergeCell ref="J135:J136"/>
    <mergeCell ref="K135:K136"/>
    <mergeCell ref="J133:J134"/>
    <mergeCell ref="E140:F140"/>
    <mergeCell ref="G140:H140"/>
    <mergeCell ref="J152:N152"/>
    <mergeCell ref="J155:N155"/>
    <mergeCell ref="B145:N145"/>
    <mergeCell ref="B146:N146"/>
    <mergeCell ref="B147:N147"/>
    <mergeCell ref="A149:D149"/>
    <mergeCell ref="J149:N149"/>
    <mergeCell ref="C88:C91"/>
    <mergeCell ref="D88:D91"/>
    <mergeCell ref="G90:G91"/>
    <mergeCell ref="H90:H91"/>
    <mergeCell ref="A109:B109"/>
    <mergeCell ref="I88:I91"/>
    <mergeCell ref="A142:N142"/>
    <mergeCell ref="B143:N143"/>
    <mergeCell ref="B144:N144"/>
    <mergeCell ref="A137:C137"/>
    <mergeCell ref="I133:I134"/>
    <mergeCell ref="E137:F137"/>
    <mergeCell ref="G137:H137"/>
    <mergeCell ref="N119:N120"/>
    <mergeCell ref="A131:B132"/>
    <mergeCell ref="M105:M106"/>
    <mergeCell ref="E136:F136"/>
  </mergeCells>
  <pageMargins left="0.125" right="0.11666666666666667" top="0.44791666666666669" bottom="0.4062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W157"/>
  <sheetViews>
    <sheetView zoomScale="106" zoomScaleNormal="106" workbookViewId="0">
      <selection activeCell="J6" sqref="J6:N9"/>
    </sheetView>
  </sheetViews>
  <sheetFormatPr defaultColWidth="9.109375" defaultRowHeight="19.2" customHeight="1"/>
  <cols>
    <col min="1" max="1" width="2.88671875" style="1" customWidth="1"/>
    <col min="2" max="2" width="11.77734375" style="1" customWidth="1"/>
    <col min="3" max="3" width="6.21875" style="1" customWidth="1"/>
    <col min="4" max="4" width="7.33203125" style="1" customWidth="1"/>
    <col min="5" max="6" width="6.109375" style="1" customWidth="1"/>
    <col min="7" max="8" width="6.6640625" style="1" customWidth="1"/>
    <col min="9" max="9" width="7.6640625" style="1" customWidth="1"/>
    <col min="10" max="10" width="8.33203125" style="1" customWidth="1"/>
    <col min="11" max="11" width="6.33203125" style="1" customWidth="1"/>
    <col min="12" max="12" width="6.44140625" style="1" customWidth="1"/>
    <col min="13" max="13" width="5" style="1" customWidth="1"/>
    <col min="14" max="14" width="6.88671875" style="1" customWidth="1"/>
    <col min="15" max="15" width="11.88671875" style="1" customWidth="1"/>
    <col min="16" max="16" width="9.109375" style="1"/>
    <col min="17" max="22" width="8.6640625" style="1" customWidth="1"/>
    <col min="23" max="16384" width="9.109375" style="1"/>
  </cols>
  <sheetData>
    <row r="1" spans="1:20" ht="19.8" customHeight="1">
      <c r="A1" s="11" t="s">
        <v>65</v>
      </c>
      <c r="B1" s="8"/>
      <c r="C1" s="8"/>
      <c r="D1" s="8"/>
      <c r="E1" s="8"/>
      <c r="F1" s="290" t="s">
        <v>31</v>
      </c>
      <c r="G1" s="290"/>
      <c r="H1" s="290"/>
      <c r="I1" s="290"/>
      <c r="J1" s="290"/>
      <c r="K1" s="290"/>
      <c r="L1" s="290"/>
      <c r="M1" s="290"/>
      <c r="N1" s="290"/>
      <c r="O1" s="367"/>
      <c r="P1" s="367"/>
      <c r="T1" s="2"/>
    </row>
    <row r="2" spans="1:20" ht="10.199999999999999" customHeight="1">
      <c r="A2" s="11"/>
      <c r="B2" s="8"/>
      <c r="C2" s="8"/>
      <c r="D2" s="8"/>
      <c r="E2" s="8"/>
      <c r="F2" s="172"/>
      <c r="G2" s="172"/>
      <c r="H2" s="172"/>
      <c r="I2" s="172"/>
      <c r="J2" s="172"/>
      <c r="K2" s="172"/>
      <c r="L2" s="172"/>
      <c r="M2" s="172"/>
      <c r="N2" s="172"/>
      <c r="O2" s="367"/>
      <c r="P2" s="367"/>
      <c r="T2" s="2"/>
    </row>
    <row r="3" spans="1:20" ht="19.8" customHeight="1">
      <c r="A3" s="8" t="s">
        <v>210</v>
      </c>
      <c r="B3" s="8"/>
      <c r="C3" s="8"/>
      <c r="D3" s="8"/>
      <c r="E3" s="8"/>
      <c r="F3" s="172"/>
      <c r="G3" s="172"/>
      <c r="H3" s="172"/>
      <c r="I3" s="172"/>
      <c r="J3" s="172"/>
      <c r="K3" s="172"/>
      <c r="L3" s="172"/>
      <c r="M3" s="172"/>
      <c r="N3" s="172"/>
      <c r="O3" s="367"/>
      <c r="P3" s="367"/>
      <c r="T3" s="2"/>
    </row>
    <row r="4" spans="1:20" ht="10.199999999999999" customHeight="1">
      <c r="A4" s="8"/>
      <c r="B4" s="8"/>
      <c r="C4" s="8"/>
      <c r="D4" s="8"/>
      <c r="E4" s="8"/>
      <c r="F4" s="172"/>
      <c r="G4" s="172"/>
      <c r="H4" s="172"/>
      <c r="I4" s="172"/>
      <c r="J4" s="172"/>
      <c r="K4" s="172"/>
      <c r="L4" s="172"/>
      <c r="M4" s="172"/>
      <c r="N4" s="172"/>
      <c r="O4" s="367"/>
      <c r="P4" s="367"/>
      <c r="T4" s="2"/>
    </row>
    <row r="5" spans="1:20" s="2" customFormat="1" ht="19.8" customHeight="1">
      <c r="A5" s="194" t="s">
        <v>97</v>
      </c>
      <c r="B5" s="194"/>
      <c r="C5" s="194"/>
      <c r="D5" s="194"/>
      <c r="E5" s="194" t="s">
        <v>98</v>
      </c>
      <c r="F5" s="194"/>
      <c r="G5" s="194"/>
      <c r="H5" s="194"/>
      <c r="I5" s="194"/>
      <c r="J5" s="194"/>
      <c r="K5" s="194"/>
      <c r="L5" s="194"/>
      <c r="M5" s="194"/>
      <c r="N5" s="194"/>
      <c r="O5" s="368"/>
    </row>
    <row r="6" spans="1:20" s="2" customFormat="1" ht="19.8" customHeight="1">
      <c r="A6" s="195" t="s">
        <v>90</v>
      </c>
      <c r="B6" s="195"/>
      <c r="C6" s="195"/>
      <c r="D6" s="195"/>
      <c r="E6" s="198" t="s">
        <v>76</v>
      </c>
      <c r="F6" s="198"/>
      <c r="G6" s="198"/>
      <c r="H6" s="198"/>
      <c r="I6" s="198"/>
      <c r="J6" s="318" t="s">
        <v>161</v>
      </c>
      <c r="K6" s="200"/>
      <c r="L6" s="200"/>
      <c r="M6" s="200"/>
      <c r="N6" s="201"/>
      <c r="O6" s="368"/>
    </row>
    <row r="7" spans="1:20" s="2" customFormat="1" ht="19.8" customHeight="1">
      <c r="A7" s="231" t="s">
        <v>162</v>
      </c>
      <c r="B7" s="232"/>
      <c r="C7" s="232"/>
      <c r="D7" s="233"/>
      <c r="E7" s="198"/>
      <c r="F7" s="198"/>
      <c r="G7" s="198"/>
      <c r="H7" s="198"/>
      <c r="I7" s="198"/>
      <c r="J7" s="202"/>
      <c r="K7" s="203"/>
      <c r="L7" s="203"/>
      <c r="M7" s="203"/>
      <c r="N7" s="204"/>
      <c r="O7" s="368"/>
    </row>
    <row r="8" spans="1:20" s="2" customFormat="1" ht="19.8" customHeight="1">
      <c r="A8" s="196" t="s">
        <v>159</v>
      </c>
      <c r="B8" s="196"/>
      <c r="C8" s="196"/>
      <c r="D8" s="196"/>
      <c r="E8" s="198"/>
      <c r="F8" s="198"/>
      <c r="G8" s="198"/>
      <c r="H8" s="198"/>
      <c r="I8" s="198"/>
      <c r="J8" s="202"/>
      <c r="K8" s="203"/>
      <c r="L8" s="203"/>
      <c r="M8" s="203"/>
      <c r="N8" s="204"/>
      <c r="O8" s="368"/>
    </row>
    <row r="9" spans="1:20" s="2" customFormat="1" ht="19.8" customHeight="1">
      <c r="A9" s="197" t="s">
        <v>160</v>
      </c>
      <c r="B9" s="197"/>
      <c r="C9" s="197"/>
      <c r="D9" s="197"/>
      <c r="E9" s="198"/>
      <c r="F9" s="198"/>
      <c r="G9" s="198"/>
      <c r="H9" s="198"/>
      <c r="I9" s="198"/>
      <c r="J9" s="205"/>
      <c r="K9" s="206"/>
      <c r="L9" s="206"/>
      <c r="M9" s="206"/>
      <c r="N9" s="207"/>
      <c r="O9" s="368"/>
    </row>
    <row r="10" spans="1:20" s="2" customFormat="1" ht="19.8" customHeight="1">
      <c r="A10" s="228" t="s">
        <v>122</v>
      </c>
      <c r="B10" s="229"/>
      <c r="C10" s="230"/>
      <c r="D10" s="128">
        <v>212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368"/>
    </row>
    <row r="11" spans="1:20" ht="19.8" customHeight="1">
      <c r="A11" s="208" t="s">
        <v>66</v>
      </c>
      <c r="B11" s="211" t="s">
        <v>19</v>
      </c>
      <c r="C11" s="319" t="s">
        <v>8</v>
      </c>
      <c r="D11" s="214" t="s">
        <v>9</v>
      </c>
      <c r="E11" s="217" t="s">
        <v>11</v>
      </c>
      <c r="F11" s="218"/>
      <c r="G11" s="217" t="s">
        <v>13</v>
      </c>
      <c r="H11" s="218"/>
      <c r="I11" s="221" t="s">
        <v>16</v>
      </c>
      <c r="J11" s="221" t="s">
        <v>41</v>
      </c>
      <c r="K11" s="221" t="s">
        <v>42</v>
      </c>
      <c r="L11" s="221" t="s">
        <v>17</v>
      </c>
      <c r="M11" s="221" t="s">
        <v>55</v>
      </c>
      <c r="N11" s="208" t="s">
        <v>18</v>
      </c>
      <c r="O11" s="369"/>
    </row>
    <row r="12" spans="1:20" ht="19.8" customHeight="1">
      <c r="A12" s="209"/>
      <c r="B12" s="212"/>
      <c r="C12" s="320"/>
      <c r="D12" s="215"/>
      <c r="E12" s="219"/>
      <c r="F12" s="220"/>
      <c r="G12" s="219"/>
      <c r="H12" s="220"/>
      <c r="I12" s="222"/>
      <c r="J12" s="222"/>
      <c r="K12" s="222"/>
      <c r="L12" s="222"/>
      <c r="M12" s="222"/>
      <c r="N12" s="209"/>
      <c r="O12" s="175"/>
    </row>
    <row r="13" spans="1:20" ht="19.8" customHeight="1">
      <c r="A13" s="209"/>
      <c r="B13" s="212"/>
      <c r="C13" s="320"/>
      <c r="D13" s="215"/>
      <c r="E13" s="221" t="s">
        <v>10</v>
      </c>
      <c r="F13" s="221" t="s">
        <v>12</v>
      </c>
      <c r="G13" s="221" t="s">
        <v>14</v>
      </c>
      <c r="H13" s="221" t="s">
        <v>15</v>
      </c>
      <c r="I13" s="222"/>
      <c r="J13" s="222"/>
      <c r="K13" s="222"/>
      <c r="L13" s="222"/>
      <c r="M13" s="222"/>
      <c r="N13" s="209"/>
      <c r="O13" s="175"/>
    </row>
    <row r="14" spans="1:20" ht="19.8" customHeight="1">
      <c r="A14" s="210"/>
      <c r="B14" s="213"/>
      <c r="C14" s="321"/>
      <c r="D14" s="216"/>
      <c r="E14" s="223"/>
      <c r="F14" s="223"/>
      <c r="G14" s="223"/>
      <c r="H14" s="223"/>
      <c r="I14" s="223"/>
      <c r="J14" s="223"/>
      <c r="K14" s="223"/>
      <c r="L14" s="223"/>
      <c r="M14" s="223"/>
      <c r="N14" s="210"/>
      <c r="O14" s="175"/>
    </row>
    <row r="15" spans="1:20" ht="19.8" customHeight="1">
      <c r="A15" s="237" t="s">
        <v>34</v>
      </c>
      <c r="B15" s="238"/>
      <c r="C15" s="238"/>
      <c r="D15" s="238"/>
      <c r="E15" s="238"/>
      <c r="F15" s="238"/>
      <c r="G15" s="238"/>
      <c r="H15" s="238"/>
      <c r="I15" s="238"/>
      <c r="J15" s="238"/>
      <c r="K15" s="238"/>
      <c r="L15" s="238"/>
      <c r="M15" s="238"/>
      <c r="N15" s="239"/>
      <c r="O15" s="175"/>
    </row>
    <row r="16" spans="1:20" s="2" customFormat="1" ht="21" customHeight="1">
      <c r="A16" s="9">
        <v>1</v>
      </c>
      <c r="B16" s="10" t="s">
        <v>2</v>
      </c>
      <c r="C16" s="23">
        <f>L16/100*100</f>
        <v>270</v>
      </c>
      <c r="D16" s="24">
        <f>C16/100*60</f>
        <v>162</v>
      </c>
      <c r="E16" s="25">
        <f>C16/100*15</f>
        <v>40.5</v>
      </c>
      <c r="F16" s="25"/>
      <c r="G16" s="25"/>
      <c r="H16" s="25"/>
      <c r="I16" s="25"/>
      <c r="J16" s="27">
        <f>C16/100*387</f>
        <v>1044.9000000000001</v>
      </c>
      <c r="K16" s="27">
        <f>C16/100*0.09</f>
        <v>0.24299999999999999</v>
      </c>
      <c r="L16" s="137">
        <v>270</v>
      </c>
      <c r="M16" s="75">
        <v>20</v>
      </c>
      <c r="N16" s="135">
        <f>L16*M16</f>
        <v>5400</v>
      </c>
      <c r="O16" s="153"/>
    </row>
    <row r="17" spans="1:20" s="2" customFormat="1" ht="21" customHeight="1">
      <c r="A17" s="9">
        <v>2</v>
      </c>
      <c r="B17" s="146" t="s">
        <v>141</v>
      </c>
      <c r="C17" s="23">
        <f>L17/100*100</f>
        <v>890</v>
      </c>
      <c r="D17" s="24">
        <f>C17/100*899</f>
        <v>8001.1</v>
      </c>
      <c r="E17" s="25"/>
      <c r="F17" s="25"/>
      <c r="G17" s="25">
        <f>C17/100*100</f>
        <v>890</v>
      </c>
      <c r="H17" s="25"/>
      <c r="I17" s="25"/>
      <c r="J17" s="27"/>
      <c r="K17" s="27"/>
      <c r="L17" s="137">
        <v>890</v>
      </c>
      <c r="M17" s="75">
        <v>68</v>
      </c>
      <c r="N17" s="135">
        <f t="shared" ref="N17:N26" si="0">L17*M17</f>
        <v>60520</v>
      </c>
      <c r="O17" s="153"/>
    </row>
    <row r="18" spans="1:20" s="2" customFormat="1" ht="21" customHeight="1">
      <c r="A18" s="9">
        <v>3</v>
      </c>
      <c r="B18" s="5" t="s">
        <v>1</v>
      </c>
      <c r="C18" s="23">
        <f>L18/100*100</f>
        <v>20140</v>
      </c>
      <c r="D18" s="120">
        <f>C18/100*331.6</f>
        <v>66784.240000000005</v>
      </c>
      <c r="E18" s="25"/>
      <c r="F18" s="130">
        <f>C18/100*7.9</f>
        <v>1591.0600000000002</v>
      </c>
      <c r="G18" s="25"/>
      <c r="H18" s="25">
        <f>C18/100*1</f>
        <v>201.4</v>
      </c>
      <c r="I18" s="119">
        <f>C18/100*75.9</f>
        <v>15286.260000000002</v>
      </c>
      <c r="J18" s="27">
        <f>C18/100*30</f>
        <v>6042</v>
      </c>
      <c r="K18" s="27">
        <f>C18/100*0.1</f>
        <v>20.14</v>
      </c>
      <c r="L18" s="137">
        <v>20140</v>
      </c>
      <c r="M18" s="75">
        <v>18</v>
      </c>
      <c r="N18" s="169">
        <f t="shared" si="0"/>
        <v>362520</v>
      </c>
      <c r="O18" s="153"/>
    </row>
    <row r="19" spans="1:20" s="2" customFormat="1" ht="21" customHeight="1">
      <c r="A19" s="9">
        <v>4</v>
      </c>
      <c r="B19" s="10" t="s">
        <v>71</v>
      </c>
      <c r="C19" s="23">
        <f>L19/100*98</f>
        <v>4566.8</v>
      </c>
      <c r="D19" s="24">
        <f>C19/100*139</f>
        <v>6347.8519999999999</v>
      </c>
      <c r="E19" s="119">
        <f>C19/100*19</f>
        <v>867.69200000000001</v>
      </c>
      <c r="F19" s="25"/>
      <c r="G19" s="25">
        <f>C19/100*7</f>
        <v>319.67599999999999</v>
      </c>
      <c r="H19" s="25"/>
      <c r="I19" s="25"/>
      <c r="J19" s="27">
        <f>C19/100*7</f>
        <v>319.67599999999999</v>
      </c>
      <c r="K19" s="27">
        <f>C19/100*0.9</f>
        <v>41.101199999999999</v>
      </c>
      <c r="L19" s="137">
        <v>4660</v>
      </c>
      <c r="M19" s="143">
        <v>137</v>
      </c>
      <c r="N19" s="169">
        <f t="shared" si="0"/>
        <v>638420</v>
      </c>
      <c r="O19" s="153"/>
    </row>
    <row r="20" spans="1:20" s="2" customFormat="1" ht="21" customHeight="1">
      <c r="A20" s="9">
        <v>5</v>
      </c>
      <c r="B20" s="10" t="s">
        <v>143</v>
      </c>
      <c r="C20" s="23">
        <f>L20/100*43</f>
        <v>1096.5</v>
      </c>
      <c r="D20" s="24">
        <f>C20/100*83</f>
        <v>910.09500000000003</v>
      </c>
      <c r="E20" s="25">
        <f>C20/100*7.7</f>
        <v>84.430499999999995</v>
      </c>
      <c r="F20" s="25"/>
      <c r="G20" s="25">
        <f>C20/100*5.5</f>
        <v>60.307499999999997</v>
      </c>
      <c r="H20" s="25"/>
      <c r="I20" s="25"/>
      <c r="J20" s="27"/>
      <c r="K20" s="27"/>
      <c r="L20" s="137">
        <v>2550</v>
      </c>
      <c r="M20" s="143">
        <v>137</v>
      </c>
      <c r="N20" s="169">
        <f>L20*M20</f>
        <v>349350</v>
      </c>
      <c r="O20" s="153"/>
    </row>
    <row r="21" spans="1:20" s="2" customFormat="1" ht="21" customHeight="1">
      <c r="A21" s="9">
        <v>6</v>
      </c>
      <c r="B21" s="5" t="s">
        <v>30</v>
      </c>
      <c r="C21" s="23">
        <f>L21/100*88</f>
        <v>5227.2</v>
      </c>
      <c r="D21" s="24">
        <f>C21/100*184</f>
        <v>9618.0479999999989</v>
      </c>
      <c r="E21" s="119">
        <f>C21/100*13</f>
        <v>679.53599999999994</v>
      </c>
      <c r="F21" s="25"/>
      <c r="G21" s="25">
        <f>C21/100*14.2</f>
        <v>742.26239999999996</v>
      </c>
      <c r="H21" s="25"/>
      <c r="I21" s="25">
        <f>C21/100*1</f>
        <v>52.271999999999998</v>
      </c>
      <c r="J21" s="27">
        <f>C21/100*71</f>
        <v>3711.3119999999999</v>
      </c>
      <c r="K21" s="27">
        <f>C21/100*0.15</f>
        <v>7.8407999999999998</v>
      </c>
      <c r="L21" s="137">
        <v>5940</v>
      </c>
      <c r="M21" s="75">
        <v>62</v>
      </c>
      <c r="N21" s="169">
        <f t="shared" si="0"/>
        <v>368280</v>
      </c>
      <c r="O21" s="153"/>
      <c r="Q21" s="3"/>
      <c r="R21" s="3"/>
      <c r="S21" s="4"/>
    </row>
    <row r="22" spans="1:20" s="2" customFormat="1" ht="21" customHeight="1">
      <c r="A22" s="9">
        <v>7</v>
      </c>
      <c r="B22" s="10" t="s">
        <v>3</v>
      </c>
      <c r="C22" s="23">
        <f>L22/100*98</f>
        <v>2077.6</v>
      </c>
      <c r="D22" s="24">
        <f>C22/100*118</f>
        <v>2451.5679999999998</v>
      </c>
      <c r="E22" s="119">
        <f>C22/100*21</f>
        <v>436.29599999999999</v>
      </c>
      <c r="F22" s="25"/>
      <c r="G22" s="25">
        <f>C22/100*3.8</f>
        <v>78.948799999999991</v>
      </c>
      <c r="H22" s="25"/>
      <c r="I22" s="25"/>
      <c r="J22" s="25">
        <f>C22/100*12</f>
        <v>249.31200000000001</v>
      </c>
      <c r="K22" s="25">
        <f>C22/100*0.1</f>
        <v>2.0775999999999999</v>
      </c>
      <c r="L22" s="137">
        <v>2120</v>
      </c>
      <c r="M22" s="143">
        <v>260</v>
      </c>
      <c r="N22" s="169">
        <f t="shared" si="0"/>
        <v>551200</v>
      </c>
      <c r="O22" s="153"/>
    </row>
    <row r="23" spans="1:20" s="2" customFormat="1" ht="21" customHeight="1">
      <c r="A23" s="9">
        <v>8</v>
      </c>
      <c r="B23" s="5" t="s">
        <v>4</v>
      </c>
      <c r="C23" s="23">
        <f>L23/100*98.5</f>
        <v>2088.1999999999998</v>
      </c>
      <c r="D23" s="24">
        <f>C23/100*39</f>
        <v>814.39799999999991</v>
      </c>
      <c r="E23" s="29"/>
      <c r="F23" s="29">
        <f>C23/100*1.5</f>
        <v>31.322999999999997</v>
      </c>
      <c r="G23" s="29"/>
      <c r="H23" s="29">
        <f>C23/100*0.2</f>
        <v>4.1764000000000001</v>
      </c>
      <c r="I23" s="29">
        <f>C23/100*7.8</f>
        <v>162.87959999999998</v>
      </c>
      <c r="J23" s="29">
        <f>C23/100*43</f>
        <v>897.92599999999993</v>
      </c>
      <c r="K23" s="29">
        <f>C23/100*0.06</f>
        <v>1.2529199999999998</v>
      </c>
      <c r="L23" s="370">
        <v>2120</v>
      </c>
      <c r="M23" s="26">
        <v>17</v>
      </c>
      <c r="N23" s="135">
        <f t="shared" si="0"/>
        <v>36040</v>
      </c>
      <c r="O23" s="153"/>
      <c r="Q23" s="3"/>
      <c r="R23" s="3"/>
      <c r="S23" s="4"/>
    </row>
    <row r="24" spans="1:20" s="2" customFormat="1" ht="21" customHeight="1">
      <c r="A24" s="9">
        <v>9</v>
      </c>
      <c r="B24" s="5" t="s">
        <v>142</v>
      </c>
      <c r="C24" s="23">
        <f>L24/100*87</f>
        <v>5533.2</v>
      </c>
      <c r="D24" s="24">
        <f>C24/100*21</f>
        <v>1161.972</v>
      </c>
      <c r="E24" s="29"/>
      <c r="F24" s="29">
        <f>C24/100*1.5</f>
        <v>82.998000000000005</v>
      </c>
      <c r="G24" s="29"/>
      <c r="H24" s="29">
        <f>C24/100*0.1</f>
        <v>5.5332000000000008</v>
      </c>
      <c r="I24" s="29">
        <f>C24/100*3.6</f>
        <v>199.1952</v>
      </c>
      <c r="J24" s="29">
        <f>C24/100*40</f>
        <v>2213.2800000000002</v>
      </c>
      <c r="K24" s="29">
        <f>C24/100*0.06</f>
        <v>3.3199199999999998</v>
      </c>
      <c r="L24" s="370">
        <v>6360</v>
      </c>
      <c r="M24" s="26">
        <v>18</v>
      </c>
      <c r="N24" s="169">
        <f t="shared" si="0"/>
        <v>114480</v>
      </c>
      <c r="O24" s="153"/>
      <c r="Q24" s="3"/>
      <c r="R24" s="3"/>
      <c r="S24" s="4"/>
    </row>
    <row r="25" spans="1:20" s="2" customFormat="1" ht="21" customHeight="1">
      <c r="A25" s="86">
        <v>10</v>
      </c>
      <c r="B25" s="5" t="s">
        <v>75</v>
      </c>
      <c r="C25" s="23">
        <f>L25/100*75</f>
        <v>3180</v>
      </c>
      <c r="D25" s="24">
        <f>C25/100*12</f>
        <v>381.6</v>
      </c>
      <c r="E25" s="25"/>
      <c r="F25" s="25">
        <f>C25/100*0.6</f>
        <v>19.079999999999998</v>
      </c>
      <c r="G25" s="25"/>
      <c r="H25" s="25"/>
      <c r="I25" s="25">
        <f>C25/100*2.4</f>
        <v>76.319999999999993</v>
      </c>
      <c r="J25" s="25">
        <f>C25/100*26</f>
        <v>826.80000000000007</v>
      </c>
      <c r="K25" s="25">
        <f>C25/100*0.02</f>
        <v>0.63600000000000001</v>
      </c>
      <c r="L25" s="137">
        <v>4240</v>
      </c>
      <c r="M25" s="75">
        <v>25</v>
      </c>
      <c r="N25" s="169">
        <f t="shared" si="0"/>
        <v>106000</v>
      </c>
      <c r="O25" s="153"/>
    </row>
    <row r="26" spans="1:20" s="2" customFormat="1" ht="21" customHeight="1">
      <c r="A26" s="86">
        <v>11</v>
      </c>
      <c r="B26" s="5" t="s">
        <v>136</v>
      </c>
      <c r="C26" s="23">
        <f>L26/100*100</f>
        <v>210</v>
      </c>
      <c r="D26" s="24">
        <f>C26/100*247</f>
        <v>518.70000000000005</v>
      </c>
      <c r="E26" s="29"/>
      <c r="F26" s="29">
        <f>C26/100*17.5</f>
        <v>36.75</v>
      </c>
      <c r="G26" s="29"/>
      <c r="H26" s="29">
        <f>C26/100*1.6</f>
        <v>3.3600000000000003</v>
      </c>
      <c r="I26" s="29">
        <f>C26/100*39.2</f>
        <v>82.320000000000007</v>
      </c>
      <c r="J26" s="71"/>
      <c r="K26" s="71"/>
      <c r="L26" s="370">
        <v>210</v>
      </c>
      <c r="M26" s="75">
        <v>50</v>
      </c>
      <c r="N26" s="28">
        <f t="shared" si="0"/>
        <v>10500</v>
      </c>
      <c r="O26" s="153"/>
      <c r="Q26" s="3"/>
      <c r="R26" s="3"/>
      <c r="S26" s="4"/>
      <c r="T26" s="3"/>
    </row>
    <row r="27" spans="1:20" s="2" customFormat="1" ht="21" customHeight="1">
      <c r="A27" s="86">
        <v>12</v>
      </c>
      <c r="B27" s="6" t="s">
        <v>123</v>
      </c>
      <c r="C27" s="23"/>
      <c r="D27" s="24"/>
      <c r="E27" s="25"/>
      <c r="F27" s="25"/>
      <c r="G27" s="25"/>
      <c r="H27" s="25"/>
      <c r="I27" s="25"/>
      <c r="J27" s="27"/>
      <c r="K27" s="27"/>
      <c r="L27" s="26"/>
      <c r="M27" s="26"/>
      <c r="N27" s="28">
        <v>15750</v>
      </c>
      <c r="O27" s="153"/>
    </row>
    <row r="28" spans="1:20" s="2" customFormat="1" ht="21" customHeight="1">
      <c r="A28" s="21" t="s">
        <v>120</v>
      </c>
      <c r="B28" s="22"/>
      <c r="C28" s="34"/>
      <c r="D28" s="121">
        <f>SUM(D16:D27)</f>
        <v>97151.573000000004</v>
      </c>
      <c r="E28" s="36"/>
      <c r="F28" s="36"/>
      <c r="G28" s="36"/>
      <c r="H28" s="36"/>
      <c r="I28" s="36"/>
      <c r="J28" s="36"/>
      <c r="K28" s="36"/>
      <c r="L28" s="37"/>
      <c r="M28" s="73"/>
      <c r="N28" s="240">
        <f>SUM(N16:N27)</f>
        <v>2618460</v>
      </c>
      <c r="O28" s="153"/>
    </row>
    <row r="29" spans="1:20" s="2" customFormat="1" ht="21" customHeight="1">
      <c r="A29" s="21" t="s">
        <v>6</v>
      </c>
      <c r="B29" s="22"/>
      <c r="C29" s="34"/>
      <c r="D29" s="35">
        <f>D28/D10</f>
        <v>458.26213679245285</v>
      </c>
      <c r="E29" s="36"/>
      <c r="F29" s="36"/>
      <c r="G29" s="36"/>
      <c r="H29" s="36"/>
      <c r="I29" s="36"/>
      <c r="J29" s="36"/>
      <c r="K29" s="36"/>
      <c r="L29" s="37"/>
      <c r="M29" s="74"/>
      <c r="N29" s="241"/>
      <c r="O29" s="153"/>
    </row>
    <row r="30" spans="1:20" s="2" customFormat="1" ht="21" customHeight="1">
      <c r="A30" s="291" t="s">
        <v>51</v>
      </c>
      <c r="B30" s="225"/>
      <c r="C30" s="372" t="s">
        <v>151</v>
      </c>
      <c r="D30" s="20" t="s">
        <v>45</v>
      </c>
      <c r="E30" s="36"/>
      <c r="F30" s="36"/>
      <c r="G30" s="36"/>
      <c r="H30" s="36"/>
      <c r="I30" s="36"/>
      <c r="J30" s="36"/>
      <c r="K30" s="36"/>
      <c r="L30" s="37"/>
      <c r="M30" s="37"/>
      <c r="N30" s="38"/>
      <c r="O30" s="153"/>
    </row>
    <row r="31" spans="1:20" s="2" customFormat="1" ht="21" customHeight="1">
      <c r="A31" s="226"/>
      <c r="B31" s="227"/>
      <c r="C31" s="76" t="s">
        <v>60</v>
      </c>
      <c r="D31" s="20">
        <f>D29*100/1320</f>
        <v>34.716828544882794</v>
      </c>
      <c r="E31" s="36"/>
      <c r="F31" s="36"/>
      <c r="G31" s="36"/>
      <c r="H31" s="36"/>
      <c r="I31" s="36"/>
      <c r="J31" s="36"/>
      <c r="K31" s="36"/>
      <c r="L31" s="37"/>
      <c r="M31" s="37"/>
      <c r="N31" s="38"/>
      <c r="O31" s="153"/>
    </row>
    <row r="32" spans="1:20" s="2" customFormat="1" ht="21" customHeight="1">
      <c r="A32" s="235" t="s">
        <v>35</v>
      </c>
      <c r="B32" s="235"/>
      <c r="C32" s="56"/>
      <c r="D32" s="57"/>
      <c r="E32" s="58"/>
      <c r="F32" s="58"/>
      <c r="G32" s="58"/>
      <c r="H32" s="58"/>
      <c r="I32" s="58"/>
      <c r="J32" s="58"/>
      <c r="K32" s="58"/>
      <c r="L32" s="59"/>
      <c r="M32" s="59"/>
      <c r="N32" s="69"/>
      <c r="O32" s="153"/>
    </row>
    <row r="33" spans="1:23" s="2" customFormat="1" ht="21" customHeight="1">
      <c r="A33" s="9">
        <v>1</v>
      </c>
      <c r="B33" s="10" t="s">
        <v>2</v>
      </c>
      <c r="C33" s="23">
        <f>L33/100*100</f>
        <v>260</v>
      </c>
      <c r="D33" s="24">
        <f>C33/100*60</f>
        <v>156</v>
      </c>
      <c r="E33" s="25">
        <f>C33/100*15</f>
        <v>39</v>
      </c>
      <c r="F33" s="25"/>
      <c r="G33" s="25"/>
      <c r="H33" s="25"/>
      <c r="I33" s="25"/>
      <c r="J33" s="27">
        <f>C33/100*387</f>
        <v>1006.2</v>
      </c>
      <c r="K33" s="27">
        <f>C33/100*0.09</f>
        <v>0.23399999999999999</v>
      </c>
      <c r="L33" s="137">
        <v>260</v>
      </c>
      <c r="M33" s="75">
        <v>20</v>
      </c>
      <c r="N33" s="28">
        <f>L33*M33</f>
        <v>5200</v>
      </c>
      <c r="O33" s="153"/>
    </row>
    <row r="34" spans="1:23" s="2" customFormat="1" ht="20.399999999999999" customHeight="1">
      <c r="A34" s="9">
        <v>2</v>
      </c>
      <c r="B34" s="5" t="s">
        <v>73</v>
      </c>
      <c r="C34" s="23">
        <f>L34/100*100</f>
        <v>5940</v>
      </c>
      <c r="D34" s="120">
        <f>C34/100*344</f>
        <v>20433.599999999999</v>
      </c>
      <c r="E34" s="119"/>
      <c r="F34" s="119">
        <f>C34/100*8.6</f>
        <v>510.84</v>
      </c>
      <c r="G34" s="25"/>
      <c r="H34" s="25">
        <f>C34/100*1.5</f>
        <v>89.1</v>
      </c>
      <c r="I34" s="25">
        <f>C34/100*74.5</f>
        <v>4425.3</v>
      </c>
      <c r="J34" s="25">
        <f>C34/100*32</f>
        <v>1900.8</v>
      </c>
      <c r="K34" s="25">
        <f>C34/100*0.14</f>
        <v>8.3160000000000007</v>
      </c>
      <c r="L34" s="137">
        <v>5940</v>
      </c>
      <c r="M34" s="75">
        <v>30</v>
      </c>
      <c r="N34" s="124">
        <f t="shared" ref="N34" si="1">L34*M34</f>
        <v>178200</v>
      </c>
      <c r="O34" s="153"/>
      <c r="P34" s="18"/>
    </row>
    <row r="35" spans="1:23" s="2" customFormat="1" ht="20.399999999999999" customHeight="1">
      <c r="A35" s="9">
        <v>3</v>
      </c>
      <c r="B35" s="5" t="s">
        <v>193</v>
      </c>
      <c r="C35" s="23">
        <f>L35/100*98</f>
        <v>833</v>
      </c>
      <c r="D35" s="24">
        <f>C35/100*328</f>
        <v>2732.2400000000002</v>
      </c>
      <c r="E35" s="25"/>
      <c r="F35" s="119">
        <f>C35/100*23.4</f>
        <v>194.922</v>
      </c>
      <c r="G35" s="25"/>
      <c r="H35" s="25">
        <f>C35/100*2.4</f>
        <v>19.992000000000001</v>
      </c>
      <c r="I35" s="25">
        <f>C35/100*53.1</f>
        <v>442.32300000000004</v>
      </c>
      <c r="J35" s="25">
        <f>C35/100*62</f>
        <v>516.46</v>
      </c>
      <c r="K35" s="25">
        <f>C35/100*0.72</f>
        <v>5.9976000000000003</v>
      </c>
      <c r="L35" s="137">
        <v>850</v>
      </c>
      <c r="M35" s="75">
        <v>50</v>
      </c>
      <c r="N35" s="28">
        <f t="shared" ref="N35" si="2">L35*M35</f>
        <v>42500</v>
      </c>
      <c r="O35" s="153"/>
      <c r="P35" s="18"/>
    </row>
    <row r="36" spans="1:23" s="2" customFormat="1" ht="21" customHeight="1">
      <c r="A36" s="9">
        <v>4</v>
      </c>
      <c r="B36" s="146" t="s">
        <v>141</v>
      </c>
      <c r="C36" s="23">
        <f>L36/100*100</f>
        <v>480</v>
      </c>
      <c r="D36" s="24">
        <f>C36/100*899</f>
        <v>4315.2</v>
      </c>
      <c r="E36" s="25"/>
      <c r="F36" s="25"/>
      <c r="G36" s="25">
        <f>C36/100*100</f>
        <v>480</v>
      </c>
      <c r="H36" s="25"/>
      <c r="I36" s="25"/>
      <c r="J36" s="25"/>
      <c r="K36" s="25"/>
      <c r="L36" s="137">
        <v>480</v>
      </c>
      <c r="M36" s="144">
        <v>68</v>
      </c>
      <c r="N36" s="28">
        <f t="shared" ref="N36:N40" si="3">L36*M36</f>
        <v>32640</v>
      </c>
      <c r="O36" s="373"/>
    </row>
    <row r="37" spans="1:23" s="2" customFormat="1" ht="19.2" customHeight="1">
      <c r="A37" s="9">
        <v>5</v>
      </c>
      <c r="B37" s="148" t="s">
        <v>146</v>
      </c>
      <c r="C37" s="23">
        <f>L37/100*100</f>
        <v>930.00000000000011</v>
      </c>
      <c r="D37" s="120">
        <f>C37/100*900</f>
        <v>8370</v>
      </c>
      <c r="E37" s="25"/>
      <c r="F37" s="25"/>
      <c r="G37" s="119"/>
      <c r="H37" s="25">
        <f>C37/100*100</f>
        <v>930.00000000000011</v>
      </c>
      <c r="I37" s="25"/>
      <c r="J37" s="25"/>
      <c r="K37" s="25"/>
      <c r="L37" s="137">
        <v>930</v>
      </c>
      <c r="M37" s="75">
        <v>63.5</v>
      </c>
      <c r="N37" s="28">
        <f t="shared" si="3"/>
        <v>59055</v>
      </c>
      <c r="O37" s="373"/>
    </row>
    <row r="38" spans="1:23" s="2" customFormat="1" ht="21" customHeight="1">
      <c r="A38" s="9">
        <v>6</v>
      </c>
      <c r="B38" s="5" t="s">
        <v>136</v>
      </c>
      <c r="C38" s="23">
        <f>L38/100*100</f>
        <v>130</v>
      </c>
      <c r="D38" s="24">
        <f>C38/100*247</f>
        <v>321.10000000000002</v>
      </c>
      <c r="E38" s="29"/>
      <c r="F38" s="29">
        <f>C38/100*17.5</f>
        <v>22.75</v>
      </c>
      <c r="G38" s="29"/>
      <c r="H38" s="29">
        <f>C38/100*1.6</f>
        <v>2.08</v>
      </c>
      <c r="I38" s="29">
        <f>C38/100*39.2</f>
        <v>50.960000000000008</v>
      </c>
      <c r="J38" s="71"/>
      <c r="K38" s="71"/>
      <c r="L38" s="370">
        <v>130</v>
      </c>
      <c r="M38" s="75">
        <v>50</v>
      </c>
      <c r="N38" s="28">
        <f t="shared" si="3"/>
        <v>6500</v>
      </c>
      <c r="O38" s="153"/>
      <c r="Q38" s="3"/>
      <c r="R38" s="3"/>
      <c r="S38" s="4"/>
      <c r="T38" s="3"/>
    </row>
    <row r="39" spans="1:23" s="2" customFormat="1" ht="21" customHeight="1">
      <c r="A39" s="9">
        <v>7</v>
      </c>
      <c r="B39" s="10" t="s">
        <v>71</v>
      </c>
      <c r="C39" s="23">
        <f>L39/100*98</f>
        <v>5664.4</v>
      </c>
      <c r="D39" s="24">
        <f>C39/100*139</f>
        <v>7873.5159999999996</v>
      </c>
      <c r="E39" s="119">
        <f>C39/100*19</f>
        <v>1076.2359999999999</v>
      </c>
      <c r="F39" s="25"/>
      <c r="G39" s="25">
        <f>C39/100*7</f>
        <v>396.50799999999998</v>
      </c>
      <c r="H39" s="25"/>
      <c r="I39" s="25"/>
      <c r="J39" s="27">
        <f>C39/100*7</f>
        <v>396.50799999999998</v>
      </c>
      <c r="K39" s="27">
        <f>C39/100*0.9</f>
        <v>50.979599999999998</v>
      </c>
      <c r="L39" s="137">
        <v>5780</v>
      </c>
      <c r="M39" s="143">
        <v>137</v>
      </c>
      <c r="N39" s="124">
        <f t="shared" si="3"/>
        <v>791860</v>
      </c>
      <c r="O39" s="153"/>
    </row>
    <row r="40" spans="1:23" s="2" customFormat="1" ht="20.399999999999999" customHeight="1">
      <c r="A40" s="9">
        <v>8</v>
      </c>
      <c r="B40" s="5" t="s">
        <v>76</v>
      </c>
      <c r="C40" s="23">
        <f>L40/100*80</f>
        <v>22896</v>
      </c>
      <c r="D40" s="24">
        <f>C40/100*40</f>
        <v>9158.4</v>
      </c>
      <c r="E40" s="25"/>
      <c r="F40" s="119">
        <f>C40/100*1.3</f>
        <v>297.64800000000002</v>
      </c>
      <c r="G40" s="25"/>
      <c r="H40" s="25"/>
      <c r="I40" s="25">
        <f>C40/100*2.8</f>
        <v>641.08799999999997</v>
      </c>
      <c r="J40" s="25">
        <f>C40/100*11</f>
        <v>2518.56</v>
      </c>
      <c r="K40" s="25"/>
      <c r="L40" s="401">
        <v>28620</v>
      </c>
      <c r="M40" s="75">
        <v>32</v>
      </c>
      <c r="N40" s="124">
        <f t="shared" si="3"/>
        <v>915840</v>
      </c>
      <c r="O40" s="402"/>
      <c r="P40" s="394"/>
    </row>
    <row r="41" spans="1:23" s="2" customFormat="1" ht="21" customHeight="1">
      <c r="A41" s="113">
        <v>9</v>
      </c>
      <c r="B41" s="112" t="s">
        <v>123</v>
      </c>
      <c r="C41" s="104"/>
      <c r="D41" s="105"/>
      <c r="E41" s="106"/>
      <c r="F41" s="106"/>
      <c r="G41" s="106"/>
      <c r="H41" s="106"/>
      <c r="I41" s="106"/>
      <c r="J41" s="106"/>
      <c r="K41" s="106"/>
      <c r="L41" s="107"/>
      <c r="M41" s="107"/>
      <c r="N41" s="108">
        <v>13550</v>
      </c>
      <c r="O41" s="153"/>
    </row>
    <row r="42" spans="1:23" ht="19.8" customHeight="1">
      <c r="A42" s="208" t="s">
        <v>66</v>
      </c>
      <c r="B42" s="211" t="s">
        <v>19</v>
      </c>
      <c r="C42" s="319" t="s">
        <v>8</v>
      </c>
      <c r="D42" s="214" t="s">
        <v>9</v>
      </c>
      <c r="E42" s="217" t="s">
        <v>11</v>
      </c>
      <c r="F42" s="218"/>
      <c r="G42" s="217" t="s">
        <v>13</v>
      </c>
      <c r="H42" s="218"/>
      <c r="I42" s="221" t="s">
        <v>16</v>
      </c>
      <c r="J42" s="221" t="s">
        <v>41</v>
      </c>
      <c r="K42" s="221" t="s">
        <v>42</v>
      </c>
      <c r="L42" s="221" t="s">
        <v>17</v>
      </c>
      <c r="M42" s="221" t="s">
        <v>55</v>
      </c>
      <c r="N42" s="208" t="s">
        <v>18</v>
      </c>
      <c r="O42" s="369"/>
    </row>
    <row r="43" spans="1:23" ht="19.8" customHeight="1">
      <c r="A43" s="209"/>
      <c r="B43" s="212"/>
      <c r="C43" s="320"/>
      <c r="D43" s="215"/>
      <c r="E43" s="219"/>
      <c r="F43" s="220"/>
      <c r="G43" s="219"/>
      <c r="H43" s="220"/>
      <c r="I43" s="222"/>
      <c r="J43" s="222"/>
      <c r="K43" s="222"/>
      <c r="L43" s="222"/>
      <c r="M43" s="222"/>
      <c r="N43" s="209"/>
      <c r="O43" s="175"/>
    </row>
    <row r="44" spans="1:23" ht="19.8" customHeight="1">
      <c r="A44" s="209"/>
      <c r="B44" s="212"/>
      <c r="C44" s="320"/>
      <c r="D44" s="215"/>
      <c r="E44" s="221" t="s">
        <v>10</v>
      </c>
      <c r="F44" s="221" t="s">
        <v>12</v>
      </c>
      <c r="G44" s="221" t="s">
        <v>14</v>
      </c>
      <c r="H44" s="221" t="s">
        <v>15</v>
      </c>
      <c r="I44" s="222"/>
      <c r="J44" s="222"/>
      <c r="K44" s="222"/>
      <c r="L44" s="222"/>
      <c r="M44" s="222"/>
      <c r="N44" s="209"/>
      <c r="O44" s="175"/>
    </row>
    <row r="45" spans="1:23" ht="19.8" customHeight="1">
      <c r="A45" s="210"/>
      <c r="B45" s="213"/>
      <c r="C45" s="321"/>
      <c r="D45" s="216"/>
      <c r="E45" s="223"/>
      <c r="F45" s="223"/>
      <c r="G45" s="223"/>
      <c r="H45" s="223"/>
      <c r="I45" s="223"/>
      <c r="J45" s="223"/>
      <c r="K45" s="223"/>
      <c r="L45" s="223"/>
      <c r="M45" s="223"/>
      <c r="N45" s="210"/>
      <c r="O45" s="175"/>
    </row>
    <row r="46" spans="1:23" s="2" customFormat="1" ht="19.2" customHeight="1">
      <c r="A46" s="21" t="s">
        <v>110</v>
      </c>
      <c r="B46" s="22"/>
      <c r="C46" s="34"/>
      <c r="D46" s="121">
        <f>SUM(D33:D41)</f>
        <v>53360.056000000004</v>
      </c>
      <c r="E46" s="43"/>
      <c r="F46" s="43"/>
      <c r="G46" s="43"/>
      <c r="H46" s="43"/>
      <c r="I46" s="43"/>
      <c r="J46" s="43"/>
      <c r="K46" s="43"/>
      <c r="L46" s="44"/>
      <c r="M46" s="307"/>
      <c r="N46" s="240">
        <f>SUM(N33:N41)</f>
        <v>2045345</v>
      </c>
      <c r="O46" s="153"/>
    </row>
    <row r="47" spans="1:23" ht="19.2" customHeight="1">
      <c r="A47" s="21" t="s">
        <v>7</v>
      </c>
      <c r="B47" s="22"/>
      <c r="C47" s="45"/>
      <c r="D47" s="46">
        <f>D46/D10</f>
        <v>251.69837735849057</v>
      </c>
      <c r="E47" s="46"/>
      <c r="F47" s="46"/>
      <c r="G47" s="46"/>
      <c r="H47" s="46"/>
      <c r="I47" s="46"/>
      <c r="J47" s="46"/>
      <c r="K47" s="46"/>
      <c r="L47" s="47"/>
      <c r="M47" s="308"/>
      <c r="N47" s="241"/>
      <c r="O47" s="4"/>
      <c r="P47" s="2"/>
      <c r="Q47" s="2"/>
      <c r="R47" s="2"/>
      <c r="S47" s="2"/>
      <c r="T47" s="2"/>
      <c r="U47" s="2"/>
      <c r="V47" s="2"/>
    </row>
    <row r="48" spans="1:23" ht="19.2" customHeight="1">
      <c r="A48" s="291" t="s">
        <v>52</v>
      </c>
      <c r="B48" s="225"/>
      <c r="C48" s="372" t="s">
        <v>151</v>
      </c>
      <c r="D48" s="20" t="s">
        <v>58</v>
      </c>
      <c r="E48" s="46"/>
      <c r="F48" s="46"/>
      <c r="G48" s="46"/>
      <c r="H48" s="46"/>
      <c r="I48" s="46"/>
      <c r="J48" s="48"/>
      <c r="K48" s="48"/>
      <c r="L48" s="47"/>
      <c r="M48" s="47"/>
      <c r="N48" s="176"/>
      <c r="O48" s="4"/>
      <c r="P48" s="2"/>
      <c r="Q48" s="2"/>
      <c r="R48" s="2"/>
      <c r="S48" s="2"/>
      <c r="T48" s="2"/>
      <c r="U48" s="2"/>
      <c r="V48" s="2"/>
      <c r="W48" s="2"/>
    </row>
    <row r="49" spans="1:23" ht="19.2" customHeight="1">
      <c r="A49" s="226"/>
      <c r="B49" s="227"/>
      <c r="C49" s="76" t="s">
        <v>60</v>
      </c>
      <c r="D49" s="20">
        <f>D47*100/1320</f>
        <v>19.068058890794742</v>
      </c>
      <c r="E49" s="46"/>
      <c r="F49" s="46"/>
      <c r="G49" s="46"/>
      <c r="H49" s="46"/>
      <c r="I49" s="46"/>
      <c r="J49" s="48"/>
      <c r="K49" s="48"/>
      <c r="L49" s="47"/>
      <c r="M49" s="47"/>
      <c r="N49" s="176"/>
      <c r="O49" s="4"/>
      <c r="P49" s="2"/>
      <c r="Q49" s="2"/>
      <c r="R49" s="2"/>
      <c r="S49" s="2"/>
      <c r="T49" s="2"/>
      <c r="U49" s="2"/>
      <c r="V49" s="2"/>
      <c r="W49" s="2"/>
    </row>
    <row r="50" spans="1:23" ht="19.2" customHeight="1">
      <c r="A50" s="322" t="s">
        <v>107</v>
      </c>
      <c r="B50" s="323"/>
      <c r="C50" s="287"/>
      <c r="D50" s="296">
        <f>D28+D46</f>
        <v>150511.62900000002</v>
      </c>
      <c r="E50" s="123">
        <f>SUM(E16:E41)</f>
        <v>3223.6904999999997</v>
      </c>
      <c r="F50" s="123">
        <f t="shared" ref="F50:H50" si="4">SUM(F16:F41)</f>
        <v>2787.3710000000005</v>
      </c>
      <c r="G50" s="123">
        <f t="shared" si="4"/>
        <v>2967.7026999999998</v>
      </c>
      <c r="H50" s="123">
        <f t="shared" si="4"/>
        <v>1255.6416000000002</v>
      </c>
      <c r="I50" s="251">
        <f>SUM(I16:I41)</f>
        <v>21418.917800000003</v>
      </c>
      <c r="J50" s="251">
        <f>SUM(J16:J41)</f>
        <v>21643.734</v>
      </c>
      <c r="K50" s="281">
        <f>SUM(K16:K41)</f>
        <v>142.13864000000001</v>
      </c>
      <c r="L50" s="265"/>
      <c r="M50" s="265"/>
      <c r="N50" s="303">
        <f>N28+N46</f>
        <v>4663805</v>
      </c>
      <c r="P50" s="2"/>
      <c r="Q50" s="2"/>
      <c r="R50" s="2"/>
      <c r="S50" s="2"/>
      <c r="T50" s="2"/>
      <c r="U50" s="2"/>
      <c r="V50" s="2"/>
    </row>
    <row r="51" spans="1:23" ht="19.2" customHeight="1">
      <c r="A51" s="324"/>
      <c r="B51" s="325"/>
      <c r="C51" s="288"/>
      <c r="D51" s="297"/>
      <c r="E51" s="326">
        <f>E50+F50</f>
        <v>6011.0614999999998</v>
      </c>
      <c r="F51" s="327"/>
      <c r="G51" s="279">
        <f>G50+H50</f>
        <v>4223.3442999999997</v>
      </c>
      <c r="H51" s="280"/>
      <c r="I51" s="253"/>
      <c r="J51" s="252"/>
      <c r="K51" s="298"/>
      <c r="L51" s="265"/>
      <c r="M51" s="265"/>
      <c r="N51" s="303"/>
      <c r="U51" s="12"/>
      <c r="V51" s="12"/>
    </row>
    <row r="52" spans="1:23" ht="19.2" customHeight="1">
      <c r="A52" s="245" t="s">
        <v>77</v>
      </c>
      <c r="B52" s="246"/>
      <c r="C52" s="247"/>
      <c r="D52" s="138">
        <f>D50/D10</f>
        <v>709.96051415094348</v>
      </c>
      <c r="E52" s="374">
        <f>E50/D10</f>
        <v>15.206087264150941</v>
      </c>
      <c r="F52" s="375">
        <f>F50/D10</f>
        <v>13.147976415094343</v>
      </c>
      <c r="G52" s="374">
        <f>G50/D10</f>
        <v>13.998597641509432</v>
      </c>
      <c r="H52" s="405">
        <f>H50/D10</f>
        <v>5.9228377358490576</v>
      </c>
      <c r="I52" s="261">
        <f>I50/D10</f>
        <v>101.03263113207548</v>
      </c>
      <c r="J52" s="328">
        <f>J50/D10</f>
        <v>102.09308490566038</v>
      </c>
      <c r="K52" s="328">
        <f>K50/D10</f>
        <v>0.67046528301886799</v>
      </c>
      <c r="L52" s="265"/>
      <c r="M52" s="265"/>
      <c r="N52" s="303"/>
      <c r="U52" s="12"/>
      <c r="V52" s="12"/>
    </row>
    <row r="53" spans="1:23" ht="19.2" customHeight="1">
      <c r="A53" s="248"/>
      <c r="B53" s="249"/>
      <c r="C53" s="250"/>
      <c r="D53" s="127"/>
      <c r="E53" s="376">
        <f>E52+F52</f>
        <v>28.354063679245286</v>
      </c>
      <c r="F53" s="377"/>
      <c r="G53" s="376">
        <f>G52+H52</f>
        <v>19.921435377358492</v>
      </c>
      <c r="H53" s="377"/>
      <c r="I53" s="262"/>
      <c r="J53" s="328"/>
      <c r="K53" s="328"/>
      <c r="L53" s="265"/>
      <c r="M53" s="265"/>
      <c r="N53" s="303"/>
      <c r="P53" s="395"/>
      <c r="Q53" s="396"/>
      <c r="R53" s="396"/>
      <c r="S53" s="396"/>
      <c r="T53" s="396"/>
      <c r="U53" s="397"/>
      <c r="V53" s="397"/>
    </row>
    <row r="54" spans="1:23" ht="19.2" customHeight="1">
      <c r="A54" s="304" t="s">
        <v>80</v>
      </c>
      <c r="B54" s="305"/>
      <c r="C54" s="306"/>
      <c r="D54" s="178" t="s">
        <v>28</v>
      </c>
      <c r="E54" s="194" t="s">
        <v>21</v>
      </c>
      <c r="F54" s="194"/>
      <c r="G54" s="194" t="s">
        <v>22</v>
      </c>
      <c r="H54" s="194"/>
      <c r="I54" s="174" t="s">
        <v>23</v>
      </c>
      <c r="J54" s="378">
        <v>600</v>
      </c>
      <c r="K54" s="378">
        <v>0.7</v>
      </c>
      <c r="L54" s="265"/>
      <c r="M54" s="265"/>
      <c r="N54" s="303"/>
      <c r="O54" s="379"/>
      <c r="P54" s="398"/>
      <c r="Q54" s="396"/>
      <c r="R54" s="396"/>
      <c r="S54" s="396"/>
      <c r="T54" s="396"/>
      <c r="U54" s="396"/>
      <c r="V54" s="396"/>
    </row>
    <row r="55" spans="1:23" ht="19.2" customHeight="1">
      <c r="A55" s="242" t="s">
        <v>78</v>
      </c>
      <c r="B55" s="272"/>
      <c r="C55" s="243"/>
      <c r="D55" s="49"/>
      <c r="E55" s="273">
        <f>E53*4.1</f>
        <v>116.25166108490566</v>
      </c>
      <c r="F55" s="274"/>
      <c r="G55" s="273">
        <f>G53*9</f>
        <v>179.29291839622641</v>
      </c>
      <c r="H55" s="274"/>
      <c r="I55" s="85">
        <f>I52*4.1</f>
        <v>414.23378764150942</v>
      </c>
      <c r="J55" s="254"/>
      <c r="K55" s="254"/>
      <c r="L55" s="265"/>
      <c r="M55" s="265"/>
      <c r="N55" s="303"/>
      <c r="O55" s="379"/>
      <c r="P55" s="399"/>
      <c r="Q55" s="400"/>
      <c r="R55" s="400"/>
      <c r="S55" s="400"/>
      <c r="T55" s="395"/>
      <c r="U55" s="395"/>
      <c r="V55" s="395"/>
    </row>
    <row r="56" spans="1:23" ht="19.2" customHeight="1">
      <c r="A56" s="275" t="s">
        <v>87</v>
      </c>
      <c r="B56" s="276"/>
      <c r="C56" s="242" t="s">
        <v>59</v>
      </c>
      <c r="D56" s="243"/>
      <c r="E56" s="188">
        <f>E55*100/D52</f>
        <v>16.374384035136579</v>
      </c>
      <c r="F56" s="189"/>
      <c r="G56" s="188">
        <f>G55*100/D52</f>
        <v>25.253928186505771</v>
      </c>
      <c r="H56" s="189"/>
      <c r="I56" s="115">
        <f>I55*100/D52</f>
        <v>58.346031840503159</v>
      </c>
      <c r="J56" s="255"/>
      <c r="K56" s="255"/>
      <c r="L56" s="265"/>
      <c r="M56" s="265"/>
      <c r="N56" s="303"/>
      <c r="O56" s="379"/>
      <c r="P56" s="395"/>
      <c r="Q56" s="395"/>
      <c r="R56" s="395"/>
      <c r="S56" s="395"/>
      <c r="T56" s="395"/>
      <c r="U56" s="395"/>
      <c r="V56" s="395"/>
    </row>
    <row r="57" spans="1:23" ht="19.2" customHeight="1">
      <c r="A57" s="277"/>
      <c r="B57" s="278"/>
      <c r="C57" s="242" t="s">
        <v>79</v>
      </c>
      <c r="D57" s="243"/>
      <c r="E57" s="242" t="s">
        <v>82</v>
      </c>
      <c r="F57" s="243"/>
      <c r="G57" s="242" t="s">
        <v>83</v>
      </c>
      <c r="H57" s="243"/>
      <c r="I57" s="178" t="s">
        <v>84</v>
      </c>
      <c r="J57" s="256"/>
      <c r="K57" s="256"/>
      <c r="L57" s="265"/>
      <c r="M57" s="265"/>
      <c r="N57" s="303"/>
      <c r="O57" s="379"/>
    </row>
    <row r="58" spans="1:23" ht="19.2" customHeight="1">
      <c r="A58" s="90"/>
      <c r="B58" s="90"/>
      <c r="C58" s="90"/>
      <c r="D58" s="90"/>
      <c r="E58" s="90"/>
      <c r="F58" s="90"/>
      <c r="G58" s="90"/>
      <c r="H58" s="90"/>
      <c r="I58" s="90"/>
      <c r="J58" s="90"/>
      <c r="K58" s="90"/>
      <c r="L58" s="94"/>
      <c r="M58" s="94"/>
      <c r="N58" s="95"/>
      <c r="O58" s="379"/>
      <c r="P58" s="132"/>
    </row>
    <row r="59" spans="1:23" ht="21" customHeight="1">
      <c r="A59" s="183" t="s">
        <v>114</v>
      </c>
      <c r="B59" s="183"/>
      <c r="C59" s="183"/>
      <c r="D59" s="183"/>
      <c r="E59" s="183"/>
      <c r="F59" s="183"/>
      <c r="G59" s="183"/>
      <c r="H59" s="183"/>
      <c r="I59" s="183"/>
      <c r="J59" s="183"/>
      <c r="K59" s="183"/>
      <c r="L59" s="183"/>
      <c r="M59" s="183"/>
      <c r="N59" s="183"/>
      <c r="O59" s="379"/>
    </row>
    <row r="60" spans="1:23" ht="21" customHeight="1">
      <c r="A60" s="117" t="s">
        <v>115</v>
      </c>
      <c r="B60" s="184" t="s">
        <v>116</v>
      </c>
      <c r="C60" s="184"/>
      <c r="D60" s="184"/>
      <c r="E60" s="184"/>
      <c r="F60" s="184"/>
      <c r="G60" s="184"/>
      <c r="H60" s="184"/>
      <c r="I60" s="184"/>
      <c r="J60" s="184"/>
      <c r="K60" s="184"/>
      <c r="L60" s="184"/>
      <c r="M60" s="184"/>
      <c r="N60" s="184"/>
      <c r="O60" s="379"/>
    </row>
    <row r="61" spans="1:23" ht="21" customHeight="1">
      <c r="A61" s="118"/>
      <c r="B61" s="185" t="s">
        <v>211</v>
      </c>
      <c r="C61" s="185"/>
      <c r="D61" s="185"/>
      <c r="E61" s="185"/>
      <c r="F61" s="185"/>
      <c r="G61" s="185"/>
      <c r="H61" s="185"/>
      <c r="I61" s="185"/>
      <c r="J61" s="185"/>
      <c r="K61" s="185"/>
      <c r="L61" s="185"/>
      <c r="M61" s="185"/>
      <c r="N61" s="185"/>
      <c r="O61" s="379"/>
    </row>
    <row r="62" spans="1:23" ht="21" customHeight="1">
      <c r="A62" s="118"/>
      <c r="B62" s="185" t="s">
        <v>194</v>
      </c>
      <c r="C62" s="185"/>
      <c r="D62" s="185"/>
      <c r="E62" s="185"/>
      <c r="F62" s="185"/>
      <c r="G62" s="185"/>
      <c r="H62" s="185"/>
      <c r="I62" s="185"/>
      <c r="J62" s="185"/>
      <c r="K62" s="185"/>
      <c r="L62" s="185"/>
      <c r="M62" s="185"/>
      <c r="N62" s="185"/>
      <c r="O62" s="379"/>
    </row>
    <row r="63" spans="1:23" ht="21" customHeight="1">
      <c r="A63" s="118"/>
      <c r="B63" s="185" t="s">
        <v>195</v>
      </c>
      <c r="C63" s="185"/>
      <c r="D63" s="185"/>
      <c r="E63" s="185"/>
      <c r="F63" s="185"/>
      <c r="G63" s="185"/>
      <c r="H63" s="185"/>
      <c r="I63" s="185"/>
      <c r="J63" s="185"/>
      <c r="K63" s="185"/>
      <c r="L63" s="185"/>
      <c r="M63" s="185"/>
      <c r="N63" s="185"/>
      <c r="O63" s="379"/>
    </row>
    <row r="64" spans="1:23" ht="21" customHeight="1">
      <c r="A64" s="90"/>
      <c r="B64" s="186" t="s">
        <v>117</v>
      </c>
      <c r="C64" s="186"/>
      <c r="D64" s="186"/>
      <c r="E64" s="186"/>
      <c r="F64" s="186"/>
      <c r="G64" s="186"/>
      <c r="H64" s="186"/>
      <c r="I64" s="186"/>
      <c r="J64" s="186"/>
      <c r="K64" s="186"/>
      <c r="L64" s="186"/>
      <c r="M64" s="186"/>
      <c r="N64" s="186"/>
      <c r="O64" s="379"/>
    </row>
    <row r="65" spans="1:15" ht="21" customHeight="1">
      <c r="A65" s="90"/>
      <c r="B65" s="90"/>
      <c r="C65" s="90"/>
      <c r="D65" s="90"/>
      <c r="E65" s="90"/>
      <c r="F65" s="90"/>
      <c r="G65" s="90"/>
      <c r="H65" s="90"/>
      <c r="I65" s="90"/>
      <c r="J65" s="90"/>
      <c r="K65" s="90"/>
      <c r="L65" s="94"/>
      <c r="M65" s="94"/>
      <c r="N65" s="95"/>
      <c r="O65" s="379"/>
    </row>
    <row r="66" spans="1:15" ht="21" customHeight="1">
      <c r="A66" s="187" t="s">
        <v>62</v>
      </c>
      <c r="B66" s="187"/>
      <c r="C66" s="187"/>
      <c r="D66" s="187"/>
      <c r="E66" s="380"/>
      <c r="F66" s="380"/>
      <c r="G66" s="380"/>
      <c r="H66" s="380"/>
      <c r="I66" s="380"/>
      <c r="J66" s="381" t="s">
        <v>33</v>
      </c>
      <c r="K66" s="381"/>
      <c r="L66" s="381"/>
      <c r="M66" s="381"/>
      <c r="N66" s="381"/>
      <c r="O66" s="379"/>
    </row>
    <row r="67" spans="1:15" ht="21" customHeight="1">
      <c r="A67" s="175"/>
      <c r="B67" s="175"/>
      <c r="C67" s="175"/>
      <c r="D67" s="380"/>
      <c r="E67" s="380"/>
      <c r="F67" s="380"/>
      <c r="G67" s="380"/>
      <c r="H67" s="382"/>
      <c r="I67" s="382"/>
      <c r="J67" s="382"/>
      <c r="K67" s="382"/>
      <c r="L67" s="382"/>
      <c r="M67" s="382"/>
      <c r="N67" s="382"/>
      <c r="O67" s="379"/>
    </row>
    <row r="68" spans="1:15" ht="21" customHeight="1">
      <c r="A68" s="175"/>
      <c r="B68" s="175"/>
      <c r="C68" s="175"/>
      <c r="D68" s="380"/>
      <c r="E68" s="380"/>
      <c r="F68" s="380"/>
      <c r="G68" s="380"/>
      <c r="H68" s="382"/>
      <c r="I68" s="382"/>
      <c r="J68" s="382"/>
      <c r="K68" s="382"/>
      <c r="L68" s="382"/>
      <c r="M68" s="382"/>
      <c r="N68" s="382"/>
      <c r="O68" s="379"/>
    </row>
    <row r="69" spans="1:15" ht="21" customHeight="1">
      <c r="A69" s="175"/>
      <c r="B69" s="175"/>
      <c r="C69" s="175"/>
      <c r="D69" s="380"/>
      <c r="E69" s="380"/>
      <c r="F69" s="380"/>
      <c r="G69" s="380"/>
      <c r="H69" s="382"/>
      <c r="I69" s="382"/>
      <c r="J69" s="383" t="s">
        <v>124</v>
      </c>
      <c r="K69" s="383"/>
      <c r="L69" s="383"/>
      <c r="M69" s="383"/>
      <c r="N69" s="383"/>
      <c r="O69" s="379"/>
    </row>
    <row r="70" spans="1:15" ht="21" customHeight="1">
      <c r="A70" s="179" t="s">
        <v>91</v>
      </c>
      <c r="B70" s="179"/>
      <c r="C70" s="179"/>
      <c r="D70" s="179"/>
      <c r="E70" s="380"/>
      <c r="F70" s="380"/>
      <c r="G70" s="380"/>
      <c r="H70" s="382"/>
      <c r="I70" s="382"/>
      <c r="O70" s="379"/>
    </row>
    <row r="71" spans="1:15" ht="19.2" customHeight="1">
      <c r="A71" s="175"/>
      <c r="B71" s="175"/>
      <c r="C71" s="175"/>
      <c r="D71" s="380"/>
      <c r="E71" s="380"/>
      <c r="F71" s="380"/>
      <c r="G71" s="380"/>
      <c r="H71" s="382"/>
      <c r="I71" s="382"/>
      <c r="J71" s="382"/>
      <c r="K71" s="382"/>
      <c r="L71" s="382"/>
      <c r="M71" s="382"/>
      <c r="N71" s="382"/>
      <c r="O71" s="379"/>
    </row>
    <row r="72" spans="1:15" ht="19.2" customHeight="1">
      <c r="A72" s="175"/>
      <c r="B72" s="175"/>
      <c r="C72" s="175"/>
      <c r="D72" s="380"/>
      <c r="E72" s="380"/>
      <c r="F72" s="380"/>
      <c r="G72" s="380"/>
      <c r="H72" s="382"/>
      <c r="I72" s="382"/>
      <c r="J72" s="382"/>
      <c r="K72" s="382"/>
      <c r="L72" s="382"/>
      <c r="M72" s="382"/>
      <c r="N72" s="382"/>
      <c r="O72" s="379"/>
    </row>
    <row r="73" spans="1:15" ht="19.2" customHeight="1">
      <c r="A73" s="175"/>
      <c r="B73" s="175"/>
      <c r="C73" s="175"/>
      <c r="D73" s="380"/>
      <c r="E73" s="380"/>
      <c r="F73" s="380"/>
      <c r="G73" s="380"/>
      <c r="H73" s="382"/>
      <c r="I73" s="382"/>
      <c r="J73" s="383" t="s">
        <v>127</v>
      </c>
      <c r="K73" s="383"/>
      <c r="L73" s="383"/>
      <c r="M73" s="383"/>
      <c r="N73" s="383"/>
      <c r="O73" s="379"/>
    </row>
    <row r="74" spans="1:15" ht="19.2" customHeight="1">
      <c r="A74" s="175"/>
      <c r="B74" s="175"/>
      <c r="C74" s="175"/>
      <c r="D74" s="380"/>
      <c r="E74" s="380"/>
      <c r="F74" s="380"/>
      <c r="G74" s="380"/>
      <c r="H74" s="382"/>
      <c r="I74" s="382"/>
      <c r="J74" s="382"/>
      <c r="K74" s="382"/>
      <c r="L74" s="382"/>
      <c r="M74" s="382"/>
      <c r="N74" s="382"/>
      <c r="O74" s="379"/>
    </row>
    <row r="75" spans="1:15" ht="19.2" customHeight="1">
      <c r="A75" s="175"/>
      <c r="B75" s="175"/>
      <c r="C75" s="175"/>
      <c r="D75" s="380"/>
      <c r="E75" s="380"/>
      <c r="F75" s="380"/>
      <c r="G75" s="380"/>
      <c r="H75" s="382"/>
      <c r="I75" s="382"/>
      <c r="J75" s="382"/>
      <c r="K75" s="382"/>
      <c r="L75" s="382"/>
      <c r="M75" s="382"/>
      <c r="N75" s="382"/>
      <c r="O75" s="379"/>
    </row>
    <row r="76" spans="1:15" ht="19.2" customHeight="1">
      <c r="A76" s="175"/>
      <c r="B76" s="175"/>
      <c r="C76" s="175"/>
      <c r="D76" s="380"/>
      <c r="E76" s="380"/>
      <c r="F76" s="380"/>
      <c r="G76" s="380"/>
      <c r="H76" s="382"/>
      <c r="I76" s="382"/>
      <c r="J76" s="382"/>
      <c r="K76" s="382"/>
      <c r="L76" s="382"/>
      <c r="M76" s="382"/>
      <c r="N76" s="382"/>
      <c r="O76" s="379"/>
    </row>
    <row r="77" spans="1:15" ht="19.2" customHeight="1">
      <c r="A77" s="175"/>
      <c r="B77" s="175"/>
      <c r="C77" s="175"/>
      <c r="D77" s="380"/>
      <c r="E77" s="380"/>
      <c r="F77" s="380"/>
      <c r="G77" s="380"/>
      <c r="H77" s="382"/>
      <c r="I77" s="382"/>
      <c r="J77" s="382"/>
      <c r="K77" s="382"/>
      <c r="L77" s="382"/>
      <c r="M77" s="382"/>
      <c r="N77" s="382"/>
      <c r="O77" s="379"/>
    </row>
    <row r="78" spans="1:15" ht="19.2" customHeight="1">
      <c r="A78" s="175"/>
      <c r="B78" s="175"/>
      <c r="C78" s="175"/>
      <c r="D78" s="380"/>
      <c r="E78" s="380"/>
      <c r="F78" s="380"/>
      <c r="G78" s="380"/>
      <c r="H78" s="382"/>
      <c r="I78" s="382"/>
      <c r="J78" s="382"/>
      <c r="K78" s="382"/>
      <c r="L78" s="382"/>
      <c r="M78" s="382"/>
      <c r="N78" s="382"/>
      <c r="O78" s="379"/>
    </row>
    <row r="79" spans="1:15" ht="19.2" customHeight="1">
      <c r="A79" s="175"/>
      <c r="B79" s="175"/>
      <c r="C79" s="175"/>
      <c r="D79" s="380"/>
      <c r="E79" s="380"/>
      <c r="F79" s="380"/>
      <c r="G79" s="380"/>
      <c r="H79" s="382"/>
      <c r="I79" s="382"/>
      <c r="J79" s="382"/>
      <c r="K79" s="382"/>
      <c r="L79" s="382"/>
      <c r="M79" s="382"/>
      <c r="N79" s="382"/>
      <c r="O79" s="379"/>
    </row>
    <row r="80" spans="1:15" ht="19.2" customHeight="1">
      <c r="A80" s="175"/>
      <c r="B80" s="175"/>
      <c r="C80" s="175"/>
      <c r="D80" s="380"/>
      <c r="E80" s="380"/>
      <c r="F80" s="380"/>
      <c r="G80" s="380"/>
      <c r="H80" s="382"/>
      <c r="I80" s="382"/>
      <c r="J80" s="382"/>
      <c r="K80" s="382"/>
      <c r="L80" s="382"/>
      <c r="M80" s="382"/>
      <c r="N80" s="382"/>
      <c r="O80" s="379"/>
    </row>
    <row r="81" spans="1:20" ht="19.2" customHeight="1">
      <c r="A81" s="175"/>
      <c r="B81" s="175"/>
      <c r="C81" s="175"/>
      <c r="D81" s="380"/>
      <c r="E81" s="380"/>
      <c r="F81" s="380"/>
      <c r="G81" s="380"/>
      <c r="H81" s="382"/>
      <c r="I81" s="382"/>
      <c r="J81" s="382"/>
      <c r="K81" s="382"/>
      <c r="L81" s="382"/>
      <c r="M81" s="382"/>
      <c r="N81" s="382"/>
      <c r="O81" s="379"/>
    </row>
    <row r="82" spans="1:20" ht="19.2" customHeight="1">
      <c r="A82" s="175"/>
      <c r="B82" s="175"/>
      <c r="C82" s="175"/>
      <c r="D82" s="380"/>
      <c r="E82" s="380"/>
      <c r="F82" s="380"/>
      <c r="G82" s="380"/>
      <c r="H82" s="382"/>
      <c r="I82" s="382"/>
      <c r="J82" s="382"/>
      <c r="K82" s="382"/>
      <c r="L82" s="382"/>
      <c r="M82" s="382"/>
      <c r="N82" s="382"/>
      <c r="O82" s="379"/>
    </row>
    <row r="83" spans="1:20" ht="19.2" customHeight="1">
      <c r="A83" s="175"/>
      <c r="B83" s="175"/>
      <c r="C83" s="175"/>
      <c r="D83" s="380"/>
      <c r="E83" s="380"/>
      <c r="F83" s="380"/>
      <c r="G83" s="380"/>
      <c r="H83" s="382"/>
      <c r="I83" s="382"/>
      <c r="J83" s="382"/>
      <c r="K83" s="382"/>
      <c r="L83" s="382"/>
      <c r="M83" s="382"/>
      <c r="N83" s="382"/>
      <c r="O83" s="379"/>
    </row>
    <row r="84" spans="1:20" ht="19.2" customHeight="1">
      <c r="A84" s="11" t="s">
        <v>61</v>
      </c>
      <c r="B84" s="8"/>
      <c r="C84" s="8"/>
      <c r="D84" s="8"/>
      <c r="E84" s="8"/>
      <c r="F84" s="290" t="s">
        <v>32</v>
      </c>
      <c r="G84" s="290"/>
      <c r="H84" s="290"/>
      <c r="I84" s="290"/>
      <c r="J84" s="290"/>
      <c r="K84" s="290"/>
      <c r="L84" s="290"/>
      <c r="M84" s="290"/>
      <c r="N84" s="290"/>
      <c r="O84" s="367"/>
      <c r="P84" s="367"/>
      <c r="T84" s="2"/>
    </row>
    <row r="85" spans="1:20" ht="19.2" customHeight="1">
      <c r="A85" s="8" t="s">
        <v>210</v>
      </c>
      <c r="B85" s="8"/>
      <c r="C85" s="8"/>
      <c r="D85" s="8"/>
      <c r="E85" s="8"/>
      <c r="F85" s="172"/>
      <c r="G85" s="172"/>
      <c r="H85" s="172"/>
      <c r="I85" s="172"/>
      <c r="J85" s="172"/>
      <c r="K85" s="172"/>
      <c r="L85" s="172"/>
      <c r="M85" s="172"/>
      <c r="N85" s="172"/>
      <c r="O85" s="367"/>
      <c r="P85" s="367"/>
      <c r="T85" s="2"/>
    </row>
    <row r="86" spans="1:20" s="2" customFormat="1" ht="19.2" customHeight="1">
      <c r="A86" s="194" t="s">
        <v>97</v>
      </c>
      <c r="B86" s="194"/>
      <c r="C86" s="194"/>
      <c r="D86" s="194"/>
      <c r="E86" s="194" t="s">
        <v>89</v>
      </c>
      <c r="F86" s="194"/>
      <c r="G86" s="194"/>
      <c r="H86" s="194"/>
      <c r="I86" s="194"/>
      <c r="J86" s="194"/>
      <c r="K86" s="194"/>
      <c r="L86" s="194"/>
      <c r="M86" s="194"/>
      <c r="N86" s="194"/>
      <c r="O86" s="368"/>
    </row>
    <row r="87" spans="1:20" s="2" customFormat="1" ht="19.2" customHeight="1">
      <c r="A87" s="194"/>
      <c r="B87" s="194"/>
      <c r="C87" s="194"/>
      <c r="D87" s="194"/>
      <c r="E87" s="194" t="s">
        <v>100</v>
      </c>
      <c r="F87" s="194"/>
      <c r="G87" s="194"/>
      <c r="H87" s="194"/>
      <c r="I87" s="194"/>
      <c r="J87" s="194" t="s">
        <v>101</v>
      </c>
      <c r="K87" s="194"/>
      <c r="L87" s="194"/>
      <c r="M87" s="194"/>
      <c r="N87" s="194"/>
      <c r="O87" s="368"/>
    </row>
    <row r="88" spans="1:20" s="2" customFormat="1" ht="19.2" customHeight="1">
      <c r="A88" s="195" t="s">
        <v>90</v>
      </c>
      <c r="B88" s="195"/>
      <c r="C88" s="195"/>
      <c r="D88" s="195"/>
      <c r="E88" s="198" t="s">
        <v>76</v>
      </c>
      <c r="F88" s="198"/>
      <c r="G88" s="198"/>
      <c r="H88" s="198"/>
      <c r="I88" s="198"/>
      <c r="J88" s="329" t="s">
        <v>90</v>
      </c>
      <c r="K88" s="330"/>
      <c r="L88" s="330"/>
      <c r="M88" s="330"/>
      <c r="N88" s="331"/>
      <c r="O88" s="368"/>
    </row>
    <row r="89" spans="1:20" s="2" customFormat="1" ht="19.2" customHeight="1">
      <c r="A89" s="231" t="s">
        <v>163</v>
      </c>
      <c r="B89" s="232"/>
      <c r="C89" s="232"/>
      <c r="D89" s="233"/>
      <c r="E89" s="198"/>
      <c r="F89" s="198"/>
      <c r="G89" s="198"/>
      <c r="H89" s="198"/>
      <c r="I89" s="198"/>
      <c r="J89" s="231" t="s">
        <v>164</v>
      </c>
      <c r="K89" s="232"/>
      <c r="L89" s="232"/>
      <c r="M89" s="232"/>
      <c r="N89" s="233"/>
      <c r="O89" s="368"/>
    </row>
    <row r="90" spans="1:20" s="2" customFormat="1" ht="19.2" customHeight="1">
      <c r="A90" s="197" t="s">
        <v>160</v>
      </c>
      <c r="B90" s="197"/>
      <c r="C90" s="197"/>
      <c r="D90" s="197"/>
      <c r="E90" s="198"/>
      <c r="F90" s="198"/>
      <c r="G90" s="198"/>
      <c r="H90" s="198"/>
      <c r="I90" s="198"/>
      <c r="J90" s="332" t="s">
        <v>165</v>
      </c>
      <c r="K90" s="333"/>
      <c r="L90" s="333"/>
      <c r="M90" s="333"/>
      <c r="N90" s="334"/>
      <c r="O90" s="368"/>
    </row>
    <row r="91" spans="1:20" ht="19.2" customHeight="1">
      <c r="A91" s="228" t="s">
        <v>122</v>
      </c>
      <c r="B91" s="229"/>
      <c r="C91" s="230"/>
      <c r="D91" s="128">
        <v>54</v>
      </c>
      <c r="E91" s="8"/>
      <c r="F91" s="172"/>
      <c r="G91" s="172"/>
      <c r="H91" s="172"/>
      <c r="I91" s="172"/>
      <c r="J91" s="172"/>
      <c r="K91" s="172"/>
      <c r="L91" s="172"/>
      <c r="M91" s="172"/>
      <c r="N91" s="172"/>
      <c r="O91" s="367"/>
      <c r="P91" s="367"/>
      <c r="T91" s="2"/>
    </row>
    <row r="92" spans="1:20" ht="19.2" customHeight="1">
      <c r="A92" s="208" t="s">
        <v>66</v>
      </c>
      <c r="B92" s="211" t="s">
        <v>19</v>
      </c>
      <c r="C92" s="319" t="s">
        <v>8</v>
      </c>
      <c r="D92" s="214" t="s">
        <v>9</v>
      </c>
      <c r="E92" s="217" t="s">
        <v>11</v>
      </c>
      <c r="F92" s="218"/>
      <c r="G92" s="217" t="s">
        <v>13</v>
      </c>
      <c r="H92" s="218"/>
      <c r="I92" s="221" t="s">
        <v>16</v>
      </c>
      <c r="J92" s="221" t="s">
        <v>41</v>
      </c>
      <c r="K92" s="221" t="s">
        <v>42</v>
      </c>
      <c r="L92" s="221" t="s">
        <v>17</v>
      </c>
      <c r="M92" s="221" t="s">
        <v>56</v>
      </c>
      <c r="N92" s="208" t="s">
        <v>18</v>
      </c>
      <c r="O92" s="369"/>
    </row>
    <row r="93" spans="1:20" ht="19.2" customHeight="1">
      <c r="A93" s="209"/>
      <c r="B93" s="212"/>
      <c r="C93" s="320"/>
      <c r="D93" s="215"/>
      <c r="E93" s="219"/>
      <c r="F93" s="220"/>
      <c r="G93" s="219"/>
      <c r="H93" s="220"/>
      <c r="I93" s="222"/>
      <c r="J93" s="222"/>
      <c r="K93" s="222"/>
      <c r="L93" s="222"/>
      <c r="M93" s="222"/>
      <c r="N93" s="209"/>
      <c r="O93" s="175"/>
    </row>
    <row r="94" spans="1:20" ht="19.2" customHeight="1">
      <c r="A94" s="209"/>
      <c r="B94" s="212"/>
      <c r="C94" s="320"/>
      <c r="D94" s="215"/>
      <c r="E94" s="221" t="s">
        <v>10</v>
      </c>
      <c r="F94" s="221" t="s">
        <v>12</v>
      </c>
      <c r="G94" s="221" t="s">
        <v>14</v>
      </c>
      <c r="H94" s="221" t="s">
        <v>15</v>
      </c>
      <c r="I94" s="222"/>
      <c r="J94" s="222"/>
      <c r="K94" s="222"/>
      <c r="L94" s="222"/>
      <c r="M94" s="222"/>
      <c r="N94" s="209"/>
      <c r="O94" s="175"/>
    </row>
    <row r="95" spans="1:20" ht="19.2" customHeight="1">
      <c r="A95" s="210"/>
      <c r="B95" s="213"/>
      <c r="C95" s="321"/>
      <c r="D95" s="216"/>
      <c r="E95" s="223"/>
      <c r="F95" s="223"/>
      <c r="G95" s="223"/>
      <c r="H95" s="223"/>
      <c r="I95" s="223"/>
      <c r="J95" s="223"/>
      <c r="K95" s="223"/>
      <c r="L95" s="223"/>
      <c r="M95" s="223"/>
      <c r="N95" s="210"/>
      <c r="O95" s="175"/>
    </row>
    <row r="96" spans="1:20" ht="19.2" customHeight="1">
      <c r="A96" s="237" t="s">
        <v>39</v>
      </c>
      <c r="B96" s="238"/>
      <c r="C96" s="238"/>
      <c r="D96" s="238"/>
      <c r="E96" s="238"/>
      <c r="F96" s="238"/>
      <c r="G96" s="238"/>
      <c r="H96" s="238"/>
      <c r="I96" s="238"/>
      <c r="J96" s="238"/>
      <c r="K96" s="238"/>
      <c r="L96" s="238"/>
      <c r="M96" s="238"/>
      <c r="N96" s="239"/>
      <c r="O96" s="175"/>
    </row>
    <row r="97" spans="1:23" s="2" customFormat="1" ht="19.2" customHeight="1">
      <c r="A97" s="9">
        <v>1</v>
      </c>
      <c r="B97" s="10" t="s">
        <v>2</v>
      </c>
      <c r="C97" s="23">
        <f>L97/100*100</f>
        <v>70</v>
      </c>
      <c r="D97" s="24">
        <f>C97/100*60</f>
        <v>42</v>
      </c>
      <c r="E97" s="25">
        <f>C97/100*15</f>
        <v>10.5</v>
      </c>
      <c r="F97" s="25"/>
      <c r="G97" s="25"/>
      <c r="H97" s="25"/>
      <c r="I97" s="25"/>
      <c r="J97" s="27">
        <f>C97/100*387</f>
        <v>270.89999999999998</v>
      </c>
      <c r="K97" s="27">
        <f>C97/100*0.09</f>
        <v>6.3E-2</v>
      </c>
      <c r="L97" s="137">
        <v>70</v>
      </c>
      <c r="M97" s="75">
        <v>20</v>
      </c>
      <c r="N97" s="28">
        <f>L97*M97</f>
        <v>1400</v>
      </c>
      <c r="O97" s="153"/>
    </row>
    <row r="98" spans="1:23" s="2" customFormat="1" ht="19.2" customHeight="1">
      <c r="A98" s="9">
        <v>2</v>
      </c>
      <c r="B98" s="146" t="s">
        <v>141</v>
      </c>
      <c r="C98" s="23">
        <f>L98/100*100</f>
        <v>350</v>
      </c>
      <c r="D98" s="24">
        <f>C98/100*899</f>
        <v>3146.5</v>
      </c>
      <c r="E98" s="25"/>
      <c r="F98" s="25"/>
      <c r="G98" s="25">
        <f>C98/100*100</f>
        <v>350</v>
      </c>
      <c r="H98" s="25"/>
      <c r="I98" s="25"/>
      <c r="J98" s="25"/>
      <c r="K98" s="25"/>
      <c r="L98" s="137">
        <v>350</v>
      </c>
      <c r="M98" s="144">
        <v>68</v>
      </c>
      <c r="N98" s="28">
        <f t="shared" ref="N98:N105" si="5">L98*M98</f>
        <v>23800</v>
      </c>
      <c r="O98" s="373"/>
    </row>
    <row r="99" spans="1:23" s="2" customFormat="1" ht="19.2" customHeight="1">
      <c r="A99" s="9">
        <v>3</v>
      </c>
      <c r="B99" s="5" t="s">
        <v>1</v>
      </c>
      <c r="C99" s="23">
        <f>L99/100*100</f>
        <v>2322</v>
      </c>
      <c r="D99" s="24">
        <f>C99/100*344</f>
        <v>7987.6799999999994</v>
      </c>
      <c r="E99" s="25"/>
      <c r="F99" s="119">
        <f>C99/100*7.9</f>
        <v>183.43799999999999</v>
      </c>
      <c r="G99" s="25"/>
      <c r="H99" s="25">
        <f>C99/100*1</f>
        <v>23.22</v>
      </c>
      <c r="I99" s="25">
        <f>C99/100*73</f>
        <v>1695.06</v>
      </c>
      <c r="J99" s="27">
        <f>C99/100*30</f>
        <v>696.59999999999991</v>
      </c>
      <c r="K99" s="27">
        <f>C99/100*0.1</f>
        <v>2.3220000000000001</v>
      </c>
      <c r="L99" s="137">
        <v>2322</v>
      </c>
      <c r="M99" s="75">
        <v>18</v>
      </c>
      <c r="N99" s="28">
        <f t="shared" si="5"/>
        <v>41796</v>
      </c>
      <c r="O99" s="153"/>
    </row>
    <row r="100" spans="1:23" s="2" customFormat="1" ht="19.2" customHeight="1">
      <c r="A100" s="9">
        <v>4</v>
      </c>
      <c r="B100" s="10" t="s">
        <v>71</v>
      </c>
      <c r="C100" s="23">
        <f>L100/100*98</f>
        <v>1166.2</v>
      </c>
      <c r="D100" s="24">
        <f>C100/100*139</f>
        <v>1621.018</v>
      </c>
      <c r="E100" s="119">
        <f>C100/100*19</f>
        <v>221.578</v>
      </c>
      <c r="F100" s="25"/>
      <c r="G100" s="25">
        <f>C100/100*7</f>
        <v>81.634</v>
      </c>
      <c r="H100" s="25"/>
      <c r="I100" s="25"/>
      <c r="J100" s="27">
        <f>C100/100*7</f>
        <v>81.634</v>
      </c>
      <c r="K100" s="27">
        <f>C100/100*0.9</f>
        <v>10.495800000000001</v>
      </c>
      <c r="L100" s="137">
        <v>1190</v>
      </c>
      <c r="M100" s="143">
        <v>137</v>
      </c>
      <c r="N100" s="124">
        <f t="shared" si="5"/>
        <v>163030</v>
      </c>
      <c r="O100" s="153"/>
    </row>
    <row r="101" spans="1:23" s="2" customFormat="1" ht="19.2" customHeight="1">
      <c r="A101" s="9">
        <v>5</v>
      </c>
      <c r="B101" s="5" t="s">
        <v>30</v>
      </c>
      <c r="C101" s="23">
        <f>L101/100*88</f>
        <v>1328.8</v>
      </c>
      <c r="D101" s="24">
        <f>C101/100*184</f>
        <v>2444.9920000000002</v>
      </c>
      <c r="E101" s="119">
        <f>C101/100*13</f>
        <v>172.744</v>
      </c>
      <c r="F101" s="25"/>
      <c r="G101" s="25">
        <f>C101/100*14.2</f>
        <v>188.68959999999998</v>
      </c>
      <c r="H101" s="25"/>
      <c r="I101" s="25">
        <f>C101/100*1</f>
        <v>13.288</v>
      </c>
      <c r="J101" s="27">
        <f>C101/100*71</f>
        <v>943.44799999999998</v>
      </c>
      <c r="K101" s="27">
        <f>C101/100*0.15</f>
        <v>1.9931999999999999</v>
      </c>
      <c r="L101" s="137">
        <v>1510</v>
      </c>
      <c r="M101" s="26">
        <v>62</v>
      </c>
      <c r="N101" s="28">
        <f t="shared" si="5"/>
        <v>93620</v>
      </c>
      <c r="O101" s="153"/>
      <c r="Q101" s="3"/>
      <c r="R101" s="3"/>
      <c r="S101" s="4"/>
    </row>
    <row r="102" spans="1:23" s="2" customFormat="1" ht="19.2" customHeight="1">
      <c r="A102" s="9">
        <v>5</v>
      </c>
      <c r="B102" s="10" t="s">
        <v>143</v>
      </c>
      <c r="C102" s="23">
        <f>L102/100*43</f>
        <v>352.59999999999997</v>
      </c>
      <c r="D102" s="24">
        <f>C102/100*83</f>
        <v>292.65799999999996</v>
      </c>
      <c r="E102" s="25">
        <f>C102/100*7.7</f>
        <v>27.150199999999998</v>
      </c>
      <c r="F102" s="25"/>
      <c r="G102" s="25">
        <f>C102/100*5.5</f>
        <v>19.393000000000001</v>
      </c>
      <c r="H102" s="25"/>
      <c r="I102" s="25"/>
      <c r="J102" s="27"/>
      <c r="K102" s="27"/>
      <c r="L102" s="137">
        <v>820</v>
      </c>
      <c r="M102" s="143">
        <v>137</v>
      </c>
      <c r="N102" s="169">
        <f>L102*M102</f>
        <v>112340</v>
      </c>
      <c r="O102" s="153"/>
    </row>
    <row r="103" spans="1:23" s="2" customFormat="1" ht="19.2" customHeight="1">
      <c r="A103" s="9">
        <v>9</v>
      </c>
      <c r="B103" s="5" t="s">
        <v>142</v>
      </c>
      <c r="C103" s="23">
        <f>L103/100*87</f>
        <v>1131</v>
      </c>
      <c r="D103" s="24">
        <f>C103/100*21</f>
        <v>237.51000000000002</v>
      </c>
      <c r="E103" s="29"/>
      <c r="F103" s="29">
        <f>C103/100*1.5</f>
        <v>16.965</v>
      </c>
      <c r="G103" s="29"/>
      <c r="H103" s="29">
        <f>C103/100*0.1</f>
        <v>1.131</v>
      </c>
      <c r="I103" s="29">
        <f>C103/100*3.6</f>
        <v>40.716000000000001</v>
      </c>
      <c r="J103" s="29">
        <f>C103/100*40</f>
        <v>452.40000000000003</v>
      </c>
      <c r="K103" s="29">
        <f>C103/100*0.06</f>
        <v>0.67859999999999998</v>
      </c>
      <c r="L103" s="370">
        <v>1300</v>
      </c>
      <c r="M103" s="26">
        <v>18</v>
      </c>
      <c r="N103" s="135">
        <f t="shared" ref="N103:N104" si="6">L103*M103</f>
        <v>23400</v>
      </c>
      <c r="O103" s="153"/>
      <c r="Q103" s="3"/>
      <c r="R103" s="3"/>
      <c r="S103" s="4"/>
    </row>
    <row r="104" spans="1:23" s="2" customFormat="1" ht="19.2" customHeight="1">
      <c r="A104" s="9">
        <v>8</v>
      </c>
      <c r="B104" s="5" t="s">
        <v>4</v>
      </c>
      <c r="C104" s="23">
        <f>L104/100*98.5</f>
        <v>423.54999999999995</v>
      </c>
      <c r="D104" s="24">
        <f>C104/100*39</f>
        <v>165.18449999999996</v>
      </c>
      <c r="E104" s="29"/>
      <c r="F104" s="29">
        <f>C104/100*1.5</f>
        <v>6.3532499999999992</v>
      </c>
      <c r="G104" s="29"/>
      <c r="H104" s="29">
        <f>C104/100*0.2</f>
        <v>0.84709999999999985</v>
      </c>
      <c r="I104" s="29">
        <f>C104/100*7.8</f>
        <v>33.036899999999996</v>
      </c>
      <c r="J104" s="29">
        <f>C104/100*43</f>
        <v>182.12649999999996</v>
      </c>
      <c r="K104" s="29">
        <f>C104/100*0.06</f>
        <v>0.25412999999999997</v>
      </c>
      <c r="L104" s="370">
        <v>430</v>
      </c>
      <c r="M104" s="26">
        <v>17</v>
      </c>
      <c r="N104" s="135">
        <f t="shared" si="6"/>
        <v>7310</v>
      </c>
      <c r="O104" s="153"/>
      <c r="Q104" s="3"/>
      <c r="R104" s="3"/>
      <c r="S104" s="4"/>
    </row>
    <row r="105" spans="1:23" s="2" customFormat="1" ht="19.2" customHeight="1">
      <c r="A105" s="9">
        <v>9</v>
      </c>
      <c r="B105" s="5" t="s">
        <v>136</v>
      </c>
      <c r="C105" s="23">
        <f>L105/100*100</f>
        <v>40</v>
      </c>
      <c r="D105" s="24">
        <f>C105/100*247</f>
        <v>98.800000000000011</v>
      </c>
      <c r="E105" s="29"/>
      <c r="F105" s="29">
        <f>C105/100*17.5</f>
        <v>7</v>
      </c>
      <c r="G105" s="29"/>
      <c r="H105" s="29">
        <f>C105/100*1.6</f>
        <v>0.64000000000000012</v>
      </c>
      <c r="I105" s="29">
        <f>C105/100*39.2</f>
        <v>15.680000000000001</v>
      </c>
      <c r="J105" s="71"/>
      <c r="K105" s="71"/>
      <c r="L105" s="370">
        <v>40</v>
      </c>
      <c r="M105" s="75">
        <v>50</v>
      </c>
      <c r="N105" s="28">
        <f t="shared" si="5"/>
        <v>2000</v>
      </c>
      <c r="O105" s="153"/>
      <c r="Q105" s="3"/>
      <c r="R105" s="3"/>
      <c r="S105" s="4"/>
      <c r="T105" s="3"/>
    </row>
    <row r="106" spans="1:23" s="2" customFormat="1" ht="19.2" customHeight="1">
      <c r="A106" s="80">
        <v>10</v>
      </c>
      <c r="B106" s="6" t="s">
        <v>123</v>
      </c>
      <c r="C106" s="23"/>
      <c r="D106" s="24"/>
      <c r="E106" s="25"/>
      <c r="F106" s="25"/>
      <c r="G106" s="25"/>
      <c r="H106" s="25"/>
      <c r="I106" s="25"/>
      <c r="J106" s="27"/>
      <c r="K106" s="27"/>
      <c r="L106" s="26"/>
      <c r="M106" s="26"/>
      <c r="N106" s="28">
        <v>3950</v>
      </c>
      <c r="O106" s="153"/>
    </row>
    <row r="107" spans="1:23" s="2" customFormat="1" ht="19.2" customHeight="1">
      <c r="A107" s="21" t="s">
        <v>118</v>
      </c>
      <c r="B107" s="22"/>
      <c r="C107" s="34"/>
      <c r="D107" s="121">
        <f>SUM(D97:D106)</f>
        <v>16036.342499999999</v>
      </c>
      <c r="E107" s="43"/>
      <c r="F107" s="43"/>
      <c r="G107" s="43"/>
      <c r="H107" s="43"/>
      <c r="I107" s="43"/>
      <c r="J107" s="43"/>
      <c r="K107" s="43"/>
      <c r="L107" s="44"/>
      <c r="M107" s="307"/>
      <c r="N107" s="335">
        <f>SUM(N97:N106)</f>
        <v>472646</v>
      </c>
      <c r="O107" s="153"/>
    </row>
    <row r="108" spans="1:23" ht="19.2" customHeight="1">
      <c r="A108" s="21" t="s">
        <v>37</v>
      </c>
      <c r="B108" s="22"/>
      <c r="C108" s="45"/>
      <c r="D108" s="46">
        <f>D107/D91</f>
        <v>296.96930555555554</v>
      </c>
      <c r="E108" s="46"/>
      <c r="F108" s="46"/>
      <c r="G108" s="46"/>
      <c r="H108" s="46"/>
      <c r="I108" s="46"/>
      <c r="J108" s="46"/>
      <c r="K108" s="46"/>
      <c r="L108" s="47"/>
      <c r="M108" s="308"/>
      <c r="N108" s="336"/>
      <c r="O108" s="4"/>
      <c r="P108" s="2"/>
      <c r="Q108" s="2"/>
      <c r="R108" s="2"/>
      <c r="S108" s="2"/>
      <c r="T108" s="2"/>
      <c r="U108" s="2"/>
      <c r="V108" s="2"/>
    </row>
    <row r="109" spans="1:23" ht="19.2" customHeight="1">
      <c r="A109" s="291" t="s">
        <v>53</v>
      </c>
      <c r="B109" s="225"/>
      <c r="C109" s="372" t="s">
        <v>151</v>
      </c>
      <c r="D109" s="20" t="s">
        <v>45</v>
      </c>
      <c r="E109" s="46"/>
      <c r="F109" s="46"/>
      <c r="G109" s="46"/>
      <c r="H109" s="46"/>
      <c r="I109" s="46"/>
      <c r="J109" s="48"/>
      <c r="K109" s="48"/>
      <c r="L109" s="47"/>
      <c r="M109" s="47"/>
      <c r="N109" s="176"/>
      <c r="O109" s="4"/>
      <c r="P109" s="2"/>
      <c r="Q109" s="2"/>
      <c r="R109" s="2"/>
      <c r="S109" s="2"/>
      <c r="T109" s="2"/>
      <c r="U109" s="2"/>
      <c r="V109" s="2"/>
      <c r="W109" s="2"/>
    </row>
    <row r="110" spans="1:23" ht="19.2" customHeight="1">
      <c r="A110" s="226"/>
      <c r="B110" s="227"/>
      <c r="C110" s="76" t="s">
        <v>60</v>
      </c>
      <c r="D110" s="78">
        <f>D108*100/930</f>
        <v>31.932183393070488</v>
      </c>
      <c r="E110" s="46"/>
      <c r="F110" s="46"/>
      <c r="G110" s="46"/>
      <c r="H110" s="46"/>
      <c r="I110" s="46"/>
      <c r="J110" s="48"/>
      <c r="K110" s="48"/>
      <c r="L110" s="47"/>
      <c r="M110" s="47"/>
      <c r="N110" s="176"/>
      <c r="O110" s="4"/>
      <c r="P110" s="2"/>
      <c r="Q110" s="2"/>
      <c r="R110" s="2"/>
      <c r="S110" s="2"/>
      <c r="T110" s="2"/>
      <c r="U110" s="2"/>
      <c r="V110" s="2"/>
      <c r="W110" s="2"/>
    </row>
    <row r="111" spans="1:23" s="2" customFormat="1" ht="19.2" customHeight="1">
      <c r="A111" s="235" t="s">
        <v>38</v>
      </c>
      <c r="B111" s="235"/>
      <c r="C111" s="56"/>
      <c r="D111" s="57"/>
      <c r="E111" s="58"/>
      <c r="F111" s="58"/>
      <c r="G111" s="58"/>
      <c r="H111" s="58"/>
      <c r="I111" s="58"/>
      <c r="J111" s="58"/>
      <c r="K111" s="58"/>
      <c r="L111" s="59"/>
      <c r="M111" s="59"/>
      <c r="N111" s="60"/>
      <c r="O111" s="153"/>
    </row>
    <row r="112" spans="1:23" s="2" customFormat="1" ht="19.2" customHeight="1">
      <c r="A112" s="9">
        <v>1</v>
      </c>
      <c r="B112" s="10" t="s">
        <v>2</v>
      </c>
      <c r="C112" s="23">
        <f>L112/100*100</f>
        <v>70</v>
      </c>
      <c r="D112" s="24">
        <f>C112/100*60</f>
        <v>42</v>
      </c>
      <c r="E112" s="25">
        <f>C112/100*15</f>
        <v>10.5</v>
      </c>
      <c r="F112" s="25"/>
      <c r="G112" s="25"/>
      <c r="H112" s="25"/>
      <c r="I112" s="25"/>
      <c r="J112" s="27">
        <f>C112/100*387</f>
        <v>270.89999999999998</v>
      </c>
      <c r="K112" s="27">
        <f>C112/100*0.09</f>
        <v>6.3E-2</v>
      </c>
      <c r="L112" s="137">
        <v>70</v>
      </c>
      <c r="M112" s="75">
        <v>20</v>
      </c>
      <c r="N112" s="28">
        <f>L112*M112</f>
        <v>1400</v>
      </c>
      <c r="O112" s="153"/>
    </row>
    <row r="113" spans="1:23" s="2" customFormat="1" ht="19.2" customHeight="1">
      <c r="A113" s="9">
        <v>2</v>
      </c>
      <c r="B113" s="150" t="s">
        <v>141</v>
      </c>
      <c r="C113" s="23">
        <f>L113/100*100</f>
        <v>80</v>
      </c>
      <c r="D113" s="24">
        <f>C113/100*899</f>
        <v>719.2</v>
      </c>
      <c r="E113" s="25"/>
      <c r="F113" s="25"/>
      <c r="G113" s="25">
        <f>C113/100*100</f>
        <v>80</v>
      </c>
      <c r="H113" s="25"/>
      <c r="I113" s="25"/>
      <c r="J113" s="27"/>
      <c r="K113" s="27"/>
      <c r="L113" s="137">
        <v>80</v>
      </c>
      <c r="M113" s="75">
        <v>68</v>
      </c>
      <c r="N113" s="28">
        <f t="shared" ref="N113:N119" si="7">L113*M113</f>
        <v>5440</v>
      </c>
      <c r="O113" s="153"/>
    </row>
    <row r="114" spans="1:23" s="2" customFormat="1" ht="19.2" customHeight="1">
      <c r="A114" s="9">
        <v>3</v>
      </c>
      <c r="B114" s="148" t="s">
        <v>146</v>
      </c>
      <c r="C114" s="23">
        <f>L114/100*100</f>
        <v>240</v>
      </c>
      <c r="D114" s="120">
        <f>C114/100*900</f>
        <v>2160</v>
      </c>
      <c r="E114" s="25"/>
      <c r="F114" s="25"/>
      <c r="G114" s="119"/>
      <c r="H114" s="25">
        <f>C114/100*100</f>
        <v>240</v>
      </c>
      <c r="I114" s="25"/>
      <c r="J114" s="25"/>
      <c r="K114" s="25"/>
      <c r="L114" s="137">
        <v>240</v>
      </c>
      <c r="M114" s="75">
        <v>63.5</v>
      </c>
      <c r="N114" s="28">
        <f t="shared" si="7"/>
        <v>15240</v>
      </c>
      <c r="O114" s="373"/>
    </row>
    <row r="115" spans="1:23" s="2" customFormat="1" ht="19.2" customHeight="1">
      <c r="A115" s="9">
        <v>4</v>
      </c>
      <c r="B115" s="149" t="s">
        <v>68</v>
      </c>
      <c r="C115" s="23">
        <f>L115/100*98</f>
        <v>215.60000000000002</v>
      </c>
      <c r="D115" s="24">
        <f>C115/100*573</f>
        <v>1235.3880000000001</v>
      </c>
      <c r="E115" s="29"/>
      <c r="F115" s="29">
        <f>C115/100*27.5</f>
        <v>59.290000000000006</v>
      </c>
      <c r="G115" s="29"/>
      <c r="H115" s="29">
        <f>C115/100*44.5</f>
        <v>95.942000000000007</v>
      </c>
      <c r="I115" s="29">
        <f>C115/100*15.5</f>
        <v>33.417999999999999</v>
      </c>
      <c r="J115" s="71">
        <f>C115/100*68</f>
        <v>146.608</v>
      </c>
      <c r="K115" s="71">
        <f>C115/100*0.44</f>
        <v>0.94864000000000004</v>
      </c>
      <c r="L115" s="370">
        <v>220</v>
      </c>
      <c r="M115" s="26">
        <v>70</v>
      </c>
      <c r="N115" s="28">
        <f t="shared" si="7"/>
        <v>15400</v>
      </c>
      <c r="O115" s="153"/>
      <c r="Q115" s="3"/>
      <c r="R115" s="3"/>
      <c r="S115" s="4"/>
    </row>
    <row r="116" spans="1:23" s="2" customFormat="1" ht="19.2" customHeight="1">
      <c r="A116" s="9">
        <v>5</v>
      </c>
      <c r="B116" s="149" t="s">
        <v>1</v>
      </c>
      <c r="C116" s="23">
        <f>L116/100*100</f>
        <v>2268</v>
      </c>
      <c r="D116" s="24">
        <f>C116/100*344</f>
        <v>7801.92</v>
      </c>
      <c r="E116" s="25"/>
      <c r="F116" s="119">
        <f>C116/100*7.9</f>
        <v>179.172</v>
      </c>
      <c r="G116" s="25"/>
      <c r="H116" s="25">
        <f>C116/100*1</f>
        <v>22.68</v>
      </c>
      <c r="I116" s="25">
        <f>C116/100*72.5</f>
        <v>1644.3</v>
      </c>
      <c r="J116" s="27">
        <f>C116/100*30</f>
        <v>680.4</v>
      </c>
      <c r="K116" s="27">
        <f>C116/100*0.1</f>
        <v>2.2680000000000002</v>
      </c>
      <c r="L116" s="137">
        <v>2268</v>
      </c>
      <c r="M116" s="75">
        <v>18</v>
      </c>
      <c r="N116" s="28">
        <f t="shared" si="7"/>
        <v>40824</v>
      </c>
      <c r="O116" s="153"/>
    </row>
    <row r="117" spans="1:23" s="2" customFormat="1" ht="19.2" customHeight="1">
      <c r="A117" s="9">
        <v>6</v>
      </c>
      <c r="B117" s="149" t="s">
        <v>103</v>
      </c>
      <c r="C117" s="23">
        <f>L117/100*87</f>
        <v>1313.7</v>
      </c>
      <c r="D117" s="24">
        <f>C117/100*14</f>
        <v>183.91800000000001</v>
      </c>
      <c r="E117" s="25"/>
      <c r="F117" s="25">
        <f>C117/100*1.9</f>
        <v>24.9603</v>
      </c>
      <c r="G117" s="25"/>
      <c r="H117" s="25"/>
      <c r="I117" s="25">
        <f>C117/100*1.6</f>
        <v>21.019200000000001</v>
      </c>
      <c r="J117" s="119">
        <f>C117/100*48.7</f>
        <v>639.77190000000007</v>
      </c>
      <c r="K117" s="25">
        <f>C117/100*0.03</f>
        <v>0.39411000000000002</v>
      </c>
      <c r="L117" s="26">
        <v>1510</v>
      </c>
      <c r="M117" s="75">
        <v>25</v>
      </c>
      <c r="N117" s="28">
        <f t="shared" si="7"/>
        <v>37750</v>
      </c>
      <c r="O117" s="153"/>
    </row>
    <row r="118" spans="1:23" s="2" customFormat="1" ht="19.2" customHeight="1">
      <c r="A118" s="9">
        <v>7</v>
      </c>
      <c r="B118" s="5" t="s">
        <v>136</v>
      </c>
      <c r="C118" s="23">
        <f>L118/100*100</f>
        <v>40</v>
      </c>
      <c r="D118" s="24">
        <f>C118/100*247</f>
        <v>98.800000000000011</v>
      </c>
      <c r="E118" s="29"/>
      <c r="F118" s="29">
        <f>C118/100*17.5</f>
        <v>7</v>
      </c>
      <c r="G118" s="29"/>
      <c r="H118" s="29">
        <f>C118/100*1.6</f>
        <v>0.64000000000000012</v>
      </c>
      <c r="I118" s="29">
        <f>C118/100*39.2</f>
        <v>15.680000000000001</v>
      </c>
      <c r="J118" s="71"/>
      <c r="K118" s="71"/>
      <c r="L118" s="370">
        <v>40</v>
      </c>
      <c r="M118" s="75">
        <v>50</v>
      </c>
      <c r="N118" s="28">
        <f t="shared" si="7"/>
        <v>2000</v>
      </c>
      <c r="O118" s="153"/>
      <c r="Q118" s="3"/>
      <c r="R118" s="3"/>
      <c r="S118" s="4"/>
      <c r="T118" s="3"/>
    </row>
    <row r="119" spans="1:23" s="2" customFormat="1" ht="19.2" customHeight="1">
      <c r="A119" s="9">
        <v>8</v>
      </c>
      <c r="B119" s="10" t="s">
        <v>71</v>
      </c>
      <c r="C119" s="23">
        <f>L119/100*98</f>
        <v>2391.1999999999998</v>
      </c>
      <c r="D119" s="24">
        <f>C119/100*139</f>
        <v>3323.768</v>
      </c>
      <c r="E119" s="119">
        <f>C119/100*19</f>
        <v>454.32799999999997</v>
      </c>
      <c r="F119" s="25"/>
      <c r="G119" s="25">
        <f>C119/100*7</f>
        <v>167.38399999999999</v>
      </c>
      <c r="H119" s="25"/>
      <c r="I119" s="25"/>
      <c r="J119" s="27">
        <f>C119/100*7</f>
        <v>167.38399999999999</v>
      </c>
      <c r="K119" s="27">
        <f>C119/100*0.9</f>
        <v>21.520800000000001</v>
      </c>
      <c r="L119" s="137">
        <v>2440</v>
      </c>
      <c r="M119" s="143">
        <v>137</v>
      </c>
      <c r="N119" s="124">
        <f t="shared" si="7"/>
        <v>334280</v>
      </c>
      <c r="O119" s="153"/>
    </row>
    <row r="120" spans="1:23" s="2" customFormat="1" ht="19.2" customHeight="1">
      <c r="A120" s="80">
        <v>9</v>
      </c>
      <c r="B120" s="6" t="s">
        <v>123</v>
      </c>
      <c r="C120" s="23"/>
      <c r="D120" s="24"/>
      <c r="E120" s="25"/>
      <c r="F120" s="25"/>
      <c r="G120" s="25"/>
      <c r="H120" s="25"/>
      <c r="I120" s="25"/>
      <c r="J120" s="25"/>
      <c r="K120" s="25"/>
      <c r="L120" s="26"/>
      <c r="M120" s="26"/>
      <c r="N120" s="28">
        <v>3950</v>
      </c>
      <c r="O120" s="153"/>
    </row>
    <row r="121" spans="1:23" s="2" customFormat="1" ht="19.2" customHeight="1">
      <c r="A121" s="21" t="s">
        <v>119</v>
      </c>
      <c r="B121" s="22"/>
      <c r="C121" s="34"/>
      <c r="D121" s="121">
        <f>SUM(D112:D120)</f>
        <v>15564.993999999999</v>
      </c>
      <c r="E121" s="43"/>
      <c r="F121" s="43"/>
      <c r="G121" s="43"/>
      <c r="H121" s="43"/>
      <c r="I121" s="43"/>
      <c r="J121" s="43"/>
      <c r="K121" s="43"/>
      <c r="L121" s="44"/>
      <c r="M121" s="307"/>
      <c r="N121" s="335">
        <f>SUM(N112:N120)</f>
        <v>456284</v>
      </c>
      <c r="O121" s="153"/>
    </row>
    <row r="122" spans="1:23" ht="19.2" customHeight="1">
      <c r="A122" s="21" t="s">
        <v>36</v>
      </c>
      <c r="B122" s="22"/>
      <c r="C122" s="61"/>
      <c r="D122" s="48">
        <f>D121/D91</f>
        <v>288.24062962962961</v>
      </c>
      <c r="E122" s="48"/>
      <c r="F122" s="48"/>
      <c r="G122" s="48"/>
      <c r="H122" s="48"/>
      <c r="I122" s="48"/>
      <c r="J122" s="48"/>
      <c r="K122" s="48"/>
      <c r="L122" s="62"/>
      <c r="M122" s="308"/>
      <c r="N122" s="337"/>
      <c r="O122" s="4"/>
      <c r="P122" s="2"/>
      <c r="Q122" s="2"/>
      <c r="R122" s="2"/>
      <c r="S122" s="2"/>
      <c r="T122" s="2"/>
      <c r="U122" s="2"/>
      <c r="V122" s="2"/>
    </row>
    <row r="123" spans="1:23" ht="19.2" customHeight="1">
      <c r="A123" s="291" t="s">
        <v>54</v>
      </c>
      <c r="B123" s="225"/>
      <c r="C123" s="372" t="s">
        <v>151</v>
      </c>
      <c r="D123" s="20" t="s">
        <v>46</v>
      </c>
      <c r="E123" s="46"/>
      <c r="F123" s="46"/>
      <c r="G123" s="46"/>
      <c r="H123" s="46"/>
      <c r="I123" s="46"/>
      <c r="J123" s="48"/>
      <c r="K123" s="48"/>
      <c r="L123" s="47"/>
      <c r="M123" s="47"/>
      <c r="N123" s="176"/>
      <c r="O123" s="4"/>
      <c r="P123" s="2"/>
      <c r="Q123" s="2"/>
      <c r="R123" s="2"/>
      <c r="S123" s="2"/>
      <c r="T123" s="2"/>
      <c r="U123" s="2"/>
      <c r="V123" s="2"/>
      <c r="W123" s="2"/>
    </row>
    <row r="124" spans="1:23" ht="19.2" customHeight="1">
      <c r="A124" s="226"/>
      <c r="B124" s="227"/>
      <c r="C124" s="76" t="s">
        <v>60</v>
      </c>
      <c r="D124" s="78">
        <f>D122*100/930</f>
        <v>30.993616089207485</v>
      </c>
      <c r="E124" s="46"/>
      <c r="F124" s="46"/>
      <c r="G124" s="46"/>
      <c r="H124" s="46"/>
      <c r="I124" s="46"/>
      <c r="J124" s="48"/>
      <c r="K124" s="48"/>
      <c r="L124" s="47"/>
      <c r="M124" s="47"/>
      <c r="N124" s="176"/>
      <c r="O124" s="4"/>
      <c r="P124" s="2"/>
      <c r="Q124" s="2"/>
      <c r="R124" s="2"/>
      <c r="S124" s="2"/>
      <c r="T124" s="2"/>
      <c r="U124" s="2"/>
      <c r="V124" s="2"/>
      <c r="W124" s="2"/>
    </row>
    <row r="125" spans="1:23" ht="19.2" customHeight="1">
      <c r="A125" s="235" t="s">
        <v>35</v>
      </c>
      <c r="B125" s="235"/>
      <c r="C125" s="63"/>
      <c r="D125" s="64"/>
      <c r="E125" s="64"/>
      <c r="F125" s="64"/>
      <c r="G125" s="64"/>
      <c r="H125" s="64"/>
      <c r="I125" s="64"/>
      <c r="J125" s="64"/>
      <c r="K125" s="64"/>
      <c r="L125" s="65"/>
      <c r="M125" s="65"/>
      <c r="N125" s="66"/>
      <c r="O125" s="4"/>
      <c r="P125" s="2"/>
      <c r="Q125" s="2"/>
      <c r="R125" s="2"/>
      <c r="S125" s="2"/>
      <c r="T125" s="2"/>
      <c r="U125" s="2"/>
      <c r="V125" s="2"/>
    </row>
    <row r="126" spans="1:23" s="2" customFormat="1" ht="19.2" customHeight="1">
      <c r="A126" s="103">
        <v>1</v>
      </c>
      <c r="B126" s="112" t="s">
        <v>76</v>
      </c>
      <c r="C126" s="104">
        <f>L126/100*80</f>
        <v>6480</v>
      </c>
      <c r="D126" s="105">
        <f>C126/100*40</f>
        <v>2592</v>
      </c>
      <c r="E126" s="106"/>
      <c r="F126" s="106">
        <f>C126/100*1.3</f>
        <v>84.24</v>
      </c>
      <c r="G126" s="106"/>
      <c r="H126" s="106"/>
      <c r="I126" s="106">
        <f>C126/100*8.7</f>
        <v>563.75999999999988</v>
      </c>
      <c r="J126" s="106">
        <f>C126/100*11</f>
        <v>712.8</v>
      </c>
      <c r="K126" s="106"/>
      <c r="L126" s="408">
        <v>8100</v>
      </c>
      <c r="M126" s="145">
        <v>32</v>
      </c>
      <c r="N126" s="170">
        <f t="shared" ref="N126" si="8">L126*M126</f>
        <v>259200</v>
      </c>
      <c r="O126" s="153"/>
      <c r="P126" s="3"/>
    </row>
    <row r="127" spans="1:23" ht="19.2" customHeight="1">
      <c r="A127" s="208" t="s">
        <v>66</v>
      </c>
      <c r="B127" s="211" t="s">
        <v>19</v>
      </c>
      <c r="C127" s="319" t="s">
        <v>8</v>
      </c>
      <c r="D127" s="214" t="s">
        <v>9</v>
      </c>
      <c r="E127" s="217" t="s">
        <v>11</v>
      </c>
      <c r="F127" s="218"/>
      <c r="G127" s="217" t="s">
        <v>13</v>
      </c>
      <c r="H127" s="218"/>
      <c r="I127" s="221" t="s">
        <v>16</v>
      </c>
      <c r="J127" s="221" t="s">
        <v>41</v>
      </c>
      <c r="K127" s="221" t="s">
        <v>42</v>
      </c>
      <c r="L127" s="221" t="s">
        <v>17</v>
      </c>
      <c r="M127" s="221" t="s">
        <v>56</v>
      </c>
      <c r="N127" s="208" t="s">
        <v>18</v>
      </c>
      <c r="O127" s="369"/>
    </row>
    <row r="128" spans="1:23" ht="19.2" customHeight="1">
      <c r="A128" s="209"/>
      <c r="B128" s="212"/>
      <c r="C128" s="320"/>
      <c r="D128" s="215"/>
      <c r="E128" s="219"/>
      <c r="F128" s="220"/>
      <c r="G128" s="219"/>
      <c r="H128" s="220"/>
      <c r="I128" s="222"/>
      <c r="J128" s="222"/>
      <c r="K128" s="222"/>
      <c r="L128" s="222"/>
      <c r="M128" s="222"/>
      <c r="N128" s="209"/>
      <c r="O128" s="175"/>
    </row>
    <row r="129" spans="1:23" ht="19.2" customHeight="1">
      <c r="A129" s="209"/>
      <c r="B129" s="212"/>
      <c r="C129" s="320"/>
      <c r="D129" s="215"/>
      <c r="E129" s="221" t="s">
        <v>10</v>
      </c>
      <c r="F129" s="221" t="s">
        <v>12</v>
      </c>
      <c r="G129" s="221" t="s">
        <v>14</v>
      </c>
      <c r="H129" s="221" t="s">
        <v>15</v>
      </c>
      <c r="I129" s="222"/>
      <c r="J129" s="222"/>
      <c r="K129" s="222"/>
      <c r="L129" s="222"/>
      <c r="M129" s="222"/>
      <c r="N129" s="209"/>
      <c r="O129" s="175"/>
    </row>
    <row r="130" spans="1:23" ht="19.2" customHeight="1">
      <c r="A130" s="210"/>
      <c r="B130" s="213"/>
      <c r="C130" s="321"/>
      <c r="D130" s="216"/>
      <c r="E130" s="223"/>
      <c r="F130" s="223"/>
      <c r="G130" s="223"/>
      <c r="H130" s="223"/>
      <c r="I130" s="223"/>
      <c r="J130" s="223"/>
      <c r="K130" s="223"/>
      <c r="L130" s="223"/>
      <c r="M130" s="223"/>
      <c r="N130" s="210"/>
      <c r="O130" s="175"/>
    </row>
    <row r="131" spans="1:23" s="2" customFormat="1" ht="19.2" customHeight="1">
      <c r="A131" s="21" t="s">
        <v>106</v>
      </c>
      <c r="B131" s="22"/>
      <c r="C131" s="34"/>
      <c r="D131" s="35">
        <f>SUM(D125:D126)</f>
        <v>2592</v>
      </c>
      <c r="E131" s="43"/>
      <c r="F131" s="43"/>
      <c r="G131" s="43"/>
      <c r="H131" s="43"/>
      <c r="I131" s="43"/>
      <c r="J131" s="43"/>
      <c r="K131" s="43"/>
      <c r="L131" s="44"/>
      <c r="M131" s="307"/>
      <c r="N131" s="335">
        <f>SUM(N125:N126)</f>
        <v>259200</v>
      </c>
      <c r="O131" s="153"/>
    </row>
    <row r="132" spans="1:23" ht="19.2" customHeight="1">
      <c r="A132" s="21" t="s">
        <v>7</v>
      </c>
      <c r="B132" s="22"/>
      <c r="C132" s="45"/>
      <c r="D132" s="46">
        <f>D131/D91</f>
        <v>48</v>
      </c>
      <c r="E132" s="46"/>
      <c r="F132" s="46"/>
      <c r="G132" s="46"/>
      <c r="H132" s="46"/>
      <c r="I132" s="46"/>
      <c r="J132" s="46"/>
      <c r="K132" s="46"/>
      <c r="L132" s="47"/>
      <c r="M132" s="308"/>
      <c r="N132" s="336"/>
      <c r="O132" s="4"/>
      <c r="P132" s="2"/>
      <c r="Q132" s="2"/>
      <c r="R132" s="2"/>
      <c r="S132" s="2"/>
      <c r="T132" s="2"/>
      <c r="U132" s="2"/>
      <c r="V132" s="2"/>
    </row>
    <row r="133" spans="1:23" ht="19.2" customHeight="1">
      <c r="A133" s="291" t="s">
        <v>52</v>
      </c>
      <c r="B133" s="225"/>
      <c r="C133" s="372" t="s">
        <v>151</v>
      </c>
      <c r="D133" s="20" t="s">
        <v>50</v>
      </c>
      <c r="E133" s="46"/>
      <c r="F133" s="46"/>
      <c r="G133" s="46"/>
      <c r="H133" s="46"/>
      <c r="I133" s="46"/>
      <c r="J133" s="48"/>
      <c r="K133" s="48"/>
      <c r="L133" s="47"/>
      <c r="M133" s="47"/>
      <c r="N133" s="176"/>
      <c r="O133" s="4"/>
      <c r="P133" s="2"/>
      <c r="Q133" s="2"/>
      <c r="R133" s="2"/>
      <c r="S133" s="2"/>
      <c r="T133" s="2"/>
      <c r="U133" s="2"/>
      <c r="V133" s="2"/>
      <c r="W133" s="2"/>
    </row>
    <row r="134" spans="1:23" ht="19.2" customHeight="1">
      <c r="A134" s="226"/>
      <c r="B134" s="227"/>
      <c r="C134" s="76" t="s">
        <v>60</v>
      </c>
      <c r="D134" s="78">
        <f>D132*100/930</f>
        <v>5.161290322580645</v>
      </c>
      <c r="E134" s="46"/>
      <c r="F134" s="46"/>
      <c r="G134" s="46"/>
      <c r="H134" s="46"/>
      <c r="I134" s="46"/>
      <c r="J134" s="48"/>
      <c r="K134" s="48"/>
      <c r="L134" s="47"/>
      <c r="M134" s="47"/>
      <c r="N134" s="176"/>
      <c r="O134" s="4"/>
      <c r="P134" s="2"/>
      <c r="Q134" s="2"/>
      <c r="R134" s="2"/>
      <c r="S134" s="2"/>
      <c r="T134" s="2"/>
      <c r="U134" s="2"/>
      <c r="V134" s="2"/>
      <c r="W134" s="2"/>
    </row>
    <row r="135" spans="1:23" ht="19.2" customHeight="1">
      <c r="A135" s="283" t="s">
        <v>113</v>
      </c>
      <c r="B135" s="284"/>
      <c r="C135" s="287"/>
      <c r="D135" s="301">
        <f>D107+D121+D131</f>
        <v>34193.336499999998</v>
      </c>
      <c r="E135" s="50">
        <f>SUM(E97:E132)</f>
        <v>896.8001999999999</v>
      </c>
      <c r="F135" s="50">
        <f>SUM(F97:F132)</f>
        <v>568.41854999999998</v>
      </c>
      <c r="G135" s="7">
        <f>SUM(G97:G132)</f>
        <v>887.10059999999999</v>
      </c>
      <c r="H135" s="7">
        <f>SUM(H97:H132)</f>
        <v>385.1001</v>
      </c>
      <c r="I135" s="281">
        <f>SUM(I97:I132)</f>
        <v>4075.9580999999994</v>
      </c>
      <c r="J135" s="281">
        <f>SUM(J97:J126)</f>
        <v>5244.9724000000006</v>
      </c>
      <c r="K135" s="281">
        <f>SUM(K97:K126)</f>
        <v>41.001280000000008</v>
      </c>
      <c r="L135" s="265"/>
      <c r="M135" s="265"/>
      <c r="N135" s="303">
        <f>N107+N121+N131</f>
        <v>1188130</v>
      </c>
      <c r="U135" s="12"/>
      <c r="V135" s="12"/>
    </row>
    <row r="136" spans="1:23" ht="19.2" customHeight="1">
      <c r="A136" s="285"/>
      <c r="B136" s="286"/>
      <c r="C136" s="288"/>
      <c r="D136" s="302"/>
      <c r="E136" s="326">
        <f>E135+F135</f>
        <v>1465.21875</v>
      </c>
      <c r="F136" s="327"/>
      <c r="G136" s="279">
        <f>G135+H135</f>
        <v>1272.2006999999999</v>
      </c>
      <c r="H136" s="280"/>
      <c r="I136" s="282"/>
      <c r="J136" s="282"/>
      <c r="K136" s="282"/>
      <c r="L136" s="265"/>
      <c r="M136" s="265"/>
      <c r="N136" s="303"/>
      <c r="P136" s="395"/>
      <c r="Q136" s="396"/>
      <c r="R136" s="396"/>
      <c r="S136" s="396"/>
      <c r="T136" s="396"/>
      <c r="U136" s="397"/>
      <c r="V136" s="397"/>
    </row>
    <row r="137" spans="1:23" ht="19.2" customHeight="1">
      <c r="A137" s="266" t="s">
        <v>77</v>
      </c>
      <c r="B137" s="267"/>
      <c r="C137" s="268"/>
      <c r="D137" s="138">
        <f>D135/D91</f>
        <v>633.20993518518515</v>
      </c>
      <c r="E137" s="374">
        <f>E135/D91</f>
        <v>16.607411111111109</v>
      </c>
      <c r="F137" s="375">
        <f>F135/D91</f>
        <v>10.526269444444445</v>
      </c>
      <c r="G137" s="406">
        <f>G135/D91</f>
        <v>16.427788888888887</v>
      </c>
      <c r="H137" s="405">
        <f>H135/D91</f>
        <v>7.1314833333333336</v>
      </c>
      <c r="I137" s="299">
        <f>I135/D91</f>
        <v>75.480705555555545</v>
      </c>
      <c r="J137" s="299">
        <f>J135/D91</f>
        <v>97.129118518518524</v>
      </c>
      <c r="K137" s="299">
        <f>K135/D91</f>
        <v>0.75928296296296316</v>
      </c>
      <c r="L137" s="265"/>
      <c r="M137" s="265"/>
      <c r="N137" s="303"/>
      <c r="P137" s="398"/>
      <c r="Q137" s="396"/>
      <c r="R137" s="396"/>
      <c r="S137" s="407"/>
      <c r="T137" s="407"/>
      <c r="U137" s="396"/>
      <c r="V137" s="396"/>
    </row>
    <row r="138" spans="1:23" ht="19.2" customHeight="1">
      <c r="A138" s="269"/>
      <c r="B138" s="270"/>
      <c r="C138" s="271"/>
      <c r="D138" s="127"/>
      <c r="E138" s="376">
        <f>E137+F137</f>
        <v>27.133680555555554</v>
      </c>
      <c r="F138" s="377"/>
      <c r="G138" s="376">
        <f>G137+H137</f>
        <v>23.559272222222219</v>
      </c>
      <c r="H138" s="377"/>
      <c r="I138" s="300"/>
      <c r="J138" s="300"/>
      <c r="K138" s="300"/>
      <c r="L138" s="265"/>
      <c r="M138" s="265"/>
      <c r="N138" s="303"/>
      <c r="P138" s="395"/>
      <c r="Q138" s="395"/>
      <c r="R138" s="395"/>
      <c r="S138" s="395"/>
      <c r="T138" s="395"/>
      <c r="U138" s="395"/>
      <c r="V138" s="395"/>
    </row>
    <row r="139" spans="1:23" ht="19.2" customHeight="1">
      <c r="A139" s="304" t="s">
        <v>80</v>
      </c>
      <c r="B139" s="305"/>
      <c r="C139" s="306"/>
      <c r="D139" s="178" t="s">
        <v>29</v>
      </c>
      <c r="E139" s="338" t="s">
        <v>24</v>
      </c>
      <c r="F139" s="338"/>
      <c r="G139" s="338" t="s">
        <v>25</v>
      </c>
      <c r="H139" s="338"/>
      <c r="I139" s="178" t="s">
        <v>26</v>
      </c>
      <c r="J139" s="173">
        <v>500</v>
      </c>
      <c r="K139" s="173">
        <v>0.5</v>
      </c>
      <c r="L139" s="265"/>
      <c r="M139" s="265"/>
      <c r="N139" s="303"/>
      <c r="O139" s="379"/>
      <c r="P139" s="395"/>
      <c r="Q139" s="395"/>
      <c r="R139" s="395"/>
      <c r="S139" s="395"/>
      <c r="T139" s="395"/>
      <c r="U139" s="395"/>
      <c r="V139" s="395"/>
    </row>
    <row r="140" spans="1:23" ht="19.2" customHeight="1">
      <c r="A140" s="242" t="s">
        <v>78</v>
      </c>
      <c r="B140" s="272"/>
      <c r="C140" s="243"/>
      <c r="D140" s="49"/>
      <c r="E140" s="273">
        <f>E138*4.1</f>
        <v>111.24809027777776</v>
      </c>
      <c r="F140" s="274"/>
      <c r="G140" s="273">
        <f>G138*9</f>
        <v>212.03344999999996</v>
      </c>
      <c r="H140" s="274"/>
      <c r="I140" s="85">
        <f>I137*4.1</f>
        <v>309.47089277777769</v>
      </c>
      <c r="J140" s="254"/>
      <c r="K140" s="254"/>
      <c r="L140" s="265"/>
      <c r="M140" s="265"/>
      <c r="N140" s="303"/>
      <c r="O140" s="379"/>
      <c r="P140" s="399"/>
      <c r="Q140" s="400"/>
      <c r="R140" s="400"/>
      <c r="S140" s="400"/>
      <c r="T140" s="395"/>
      <c r="U140" s="395"/>
      <c r="V140" s="395"/>
    </row>
    <row r="141" spans="1:23" ht="19.2" customHeight="1">
      <c r="A141" s="275" t="s">
        <v>87</v>
      </c>
      <c r="B141" s="276"/>
      <c r="C141" s="242" t="s">
        <v>59</v>
      </c>
      <c r="D141" s="243"/>
      <c r="E141" s="188">
        <f>E140*100/D137</f>
        <v>17.568911050841731</v>
      </c>
      <c r="F141" s="189"/>
      <c r="G141" s="188">
        <f>G140*100/D137</f>
        <v>33.485490074944863</v>
      </c>
      <c r="H141" s="189"/>
      <c r="I141" s="115">
        <f>I140*100/D137</f>
        <v>48.873347618475307</v>
      </c>
      <c r="J141" s="255"/>
      <c r="K141" s="255"/>
      <c r="L141" s="265"/>
      <c r="M141" s="265"/>
      <c r="N141" s="303"/>
      <c r="O141" s="379"/>
      <c r="P141" s="395"/>
      <c r="Q141" s="395"/>
      <c r="R141" s="395"/>
      <c r="S141" s="395"/>
      <c r="T141" s="395"/>
      <c r="U141" s="395"/>
      <c r="V141" s="395"/>
    </row>
    <row r="142" spans="1:23" ht="19.2" customHeight="1">
      <c r="A142" s="277"/>
      <c r="B142" s="278"/>
      <c r="C142" s="242" t="s">
        <v>79</v>
      </c>
      <c r="D142" s="243"/>
      <c r="E142" s="242" t="s">
        <v>82</v>
      </c>
      <c r="F142" s="243"/>
      <c r="G142" s="242" t="s">
        <v>85</v>
      </c>
      <c r="H142" s="243"/>
      <c r="I142" s="178" t="s">
        <v>86</v>
      </c>
      <c r="J142" s="256"/>
      <c r="K142" s="256"/>
      <c r="L142" s="265"/>
      <c r="M142" s="265"/>
      <c r="N142" s="303"/>
      <c r="O142" s="379"/>
      <c r="P142" s="132"/>
    </row>
    <row r="143" spans="1:23" ht="19.2" customHeight="1">
      <c r="A143" s="90"/>
      <c r="B143" s="90"/>
      <c r="C143" s="90"/>
      <c r="D143" s="90"/>
      <c r="E143" s="90"/>
      <c r="F143" s="90"/>
      <c r="G143" s="90"/>
      <c r="H143" s="90"/>
      <c r="I143" s="90"/>
      <c r="J143" s="90"/>
      <c r="K143" s="90"/>
      <c r="L143" s="94"/>
      <c r="M143" s="94"/>
      <c r="N143" s="95"/>
      <c r="O143" s="379"/>
    </row>
    <row r="144" spans="1:23" ht="21" customHeight="1">
      <c r="A144" s="183" t="s">
        <v>114</v>
      </c>
      <c r="B144" s="183"/>
      <c r="C144" s="183"/>
      <c r="D144" s="183"/>
      <c r="E144" s="183"/>
      <c r="F144" s="183"/>
      <c r="G144" s="183"/>
      <c r="H144" s="183"/>
      <c r="I144" s="183"/>
      <c r="J144" s="183"/>
      <c r="K144" s="183"/>
      <c r="L144" s="183"/>
      <c r="M144" s="183"/>
      <c r="N144" s="183"/>
      <c r="O144" s="379"/>
    </row>
    <row r="145" spans="1:15" ht="21" customHeight="1">
      <c r="A145" s="117" t="s">
        <v>115</v>
      </c>
      <c r="B145" s="184" t="s">
        <v>116</v>
      </c>
      <c r="C145" s="184"/>
      <c r="D145" s="184"/>
      <c r="E145" s="184"/>
      <c r="F145" s="184"/>
      <c r="G145" s="184"/>
      <c r="H145" s="184"/>
      <c r="I145" s="184"/>
      <c r="J145" s="184"/>
      <c r="K145" s="184"/>
      <c r="L145" s="184"/>
      <c r="M145" s="184"/>
      <c r="N145" s="184"/>
      <c r="O145" s="379"/>
    </row>
    <row r="146" spans="1:15" ht="21" customHeight="1">
      <c r="A146" s="118"/>
      <c r="B146" s="185" t="s">
        <v>212</v>
      </c>
      <c r="C146" s="185"/>
      <c r="D146" s="185"/>
      <c r="E146" s="185"/>
      <c r="F146" s="185"/>
      <c r="G146" s="185"/>
      <c r="H146" s="185"/>
      <c r="I146" s="185"/>
      <c r="J146" s="185"/>
      <c r="K146" s="185"/>
      <c r="L146" s="185"/>
      <c r="M146" s="185"/>
      <c r="N146" s="185"/>
      <c r="O146" s="379"/>
    </row>
    <row r="147" spans="1:15" ht="21" customHeight="1">
      <c r="A147" s="118"/>
      <c r="B147" s="185" t="s">
        <v>213</v>
      </c>
      <c r="C147" s="185"/>
      <c r="D147" s="185"/>
      <c r="E147" s="185"/>
      <c r="F147" s="185"/>
      <c r="G147" s="185"/>
      <c r="H147" s="185"/>
      <c r="I147" s="185"/>
      <c r="J147" s="185"/>
      <c r="K147" s="185"/>
      <c r="L147" s="185"/>
      <c r="M147" s="185"/>
      <c r="N147" s="185"/>
      <c r="O147" s="379"/>
    </row>
    <row r="148" spans="1:15" ht="21" customHeight="1">
      <c r="A148" s="118"/>
      <c r="B148" s="185" t="s">
        <v>214</v>
      </c>
      <c r="C148" s="185"/>
      <c r="D148" s="185"/>
      <c r="E148" s="185"/>
      <c r="F148" s="185"/>
      <c r="G148" s="185"/>
      <c r="H148" s="185"/>
      <c r="I148" s="185"/>
      <c r="J148" s="185"/>
      <c r="K148" s="185"/>
      <c r="L148" s="185"/>
      <c r="M148" s="185"/>
      <c r="N148" s="185"/>
      <c r="O148" s="379"/>
    </row>
    <row r="149" spans="1:15" ht="21" customHeight="1">
      <c r="A149" s="90"/>
      <c r="B149" s="186" t="s">
        <v>128</v>
      </c>
      <c r="C149" s="186"/>
      <c r="D149" s="186"/>
      <c r="E149" s="186"/>
      <c r="F149" s="186"/>
      <c r="G149" s="186"/>
      <c r="H149" s="186"/>
      <c r="I149" s="186"/>
      <c r="J149" s="186"/>
      <c r="K149" s="186"/>
      <c r="L149" s="186"/>
      <c r="M149" s="186"/>
      <c r="N149" s="186"/>
      <c r="O149" s="379"/>
    </row>
    <row r="150" spans="1:15" ht="21" customHeight="1">
      <c r="A150" s="90"/>
      <c r="B150" s="90"/>
      <c r="C150" s="90"/>
      <c r="D150" s="90"/>
      <c r="E150" s="90"/>
      <c r="F150" s="90"/>
      <c r="G150" s="90"/>
      <c r="H150" s="90"/>
      <c r="I150" s="90"/>
      <c r="J150" s="90"/>
      <c r="K150" s="90"/>
      <c r="L150" s="94"/>
      <c r="M150" s="94"/>
      <c r="N150" s="95"/>
      <c r="O150" s="379"/>
    </row>
    <row r="151" spans="1:15" ht="21" customHeight="1">
      <c r="A151" s="187" t="s">
        <v>62</v>
      </c>
      <c r="B151" s="187"/>
      <c r="C151" s="187"/>
      <c r="D151" s="187"/>
      <c r="E151" s="380"/>
      <c r="F151" s="380"/>
      <c r="G151" s="380"/>
      <c r="H151" s="380"/>
      <c r="I151" s="380"/>
      <c r="J151" s="381" t="s">
        <v>33</v>
      </c>
      <c r="K151" s="381"/>
      <c r="L151" s="381"/>
      <c r="M151" s="381"/>
      <c r="N151" s="381"/>
      <c r="O151" s="379"/>
    </row>
    <row r="152" spans="1:15" ht="21" customHeight="1">
      <c r="A152" s="175"/>
      <c r="B152" s="175"/>
      <c r="C152" s="175"/>
      <c r="D152" s="380"/>
      <c r="E152" s="380"/>
      <c r="F152" s="380"/>
      <c r="G152" s="380"/>
      <c r="H152" s="382"/>
      <c r="I152" s="382"/>
      <c r="J152" s="382"/>
      <c r="K152" s="382"/>
      <c r="L152" s="382"/>
      <c r="M152" s="382"/>
      <c r="N152" s="382"/>
      <c r="O152" s="379"/>
    </row>
    <row r="153" spans="1:15" ht="21" customHeight="1">
      <c r="A153" s="175"/>
      <c r="B153" s="175"/>
      <c r="C153" s="175"/>
      <c r="D153" s="380"/>
      <c r="E153" s="380"/>
      <c r="F153" s="380"/>
      <c r="G153" s="380"/>
      <c r="H153" s="382"/>
      <c r="I153" s="382"/>
      <c r="J153" s="382"/>
      <c r="K153" s="382"/>
      <c r="L153" s="382"/>
      <c r="M153" s="382"/>
      <c r="N153" s="382"/>
      <c r="O153" s="379"/>
    </row>
    <row r="154" spans="1:15" ht="21" customHeight="1">
      <c r="A154" s="175"/>
      <c r="B154" s="175"/>
      <c r="C154" s="175"/>
      <c r="D154" s="380"/>
      <c r="E154" s="380"/>
      <c r="F154" s="380"/>
      <c r="G154" s="380"/>
      <c r="H154" s="382"/>
      <c r="I154" s="382"/>
      <c r="J154" s="383" t="s">
        <v>124</v>
      </c>
      <c r="K154" s="383"/>
      <c r="L154" s="383"/>
      <c r="M154" s="383"/>
      <c r="N154" s="383"/>
      <c r="O154" s="379"/>
    </row>
    <row r="155" spans="1:15" ht="21" customHeight="1">
      <c r="A155" s="179" t="s">
        <v>91</v>
      </c>
      <c r="B155" s="179"/>
      <c r="C155" s="179"/>
      <c r="D155" s="179"/>
      <c r="E155" s="380"/>
      <c r="F155" s="380"/>
      <c r="G155" s="380"/>
      <c r="H155" s="382"/>
      <c r="I155" s="382"/>
      <c r="J155" s="383"/>
      <c r="K155" s="383"/>
      <c r="L155" s="383"/>
      <c r="M155" s="383"/>
      <c r="N155" s="383"/>
      <c r="O155" s="379"/>
    </row>
    <row r="157" spans="1:15" ht="19.2" customHeight="1">
      <c r="J157" s="383" t="s">
        <v>127</v>
      </c>
      <c r="K157" s="383"/>
      <c r="L157" s="383"/>
      <c r="M157" s="383"/>
      <c r="N157" s="383"/>
    </row>
  </sheetData>
  <mergeCells count="205">
    <mergeCell ref="B148:N148"/>
    <mergeCell ref="B149:N149"/>
    <mergeCell ref="A151:D151"/>
    <mergeCell ref="J151:N151"/>
    <mergeCell ref="J154:N154"/>
    <mergeCell ref="A155:D155"/>
    <mergeCell ref="J155:N155"/>
    <mergeCell ref="J157:N157"/>
    <mergeCell ref="E141:F141"/>
    <mergeCell ref="G141:H141"/>
    <mergeCell ref="C142:D142"/>
    <mergeCell ref="E142:F142"/>
    <mergeCell ref="G142:H142"/>
    <mergeCell ref="A144:N144"/>
    <mergeCell ref="B145:N145"/>
    <mergeCell ref="B146:N146"/>
    <mergeCell ref="B147:N147"/>
    <mergeCell ref="Q136:R136"/>
    <mergeCell ref="S136:T136"/>
    <mergeCell ref="U136:V136"/>
    <mergeCell ref="A137:C138"/>
    <mergeCell ref="I137:I138"/>
    <mergeCell ref="J137:J138"/>
    <mergeCell ref="K137:K138"/>
    <mergeCell ref="Q137:R137"/>
    <mergeCell ref="S137:T137"/>
    <mergeCell ref="U137:V137"/>
    <mergeCell ref="E138:F138"/>
    <mergeCell ref="G138:H138"/>
    <mergeCell ref="M131:M132"/>
    <mergeCell ref="N131:N132"/>
    <mergeCell ref="A133:B134"/>
    <mergeCell ref="A135:B136"/>
    <mergeCell ref="C135:C136"/>
    <mergeCell ref="D135:D136"/>
    <mergeCell ref="I135:I136"/>
    <mergeCell ref="J135:J136"/>
    <mergeCell ref="K135:K136"/>
    <mergeCell ref="L135:L142"/>
    <mergeCell ref="M135:M142"/>
    <mergeCell ref="N135:N142"/>
    <mergeCell ref="E136:F136"/>
    <mergeCell ref="G136:H136"/>
    <mergeCell ref="A139:C139"/>
    <mergeCell ref="E139:F139"/>
    <mergeCell ref="G139:H139"/>
    <mergeCell ref="A140:C140"/>
    <mergeCell ref="E140:F140"/>
    <mergeCell ref="G140:H140"/>
    <mergeCell ref="J140:J142"/>
    <mergeCell ref="K140:K142"/>
    <mergeCell ref="A141:B142"/>
    <mergeCell ref="C141:D141"/>
    <mergeCell ref="M107:M108"/>
    <mergeCell ref="N107:N108"/>
    <mergeCell ref="A109:B110"/>
    <mergeCell ref="A111:B111"/>
    <mergeCell ref="M121:M122"/>
    <mergeCell ref="N121:N122"/>
    <mergeCell ref="A123:B124"/>
    <mergeCell ref="A125:B125"/>
    <mergeCell ref="A127:A130"/>
    <mergeCell ref="B127:B130"/>
    <mergeCell ref="C127:C130"/>
    <mergeCell ref="D127:D130"/>
    <mergeCell ref="E127:F128"/>
    <mergeCell ref="G127:H128"/>
    <mergeCell ref="I127:I130"/>
    <mergeCell ref="J127:J130"/>
    <mergeCell ref="K127:K130"/>
    <mergeCell ref="L127:L130"/>
    <mergeCell ref="M127:M130"/>
    <mergeCell ref="N127:N130"/>
    <mergeCell ref="E129:E130"/>
    <mergeCell ref="F129:F130"/>
    <mergeCell ref="G129:G130"/>
    <mergeCell ref="H129:H130"/>
    <mergeCell ref="K92:K95"/>
    <mergeCell ref="L92:L95"/>
    <mergeCell ref="M92:M95"/>
    <mergeCell ref="N92:N95"/>
    <mergeCell ref="E94:E95"/>
    <mergeCell ref="F94:F95"/>
    <mergeCell ref="G94:G95"/>
    <mergeCell ref="H94:H95"/>
    <mergeCell ref="A96:N96"/>
    <mergeCell ref="A91:C91"/>
    <mergeCell ref="A92:A95"/>
    <mergeCell ref="B92:B95"/>
    <mergeCell ref="C92:C95"/>
    <mergeCell ref="D92:D95"/>
    <mergeCell ref="E92:F93"/>
    <mergeCell ref="G92:H93"/>
    <mergeCell ref="I92:I95"/>
    <mergeCell ref="J92:J95"/>
    <mergeCell ref="J73:N73"/>
    <mergeCell ref="F84:N84"/>
    <mergeCell ref="A86:D87"/>
    <mergeCell ref="E86:N86"/>
    <mergeCell ref="E87:I87"/>
    <mergeCell ref="J87:N87"/>
    <mergeCell ref="A88:D88"/>
    <mergeCell ref="E88:I90"/>
    <mergeCell ref="J88:N88"/>
    <mergeCell ref="A89:D89"/>
    <mergeCell ref="J89:N89"/>
    <mergeCell ref="A90:D90"/>
    <mergeCell ref="J90:N90"/>
    <mergeCell ref="B60:N60"/>
    <mergeCell ref="B61:N61"/>
    <mergeCell ref="B62:N62"/>
    <mergeCell ref="B63:N63"/>
    <mergeCell ref="B64:N64"/>
    <mergeCell ref="A66:D66"/>
    <mergeCell ref="J66:N66"/>
    <mergeCell ref="J69:N69"/>
    <mergeCell ref="A70:D70"/>
    <mergeCell ref="K55:K57"/>
    <mergeCell ref="A56:B57"/>
    <mergeCell ref="C56:D56"/>
    <mergeCell ref="E56:F56"/>
    <mergeCell ref="G56:H56"/>
    <mergeCell ref="C57:D57"/>
    <mergeCell ref="E57:F57"/>
    <mergeCell ref="G57:H57"/>
    <mergeCell ref="A59:N59"/>
    <mergeCell ref="Q53:R53"/>
    <mergeCell ref="S53:T53"/>
    <mergeCell ref="U53:V53"/>
    <mergeCell ref="A54:C54"/>
    <mergeCell ref="E54:F54"/>
    <mergeCell ref="G54:H54"/>
    <mergeCell ref="Q54:R54"/>
    <mergeCell ref="S54:T54"/>
    <mergeCell ref="U54:V54"/>
    <mergeCell ref="M46:M47"/>
    <mergeCell ref="N46:N47"/>
    <mergeCell ref="A48:B49"/>
    <mergeCell ref="A50:B51"/>
    <mergeCell ref="C50:C51"/>
    <mergeCell ref="D50:D51"/>
    <mergeCell ref="I50:I51"/>
    <mergeCell ref="J50:J51"/>
    <mergeCell ref="K50:K51"/>
    <mergeCell ref="L50:L57"/>
    <mergeCell ref="M50:M57"/>
    <mergeCell ref="N50:N57"/>
    <mergeCell ref="E51:F51"/>
    <mergeCell ref="G51:H51"/>
    <mergeCell ref="A52:C53"/>
    <mergeCell ref="I52:I53"/>
    <mergeCell ref="J52:J53"/>
    <mergeCell ref="K52:K53"/>
    <mergeCell ref="E53:F53"/>
    <mergeCell ref="G53:H53"/>
    <mergeCell ref="A55:C55"/>
    <mergeCell ref="E55:F55"/>
    <mergeCell ref="G55:H55"/>
    <mergeCell ref="J55:J57"/>
    <mergeCell ref="N28:N29"/>
    <mergeCell ref="A30:B31"/>
    <mergeCell ref="A32:B32"/>
    <mergeCell ref="A42:A45"/>
    <mergeCell ref="B42:B45"/>
    <mergeCell ref="C42:C45"/>
    <mergeCell ref="D42:D45"/>
    <mergeCell ref="E42:F43"/>
    <mergeCell ref="G42:H43"/>
    <mergeCell ref="I42:I45"/>
    <mergeCell ref="J42:J45"/>
    <mergeCell ref="K42:K45"/>
    <mergeCell ref="L42:L45"/>
    <mergeCell ref="M42:M45"/>
    <mergeCell ref="N42:N45"/>
    <mergeCell ref="E44:E45"/>
    <mergeCell ref="F44:F45"/>
    <mergeCell ref="G44:G45"/>
    <mergeCell ref="H44:H45"/>
    <mergeCell ref="K11:K14"/>
    <mergeCell ref="L11:L14"/>
    <mergeCell ref="M11:M14"/>
    <mergeCell ref="N11:N14"/>
    <mergeCell ref="E13:E14"/>
    <mergeCell ref="F13:F14"/>
    <mergeCell ref="G13:G14"/>
    <mergeCell ref="H13:H14"/>
    <mergeCell ref="A15:N15"/>
    <mergeCell ref="A10:C10"/>
    <mergeCell ref="A11:A14"/>
    <mergeCell ref="B11:B14"/>
    <mergeCell ref="C11:C14"/>
    <mergeCell ref="D11:D14"/>
    <mergeCell ref="E11:F12"/>
    <mergeCell ref="G11:H12"/>
    <mergeCell ref="I11:I14"/>
    <mergeCell ref="J11:J14"/>
    <mergeCell ref="F1:N1"/>
    <mergeCell ref="A5:D5"/>
    <mergeCell ref="E5:N5"/>
    <mergeCell ref="A6:D6"/>
    <mergeCell ref="E6:I9"/>
    <mergeCell ref="J6:N9"/>
    <mergeCell ref="A7:D7"/>
    <mergeCell ref="A8:D8"/>
    <mergeCell ref="A9:D9"/>
  </mergeCells>
  <pageMargins left="0.5" right="7.4999999999999997E-2" top="0.44166666666666665" bottom="0.47499999999999998" header="0.3" footer="0.3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W165"/>
  <sheetViews>
    <sheetView topLeftCell="A128" workbookViewId="0">
      <selection activeCell="P152" sqref="P152"/>
    </sheetView>
  </sheetViews>
  <sheetFormatPr defaultColWidth="9.109375" defaultRowHeight="20.399999999999999" customHeight="1"/>
  <cols>
    <col min="1" max="1" width="3.21875" style="1" customWidth="1"/>
    <col min="2" max="2" width="12.44140625" style="1" customWidth="1"/>
    <col min="3" max="3" width="7.109375" style="1" customWidth="1"/>
    <col min="4" max="4" width="7.6640625" style="1" customWidth="1"/>
    <col min="5" max="8" width="6.5546875" style="1" customWidth="1"/>
    <col min="9" max="9" width="6.6640625" style="1" customWidth="1"/>
    <col min="10" max="10" width="7.5546875" style="1" customWidth="1"/>
    <col min="11" max="11" width="6.77734375" style="1" customWidth="1"/>
    <col min="12" max="12" width="5" style="1" customWidth="1"/>
    <col min="13" max="13" width="5.21875" style="1" customWidth="1"/>
    <col min="14" max="14" width="6.44140625" style="1" customWidth="1"/>
    <col min="15" max="15" width="11.88671875" style="1" customWidth="1"/>
    <col min="16" max="16" width="9.109375" style="1"/>
    <col min="17" max="22" width="9" style="1" customWidth="1"/>
    <col min="23" max="16384" width="9.109375" style="1"/>
  </cols>
  <sheetData>
    <row r="1" spans="1:20" ht="23.4" customHeight="1">
      <c r="A1" s="11" t="s">
        <v>61</v>
      </c>
      <c r="B1" s="8"/>
      <c r="C1" s="8"/>
      <c r="D1" s="8"/>
      <c r="E1" s="8"/>
      <c r="F1" s="290" t="s">
        <v>31</v>
      </c>
      <c r="G1" s="290"/>
      <c r="H1" s="290"/>
      <c r="I1" s="290"/>
      <c r="J1" s="290"/>
      <c r="K1" s="290"/>
      <c r="L1" s="290"/>
      <c r="M1" s="290"/>
      <c r="N1" s="290"/>
      <c r="O1" s="367"/>
      <c r="P1" s="367"/>
      <c r="T1" s="2"/>
    </row>
    <row r="2" spans="1:20" ht="12.6" customHeight="1">
      <c r="A2" s="11"/>
      <c r="B2" s="8"/>
      <c r="C2" s="8"/>
      <c r="D2" s="8"/>
      <c r="E2" s="8"/>
      <c r="F2" s="172"/>
      <c r="G2" s="172"/>
      <c r="H2" s="172"/>
      <c r="I2" s="172"/>
      <c r="J2" s="172"/>
      <c r="K2" s="172"/>
      <c r="L2" s="172"/>
      <c r="M2" s="172"/>
      <c r="N2" s="172"/>
      <c r="O2" s="367"/>
      <c r="P2" s="367"/>
      <c r="T2" s="2"/>
    </row>
    <row r="3" spans="1:20" ht="23.4" customHeight="1">
      <c r="A3" s="8" t="s">
        <v>215</v>
      </c>
      <c r="B3" s="8"/>
      <c r="C3" s="8"/>
      <c r="D3" s="8"/>
      <c r="E3" s="8"/>
      <c r="F3" s="172"/>
      <c r="G3" s="172"/>
      <c r="H3" s="172"/>
      <c r="I3" s="172"/>
      <c r="J3" s="172"/>
      <c r="K3" s="172"/>
      <c r="L3" s="172"/>
      <c r="M3" s="172"/>
      <c r="N3" s="172"/>
      <c r="O3" s="367"/>
      <c r="P3" s="367"/>
      <c r="T3" s="2"/>
    </row>
    <row r="4" spans="1:20" ht="12.6" customHeight="1">
      <c r="A4" s="8"/>
      <c r="B4" s="8"/>
      <c r="C4" s="8"/>
      <c r="D4" s="8"/>
      <c r="E4" s="8"/>
      <c r="F4" s="172"/>
      <c r="G4" s="172"/>
      <c r="H4" s="172"/>
      <c r="I4" s="172"/>
      <c r="J4" s="172"/>
      <c r="K4" s="172"/>
      <c r="L4" s="172"/>
      <c r="M4" s="172"/>
      <c r="N4" s="172"/>
      <c r="O4" s="367"/>
      <c r="P4" s="367"/>
      <c r="T4" s="2"/>
    </row>
    <row r="5" spans="1:20" s="2" customFormat="1" ht="19.2" customHeight="1">
      <c r="A5" s="194" t="s">
        <v>97</v>
      </c>
      <c r="B5" s="194"/>
      <c r="C5" s="194"/>
      <c r="D5" s="194"/>
      <c r="E5" s="194" t="s">
        <v>98</v>
      </c>
      <c r="F5" s="194"/>
      <c r="G5" s="194"/>
      <c r="H5" s="194"/>
      <c r="I5" s="194"/>
      <c r="J5" s="194"/>
      <c r="K5" s="194"/>
      <c r="L5" s="194"/>
      <c r="M5" s="194"/>
      <c r="N5" s="194"/>
      <c r="O5" s="368"/>
    </row>
    <row r="6" spans="1:20" s="2" customFormat="1" ht="19.2" customHeight="1">
      <c r="A6" s="195" t="s">
        <v>90</v>
      </c>
      <c r="B6" s="195"/>
      <c r="C6" s="195"/>
      <c r="D6" s="195"/>
      <c r="E6" s="199" t="s">
        <v>169</v>
      </c>
      <c r="F6" s="200"/>
      <c r="G6" s="200"/>
      <c r="H6" s="200"/>
      <c r="I6" s="201"/>
      <c r="J6" s="199" t="s">
        <v>137</v>
      </c>
      <c r="K6" s="200"/>
      <c r="L6" s="200"/>
      <c r="M6" s="200"/>
      <c r="N6" s="201"/>
      <c r="O6" s="368"/>
    </row>
    <row r="7" spans="1:20" s="2" customFormat="1" ht="19.2" customHeight="1">
      <c r="A7" s="344" t="s">
        <v>168</v>
      </c>
      <c r="B7" s="345"/>
      <c r="C7" s="345"/>
      <c r="D7" s="346"/>
      <c r="E7" s="202"/>
      <c r="F7" s="203"/>
      <c r="G7" s="203"/>
      <c r="H7" s="203"/>
      <c r="I7" s="204"/>
      <c r="J7" s="202"/>
      <c r="K7" s="203"/>
      <c r="L7" s="203"/>
      <c r="M7" s="203"/>
      <c r="N7" s="204"/>
      <c r="O7" s="368"/>
    </row>
    <row r="8" spans="1:20" s="2" customFormat="1" ht="19.2" customHeight="1">
      <c r="A8" s="344" t="s">
        <v>184</v>
      </c>
      <c r="B8" s="345"/>
      <c r="C8" s="345"/>
      <c r="D8" s="346"/>
      <c r="E8" s="202"/>
      <c r="F8" s="203"/>
      <c r="G8" s="203"/>
      <c r="H8" s="203"/>
      <c r="I8" s="204"/>
      <c r="J8" s="202"/>
      <c r="K8" s="203"/>
      <c r="L8" s="203"/>
      <c r="M8" s="203"/>
      <c r="N8" s="204"/>
      <c r="O8" s="368"/>
    </row>
    <row r="9" spans="1:20" s="2" customFormat="1" ht="19.2" customHeight="1">
      <c r="A9" s="356" t="s">
        <v>185</v>
      </c>
      <c r="B9" s="356"/>
      <c r="C9" s="356"/>
      <c r="D9" s="356"/>
      <c r="E9" s="205"/>
      <c r="F9" s="206"/>
      <c r="G9" s="206"/>
      <c r="H9" s="206"/>
      <c r="I9" s="207"/>
      <c r="J9" s="205"/>
      <c r="K9" s="206"/>
      <c r="L9" s="206"/>
      <c r="M9" s="206"/>
      <c r="N9" s="207"/>
      <c r="O9" s="368"/>
    </row>
    <row r="10" spans="1:20" s="2" customFormat="1" ht="19.2" customHeight="1">
      <c r="A10" s="228" t="s">
        <v>122</v>
      </c>
      <c r="B10" s="229"/>
      <c r="C10" s="230"/>
      <c r="D10" s="128">
        <v>207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368"/>
    </row>
    <row r="11" spans="1:20" ht="21" customHeight="1">
      <c r="A11" s="208" t="s">
        <v>0</v>
      </c>
      <c r="B11" s="211" t="s">
        <v>19</v>
      </c>
      <c r="C11" s="214" t="s">
        <v>8</v>
      </c>
      <c r="D11" s="214" t="s">
        <v>9</v>
      </c>
      <c r="E11" s="217" t="s">
        <v>11</v>
      </c>
      <c r="F11" s="218"/>
      <c r="G11" s="217" t="s">
        <v>13</v>
      </c>
      <c r="H11" s="218"/>
      <c r="I11" s="221" t="s">
        <v>16</v>
      </c>
      <c r="J11" s="221" t="s">
        <v>41</v>
      </c>
      <c r="K11" s="221" t="s">
        <v>42</v>
      </c>
      <c r="L11" s="339" t="s">
        <v>17</v>
      </c>
      <c r="M11" s="221" t="s">
        <v>57</v>
      </c>
      <c r="N11" s="208" t="s">
        <v>18</v>
      </c>
      <c r="O11" s="369"/>
    </row>
    <row r="12" spans="1:20" ht="21" customHeight="1">
      <c r="A12" s="209"/>
      <c r="B12" s="212"/>
      <c r="C12" s="215"/>
      <c r="D12" s="215"/>
      <c r="E12" s="219"/>
      <c r="F12" s="220"/>
      <c r="G12" s="219"/>
      <c r="H12" s="220"/>
      <c r="I12" s="222"/>
      <c r="J12" s="222"/>
      <c r="K12" s="222"/>
      <c r="L12" s="340"/>
      <c r="M12" s="222"/>
      <c r="N12" s="209"/>
      <c r="O12" s="175"/>
    </row>
    <row r="13" spans="1:20" ht="21" customHeight="1">
      <c r="A13" s="209"/>
      <c r="B13" s="212"/>
      <c r="C13" s="215"/>
      <c r="D13" s="215"/>
      <c r="E13" s="221" t="s">
        <v>10</v>
      </c>
      <c r="F13" s="221" t="s">
        <v>12</v>
      </c>
      <c r="G13" s="221" t="s">
        <v>14</v>
      </c>
      <c r="H13" s="221" t="s">
        <v>15</v>
      </c>
      <c r="I13" s="222"/>
      <c r="J13" s="222"/>
      <c r="K13" s="222"/>
      <c r="L13" s="340"/>
      <c r="M13" s="222"/>
      <c r="N13" s="209"/>
      <c r="O13" s="175"/>
    </row>
    <row r="14" spans="1:20" ht="21" customHeight="1">
      <c r="A14" s="210"/>
      <c r="B14" s="213"/>
      <c r="C14" s="216"/>
      <c r="D14" s="216"/>
      <c r="E14" s="223"/>
      <c r="F14" s="223"/>
      <c r="G14" s="223"/>
      <c r="H14" s="223"/>
      <c r="I14" s="223"/>
      <c r="J14" s="223"/>
      <c r="K14" s="223"/>
      <c r="L14" s="341"/>
      <c r="M14" s="223"/>
      <c r="N14" s="210"/>
      <c r="O14" s="175"/>
    </row>
    <row r="15" spans="1:20" ht="18.600000000000001" customHeight="1">
      <c r="A15" s="237" t="s">
        <v>34</v>
      </c>
      <c r="B15" s="238"/>
      <c r="C15" s="238"/>
      <c r="D15" s="238"/>
      <c r="E15" s="238"/>
      <c r="F15" s="238"/>
      <c r="G15" s="238"/>
      <c r="H15" s="238"/>
      <c r="I15" s="238"/>
      <c r="J15" s="238"/>
      <c r="K15" s="238"/>
      <c r="L15" s="238"/>
      <c r="M15" s="238"/>
      <c r="N15" s="239"/>
      <c r="O15" s="175"/>
    </row>
    <row r="16" spans="1:20" s="2" customFormat="1" ht="18.600000000000001" customHeight="1">
      <c r="A16" s="9">
        <v>1</v>
      </c>
      <c r="B16" s="10" t="s">
        <v>2</v>
      </c>
      <c r="C16" s="23">
        <f>L16/100*100</f>
        <v>270</v>
      </c>
      <c r="D16" s="24">
        <f>C16/100*60</f>
        <v>162</v>
      </c>
      <c r="E16" s="25">
        <f>C16/100*15</f>
        <v>40.5</v>
      </c>
      <c r="F16" s="25"/>
      <c r="G16" s="25"/>
      <c r="H16" s="25"/>
      <c r="I16" s="25"/>
      <c r="J16" s="81">
        <f>C16/100*387</f>
        <v>1044.9000000000001</v>
      </c>
      <c r="K16" s="27">
        <f>C16/100*0.09</f>
        <v>0.24299999999999999</v>
      </c>
      <c r="L16" s="137">
        <v>270</v>
      </c>
      <c r="M16" s="75">
        <v>20</v>
      </c>
      <c r="N16" s="28">
        <f>L16*M16</f>
        <v>5400</v>
      </c>
      <c r="O16" s="153"/>
    </row>
    <row r="17" spans="1:20" s="2" customFormat="1" ht="18.600000000000001" customHeight="1">
      <c r="A17" s="9">
        <v>3</v>
      </c>
      <c r="B17" s="148" t="s">
        <v>146</v>
      </c>
      <c r="C17" s="23">
        <f>L17/100*100</f>
        <v>930.00000000000011</v>
      </c>
      <c r="D17" s="120">
        <f>C17/100*900</f>
        <v>8370</v>
      </c>
      <c r="E17" s="25"/>
      <c r="F17" s="25"/>
      <c r="G17" s="119"/>
      <c r="H17" s="25">
        <f>C17/100*100</f>
        <v>930.00000000000011</v>
      </c>
      <c r="I17" s="25"/>
      <c r="J17" s="25"/>
      <c r="K17" s="25"/>
      <c r="L17" s="137">
        <v>930</v>
      </c>
      <c r="M17" s="75">
        <v>63.5</v>
      </c>
      <c r="N17" s="28">
        <f t="shared" ref="N17:N25" si="0">L17*M17</f>
        <v>59055</v>
      </c>
      <c r="O17" s="373"/>
    </row>
    <row r="18" spans="1:20" s="2" customFormat="1" ht="18.600000000000001" customHeight="1">
      <c r="A18" s="9">
        <v>4</v>
      </c>
      <c r="B18" s="5" t="s">
        <v>1</v>
      </c>
      <c r="C18" s="23">
        <f>L18/100*100</f>
        <v>19665</v>
      </c>
      <c r="D18" s="120">
        <f>C18/100*344</f>
        <v>67647.600000000006</v>
      </c>
      <c r="E18" s="25"/>
      <c r="F18" s="119">
        <f>C18/100*7.9</f>
        <v>1553.5350000000001</v>
      </c>
      <c r="G18" s="25"/>
      <c r="H18" s="25">
        <f>C18/100*1</f>
        <v>196.65</v>
      </c>
      <c r="I18" s="130">
        <f>C18/100*73.2</f>
        <v>14394.78</v>
      </c>
      <c r="J18" s="81">
        <f>C18/100*30</f>
        <v>5899.5</v>
      </c>
      <c r="K18" s="27">
        <f>C18/100*0.1</f>
        <v>19.665000000000003</v>
      </c>
      <c r="L18" s="401">
        <v>19665</v>
      </c>
      <c r="M18" s="75">
        <v>18</v>
      </c>
      <c r="N18" s="124">
        <f t="shared" si="0"/>
        <v>353970</v>
      </c>
      <c r="O18" s="153"/>
    </row>
    <row r="19" spans="1:20" s="2" customFormat="1" ht="18.600000000000001" customHeight="1">
      <c r="A19" s="9">
        <v>5</v>
      </c>
      <c r="B19" s="5" t="s">
        <v>96</v>
      </c>
      <c r="C19" s="23">
        <f>L19/100*90</f>
        <v>3896.9999999999995</v>
      </c>
      <c r="D19" s="24">
        <f>C19/100*90</f>
        <v>3507.2999999999997</v>
      </c>
      <c r="E19" s="25">
        <f>C19/100*18.4</f>
        <v>717.04799999999989</v>
      </c>
      <c r="F19" s="25"/>
      <c r="G19" s="25">
        <f>C19/100*1.8</f>
        <v>70.146000000000001</v>
      </c>
      <c r="H19" s="25"/>
      <c r="I19" s="25"/>
      <c r="J19" s="81">
        <f>C19/100*1120</f>
        <v>43646.400000000001</v>
      </c>
      <c r="K19" s="27">
        <f>C19/100*0.02</f>
        <v>0.77939999999999998</v>
      </c>
      <c r="L19" s="137">
        <v>4330</v>
      </c>
      <c r="M19" s="75">
        <v>260</v>
      </c>
      <c r="N19" s="171">
        <f t="shared" si="0"/>
        <v>1125800</v>
      </c>
      <c r="O19" s="153"/>
      <c r="Q19" s="3"/>
      <c r="R19" s="3"/>
      <c r="S19" s="4"/>
    </row>
    <row r="20" spans="1:20" s="2" customFormat="1" ht="18.600000000000001" customHeight="1">
      <c r="A20" s="9">
        <v>6</v>
      </c>
      <c r="B20" s="10" t="s">
        <v>71</v>
      </c>
      <c r="C20" s="23">
        <f>L20/100*98</f>
        <v>7918.4</v>
      </c>
      <c r="D20" s="120">
        <f>C20/100*139</f>
        <v>11006.575999999999</v>
      </c>
      <c r="E20" s="119">
        <f>C20/100*19</f>
        <v>1504.4959999999999</v>
      </c>
      <c r="F20" s="25"/>
      <c r="G20" s="25">
        <f>C20/100*7</f>
        <v>554.28800000000001</v>
      </c>
      <c r="H20" s="25"/>
      <c r="I20" s="25"/>
      <c r="J20" s="27">
        <f>C20/100*7</f>
        <v>554.28800000000001</v>
      </c>
      <c r="K20" s="27">
        <f>C20/100*0.9</f>
        <v>71.265600000000006</v>
      </c>
      <c r="L20" s="137">
        <v>8080</v>
      </c>
      <c r="M20" s="143">
        <v>137</v>
      </c>
      <c r="N20" s="171">
        <f t="shared" si="0"/>
        <v>1106960</v>
      </c>
      <c r="O20" s="153"/>
    </row>
    <row r="21" spans="1:20" s="141" customFormat="1" ht="18.600000000000001" customHeight="1">
      <c r="A21" s="164">
        <v>7</v>
      </c>
      <c r="B21" s="149" t="s">
        <v>178</v>
      </c>
      <c r="C21" s="165">
        <f>L21/100*78</f>
        <v>3229.2</v>
      </c>
      <c r="D21" s="139">
        <f>C21/100*37</f>
        <v>1194.8040000000001</v>
      </c>
      <c r="E21" s="136"/>
      <c r="F21" s="136">
        <f>C21/100*2.8</f>
        <v>90.417599999999993</v>
      </c>
      <c r="G21" s="136"/>
      <c r="H21" s="136">
        <f>C21/100*0.1</f>
        <v>3.2292000000000005</v>
      </c>
      <c r="I21" s="136">
        <f>C21/100*6.2</f>
        <v>200.21040000000002</v>
      </c>
      <c r="J21" s="140">
        <f>C21/100*46</f>
        <v>1485.432</v>
      </c>
      <c r="K21" s="136">
        <f>C21/100*0.02</f>
        <v>0.64584000000000008</v>
      </c>
      <c r="L21" s="137">
        <v>4140</v>
      </c>
      <c r="M21" s="166">
        <v>20</v>
      </c>
      <c r="N21" s="135">
        <f t="shared" si="0"/>
        <v>82800</v>
      </c>
      <c r="O21" s="402"/>
    </row>
    <row r="22" spans="1:20" s="2" customFormat="1" ht="18.600000000000001" customHeight="1">
      <c r="A22" s="9">
        <v>8</v>
      </c>
      <c r="B22" s="5" t="s">
        <v>20</v>
      </c>
      <c r="C22" s="23">
        <f>L22/100*95</f>
        <v>1577.0000000000002</v>
      </c>
      <c r="D22" s="24">
        <f>C22/100*20</f>
        <v>315.40000000000009</v>
      </c>
      <c r="E22" s="25"/>
      <c r="F22" s="25">
        <f>C22/100*0.6</f>
        <v>9.4620000000000015</v>
      </c>
      <c r="G22" s="25"/>
      <c r="H22" s="25">
        <f>C22/100*0.2</f>
        <v>3.1540000000000008</v>
      </c>
      <c r="I22" s="25">
        <f>C22/100*4</f>
        <v>63.080000000000013</v>
      </c>
      <c r="J22" s="27">
        <f>C22/100*12</f>
        <v>189.24000000000004</v>
      </c>
      <c r="K22" s="24">
        <f>C22/100*0.04</f>
        <v>0.63080000000000014</v>
      </c>
      <c r="L22" s="137">
        <v>1660</v>
      </c>
      <c r="M22" s="77">
        <v>22</v>
      </c>
      <c r="N22" s="28">
        <f t="shared" si="0"/>
        <v>36520</v>
      </c>
      <c r="O22" s="371"/>
      <c r="Q22" s="3"/>
      <c r="R22" s="3"/>
      <c r="S22" s="4"/>
    </row>
    <row r="23" spans="1:20" s="2" customFormat="1" ht="18.600000000000001" customHeight="1">
      <c r="A23" s="9">
        <v>9</v>
      </c>
      <c r="B23" s="5" t="s">
        <v>155</v>
      </c>
      <c r="C23" s="23">
        <f>L23/100*81</f>
        <v>1853.28</v>
      </c>
      <c r="D23" s="24">
        <f>C23/100*17</f>
        <v>315.05759999999998</v>
      </c>
      <c r="E23" s="29"/>
      <c r="F23" s="29">
        <f>C23/100*0.9</f>
        <v>16.67952</v>
      </c>
      <c r="G23" s="29"/>
      <c r="H23" s="29">
        <f>C23/100*0.2</f>
        <v>3.7065599999999996</v>
      </c>
      <c r="I23" s="29">
        <f>C23/100*2.8</f>
        <v>51.891839999999995</v>
      </c>
      <c r="J23" s="25">
        <f>C23/100*28</f>
        <v>518.91839999999991</v>
      </c>
      <c r="K23" s="27">
        <f>C23/100*0.04</f>
        <v>0.74131199999999997</v>
      </c>
      <c r="L23" s="370">
        <v>2288</v>
      </c>
      <c r="M23" s="75">
        <v>20</v>
      </c>
      <c r="N23" s="28">
        <f t="shared" si="0"/>
        <v>45760</v>
      </c>
      <c r="O23" s="153"/>
      <c r="P23" s="3"/>
    </row>
    <row r="24" spans="1:20" s="141" customFormat="1" ht="16.2" customHeight="1">
      <c r="A24" s="164">
        <v>10</v>
      </c>
      <c r="B24" s="149" t="s">
        <v>186</v>
      </c>
      <c r="C24" s="165">
        <f>L24/100*65</f>
        <v>4303</v>
      </c>
      <c r="D24" s="139">
        <f>C24/100*14</f>
        <v>602.42000000000007</v>
      </c>
      <c r="E24" s="136"/>
      <c r="F24" s="136">
        <f>C24/100*1.6</f>
        <v>68.847999999999999</v>
      </c>
      <c r="G24" s="136"/>
      <c r="H24" s="136"/>
      <c r="I24" s="136">
        <f>C24/100*1.9</f>
        <v>81.757000000000005</v>
      </c>
      <c r="J24" s="140">
        <f>C24/100*63</f>
        <v>2710.89</v>
      </c>
      <c r="K24" s="136">
        <f>C24/100*0.01</f>
        <v>0.43030000000000002</v>
      </c>
      <c r="L24" s="137">
        <v>6620</v>
      </c>
      <c r="M24" s="166">
        <v>24</v>
      </c>
      <c r="N24" s="169">
        <f t="shared" si="0"/>
        <v>158880</v>
      </c>
      <c r="O24" s="402"/>
    </row>
    <row r="25" spans="1:20" s="2" customFormat="1" ht="18.600000000000001" customHeight="1">
      <c r="A25" s="9">
        <v>11</v>
      </c>
      <c r="B25" s="5" t="s">
        <v>136</v>
      </c>
      <c r="C25" s="23">
        <f>L25/100*100</f>
        <v>210</v>
      </c>
      <c r="D25" s="24">
        <f>C25/100*247</f>
        <v>518.70000000000005</v>
      </c>
      <c r="E25" s="29"/>
      <c r="F25" s="29">
        <f>C25/100*17.5</f>
        <v>36.75</v>
      </c>
      <c r="G25" s="29"/>
      <c r="H25" s="29">
        <f>C25/100*1.6</f>
        <v>3.3600000000000003</v>
      </c>
      <c r="I25" s="29">
        <f>C25/100*39.2</f>
        <v>82.320000000000007</v>
      </c>
      <c r="J25" s="71"/>
      <c r="K25" s="71"/>
      <c r="L25" s="370">
        <v>210</v>
      </c>
      <c r="M25" s="75">
        <v>50</v>
      </c>
      <c r="N25" s="28">
        <f t="shared" si="0"/>
        <v>10500</v>
      </c>
      <c r="O25" s="153"/>
      <c r="Q25" s="3"/>
      <c r="R25" s="3"/>
      <c r="S25" s="4"/>
      <c r="T25" s="3"/>
    </row>
    <row r="26" spans="1:20" s="2" customFormat="1" ht="18.600000000000001" customHeight="1">
      <c r="A26" s="9">
        <v>12</v>
      </c>
      <c r="B26" s="6" t="s">
        <v>123</v>
      </c>
      <c r="C26" s="23"/>
      <c r="D26" s="24"/>
      <c r="E26" s="29"/>
      <c r="F26" s="29"/>
      <c r="G26" s="29"/>
      <c r="H26" s="29"/>
      <c r="I26" s="29"/>
      <c r="J26" s="71"/>
      <c r="K26" s="71"/>
      <c r="L26" s="30"/>
      <c r="M26" s="26"/>
      <c r="N26" s="28">
        <v>15750</v>
      </c>
      <c r="O26" s="153"/>
    </row>
    <row r="27" spans="1:20" s="2" customFormat="1" ht="18.600000000000001" customHeight="1">
      <c r="A27" s="21" t="s">
        <v>121</v>
      </c>
      <c r="B27" s="22"/>
      <c r="C27" s="34"/>
      <c r="D27" s="121">
        <f>SUM(D16:D26)</f>
        <v>93639.857600000003</v>
      </c>
      <c r="E27" s="36"/>
      <c r="F27" s="36"/>
      <c r="G27" s="36"/>
      <c r="H27" s="36"/>
      <c r="I27" s="36"/>
      <c r="J27" s="36"/>
      <c r="K27" s="36"/>
      <c r="L27" s="37"/>
      <c r="M27" s="310"/>
      <c r="N27" s="349">
        <f>SUM(N16:N26)</f>
        <v>3001395</v>
      </c>
      <c r="O27" s="153"/>
    </row>
    <row r="28" spans="1:20" s="2" customFormat="1" ht="18.600000000000001" customHeight="1">
      <c r="A28" s="21" t="s">
        <v>6</v>
      </c>
      <c r="B28" s="22"/>
      <c r="C28" s="34"/>
      <c r="D28" s="35">
        <f>D27/D10</f>
        <v>452.36646183574879</v>
      </c>
      <c r="E28" s="36"/>
      <c r="F28" s="36"/>
      <c r="G28" s="36"/>
      <c r="H28" s="36"/>
      <c r="I28" s="36"/>
      <c r="J28" s="36"/>
      <c r="K28" s="36"/>
      <c r="L28" s="37"/>
      <c r="M28" s="311"/>
      <c r="N28" s="350"/>
      <c r="O28" s="153"/>
    </row>
    <row r="29" spans="1:20" s="2" customFormat="1" ht="18.600000000000001" customHeight="1">
      <c r="A29" s="291" t="s">
        <v>51</v>
      </c>
      <c r="B29" s="351"/>
      <c r="C29" s="372" t="s">
        <v>151</v>
      </c>
      <c r="D29" s="20" t="s">
        <v>45</v>
      </c>
      <c r="E29" s="36"/>
      <c r="F29" s="36"/>
      <c r="G29" s="36"/>
      <c r="H29" s="36"/>
      <c r="I29" s="36"/>
      <c r="J29" s="36"/>
      <c r="K29" s="36"/>
      <c r="L29" s="37"/>
      <c r="M29" s="37"/>
      <c r="N29" s="38"/>
      <c r="O29" s="153"/>
    </row>
    <row r="30" spans="1:20" s="2" customFormat="1" ht="18.600000000000001" customHeight="1">
      <c r="A30" s="352"/>
      <c r="B30" s="353"/>
      <c r="C30" s="76" t="s">
        <v>60</v>
      </c>
      <c r="D30" s="20">
        <f>D28*100/1320</f>
        <v>34.270186502708242</v>
      </c>
      <c r="E30" s="36"/>
      <c r="F30" s="36"/>
      <c r="G30" s="36"/>
      <c r="H30" s="36"/>
      <c r="I30" s="36"/>
      <c r="J30" s="36"/>
      <c r="K30" s="36"/>
      <c r="L30" s="37"/>
      <c r="M30" s="37"/>
      <c r="N30" s="38"/>
      <c r="O30" s="153"/>
    </row>
    <row r="31" spans="1:20" s="2" customFormat="1" ht="18.600000000000001" customHeight="1">
      <c r="A31" s="235" t="s">
        <v>35</v>
      </c>
      <c r="B31" s="235"/>
      <c r="C31" s="56"/>
      <c r="D31" s="57"/>
      <c r="E31" s="58"/>
      <c r="F31" s="58"/>
      <c r="G31" s="58"/>
      <c r="H31" s="58"/>
      <c r="I31" s="58"/>
      <c r="J31" s="58"/>
      <c r="K31" s="58"/>
      <c r="L31" s="59"/>
      <c r="M31" s="59"/>
      <c r="N31" s="69"/>
      <c r="O31" s="153"/>
    </row>
    <row r="32" spans="1:20" s="2" customFormat="1" ht="18.600000000000001" customHeight="1">
      <c r="A32" s="14">
        <v>1</v>
      </c>
      <c r="B32" s="159" t="s">
        <v>123</v>
      </c>
      <c r="C32" s="160"/>
      <c r="D32" s="161"/>
      <c r="E32" s="162"/>
      <c r="F32" s="162"/>
      <c r="G32" s="162"/>
      <c r="H32" s="162"/>
      <c r="I32" s="162"/>
      <c r="J32" s="162"/>
      <c r="K32" s="162"/>
      <c r="L32" s="163"/>
      <c r="M32" s="163"/>
      <c r="N32" s="42">
        <v>13550</v>
      </c>
      <c r="O32" s="153"/>
    </row>
    <row r="33" spans="1:20" s="2" customFormat="1" ht="18.600000000000001" customHeight="1">
      <c r="A33" s="9">
        <v>2</v>
      </c>
      <c r="B33" s="10" t="s">
        <v>2</v>
      </c>
      <c r="C33" s="23">
        <f>L33/100*100</f>
        <v>250</v>
      </c>
      <c r="D33" s="24">
        <f>C33/100*60</f>
        <v>150</v>
      </c>
      <c r="E33" s="25">
        <f>C33/100*15</f>
        <v>37.5</v>
      </c>
      <c r="F33" s="25"/>
      <c r="G33" s="25"/>
      <c r="H33" s="25"/>
      <c r="I33" s="25"/>
      <c r="J33" s="27">
        <f>C33/100*387</f>
        <v>967.5</v>
      </c>
      <c r="K33" s="27">
        <f>C33/100*0.09</f>
        <v>0.22499999999999998</v>
      </c>
      <c r="L33" s="137">
        <v>250</v>
      </c>
      <c r="M33" s="75">
        <v>20</v>
      </c>
      <c r="N33" s="28">
        <f>L33*M33</f>
        <v>5000</v>
      </c>
      <c r="O33" s="153"/>
    </row>
    <row r="34" spans="1:20" s="2" customFormat="1" ht="18.600000000000001" customHeight="1">
      <c r="A34" s="9">
        <v>3</v>
      </c>
      <c r="B34" s="5" t="s">
        <v>1</v>
      </c>
      <c r="C34" s="23">
        <f>L34/100*100</f>
        <v>3105</v>
      </c>
      <c r="D34" s="120">
        <f>C34/100*344</f>
        <v>10681.2</v>
      </c>
      <c r="E34" s="25"/>
      <c r="F34" s="25">
        <f>C34/100*7.9</f>
        <v>245.29500000000002</v>
      </c>
      <c r="G34" s="25"/>
      <c r="H34" s="25">
        <f>C34/100*1</f>
        <v>31.05</v>
      </c>
      <c r="I34" s="119">
        <f>C34/100*73.2</f>
        <v>2272.86</v>
      </c>
      <c r="J34" s="27">
        <f>C34/100*30</f>
        <v>931.5</v>
      </c>
      <c r="K34" s="27">
        <f>C34/100*0.1</f>
        <v>3.1050000000000004</v>
      </c>
      <c r="L34" s="137">
        <v>3105</v>
      </c>
      <c r="M34" s="75">
        <v>18</v>
      </c>
      <c r="N34" s="28">
        <f t="shared" ref="N34:N35" si="1">L34*M34</f>
        <v>55890</v>
      </c>
      <c r="O34" s="153"/>
    </row>
    <row r="35" spans="1:20" s="2" customFormat="1" ht="18.600000000000001" customHeight="1">
      <c r="A35" s="9">
        <v>4</v>
      </c>
      <c r="B35" s="5" t="s">
        <v>73</v>
      </c>
      <c r="C35" s="23">
        <f>L35/100*100</f>
        <v>2070</v>
      </c>
      <c r="D35" s="24">
        <f>C35/100*344</f>
        <v>7120.8</v>
      </c>
      <c r="E35" s="25"/>
      <c r="F35" s="25">
        <f>C35/100*8.6</f>
        <v>178.01999999999998</v>
      </c>
      <c r="G35" s="25"/>
      <c r="H35" s="25">
        <f>C35/100*1.5</f>
        <v>31.049999999999997</v>
      </c>
      <c r="I35" s="119">
        <f>C35/100*74.5</f>
        <v>1542.1499999999999</v>
      </c>
      <c r="J35" s="25">
        <f>C35/100*32</f>
        <v>662.4</v>
      </c>
      <c r="K35" s="25">
        <f>C35/100*0.14</f>
        <v>2.8980000000000001</v>
      </c>
      <c r="L35" s="137">
        <v>2070</v>
      </c>
      <c r="M35" s="75">
        <v>30</v>
      </c>
      <c r="N35" s="28">
        <f t="shared" si="1"/>
        <v>62100</v>
      </c>
      <c r="O35" s="153"/>
      <c r="P35" s="18"/>
    </row>
    <row r="36" spans="1:20" s="2" customFormat="1" ht="18.600000000000001" customHeight="1">
      <c r="A36" s="9">
        <v>5</v>
      </c>
      <c r="B36" s="146" t="s">
        <v>141</v>
      </c>
      <c r="C36" s="23">
        <f>L36/100*100</f>
        <v>1250</v>
      </c>
      <c r="D36" s="120">
        <f>C36/100*899</f>
        <v>11237.5</v>
      </c>
      <c r="E36" s="25"/>
      <c r="F36" s="25"/>
      <c r="G36" s="119">
        <f>C36/100*100</f>
        <v>1250</v>
      </c>
      <c r="H36" s="25"/>
      <c r="I36" s="119"/>
      <c r="J36" s="27"/>
      <c r="K36" s="27"/>
      <c r="L36" s="137">
        <v>1250</v>
      </c>
      <c r="M36" s="75">
        <v>68</v>
      </c>
      <c r="N36" s="28">
        <f t="shared" ref="N36:N44" si="2">L36*M36</f>
        <v>85000</v>
      </c>
      <c r="O36" s="153"/>
    </row>
    <row r="37" spans="1:20" s="2" customFormat="1" ht="18.600000000000001" customHeight="1">
      <c r="A37" s="9">
        <v>6</v>
      </c>
      <c r="B37" s="5" t="s">
        <v>136</v>
      </c>
      <c r="C37" s="23">
        <f>L37/100*100</f>
        <v>130</v>
      </c>
      <c r="D37" s="24">
        <f>C37/100*247</f>
        <v>321.10000000000002</v>
      </c>
      <c r="E37" s="29"/>
      <c r="F37" s="29">
        <f>C37/100*17.5</f>
        <v>22.75</v>
      </c>
      <c r="G37" s="29"/>
      <c r="H37" s="29">
        <f>C37/100*1.6</f>
        <v>2.08</v>
      </c>
      <c r="I37" s="29">
        <f>C37/100*39.2</f>
        <v>50.960000000000008</v>
      </c>
      <c r="J37" s="71"/>
      <c r="K37" s="71"/>
      <c r="L37" s="370">
        <v>130</v>
      </c>
      <c r="M37" s="75">
        <v>50</v>
      </c>
      <c r="N37" s="28">
        <f t="shared" si="2"/>
        <v>6500</v>
      </c>
      <c r="O37" s="153"/>
      <c r="Q37" s="3"/>
      <c r="R37" s="3"/>
      <c r="S37" s="4"/>
      <c r="T37" s="3"/>
    </row>
    <row r="38" spans="1:20" s="2" customFormat="1" ht="18.600000000000001" customHeight="1">
      <c r="A38" s="9">
        <v>7</v>
      </c>
      <c r="B38" s="10" t="s">
        <v>70</v>
      </c>
      <c r="C38" s="23">
        <f>L38/100*90</f>
        <v>54</v>
      </c>
      <c r="D38" s="24">
        <f>C38/100*253</f>
        <v>136.62</v>
      </c>
      <c r="E38" s="25"/>
      <c r="F38" s="25">
        <f>C38/100*32.4</f>
        <v>17.495999999999999</v>
      </c>
      <c r="G38" s="25"/>
      <c r="H38" s="25">
        <f>C38/100*3.6</f>
        <v>1.9440000000000002</v>
      </c>
      <c r="I38" s="25">
        <f>C38/100*21.1</f>
        <v>11.394000000000002</v>
      </c>
      <c r="J38" s="27">
        <f>C38/100*165.6</f>
        <v>89.424000000000007</v>
      </c>
      <c r="K38" s="27">
        <f>C38/100*0.14</f>
        <v>7.5600000000000014E-2</v>
      </c>
      <c r="L38" s="137">
        <v>60</v>
      </c>
      <c r="M38" s="75">
        <v>275</v>
      </c>
      <c r="N38" s="28">
        <f t="shared" ref="N38:N39" si="3">L38*M38</f>
        <v>16500</v>
      </c>
      <c r="O38" s="153"/>
    </row>
    <row r="39" spans="1:20" s="2" customFormat="1" ht="18.600000000000001" customHeight="1">
      <c r="A39" s="9">
        <v>8</v>
      </c>
      <c r="B39" s="5" t="s">
        <v>138</v>
      </c>
      <c r="C39" s="23">
        <f>L39/100*100</f>
        <v>819.99999999999989</v>
      </c>
      <c r="D39" s="24">
        <f>C39/100*340</f>
        <v>2787.9999999999995</v>
      </c>
      <c r="E39" s="29"/>
      <c r="F39" s="29">
        <f>C39/100*0.7</f>
        <v>5.7399999999999993</v>
      </c>
      <c r="G39" s="29"/>
      <c r="H39" s="29"/>
      <c r="I39" s="29">
        <f>C39/100*84.3</f>
        <v>691.25999999999988</v>
      </c>
      <c r="J39" s="71"/>
      <c r="K39" s="71"/>
      <c r="L39" s="370">
        <v>820</v>
      </c>
      <c r="M39" s="75">
        <v>180</v>
      </c>
      <c r="N39" s="124">
        <f t="shared" si="3"/>
        <v>147600</v>
      </c>
      <c r="O39" s="153"/>
      <c r="Q39" s="3"/>
      <c r="R39" s="3"/>
      <c r="S39" s="4"/>
      <c r="T39" s="3"/>
    </row>
    <row r="40" spans="1:20" s="2" customFormat="1" ht="18.600000000000001" customHeight="1">
      <c r="A40" s="9">
        <v>9</v>
      </c>
      <c r="B40" s="5" t="s">
        <v>93</v>
      </c>
      <c r="C40" s="23">
        <f>L40/100*81.7</f>
        <v>3390.55</v>
      </c>
      <c r="D40" s="24">
        <f>C40/100*27</f>
        <v>915.44850000000008</v>
      </c>
      <c r="E40" s="29"/>
      <c r="F40" s="29">
        <f>C40/100*0.3</f>
        <v>10.171650000000001</v>
      </c>
      <c r="G40" s="29"/>
      <c r="H40" s="29">
        <f>C40/100*0.1</f>
        <v>3.3905500000000006</v>
      </c>
      <c r="I40" s="29">
        <f>C40/100*6.1</f>
        <v>206.82355000000001</v>
      </c>
      <c r="J40" s="71">
        <f>C40/100*24</f>
        <v>813.73200000000008</v>
      </c>
      <c r="K40" s="71">
        <f>C40/100*0.06</f>
        <v>2.0343300000000002</v>
      </c>
      <c r="L40" s="370">
        <v>4150</v>
      </c>
      <c r="M40" s="26">
        <v>22</v>
      </c>
      <c r="N40" s="28">
        <f t="shared" si="2"/>
        <v>91300</v>
      </c>
      <c r="O40" s="153"/>
      <c r="Q40" s="3"/>
      <c r="R40" s="3"/>
      <c r="S40" s="4"/>
    </row>
    <row r="41" spans="1:20" s="2" customFormat="1" ht="18.600000000000001" customHeight="1">
      <c r="A41" s="9">
        <v>10</v>
      </c>
      <c r="B41" s="10" t="s">
        <v>170</v>
      </c>
      <c r="C41" s="23">
        <f>L41/100*55</f>
        <v>1710.5</v>
      </c>
      <c r="D41" s="120">
        <f>C41/100*196</f>
        <v>3352.58</v>
      </c>
      <c r="E41" s="25"/>
      <c r="F41" s="136">
        <f>C41/100*4.1</f>
        <v>70.130499999999998</v>
      </c>
      <c r="G41" s="25"/>
      <c r="H41" s="25">
        <f>C41/100*2.3</f>
        <v>39.341499999999996</v>
      </c>
      <c r="I41" s="25">
        <f>C41/100*39.6</f>
        <v>677.35800000000006</v>
      </c>
      <c r="J41" s="27">
        <f>C41/100*4</f>
        <v>68.42</v>
      </c>
      <c r="K41" s="27">
        <f>C41/100*0.15</f>
        <v>2.56575</v>
      </c>
      <c r="L41" s="401">
        <v>3110</v>
      </c>
      <c r="M41" s="75">
        <v>22</v>
      </c>
      <c r="N41" s="28">
        <f t="shared" si="2"/>
        <v>68420</v>
      </c>
      <c r="O41" s="402"/>
      <c r="P41" s="141"/>
      <c r="Q41" s="141"/>
    </row>
    <row r="42" spans="1:20" s="2" customFormat="1" ht="18.600000000000001" customHeight="1">
      <c r="A42" s="9">
        <v>11</v>
      </c>
      <c r="B42" s="5" t="s">
        <v>69</v>
      </c>
      <c r="C42" s="23">
        <f>L42/100*48</f>
        <v>3787.2000000000003</v>
      </c>
      <c r="D42" s="24">
        <f>C42/100*199</f>
        <v>7536.5280000000002</v>
      </c>
      <c r="E42" s="25">
        <f>C42/100*20.3</f>
        <v>768.80160000000001</v>
      </c>
      <c r="F42" s="25"/>
      <c r="G42" s="25">
        <f>C42/100*13.1</f>
        <v>496.1232</v>
      </c>
      <c r="H42" s="25"/>
      <c r="I42" s="25"/>
      <c r="J42" s="27">
        <f>C42/100*12</f>
        <v>454.464</v>
      </c>
      <c r="K42" s="27">
        <f>C42/100*0.15</f>
        <v>5.6807999999999996</v>
      </c>
      <c r="L42" s="26">
        <v>7890</v>
      </c>
      <c r="M42" s="137">
        <v>84</v>
      </c>
      <c r="N42" s="124">
        <f t="shared" si="2"/>
        <v>662760</v>
      </c>
      <c r="O42" s="153"/>
      <c r="Q42" s="3"/>
      <c r="R42" s="3"/>
      <c r="S42" s="4"/>
    </row>
    <row r="43" spans="1:20" s="2" customFormat="1" ht="18.600000000000001" customHeight="1">
      <c r="A43" s="9">
        <v>12</v>
      </c>
      <c r="B43" s="10" t="s">
        <v>64</v>
      </c>
      <c r="C43" s="23">
        <f>L43/100*40</f>
        <v>2104</v>
      </c>
      <c r="D43" s="24">
        <f>C43/100*276</f>
        <v>5807.04</v>
      </c>
      <c r="E43" s="25">
        <f>C43/100*17.8</f>
        <v>374.512</v>
      </c>
      <c r="F43" s="25"/>
      <c r="G43" s="25">
        <f>C43/100*21.8</f>
        <v>458.67199999999997</v>
      </c>
      <c r="H43" s="25"/>
      <c r="I43" s="25"/>
      <c r="J43" s="27">
        <f>C43/100*13</f>
        <v>273.52</v>
      </c>
      <c r="K43" s="27">
        <f>C43/100*0.07</f>
        <v>1.4728000000000001</v>
      </c>
      <c r="L43" s="137">
        <v>5260</v>
      </c>
      <c r="M43" s="75">
        <v>63</v>
      </c>
      <c r="N43" s="124">
        <f t="shared" si="2"/>
        <v>331380</v>
      </c>
      <c r="O43" s="153"/>
    </row>
    <row r="44" spans="1:20" s="2" customFormat="1" ht="18.600000000000001" customHeight="1">
      <c r="A44" s="103">
        <v>13</v>
      </c>
      <c r="B44" s="112" t="s">
        <v>171</v>
      </c>
      <c r="C44" s="104">
        <f>L44/100*85</f>
        <v>178.5</v>
      </c>
      <c r="D44" s="105">
        <f>C44/100*11</f>
        <v>19.634999999999998</v>
      </c>
      <c r="E44" s="106"/>
      <c r="F44" s="106">
        <f>C44/100*2.2</f>
        <v>3.927</v>
      </c>
      <c r="G44" s="106"/>
      <c r="H44" s="106"/>
      <c r="I44" s="106">
        <f>C44/100*0.6</f>
        <v>1.071</v>
      </c>
      <c r="J44" s="114"/>
      <c r="K44" s="114"/>
      <c r="L44" s="403">
        <v>210</v>
      </c>
      <c r="M44" s="145">
        <v>30</v>
      </c>
      <c r="N44" s="108">
        <f t="shared" si="2"/>
        <v>6300</v>
      </c>
      <c r="O44" s="153"/>
      <c r="Q44" s="3"/>
      <c r="R44" s="3"/>
    </row>
    <row r="45" spans="1:20" ht="22.8" customHeight="1">
      <c r="A45" s="208" t="s">
        <v>0</v>
      </c>
      <c r="B45" s="211" t="s">
        <v>19</v>
      </c>
      <c r="C45" s="214" t="s">
        <v>8</v>
      </c>
      <c r="D45" s="214" t="s">
        <v>9</v>
      </c>
      <c r="E45" s="217" t="s">
        <v>11</v>
      </c>
      <c r="F45" s="218"/>
      <c r="G45" s="217" t="s">
        <v>13</v>
      </c>
      <c r="H45" s="218"/>
      <c r="I45" s="221" t="s">
        <v>16</v>
      </c>
      <c r="J45" s="221" t="s">
        <v>41</v>
      </c>
      <c r="K45" s="221" t="s">
        <v>42</v>
      </c>
      <c r="L45" s="339" t="s">
        <v>17</v>
      </c>
      <c r="M45" s="221" t="s">
        <v>57</v>
      </c>
      <c r="N45" s="208" t="s">
        <v>18</v>
      </c>
      <c r="O45" s="369"/>
    </row>
    <row r="46" spans="1:20" ht="22.8" customHeight="1">
      <c r="A46" s="209"/>
      <c r="B46" s="212"/>
      <c r="C46" s="215"/>
      <c r="D46" s="215"/>
      <c r="E46" s="219"/>
      <c r="F46" s="220"/>
      <c r="G46" s="219"/>
      <c r="H46" s="220"/>
      <c r="I46" s="222"/>
      <c r="J46" s="222"/>
      <c r="K46" s="222"/>
      <c r="L46" s="340"/>
      <c r="M46" s="222"/>
      <c r="N46" s="209"/>
      <c r="O46" s="175"/>
    </row>
    <row r="47" spans="1:20" ht="22.8" customHeight="1">
      <c r="A47" s="209"/>
      <c r="B47" s="212"/>
      <c r="C47" s="215"/>
      <c r="D47" s="215"/>
      <c r="E47" s="221" t="s">
        <v>10</v>
      </c>
      <c r="F47" s="221" t="s">
        <v>12</v>
      </c>
      <c r="G47" s="221" t="s">
        <v>14</v>
      </c>
      <c r="H47" s="221" t="s">
        <v>15</v>
      </c>
      <c r="I47" s="222"/>
      <c r="J47" s="222"/>
      <c r="K47" s="222"/>
      <c r="L47" s="340"/>
      <c r="M47" s="222"/>
      <c r="N47" s="209"/>
      <c r="O47" s="175"/>
    </row>
    <row r="48" spans="1:20" ht="22.8" customHeight="1">
      <c r="A48" s="210"/>
      <c r="B48" s="213"/>
      <c r="C48" s="216"/>
      <c r="D48" s="216"/>
      <c r="E48" s="223"/>
      <c r="F48" s="223"/>
      <c r="G48" s="223"/>
      <c r="H48" s="223"/>
      <c r="I48" s="223"/>
      <c r="J48" s="223"/>
      <c r="K48" s="223"/>
      <c r="L48" s="341"/>
      <c r="M48" s="223"/>
      <c r="N48" s="210"/>
      <c r="O48" s="175"/>
    </row>
    <row r="49" spans="1:23" s="2" customFormat="1" ht="19.2" customHeight="1">
      <c r="A49" s="21" t="s">
        <v>106</v>
      </c>
      <c r="B49" s="22"/>
      <c r="C49" s="34"/>
      <c r="D49" s="121">
        <f>SUM(D33:D44)</f>
        <v>50066.451500000003</v>
      </c>
      <c r="E49" s="43"/>
      <c r="F49" s="43"/>
      <c r="G49" s="43"/>
      <c r="H49" s="43"/>
      <c r="I49" s="43"/>
      <c r="J49" s="43"/>
      <c r="K49" s="43"/>
      <c r="L49" s="44"/>
      <c r="M49" s="307"/>
      <c r="N49" s="347">
        <f>SUM(N30:N44)</f>
        <v>1552300</v>
      </c>
      <c r="O49" s="153"/>
    </row>
    <row r="50" spans="1:23" ht="19.2" customHeight="1">
      <c r="A50" s="21" t="s">
        <v>7</v>
      </c>
      <c r="B50" s="22"/>
      <c r="C50" s="45"/>
      <c r="D50" s="46">
        <f>D49/D10</f>
        <v>241.8669154589372</v>
      </c>
      <c r="E50" s="46"/>
      <c r="F50" s="46"/>
      <c r="G50" s="46"/>
      <c r="H50" s="46"/>
      <c r="I50" s="46"/>
      <c r="J50" s="46"/>
      <c r="K50" s="46"/>
      <c r="L50" s="47"/>
      <c r="M50" s="308"/>
      <c r="N50" s="348"/>
      <c r="O50" s="404"/>
      <c r="P50" s="2"/>
      <c r="Q50" s="2"/>
      <c r="R50" s="2"/>
      <c r="S50" s="2"/>
      <c r="T50" s="2"/>
      <c r="U50" s="2"/>
      <c r="V50" s="2"/>
    </row>
    <row r="51" spans="1:23" ht="19.2" customHeight="1">
      <c r="A51" s="291" t="s">
        <v>52</v>
      </c>
      <c r="B51" s="225"/>
      <c r="C51" s="372" t="s">
        <v>151</v>
      </c>
      <c r="D51" s="20" t="s">
        <v>58</v>
      </c>
      <c r="E51" s="46"/>
      <c r="F51" s="46"/>
      <c r="G51" s="46"/>
      <c r="H51" s="46"/>
      <c r="I51" s="46"/>
      <c r="J51" s="48"/>
      <c r="K51" s="48"/>
      <c r="L51" s="47"/>
      <c r="M51" s="47"/>
      <c r="N51" s="176"/>
      <c r="O51" s="4"/>
      <c r="P51" s="2"/>
      <c r="Q51" s="2"/>
      <c r="R51" s="2"/>
      <c r="S51" s="2"/>
      <c r="T51" s="2"/>
      <c r="U51" s="2"/>
      <c r="V51" s="2"/>
      <c r="W51" s="2"/>
    </row>
    <row r="52" spans="1:23" ht="19.2" customHeight="1">
      <c r="A52" s="226"/>
      <c r="B52" s="227"/>
      <c r="C52" s="76" t="s">
        <v>60</v>
      </c>
      <c r="D52" s="20">
        <f>D50*100/1320</f>
        <v>18.323251171131606</v>
      </c>
      <c r="E52" s="46"/>
      <c r="F52" s="46"/>
      <c r="G52" s="46"/>
      <c r="H52" s="46"/>
      <c r="I52" s="46"/>
      <c r="J52" s="48"/>
      <c r="K52" s="48"/>
      <c r="L52" s="47"/>
      <c r="M52" s="47"/>
      <c r="N52" s="176"/>
      <c r="O52" s="4"/>
      <c r="P52" s="2"/>
      <c r="Q52" s="2"/>
      <c r="R52" s="2"/>
      <c r="S52" s="2"/>
      <c r="T52" s="2"/>
      <c r="U52" s="2"/>
      <c r="V52" s="2"/>
      <c r="W52" s="2"/>
    </row>
    <row r="53" spans="1:23" ht="19.2" customHeight="1">
      <c r="A53" s="283" t="s">
        <v>107</v>
      </c>
      <c r="B53" s="284"/>
      <c r="C53" s="287"/>
      <c r="D53" s="296">
        <f>D27+D49</f>
        <v>143706.30910000001</v>
      </c>
      <c r="E53" s="123">
        <f t="shared" ref="E53:K53" si="4">SUM(E16:E44)</f>
        <v>3442.8575999999998</v>
      </c>
      <c r="F53" s="123">
        <f t="shared" si="4"/>
        <v>2329.2222700000007</v>
      </c>
      <c r="G53" s="123">
        <f t="shared" si="4"/>
        <v>2829.2292000000002</v>
      </c>
      <c r="H53" s="123">
        <f t="shared" si="4"/>
        <v>1248.9558099999999</v>
      </c>
      <c r="I53" s="354">
        <f t="shared" si="4"/>
        <v>20327.915789999999</v>
      </c>
      <c r="J53" s="354">
        <f t="shared" si="4"/>
        <v>60310.528400000003</v>
      </c>
      <c r="K53" s="281">
        <f t="shared" si="4"/>
        <v>112.45853199999999</v>
      </c>
      <c r="L53" s="265"/>
      <c r="M53" s="265"/>
      <c r="N53" s="357">
        <f>N27+N49</f>
        <v>4553695</v>
      </c>
      <c r="U53" s="12"/>
      <c r="V53" s="12"/>
    </row>
    <row r="54" spans="1:23" ht="19.2" customHeight="1">
      <c r="A54" s="285"/>
      <c r="B54" s="286"/>
      <c r="C54" s="288"/>
      <c r="D54" s="297"/>
      <c r="E54" s="279">
        <f>E53+F53</f>
        <v>5772.0798700000005</v>
      </c>
      <c r="F54" s="280"/>
      <c r="G54" s="279">
        <f>G53+H53</f>
        <v>4078.1850100000001</v>
      </c>
      <c r="H54" s="280"/>
      <c r="I54" s="355"/>
      <c r="J54" s="355"/>
      <c r="K54" s="282"/>
      <c r="L54" s="265"/>
      <c r="M54" s="265"/>
      <c r="N54" s="357"/>
      <c r="P54" s="395"/>
      <c r="Q54" s="396"/>
      <c r="R54" s="396"/>
      <c r="S54" s="396"/>
      <c r="T54" s="396"/>
      <c r="U54" s="397"/>
      <c r="V54" s="397"/>
    </row>
    <row r="55" spans="1:23" ht="20.399999999999999" customHeight="1">
      <c r="A55" s="266" t="s">
        <v>77</v>
      </c>
      <c r="B55" s="267"/>
      <c r="C55" s="268"/>
      <c r="D55" s="142">
        <f>D53/D10</f>
        <v>694.23337729468608</v>
      </c>
      <c r="E55" s="374">
        <f>E53/D10</f>
        <v>16.632162318840578</v>
      </c>
      <c r="F55" s="375">
        <f>F53/D10</f>
        <v>11.252281497584544</v>
      </c>
      <c r="G55" s="374">
        <f>G53/D10</f>
        <v>13.667773913043479</v>
      </c>
      <c r="H55" s="405">
        <f>H53/D10</f>
        <v>6.0336029468599026</v>
      </c>
      <c r="I55" s="342">
        <f>I53/D10</f>
        <v>98.202491739130437</v>
      </c>
      <c r="J55" s="342">
        <f>J53/D10</f>
        <v>291.35520966183577</v>
      </c>
      <c r="K55" s="299">
        <f>K53/D10</f>
        <v>0.54327793236714972</v>
      </c>
      <c r="L55" s="265"/>
      <c r="M55" s="265"/>
      <c r="N55" s="357"/>
      <c r="P55" s="398"/>
      <c r="Q55" s="396"/>
      <c r="R55" s="396"/>
      <c r="S55" s="396"/>
      <c r="T55" s="396"/>
      <c r="U55" s="396"/>
      <c r="V55" s="396"/>
    </row>
    <row r="56" spans="1:23" ht="20.399999999999999" customHeight="1">
      <c r="A56" s="269"/>
      <c r="B56" s="270"/>
      <c r="C56" s="271"/>
      <c r="D56" s="127"/>
      <c r="E56" s="376">
        <f>E55+F55</f>
        <v>27.884443816425122</v>
      </c>
      <c r="F56" s="377"/>
      <c r="G56" s="376">
        <f>G55+H55</f>
        <v>19.701376859903384</v>
      </c>
      <c r="H56" s="377"/>
      <c r="I56" s="343"/>
      <c r="J56" s="343"/>
      <c r="K56" s="300"/>
      <c r="L56" s="265"/>
      <c r="M56" s="265"/>
      <c r="N56" s="357"/>
      <c r="P56" s="395"/>
      <c r="Q56" s="395"/>
      <c r="R56" s="395"/>
      <c r="S56" s="395"/>
      <c r="T56" s="395"/>
      <c r="U56" s="395"/>
      <c r="V56" s="395"/>
    </row>
    <row r="57" spans="1:23" ht="20.399999999999999" customHeight="1">
      <c r="A57" s="304" t="s">
        <v>80</v>
      </c>
      <c r="B57" s="305"/>
      <c r="C57" s="306"/>
      <c r="D57" s="178" t="s">
        <v>28</v>
      </c>
      <c r="E57" s="194" t="s">
        <v>21</v>
      </c>
      <c r="F57" s="194"/>
      <c r="G57" s="194" t="s">
        <v>22</v>
      </c>
      <c r="H57" s="194"/>
      <c r="I57" s="174" t="s">
        <v>23</v>
      </c>
      <c r="J57" s="378">
        <v>600</v>
      </c>
      <c r="K57" s="378">
        <v>0.7</v>
      </c>
      <c r="L57" s="265"/>
      <c r="M57" s="265"/>
      <c r="N57" s="357"/>
      <c r="O57" s="379"/>
      <c r="P57" s="395"/>
      <c r="Q57" s="395"/>
      <c r="R57" s="395"/>
      <c r="S57" s="395"/>
      <c r="T57" s="395"/>
      <c r="U57" s="395"/>
      <c r="V57" s="395"/>
    </row>
    <row r="58" spans="1:23" ht="20.399999999999999" customHeight="1">
      <c r="A58" s="242" t="s">
        <v>78</v>
      </c>
      <c r="B58" s="272"/>
      <c r="C58" s="243"/>
      <c r="D58" s="49"/>
      <c r="E58" s="273">
        <f>E56*4.1</f>
        <v>114.326219647343</v>
      </c>
      <c r="F58" s="274"/>
      <c r="G58" s="273">
        <f>G56*9</f>
        <v>177.31239173913045</v>
      </c>
      <c r="H58" s="274"/>
      <c r="I58" s="122">
        <f>I55*4.1</f>
        <v>402.63021613043475</v>
      </c>
      <c r="J58" s="254"/>
      <c r="K58" s="254"/>
      <c r="L58" s="265"/>
      <c r="M58" s="265"/>
      <c r="N58" s="357"/>
      <c r="O58" s="379"/>
      <c r="P58" s="399"/>
      <c r="Q58" s="400"/>
      <c r="R58" s="400"/>
      <c r="S58" s="400"/>
      <c r="T58" s="395"/>
      <c r="U58" s="395"/>
      <c r="V58" s="395"/>
    </row>
    <row r="59" spans="1:23" ht="20.399999999999999" customHeight="1">
      <c r="A59" s="275" t="s">
        <v>81</v>
      </c>
      <c r="B59" s="276"/>
      <c r="C59" s="242" t="s">
        <v>59</v>
      </c>
      <c r="D59" s="243"/>
      <c r="E59" s="188">
        <f>E58*100/D55</f>
        <v>16.467980852901881</v>
      </c>
      <c r="F59" s="189"/>
      <c r="G59" s="188">
        <f>G58*100/D55</f>
        <v>25.54074718073738</v>
      </c>
      <c r="H59" s="189"/>
      <c r="I59" s="115">
        <f>I58*100/D55</f>
        <v>57.996378350378201</v>
      </c>
      <c r="J59" s="255"/>
      <c r="K59" s="255"/>
      <c r="L59" s="265"/>
      <c r="M59" s="265"/>
      <c r="N59" s="357"/>
      <c r="O59" s="379"/>
      <c r="P59" s="395"/>
      <c r="Q59" s="395"/>
      <c r="R59" s="395"/>
      <c r="S59" s="395"/>
      <c r="T59" s="395"/>
      <c r="U59" s="395"/>
      <c r="V59" s="395"/>
    </row>
    <row r="60" spans="1:23" ht="20.399999999999999" customHeight="1">
      <c r="A60" s="277"/>
      <c r="B60" s="278"/>
      <c r="C60" s="242" t="s">
        <v>79</v>
      </c>
      <c r="D60" s="243"/>
      <c r="E60" s="242" t="s">
        <v>82</v>
      </c>
      <c r="F60" s="243"/>
      <c r="G60" s="242" t="s">
        <v>83</v>
      </c>
      <c r="H60" s="243"/>
      <c r="I60" s="178" t="s">
        <v>84</v>
      </c>
      <c r="J60" s="256"/>
      <c r="K60" s="256"/>
      <c r="L60" s="265"/>
      <c r="M60" s="265"/>
      <c r="N60" s="357"/>
      <c r="O60" s="379"/>
      <c r="P60" s="132"/>
    </row>
    <row r="61" spans="1:23" ht="20.399999999999999" customHeight="1">
      <c r="A61" s="90"/>
      <c r="B61" s="90"/>
      <c r="C61" s="90"/>
      <c r="D61" s="90"/>
      <c r="E61" s="90"/>
      <c r="F61" s="90"/>
      <c r="G61" s="90"/>
      <c r="H61" s="90"/>
      <c r="I61" s="90"/>
      <c r="J61" s="90"/>
      <c r="K61" s="90"/>
      <c r="L61" s="94"/>
      <c r="M61" s="94"/>
      <c r="N61" s="95"/>
      <c r="O61" s="379"/>
    </row>
    <row r="62" spans="1:23" ht="21" customHeight="1">
      <c r="A62" s="183" t="s">
        <v>114</v>
      </c>
      <c r="B62" s="183"/>
      <c r="C62" s="183"/>
      <c r="D62" s="183"/>
      <c r="E62" s="183"/>
      <c r="F62" s="183"/>
      <c r="G62" s="183"/>
      <c r="H62" s="183"/>
      <c r="I62" s="183"/>
      <c r="J62" s="183"/>
      <c r="K62" s="183"/>
      <c r="L62" s="183"/>
      <c r="M62" s="183"/>
      <c r="N62" s="183"/>
      <c r="O62" s="379"/>
    </row>
    <row r="63" spans="1:23" ht="21" customHeight="1">
      <c r="A63" s="117" t="s">
        <v>115</v>
      </c>
      <c r="B63" s="184" t="s">
        <v>116</v>
      </c>
      <c r="C63" s="184"/>
      <c r="D63" s="184"/>
      <c r="E63" s="184"/>
      <c r="F63" s="184"/>
      <c r="G63" s="184"/>
      <c r="H63" s="184"/>
      <c r="I63" s="184"/>
      <c r="J63" s="184"/>
      <c r="K63" s="184"/>
      <c r="L63" s="184"/>
      <c r="M63" s="184"/>
      <c r="N63" s="184"/>
      <c r="O63" s="379"/>
    </row>
    <row r="64" spans="1:23" ht="21" customHeight="1">
      <c r="A64" s="118"/>
      <c r="B64" s="185" t="s">
        <v>217</v>
      </c>
      <c r="C64" s="185"/>
      <c r="D64" s="185"/>
      <c r="E64" s="185"/>
      <c r="F64" s="185"/>
      <c r="G64" s="185"/>
      <c r="H64" s="185"/>
      <c r="I64" s="185"/>
      <c r="J64" s="185"/>
      <c r="K64" s="185"/>
      <c r="L64" s="185"/>
      <c r="M64" s="185"/>
      <c r="N64" s="185"/>
      <c r="O64" s="379"/>
    </row>
    <row r="65" spans="1:15" ht="21" customHeight="1">
      <c r="A65" s="118"/>
      <c r="B65" s="185" t="s">
        <v>216</v>
      </c>
      <c r="C65" s="185"/>
      <c r="D65" s="185"/>
      <c r="E65" s="185"/>
      <c r="F65" s="185"/>
      <c r="G65" s="185"/>
      <c r="H65" s="185"/>
      <c r="I65" s="185"/>
      <c r="J65" s="185"/>
      <c r="K65" s="185"/>
      <c r="L65" s="185"/>
      <c r="M65" s="185"/>
      <c r="N65" s="185"/>
      <c r="O65" s="379"/>
    </row>
    <row r="66" spans="1:15" ht="21" customHeight="1">
      <c r="A66" s="118"/>
      <c r="B66" s="185" t="s">
        <v>218</v>
      </c>
      <c r="C66" s="185"/>
      <c r="D66" s="185"/>
      <c r="E66" s="185"/>
      <c r="F66" s="185"/>
      <c r="G66" s="185"/>
      <c r="H66" s="185"/>
      <c r="I66" s="185"/>
      <c r="J66" s="185"/>
      <c r="K66" s="185"/>
      <c r="L66" s="185"/>
      <c r="M66" s="185"/>
      <c r="N66" s="185"/>
      <c r="O66" s="379"/>
    </row>
    <row r="67" spans="1:15" ht="21" customHeight="1">
      <c r="A67" s="90"/>
      <c r="B67" s="186" t="s">
        <v>117</v>
      </c>
      <c r="C67" s="186"/>
      <c r="D67" s="186"/>
      <c r="E67" s="186"/>
      <c r="F67" s="186"/>
      <c r="G67" s="186"/>
      <c r="H67" s="186"/>
      <c r="I67" s="186"/>
      <c r="J67" s="186"/>
      <c r="K67" s="186"/>
      <c r="L67" s="186"/>
      <c r="M67" s="186"/>
      <c r="N67" s="186"/>
      <c r="O67" s="379"/>
    </row>
    <row r="68" spans="1:15" ht="21" customHeight="1">
      <c r="A68" s="90"/>
      <c r="B68" s="90"/>
      <c r="C68" s="90"/>
      <c r="D68" s="90"/>
      <c r="E68" s="90"/>
      <c r="F68" s="90"/>
      <c r="G68" s="90"/>
      <c r="H68" s="90"/>
      <c r="I68" s="90"/>
      <c r="J68" s="90"/>
      <c r="K68" s="90"/>
      <c r="L68" s="94"/>
      <c r="M68" s="94"/>
      <c r="N68" s="95"/>
      <c r="O68" s="379"/>
    </row>
    <row r="69" spans="1:15" ht="21" customHeight="1">
      <c r="A69" s="187" t="s">
        <v>62</v>
      </c>
      <c r="B69" s="187"/>
      <c r="C69" s="187"/>
      <c r="D69" s="187"/>
      <c r="E69" s="380"/>
      <c r="F69" s="380"/>
      <c r="G69" s="380"/>
      <c r="H69" s="380"/>
      <c r="I69" s="380"/>
      <c r="J69" s="381" t="s">
        <v>33</v>
      </c>
      <c r="K69" s="381"/>
      <c r="L69" s="381"/>
      <c r="M69" s="381"/>
      <c r="N69" s="381"/>
      <c r="O69" s="379"/>
    </row>
    <row r="70" spans="1:15" ht="21" customHeight="1">
      <c r="A70" s="175"/>
      <c r="B70" s="175"/>
      <c r="C70" s="175"/>
      <c r="D70" s="380"/>
      <c r="E70" s="380"/>
      <c r="F70" s="380"/>
      <c r="G70" s="380"/>
      <c r="H70" s="382"/>
      <c r="I70" s="382"/>
      <c r="J70" s="382"/>
      <c r="K70" s="382"/>
      <c r="L70" s="382"/>
      <c r="M70" s="382"/>
      <c r="N70" s="382"/>
      <c r="O70" s="379"/>
    </row>
    <row r="71" spans="1:15" ht="21" customHeight="1">
      <c r="A71" s="175"/>
      <c r="B71" s="175"/>
      <c r="C71" s="175"/>
      <c r="D71" s="380"/>
      <c r="E71" s="380"/>
      <c r="F71" s="380"/>
      <c r="G71" s="380"/>
      <c r="H71" s="382"/>
      <c r="I71" s="382"/>
      <c r="J71" s="382"/>
      <c r="K71" s="382"/>
      <c r="L71" s="382"/>
      <c r="M71" s="382"/>
      <c r="N71" s="382"/>
      <c r="O71" s="379"/>
    </row>
    <row r="72" spans="1:15" ht="21" customHeight="1">
      <c r="A72" s="175"/>
      <c r="B72" s="175"/>
      <c r="C72" s="175"/>
      <c r="D72" s="380"/>
      <c r="E72" s="380"/>
      <c r="F72" s="380"/>
      <c r="G72" s="380"/>
      <c r="H72" s="382"/>
      <c r="I72" s="382"/>
      <c r="J72" s="383" t="s">
        <v>124</v>
      </c>
      <c r="K72" s="383"/>
      <c r="L72" s="383"/>
      <c r="M72" s="383"/>
      <c r="N72" s="383"/>
      <c r="O72" s="379"/>
    </row>
    <row r="73" spans="1:15" ht="21" customHeight="1">
      <c r="A73" s="179" t="s">
        <v>91</v>
      </c>
      <c r="B73" s="179"/>
      <c r="C73" s="179"/>
      <c r="D73" s="179"/>
      <c r="E73" s="380"/>
      <c r="F73" s="380"/>
      <c r="G73" s="380"/>
      <c r="H73" s="382"/>
      <c r="I73" s="382"/>
      <c r="J73" s="383"/>
      <c r="K73" s="383"/>
      <c r="L73" s="383"/>
      <c r="M73" s="383"/>
      <c r="N73" s="383"/>
      <c r="O73" s="379"/>
    </row>
    <row r="74" spans="1:15" ht="20.399999999999999" customHeight="1">
      <c r="A74" s="175"/>
      <c r="B74" s="175"/>
      <c r="C74" s="175"/>
      <c r="D74" s="380"/>
      <c r="E74" s="380"/>
      <c r="F74" s="380"/>
      <c r="G74" s="380"/>
      <c r="H74" s="382"/>
      <c r="I74" s="382"/>
      <c r="J74" s="382"/>
      <c r="K74" s="382"/>
      <c r="L74" s="382"/>
      <c r="M74" s="382"/>
      <c r="N74" s="382"/>
      <c r="O74" s="379"/>
    </row>
    <row r="75" spans="1:15" ht="20.399999999999999" customHeight="1">
      <c r="A75" s="175"/>
      <c r="B75" s="175"/>
      <c r="C75" s="175"/>
      <c r="D75" s="380"/>
      <c r="E75" s="380"/>
      <c r="F75" s="380"/>
      <c r="G75" s="380"/>
      <c r="H75" s="382"/>
      <c r="I75" s="382"/>
      <c r="J75" s="383" t="s">
        <v>127</v>
      </c>
      <c r="K75" s="383"/>
      <c r="L75" s="383"/>
      <c r="M75" s="383"/>
      <c r="N75" s="383"/>
      <c r="O75" s="379"/>
    </row>
    <row r="76" spans="1:15" ht="20.399999999999999" customHeight="1">
      <c r="A76" s="175"/>
      <c r="B76" s="175"/>
      <c r="C76" s="175"/>
      <c r="D76" s="380"/>
      <c r="E76" s="380"/>
      <c r="F76" s="380"/>
      <c r="G76" s="380"/>
      <c r="H76" s="382"/>
      <c r="I76" s="382"/>
      <c r="J76" s="382"/>
      <c r="K76" s="382"/>
      <c r="L76" s="382"/>
      <c r="M76" s="382"/>
      <c r="N76" s="382"/>
      <c r="O76" s="379"/>
    </row>
    <row r="77" spans="1:15" ht="20.399999999999999" customHeight="1">
      <c r="A77" s="175"/>
      <c r="B77" s="175"/>
      <c r="C77" s="175"/>
      <c r="D77" s="380"/>
      <c r="E77" s="380"/>
      <c r="F77" s="380"/>
      <c r="G77" s="380"/>
      <c r="H77" s="382"/>
      <c r="I77" s="382"/>
      <c r="J77" s="382"/>
      <c r="K77" s="382"/>
      <c r="L77" s="382"/>
      <c r="M77" s="382"/>
      <c r="N77" s="382"/>
      <c r="O77" s="379"/>
    </row>
    <row r="78" spans="1:15" ht="20.399999999999999" customHeight="1">
      <c r="A78" s="175"/>
      <c r="B78" s="175"/>
      <c r="C78" s="175"/>
      <c r="D78" s="380"/>
      <c r="E78" s="380"/>
      <c r="F78" s="380"/>
      <c r="G78" s="380"/>
      <c r="H78" s="382"/>
      <c r="I78" s="382"/>
      <c r="J78" s="382"/>
      <c r="K78" s="382"/>
      <c r="L78" s="382"/>
      <c r="M78" s="382"/>
      <c r="N78" s="382"/>
      <c r="O78" s="379"/>
    </row>
    <row r="79" spans="1:15" ht="20.399999999999999" customHeight="1">
      <c r="A79" s="175"/>
      <c r="B79" s="175"/>
      <c r="C79" s="175"/>
      <c r="D79" s="380"/>
      <c r="E79" s="380"/>
      <c r="F79" s="380"/>
      <c r="G79" s="380"/>
      <c r="H79" s="382"/>
      <c r="I79" s="382"/>
      <c r="J79" s="382"/>
      <c r="K79" s="382"/>
      <c r="L79" s="382"/>
      <c r="M79" s="382"/>
      <c r="N79" s="382"/>
      <c r="O79" s="379"/>
    </row>
    <row r="80" spans="1:15" ht="20.399999999999999" customHeight="1">
      <c r="A80" s="175"/>
      <c r="B80" s="175"/>
      <c r="C80" s="175"/>
      <c r="D80" s="380"/>
      <c r="E80" s="380"/>
      <c r="F80" s="380"/>
      <c r="G80" s="380"/>
      <c r="H80" s="382"/>
      <c r="I80" s="382"/>
      <c r="J80" s="382"/>
      <c r="K80" s="382"/>
      <c r="L80" s="382"/>
      <c r="M80" s="382"/>
      <c r="N80" s="382"/>
      <c r="O80" s="379"/>
    </row>
    <row r="81" spans="1:20" ht="20.399999999999999" customHeight="1">
      <c r="A81" s="175"/>
      <c r="B81" s="175"/>
      <c r="C81" s="175"/>
      <c r="D81" s="380"/>
      <c r="E81" s="380"/>
      <c r="F81" s="380"/>
      <c r="G81" s="380"/>
      <c r="H81" s="382"/>
      <c r="I81" s="382"/>
      <c r="J81" s="382"/>
      <c r="K81" s="382"/>
      <c r="L81" s="382"/>
      <c r="M81" s="382"/>
      <c r="N81" s="382"/>
      <c r="O81" s="379"/>
    </row>
    <row r="82" spans="1:20" ht="20.399999999999999" customHeight="1">
      <c r="A82" s="175"/>
      <c r="B82" s="175"/>
      <c r="C82" s="175"/>
      <c r="D82" s="380"/>
      <c r="E82" s="380"/>
      <c r="F82" s="380"/>
      <c r="G82" s="380"/>
      <c r="H82" s="382"/>
      <c r="I82" s="382"/>
      <c r="J82" s="382"/>
      <c r="K82" s="382"/>
      <c r="L82" s="382"/>
      <c r="M82" s="382"/>
      <c r="N82" s="382"/>
      <c r="O82" s="379"/>
    </row>
    <row r="83" spans="1:20" ht="20.399999999999999" customHeight="1">
      <c r="A83" s="175"/>
      <c r="B83" s="175"/>
      <c r="C83" s="175"/>
      <c r="D83" s="380"/>
      <c r="E83" s="380"/>
      <c r="F83" s="380"/>
      <c r="G83" s="380"/>
      <c r="H83" s="382"/>
      <c r="I83" s="382"/>
      <c r="J83" s="382"/>
      <c r="K83" s="382"/>
      <c r="L83" s="382"/>
      <c r="M83" s="382"/>
      <c r="N83" s="382"/>
      <c r="O83" s="379"/>
    </row>
    <row r="84" spans="1:20" ht="20.399999999999999" customHeight="1">
      <c r="A84" s="175"/>
      <c r="B84" s="175"/>
      <c r="C84" s="175"/>
      <c r="D84" s="380"/>
      <c r="E84" s="380"/>
      <c r="F84" s="380"/>
      <c r="G84" s="380"/>
      <c r="H84" s="382"/>
      <c r="I84" s="382"/>
      <c r="J84" s="382"/>
      <c r="K84" s="382"/>
      <c r="L84" s="382"/>
      <c r="M84" s="382"/>
      <c r="N84" s="382"/>
      <c r="O84" s="379"/>
    </row>
    <row r="85" spans="1:20" ht="19.8" customHeight="1">
      <c r="A85" s="11" t="s">
        <v>61</v>
      </c>
      <c r="B85" s="8"/>
      <c r="C85" s="8"/>
      <c r="D85" s="8"/>
      <c r="E85" s="8"/>
      <c r="F85" s="290" t="s">
        <v>32</v>
      </c>
      <c r="G85" s="290"/>
      <c r="H85" s="290"/>
      <c r="I85" s="290"/>
      <c r="J85" s="290"/>
      <c r="K85" s="290"/>
      <c r="L85" s="290"/>
      <c r="M85" s="290"/>
      <c r="N85" s="290"/>
      <c r="O85" s="367"/>
      <c r="P85" s="367"/>
      <c r="T85" s="2"/>
    </row>
    <row r="86" spans="1:20" ht="12" customHeight="1">
      <c r="A86" s="11"/>
      <c r="B86" s="8"/>
      <c r="C86" s="8"/>
      <c r="D86" s="8"/>
      <c r="E86" s="8"/>
      <c r="F86" s="172"/>
      <c r="G86" s="172"/>
      <c r="H86" s="172"/>
      <c r="I86" s="172"/>
      <c r="J86" s="172"/>
      <c r="K86" s="172"/>
      <c r="L86" s="172"/>
      <c r="M86" s="172"/>
      <c r="N86" s="172"/>
      <c r="O86" s="367"/>
      <c r="P86" s="367"/>
      <c r="T86" s="2"/>
    </row>
    <row r="87" spans="1:20" ht="19.8" customHeight="1">
      <c r="A87" s="8" t="s">
        <v>215</v>
      </c>
      <c r="B87" s="8"/>
      <c r="C87" s="8"/>
      <c r="D87" s="8"/>
      <c r="E87" s="8"/>
      <c r="F87" s="172"/>
      <c r="G87" s="172"/>
      <c r="H87" s="172"/>
      <c r="I87" s="172"/>
      <c r="J87" s="172"/>
      <c r="K87" s="172"/>
      <c r="L87" s="172"/>
      <c r="M87" s="172"/>
      <c r="N87" s="172"/>
      <c r="O87" s="367"/>
      <c r="P87" s="367"/>
      <c r="T87" s="2"/>
    </row>
    <row r="88" spans="1:20" ht="12.6" customHeight="1">
      <c r="A88" s="8"/>
      <c r="B88" s="8"/>
      <c r="C88" s="8"/>
      <c r="D88" s="8"/>
      <c r="E88" s="8"/>
      <c r="F88" s="172"/>
      <c r="G88" s="172"/>
      <c r="H88" s="172"/>
      <c r="I88" s="172"/>
      <c r="J88" s="172"/>
      <c r="K88" s="172"/>
      <c r="L88" s="172"/>
      <c r="M88" s="172"/>
      <c r="N88" s="172"/>
      <c r="O88" s="367"/>
      <c r="P88" s="367"/>
      <c r="T88" s="2"/>
    </row>
    <row r="89" spans="1:20" s="2" customFormat="1" ht="16.2" customHeight="1">
      <c r="A89" s="194" t="s">
        <v>97</v>
      </c>
      <c r="B89" s="194"/>
      <c r="C89" s="194"/>
      <c r="D89" s="194"/>
      <c r="E89" s="194" t="s">
        <v>89</v>
      </c>
      <c r="F89" s="194"/>
      <c r="G89" s="194"/>
      <c r="H89" s="194"/>
      <c r="I89" s="194"/>
      <c r="J89" s="194"/>
      <c r="K89" s="194"/>
      <c r="L89" s="194"/>
      <c r="M89" s="194"/>
      <c r="N89" s="194"/>
      <c r="O89" s="368"/>
    </row>
    <row r="90" spans="1:20" s="2" customFormat="1" ht="16.2" customHeight="1">
      <c r="A90" s="194"/>
      <c r="B90" s="194"/>
      <c r="C90" s="194"/>
      <c r="D90" s="194"/>
      <c r="E90" s="194" t="s">
        <v>100</v>
      </c>
      <c r="F90" s="194"/>
      <c r="G90" s="194"/>
      <c r="H90" s="194"/>
      <c r="I90" s="194"/>
      <c r="J90" s="194" t="s">
        <v>101</v>
      </c>
      <c r="K90" s="194"/>
      <c r="L90" s="194"/>
      <c r="M90" s="194"/>
      <c r="N90" s="194"/>
      <c r="O90" s="368"/>
    </row>
    <row r="91" spans="1:20" s="2" customFormat="1" ht="16.2" customHeight="1">
      <c r="A91" s="195" t="s">
        <v>90</v>
      </c>
      <c r="B91" s="195"/>
      <c r="C91" s="195"/>
      <c r="D91" s="195"/>
      <c r="E91" s="198" t="s">
        <v>169</v>
      </c>
      <c r="F91" s="198"/>
      <c r="G91" s="198"/>
      <c r="H91" s="198"/>
      <c r="I91" s="198"/>
      <c r="J91" s="329" t="s">
        <v>90</v>
      </c>
      <c r="K91" s="330"/>
      <c r="L91" s="330"/>
      <c r="M91" s="330"/>
      <c r="N91" s="331"/>
      <c r="O91" s="368"/>
    </row>
    <row r="92" spans="1:20" s="2" customFormat="1" ht="16.2" customHeight="1">
      <c r="A92" s="344" t="s">
        <v>168</v>
      </c>
      <c r="B92" s="345"/>
      <c r="C92" s="345"/>
      <c r="D92" s="346"/>
      <c r="E92" s="198"/>
      <c r="F92" s="198"/>
      <c r="G92" s="198"/>
      <c r="H92" s="198"/>
      <c r="I92" s="198"/>
      <c r="J92" s="231" t="s">
        <v>132</v>
      </c>
      <c r="K92" s="232"/>
      <c r="L92" s="232"/>
      <c r="M92" s="232"/>
      <c r="N92" s="233"/>
      <c r="O92" s="368"/>
    </row>
    <row r="93" spans="1:20" s="2" customFormat="1" ht="16.2" customHeight="1">
      <c r="A93" s="356" t="s">
        <v>185</v>
      </c>
      <c r="B93" s="356"/>
      <c r="C93" s="356"/>
      <c r="D93" s="356"/>
      <c r="E93" s="198"/>
      <c r="F93" s="198"/>
      <c r="G93" s="198"/>
      <c r="H93" s="198"/>
      <c r="I93" s="198"/>
      <c r="J93" s="332" t="s">
        <v>133</v>
      </c>
      <c r="K93" s="333"/>
      <c r="L93" s="333"/>
      <c r="M93" s="333"/>
      <c r="N93" s="334"/>
      <c r="O93" s="368"/>
    </row>
    <row r="94" spans="1:20" s="2" customFormat="1" ht="16.2" customHeight="1">
      <c r="A94" s="228" t="s">
        <v>122</v>
      </c>
      <c r="B94" s="229"/>
      <c r="C94" s="230"/>
      <c r="D94" s="128">
        <v>54</v>
      </c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368"/>
    </row>
    <row r="95" spans="1:20" ht="19.8" customHeight="1">
      <c r="A95" s="208" t="s">
        <v>0</v>
      </c>
      <c r="B95" s="211" t="s">
        <v>19</v>
      </c>
      <c r="C95" s="214" t="s">
        <v>8</v>
      </c>
      <c r="D95" s="214" t="s">
        <v>9</v>
      </c>
      <c r="E95" s="217" t="s">
        <v>11</v>
      </c>
      <c r="F95" s="218"/>
      <c r="G95" s="217" t="s">
        <v>13</v>
      </c>
      <c r="H95" s="218"/>
      <c r="I95" s="221" t="s">
        <v>16</v>
      </c>
      <c r="J95" s="221" t="s">
        <v>41</v>
      </c>
      <c r="K95" s="221" t="s">
        <v>42</v>
      </c>
      <c r="L95" s="339" t="s">
        <v>17</v>
      </c>
      <c r="M95" s="221" t="s">
        <v>57</v>
      </c>
      <c r="N95" s="208" t="s">
        <v>18</v>
      </c>
      <c r="O95" s="369"/>
    </row>
    <row r="96" spans="1:20" ht="19.8" customHeight="1">
      <c r="A96" s="209"/>
      <c r="B96" s="212"/>
      <c r="C96" s="215"/>
      <c r="D96" s="215"/>
      <c r="E96" s="219"/>
      <c r="F96" s="220"/>
      <c r="G96" s="219"/>
      <c r="H96" s="220"/>
      <c r="I96" s="222"/>
      <c r="J96" s="222"/>
      <c r="K96" s="222"/>
      <c r="L96" s="340"/>
      <c r="M96" s="222"/>
      <c r="N96" s="209"/>
      <c r="O96" s="175"/>
    </row>
    <row r="97" spans="1:22" ht="19.8" customHeight="1">
      <c r="A97" s="209"/>
      <c r="B97" s="212"/>
      <c r="C97" s="215"/>
      <c r="D97" s="215"/>
      <c r="E97" s="221" t="s">
        <v>10</v>
      </c>
      <c r="F97" s="221" t="s">
        <v>12</v>
      </c>
      <c r="G97" s="221" t="s">
        <v>14</v>
      </c>
      <c r="H97" s="221" t="s">
        <v>15</v>
      </c>
      <c r="I97" s="222"/>
      <c r="J97" s="222"/>
      <c r="K97" s="222"/>
      <c r="L97" s="340"/>
      <c r="M97" s="222"/>
      <c r="N97" s="209"/>
      <c r="O97" s="175"/>
    </row>
    <row r="98" spans="1:22" ht="19.8" customHeight="1">
      <c r="A98" s="210"/>
      <c r="B98" s="213"/>
      <c r="C98" s="216"/>
      <c r="D98" s="216"/>
      <c r="E98" s="223"/>
      <c r="F98" s="223"/>
      <c r="G98" s="223"/>
      <c r="H98" s="223"/>
      <c r="I98" s="223"/>
      <c r="J98" s="223"/>
      <c r="K98" s="223"/>
      <c r="L98" s="341"/>
      <c r="M98" s="223"/>
      <c r="N98" s="210"/>
      <c r="O98" s="175"/>
    </row>
    <row r="99" spans="1:22" ht="16.2" customHeight="1">
      <c r="A99" s="237" t="s">
        <v>39</v>
      </c>
      <c r="B99" s="238"/>
      <c r="C99" s="238"/>
      <c r="D99" s="238"/>
      <c r="E99" s="238"/>
      <c r="F99" s="238"/>
      <c r="G99" s="238"/>
      <c r="H99" s="238"/>
      <c r="I99" s="238"/>
      <c r="J99" s="238"/>
      <c r="K99" s="238"/>
      <c r="L99" s="238"/>
      <c r="M99" s="238"/>
      <c r="N99" s="239"/>
      <c r="O99" s="175"/>
    </row>
    <row r="100" spans="1:22" s="2" customFormat="1" ht="16.2" customHeight="1">
      <c r="A100" s="9">
        <v>1</v>
      </c>
      <c r="B100" s="10" t="s">
        <v>2</v>
      </c>
      <c r="C100" s="23">
        <f>L100/100*100</f>
        <v>70</v>
      </c>
      <c r="D100" s="24">
        <f>C100/100*60</f>
        <v>42</v>
      </c>
      <c r="E100" s="25">
        <f>C100/100*15</f>
        <v>10.5</v>
      </c>
      <c r="F100" s="25"/>
      <c r="G100" s="25"/>
      <c r="H100" s="25"/>
      <c r="I100" s="25"/>
      <c r="J100" s="27">
        <f>C100/100*387</f>
        <v>270.89999999999998</v>
      </c>
      <c r="K100" s="27">
        <f>C100/100*0.09</f>
        <v>6.3E-2</v>
      </c>
      <c r="L100" s="137">
        <v>70</v>
      </c>
      <c r="M100" s="75">
        <v>20</v>
      </c>
      <c r="N100" s="28">
        <f>L100*M100</f>
        <v>1400</v>
      </c>
      <c r="O100" s="153"/>
    </row>
    <row r="101" spans="1:22" s="2" customFormat="1" ht="16.2" customHeight="1">
      <c r="A101" s="9">
        <v>2</v>
      </c>
      <c r="B101" s="146" t="s">
        <v>141</v>
      </c>
      <c r="C101" s="23">
        <f>L101/100*100</f>
        <v>110.00000000000001</v>
      </c>
      <c r="D101" s="24">
        <f>C101/100*899</f>
        <v>988.90000000000009</v>
      </c>
      <c r="E101" s="25"/>
      <c r="F101" s="25"/>
      <c r="G101" s="25">
        <f>C101/100*100</f>
        <v>110.00000000000001</v>
      </c>
      <c r="H101" s="25"/>
      <c r="I101" s="25"/>
      <c r="J101" s="25"/>
      <c r="K101" s="25"/>
      <c r="L101" s="137">
        <v>110</v>
      </c>
      <c r="M101" s="120">
        <v>68</v>
      </c>
      <c r="N101" s="28">
        <f t="shared" ref="N101:N109" si="5">L101*M101</f>
        <v>7480</v>
      </c>
      <c r="O101" s="373"/>
    </row>
    <row r="102" spans="1:22" s="2" customFormat="1" ht="16.2" customHeight="1">
      <c r="A102" s="9">
        <v>3</v>
      </c>
      <c r="B102" s="148" t="s">
        <v>146</v>
      </c>
      <c r="C102" s="23">
        <f>L102/100*100</f>
        <v>350</v>
      </c>
      <c r="D102" s="120">
        <f>C102/100*900</f>
        <v>3150</v>
      </c>
      <c r="E102" s="25"/>
      <c r="F102" s="25"/>
      <c r="G102" s="119"/>
      <c r="H102" s="25">
        <f>C102/100*100</f>
        <v>350</v>
      </c>
      <c r="I102" s="25"/>
      <c r="J102" s="25"/>
      <c r="K102" s="25"/>
      <c r="L102" s="137">
        <v>350</v>
      </c>
      <c r="M102" s="75">
        <v>63.5</v>
      </c>
      <c r="N102" s="28">
        <f t="shared" si="5"/>
        <v>22225</v>
      </c>
      <c r="O102" s="373"/>
    </row>
    <row r="103" spans="1:22" s="2" customFormat="1" ht="16.2" customHeight="1">
      <c r="A103" s="9">
        <v>4</v>
      </c>
      <c r="B103" s="5" t="s">
        <v>1</v>
      </c>
      <c r="C103" s="23">
        <f>L103/100*100</f>
        <v>2322</v>
      </c>
      <c r="D103" s="24">
        <f>C103/100*344</f>
        <v>7987.6799999999994</v>
      </c>
      <c r="E103" s="25"/>
      <c r="F103" s="25">
        <f>C103/100*7.9</f>
        <v>183.43799999999999</v>
      </c>
      <c r="G103" s="25"/>
      <c r="H103" s="25">
        <f>C103/100*1</f>
        <v>23.22</v>
      </c>
      <c r="I103" s="119">
        <f>C103/100*73.2</f>
        <v>1699.704</v>
      </c>
      <c r="J103" s="27">
        <f>C103/100*30</f>
        <v>696.59999999999991</v>
      </c>
      <c r="K103" s="27">
        <f>C103/100*0.1</f>
        <v>2.3220000000000001</v>
      </c>
      <c r="L103" s="137">
        <v>2322</v>
      </c>
      <c r="M103" s="75">
        <v>18</v>
      </c>
      <c r="N103" s="28">
        <f t="shared" si="5"/>
        <v>41796</v>
      </c>
      <c r="O103" s="153"/>
    </row>
    <row r="104" spans="1:22" s="2" customFormat="1" ht="16.2" customHeight="1">
      <c r="A104" s="9">
        <v>5</v>
      </c>
      <c r="B104" s="5" t="s">
        <v>96</v>
      </c>
      <c r="C104" s="23">
        <f>L104/100*90</f>
        <v>1044</v>
      </c>
      <c r="D104" s="24">
        <f>C104/100*90</f>
        <v>939.59999999999991</v>
      </c>
      <c r="E104" s="25">
        <f>C104/100*18.4</f>
        <v>192.09599999999998</v>
      </c>
      <c r="F104" s="25"/>
      <c r="G104" s="25">
        <f>C104/100*1.8</f>
        <v>18.791999999999998</v>
      </c>
      <c r="H104" s="25"/>
      <c r="I104" s="25"/>
      <c r="J104" s="81">
        <f>C104/100*1120</f>
        <v>11692.8</v>
      </c>
      <c r="K104" s="27">
        <f>C104/100*0.02</f>
        <v>0.20879999999999999</v>
      </c>
      <c r="L104" s="137">
        <v>1160</v>
      </c>
      <c r="M104" s="26">
        <v>260</v>
      </c>
      <c r="N104" s="124">
        <f t="shared" si="5"/>
        <v>301600</v>
      </c>
      <c r="O104" s="153"/>
      <c r="Q104" s="3"/>
      <c r="R104" s="3"/>
      <c r="S104" s="4"/>
    </row>
    <row r="105" spans="1:22" s="2" customFormat="1" ht="16.2" customHeight="1">
      <c r="A105" s="9">
        <v>6</v>
      </c>
      <c r="B105" s="10" t="s">
        <v>71</v>
      </c>
      <c r="C105" s="23">
        <f>L105/100*98</f>
        <v>1587.6</v>
      </c>
      <c r="D105" s="24">
        <f>C105/100*139</f>
        <v>2206.7640000000001</v>
      </c>
      <c r="E105" s="25">
        <f>C105/100*19</f>
        <v>301.64400000000001</v>
      </c>
      <c r="F105" s="25"/>
      <c r="G105" s="25">
        <f>C105/100*7</f>
        <v>111.13199999999999</v>
      </c>
      <c r="H105" s="25"/>
      <c r="I105" s="25"/>
      <c r="J105" s="27">
        <f>C105/100*7</f>
        <v>111.13199999999999</v>
      </c>
      <c r="K105" s="27">
        <f>C105/100*0.9</f>
        <v>14.288399999999999</v>
      </c>
      <c r="L105" s="137">
        <v>1620</v>
      </c>
      <c r="M105" s="143">
        <v>137</v>
      </c>
      <c r="N105" s="124">
        <f t="shared" si="5"/>
        <v>221940</v>
      </c>
      <c r="O105" s="153"/>
    </row>
    <row r="106" spans="1:22" s="2" customFormat="1" ht="16.2" customHeight="1">
      <c r="A106" s="9">
        <v>7</v>
      </c>
      <c r="B106" s="5" t="s">
        <v>20</v>
      </c>
      <c r="C106" s="23">
        <f>L106/100*95</f>
        <v>361</v>
      </c>
      <c r="D106" s="24">
        <f>C106/100*20</f>
        <v>72.2</v>
      </c>
      <c r="E106" s="25"/>
      <c r="F106" s="25">
        <f>C106/100*0.6</f>
        <v>2.1659999999999999</v>
      </c>
      <c r="G106" s="25"/>
      <c r="H106" s="25">
        <f>C106/100*0.2</f>
        <v>0.72199999999999998</v>
      </c>
      <c r="I106" s="25">
        <f>C106/100*4</f>
        <v>14.44</v>
      </c>
      <c r="J106" s="27">
        <f>C106/100*12</f>
        <v>43.32</v>
      </c>
      <c r="K106" s="24">
        <f>C106/100*0.04</f>
        <v>0.1444</v>
      </c>
      <c r="L106" s="137">
        <v>380</v>
      </c>
      <c r="M106" s="77">
        <v>22</v>
      </c>
      <c r="N106" s="28">
        <f t="shared" si="5"/>
        <v>8360</v>
      </c>
      <c r="O106" s="371"/>
      <c r="Q106" s="3"/>
      <c r="R106" s="3"/>
      <c r="S106" s="4"/>
    </row>
    <row r="107" spans="1:22" s="2" customFormat="1" ht="16.2" customHeight="1">
      <c r="A107" s="9">
        <v>8</v>
      </c>
      <c r="B107" s="5" t="s">
        <v>155</v>
      </c>
      <c r="C107" s="23">
        <f>L107/100*81</f>
        <v>437.40000000000003</v>
      </c>
      <c r="D107" s="24">
        <f>C107/100*17</f>
        <v>74.358000000000004</v>
      </c>
      <c r="E107" s="29"/>
      <c r="F107" s="29">
        <f>C107/100*0.9</f>
        <v>3.9366000000000008</v>
      </c>
      <c r="G107" s="29"/>
      <c r="H107" s="29">
        <f>C107/100*0.2</f>
        <v>0.87480000000000013</v>
      </c>
      <c r="I107" s="29">
        <f>C107/100*2.8</f>
        <v>12.247200000000001</v>
      </c>
      <c r="J107" s="25">
        <f>C107/100*28</f>
        <v>122.47200000000001</v>
      </c>
      <c r="K107" s="27">
        <f>C107/100*0.04</f>
        <v>0.17496000000000003</v>
      </c>
      <c r="L107" s="370">
        <v>540</v>
      </c>
      <c r="M107" s="75">
        <v>20</v>
      </c>
      <c r="N107" s="28">
        <f t="shared" si="5"/>
        <v>10800</v>
      </c>
      <c r="O107" s="153"/>
      <c r="P107" s="3"/>
    </row>
    <row r="108" spans="1:22" s="141" customFormat="1" ht="16.2" customHeight="1">
      <c r="A108" s="164">
        <v>9</v>
      </c>
      <c r="B108" s="149" t="s">
        <v>186</v>
      </c>
      <c r="C108" s="165">
        <f>L108/100*65</f>
        <v>981.5</v>
      </c>
      <c r="D108" s="139">
        <f>C108/100*14</f>
        <v>137.41</v>
      </c>
      <c r="E108" s="136"/>
      <c r="F108" s="136">
        <f>C108/100*1.6</f>
        <v>15.704000000000001</v>
      </c>
      <c r="G108" s="136"/>
      <c r="H108" s="136"/>
      <c r="I108" s="136">
        <f>C108/100*1.9</f>
        <v>18.648499999999999</v>
      </c>
      <c r="J108" s="136">
        <f>C108/100*63</f>
        <v>618.34499999999991</v>
      </c>
      <c r="K108" s="136">
        <f>C108/100*0.01</f>
        <v>9.8150000000000001E-2</v>
      </c>
      <c r="L108" s="137">
        <v>1510</v>
      </c>
      <c r="M108" s="166">
        <v>24</v>
      </c>
      <c r="N108" s="135">
        <f t="shared" si="5"/>
        <v>36240</v>
      </c>
      <c r="O108" s="402"/>
    </row>
    <row r="109" spans="1:22" s="2" customFormat="1" ht="16.2" customHeight="1">
      <c r="A109" s="9">
        <v>10</v>
      </c>
      <c r="B109" s="5" t="s">
        <v>136</v>
      </c>
      <c r="C109" s="23">
        <f>L109/100*100</f>
        <v>40</v>
      </c>
      <c r="D109" s="24">
        <f>C109/100*247</f>
        <v>98.800000000000011</v>
      </c>
      <c r="E109" s="29"/>
      <c r="F109" s="29">
        <f>C109/100*17.5</f>
        <v>7</v>
      </c>
      <c r="G109" s="29"/>
      <c r="H109" s="29">
        <f>C109/100*1.6</f>
        <v>0.64000000000000012</v>
      </c>
      <c r="I109" s="29">
        <f>C109/100*39.2</f>
        <v>15.680000000000001</v>
      </c>
      <c r="J109" s="71"/>
      <c r="K109" s="71"/>
      <c r="L109" s="370">
        <v>40</v>
      </c>
      <c r="M109" s="75">
        <v>50</v>
      </c>
      <c r="N109" s="28">
        <f t="shared" si="5"/>
        <v>2000</v>
      </c>
      <c r="O109" s="153"/>
      <c r="Q109" s="3"/>
      <c r="R109" s="3"/>
      <c r="S109" s="4"/>
      <c r="T109" s="3"/>
    </row>
    <row r="110" spans="1:22" s="2" customFormat="1" ht="16.2" customHeight="1">
      <c r="A110" s="9">
        <v>11</v>
      </c>
      <c r="B110" s="6" t="s">
        <v>123</v>
      </c>
      <c r="C110" s="23"/>
      <c r="D110" s="24"/>
      <c r="E110" s="25"/>
      <c r="F110" s="25"/>
      <c r="G110" s="25"/>
      <c r="H110" s="25"/>
      <c r="I110" s="25"/>
      <c r="J110" s="27"/>
      <c r="K110" s="27"/>
      <c r="L110" s="26"/>
      <c r="M110" s="26"/>
      <c r="N110" s="28">
        <v>3950</v>
      </c>
      <c r="O110" s="153"/>
      <c r="Q110" s="3"/>
      <c r="R110" s="3"/>
      <c r="S110" s="4"/>
      <c r="T110" s="3"/>
    </row>
    <row r="111" spans="1:22" s="2" customFormat="1" ht="16.2" customHeight="1">
      <c r="A111" s="21" t="s">
        <v>118</v>
      </c>
      <c r="B111" s="22"/>
      <c r="C111" s="34"/>
      <c r="D111" s="121">
        <f>SUM(D100:D110)</f>
        <v>15697.712</v>
      </c>
      <c r="E111" s="43"/>
      <c r="F111" s="43"/>
      <c r="G111" s="43"/>
      <c r="H111" s="43"/>
      <c r="I111" s="43"/>
      <c r="J111" s="43"/>
      <c r="K111" s="43"/>
      <c r="L111" s="44"/>
      <c r="M111" s="307"/>
      <c r="N111" s="335">
        <f>SUM(N100:N110)</f>
        <v>657791</v>
      </c>
      <c r="O111" s="153"/>
    </row>
    <row r="112" spans="1:22" ht="16.2" customHeight="1">
      <c r="A112" s="21" t="s">
        <v>37</v>
      </c>
      <c r="B112" s="22"/>
      <c r="C112" s="45"/>
      <c r="D112" s="46">
        <f>D111/D94</f>
        <v>290.69837037037036</v>
      </c>
      <c r="E112" s="46"/>
      <c r="F112" s="46"/>
      <c r="G112" s="46"/>
      <c r="H112" s="46"/>
      <c r="I112" s="46"/>
      <c r="J112" s="46"/>
      <c r="K112" s="46"/>
      <c r="L112" s="47"/>
      <c r="M112" s="308"/>
      <c r="N112" s="336"/>
      <c r="O112" s="4"/>
      <c r="P112" s="2"/>
      <c r="Q112" s="2"/>
      <c r="R112" s="2"/>
      <c r="S112" s="2"/>
      <c r="T112" s="2"/>
      <c r="U112" s="2"/>
      <c r="V112" s="2"/>
    </row>
    <row r="113" spans="1:23" ht="16.2" customHeight="1">
      <c r="A113" s="291" t="s">
        <v>53</v>
      </c>
      <c r="B113" s="225"/>
      <c r="C113" s="372" t="s">
        <v>151</v>
      </c>
      <c r="D113" s="20" t="s">
        <v>45</v>
      </c>
      <c r="E113" s="46"/>
      <c r="F113" s="46"/>
      <c r="G113" s="46"/>
      <c r="H113" s="46"/>
      <c r="I113" s="46"/>
      <c r="J113" s="48"/>
      <c r="K113" s="48"/>
      <c r="L113" s="47"/>
      <c r="M113" s="47"/>
      <c r="N113" s="176"/>
      <c r="O113" s="4"/>
      <c r="P113" s="2"/>
      <c r="Q113" s="2"/>
      <c r="R113" s="2"/>
      <c r="S113" s="2"/>
      <c r="T113" s="2"/>
      <c r="U113" s="2"/>
      <c r="V113" s="2"/>
      <c r="W113" s="2"/>
    </row>
    <row r="114" spans="1:23" ht="16.2" customHeight="1">
      <c r="A114" s="226"/>
      <c r="B114" s="227"/>
      <c r="C114" s="76" t="s">
        <v>60</v>
      </c>
      <c r="D114" s="78">
        <f>D112*100/930</f>
        <v>31.257889287136596</v>
      </c>
      <c r="E114" s="46"/>
      <c r="F114" s="46"/>
      <c r="G114" s="46"/>
      <c r="H114" s="46"/>
      <c r="I114" s="46"/>
      <c r="J114" s="48"/>
      <c r="K114" s="48"/>
      <c r="L114" s="47"/>
      <c r="M114" s="47"/>
      <c r="N114" s="176"/>
      <c r="O114" s="4"/>
      <c r="P114" s="2"/>
      <c r="Q114" s="2"/>
      <c r="R114" s="2"/>
      <c r="S114" s="2"/>
      <c r="T114" s="2"/>
      <c r="U114" s="2"/>
      <c r="V114" s="2"/>
      <c r="W114" s="2"/>
    </row>
    <row r="115" spans="1:23" s="2" customFormat="1" ht="16.2" customHeight="1">
      <c r="A115" s="235" t="s">
        <v>38</v>
      </c>
      <c r="B115" s="235"/>
      <c r="C115" s="56"/>
      <c r="D115" s="57"/>
      <c r="E115" s="58"/>
      <c r="F115" s="58"/>
      <c r="G115" s="58"/>
      <c r="H115" s="58"/>
      <c r="I115" s="58"/>
      <c r="J115" s="58"/>
      <c r="K115" s="58"/>
      <c r="L115" s="59"/>
      <c r="M115" s="59"/>
      <c r="N115" s="60"/>
      <c r="O115" s="153"/>
    </row>
    <row r="116" spans="1:23" s="2" customFormat="1" ht="16.2" customHeight="1">
      <c r="A116" s="9">
        <v>1</v>
      </c>
      <c r="B116" s="10" t="s">
        <v>2</v>
      </c>
      <c r="C116" s="23">
        <f>L116/100*100</f>
        <v>70</v>
      </c>
      <c r="D116" s="24">
        <f>C116/100*60</f>
        <v>42</v>
      </c>
      <c r="E116" s="25">
        <f>C116/100*15</f>
        <v>10.5</v>
      </c>
      <c r="F116" s="25"/>
      <c r="G116" s="25"/>
      <c r="H116" s="25"/>
      <c r="I116" s="25"/>
      <c r="J116" s="27">
        <f>C116/100*387</f>
        <v>270.89999999999998</v>
      </c>
      <c r="K116" s="27">
        <f>C116/100*0.09</f>
        <v>6.3E-2</v>
      </c>
      <c r="L116" s="137">
        <v>70</v>
      </c>
      <c r="M116" s="75">
        <v>20</v>
      </c>
      <c r="N116" s="135">
        <f>L116*M116</f>
        <v>1400</v>
      </c>
      <c r="O116" s="153"/>
    </row>
    <row r="117" spans="1:23" s="2" customFormat="1" ht="16.2" customHeight="1">
      <c r="A117" s="9">
        <v>2</v>
      </c>
      <c r="B117" s="146" t="s">
        <v>141</v>
      </c>
      <c r="C117" s="23">
        <f>L117/100*100</f>
        <v>250</v>
      </c>
      <c r="D117" s="24">
        <f>C117/100*899</f>
        <v>2247.5</v>
      </c>
      <c r="E117" s="25"/>
      <c r="F117" s="25"/>
      <c r="G117" s="25">
        <f>C117/100*100</f>
        <v>250</v>
      </c>
      <c r="H117" s="25"/>
      <c r="I117" s="25"/>
      <c r="J117" s="27"/>
      <c r="K117" s="27"/>
      <c r="L117" s="137">
        <v>250</v>
      </c>
      <c r="M117" s="75">
        <v>68</v>
      </c>
      <c r="N117" s="135">
        <f t="shared" ref="N117:N123" si="6">L117*M117</f>
        <v>17000</v>
      </c>
      <c r="O117" s="153"/>
    </row>
    <row r="118" spans="1:23" s="2" customFormat="1" ht="16.2" customHeight="1">
      <c r="A118" s="9">
        <v>3</v>
      </c>
      <c r="B118" s="5" t="s">
        <v>1</v>
      </c>
      <c r="C118" s="23">
        <f>L118/100*100</f>
        <v>2268</v>
      </c>
      <c r="D118" s="24">
        <f>C118/100*344</f>
        <v>7801.92</v>
      </c>
      <c r="E118" s="25"/>
      <c r="F118" s="25">
        <f>C118/100*7.9</f>
        <v>179.172</v>
      </c>
      <c r="G118" s="25"/>
      <c r="H118" s="25">
        <f>C118/100*1</f>
        <v>22.68</v>
      </c>
      <c r="I118" s="119">
        <f>C118/100*73.2</f>
        <v>1660.1759999999999</v>
      </c>
      <c r="J118" s="27">
        <f>C118/100*30</f>
        <v>680.4</v>
      </c>
      <c r="K118" s="27">
        <f>C118/100*0.1</f>
        <v>2.2680000000000002</v>
      </c>
      <c r="L118" s="137">
        <v>2268</v>
      </c>
      <c r="M118" s="75">
        <v>18</v>
      </c>
      <c r="N118" s="135">
        <f t="shared" si="6"/>
        <v>40824</v>
      </c>
      <c r="O118" s="153"/>
    </row>
    <row r="119" spans="1:23" s="2" customFormat="1" ht="16.2" customHeight="1">
      <c r="A119" s="9">
        <v>4</v>
      </c>
      <c r="B119" s="10" t="s">
        <v>64</v>
      </c>
      <c r="C119" s="23">
        <f>L119/100*40</f>
        <v>432</v>
      </c>
      <c r="D119" s="24">
        <f>C119/100*276</f>
        <v>1192.3200000000002</v>
      </c>
      <c r="E119" s="25">
        <f>C119/100*17.8</f>
        <v>76.896000000000015</v>
      </c>
      <c r="F119" s="25"/>
      <c r="G119" s="25">
        <f>C119/100*21.8</f>
        <v>94.176000000000016</v>
      </c>
      <c r="H119" s="25"/>
      <c r="I119" s="136"/>
      <c r="J119" s="27">
        <f>C119/100*13</f>
        <v>56.160000000000004</v>
      </c>
      <c r="K119" s="27">
        <f>C119/100*0.07</f>
        <v>0.30240000000000006</v>
      </c>
      <c r="L119" s="137">
        <v>1080</v>
      </c>
      <c r="M119" s="75">
        <v>63</v>
      </c>
      <c r="N119" s="28">
        <f t="shared" si="6"/>
        <v>68040</v>
      </c>
      <c r="O119" s="153"/>
    </row>
    <row r="120" spans="1:23" s="2" customFormat="1" ht="16.2" customHeight="1">
      <c r="A120" s="9">
        <v>5</v>
      </c>
      <c r="B120" s="5" t="s">
        <v>30</v>
      </c>
      <c r="C120" s="23">
        <f>L120/100*88</f>
        <v>1575.1999999999998</v>
      </c>
      <c r="D120" s="24">
        <f>C120/100*184</f>
        <v>2898.3679999999999</v>
      </c>
      <c r="E120" s="25">
        <f>C120/100*13</f>
        <v>204.77599999999998</v>
      </c>
      <c r="F120" s="25"/>
      <c r="G120" s="25">
        <f>C120/100*14.2</f>
        <v>223.67839999999998</v>
      </c>
      <c r="H120" s="25"/>
      <c r="I120" s="25">
        <f>C120/100*1</f>
        <v>15.751999999999999</v>
      </c>
      <c r="J120" s="81">
        <f>C120/100*71</f>
        <v>1118.3919999999998</v>
      </c>
      <c r="K120" s="27">
        <f>C120/100*0.15</f>
        <v>2.3627999999999996</v>
      </c>
      <c r="L120" s="137">
        <v>1790</v>
      </c>
      <c r="M120" s="75">
        <v>62</v>
      </c>
      <c r="N120" s="124">
        <f t="shared" si="6"/>
        <v>110980</v>
      </c>
      <c r="O120" s="153"/>
      <c r="Q120" s="3"/>
      <c r="R120" s="3"/>
      <c r="S120" s="4"/>
    </row>
    <row r="121" spans="1:23" s="2" customFormat="1" ht="16.2" customHeight="1">
      <c r="A121" s="9">
        <v>6</v>
      </c>
      <c r="B121" s="5" t="s">
        <v>20</v>
      </c>
      <c r="C121" s="23">
        <f>L121/100*95</f>
        <v>778.99999999999989</v>
      </c>
      <c r="D121" s="24">
        <f>C121/100*20</f>
        <v>155.79999999999998</v>
      </c>
      <c r="E121" s="136"/>
      <c r="F121" s="25">
        <f>C121/100*0.6</f>
        <v>4.6739999999999995</v>
      </c>
      <c r="G121" s="25"/>
      <c r="H121" s="25">
        <f>C121/100*0.2</f>
        <v>1.5579999999999998</v>
      </c>
      <c r="I121" s="25">
        <f>C121/100*4</f>
        <v>31.159999999999997</v>
      </c>
      <c r="J121" s="71">
        <f>C121/100*12</f>
        <v>93.47999999999999</v>
      </c>
      <c r="K121" s="71">
        <f>C121/100*0.04</f>
        <v>0.31159999999999999</v>
      </c>
      <c r="L121" s="370">
        <v>820</v>
      </c>
      <c r="M121" s="75">
        <v>22</v>
      </c>
      <c r="N121" s="28">
        <f t="shared" si="6"/>
        <v>18040</v>
      </c>
      <c r="O121" s="153"/>
      <c r="Q121" s="3"/>
      <c r="R121" s="3"/>
    </row>
    <row r="122" spans="1:23" s="2" customFormat="1" ht="16.2" customHeight="1">
      <c r="A122" s="9">
        <v>7</v>
      </c>
      <c r="B122" s="5" t="s">
        <v>93</v>
      </c>
      <c r="C122" s="23">
        <f>L122/100*81.7</f>
        <v>1315.3700000000001</v>
      </c>
      <c r="D122" s="24">
        <f>C122/100*27</f>
        <v>355.1499</v>
      </c>
      <c r="E122" s="29"/>
      <c r="F122" s="29">
        <f>C122/100*0.3</f>
        <v>3.94611</v>
      </c>
      <c r="G122" s="29"/>
      <c r="H122" s="29">
        <f>C122/100*0.1</f>
        <v>1.3153700000000002</v>
      </c>
      <c r="I122" s="29">
        <f>C122/100*6.1</f>
        <v>80.237570000000005</v>
      </c>
      <c r="J122" s="71">
        <f>C122/100*24</f>
        <v>315.68880000000001</v>
      </c>
      <c r="K122" s="71">
        <f>C122/100*0.06</f>
        <v>0.78922199999999998</v>
      </c>
      <c r="L122" s="370">
        <v>1610</v>
      </c>
      <c r="M122" s="26">
        <v>22</v>
      </c>
      <c r="N122" s="28">
        <f t="shared" si="6"/>
        <v>35420</v>
      </c>
      <c r="O122" s="153"/>
      <c r="Q122" s="3"/>
      <c r="R122" s="3"/>
      <c r="S122" s="4"/>
    </row>
    <row r="123" spans="1:23" s="2" customFormat="1" ht="16.2" customHeight="1">
      <c r="A123" s="9">
        <v>8</v>
      </c>
      <c r="B123" s="5" t="s">
        <v>136</v>
      </c>
      <c r="C123" s="23">
        <f>L123/100*100</f>
        <v>40</v>
      </c>
      <c r="D123" s="24">
        <f>C123/100*247</f>
        <v>98.800000000000011</v>
      </c>
      <c r="E123" s="29"/>
      <c r="F123" s="29">
        <f>C123/100*17.5</f>
        <v>7</v>
      </c>
      <c r="G123" s="29"/>
      <c r="H123" s="29">
        <f>C123/100*1.6</f>
        <v>0.64000000000000012</v>
      </c>
      <c r="I123" s="29">
        <f>C123/100*39.2</f>
        <v>15.680000000000001</v>
      </c>
      <c r="J123" s="71"/>
      <c r="K123" s="71"/>
      <c r="L123" s="370">
        <v>40</v>
      </c>
      <c r="M123" s="75">
        <v>50</v>
      </c>
      <c r="N123" s="28">
        <f t="shared" si="6"/>
        <v>2000</v>
      </c>
      <c r="O123" s="153"/>
      <c r="Q123" s="3"/>
      <c r="R123" s="3"/>
      <c r="S123" s="4"/>
      <c r="T123" s="3"/>
    </row>
    <row r="124" spans="1:23" s="2" customFormat="1" ht="16.2" customHeight="1">
      <c r="A124" s="9">
        <v>9</v>
      </c>
      <c r="B124" s="6" t="s">
        <v>123</v>
      </c>
      <c r="C124" s="23"/>
      <c r="D124" s="24"/>
      <c r="E124" s="25"/>
      <c r="F124" s="25"/>
      <c r="G124" s="25"/>
      <c r="H124" s="25"/>
      <c r="I124" s="25"/>
      <c r="J124" s="27"/>
      <c r="K124" s="27"/>
      <c r="L124" s="26"/>
      <c r="M124" s="26"/>
      <c r="N124" s="28">
        <v>3950</v>
      </c>
      <c r="O124" s="153"/>
      <c r="Q124" s="3"/>
      <c r="R124" s="3"/>
      <c r="S124" s="4"/>
      <c r="T124" s="3"/>
    </row>
    <row r="125" spans="1:23" s="2" customFormat="1" ht="16.2" customHeight="1">
      <c r="A125" s="21" t="s">
        <v>119</v>
      </c>
      <c r="B125" s="22"/>
      <c r="C125" s="34"/>
      <c r="D125" s="121">
        <f>SUM(D116:D124)</f>
        <v>14791.857899999999</v>
      </c>
      <c r="E125" s="43"/>
      <c r="F125" s="43"/>
      <c r="G125" s="43"/>
      <c r="H125" s="43"/>
      <c r="I125" s="43"/>
      <c r="J125" s="43"/>
      <c r="K125" s="43"/>
      <c r="L125" s="44"/>
      <c r="M125" s="307"/>
      <c r="N125" s="335">
        <f>SUM(N116:N124)</f>
        <v>297654</v>
      </c>
      <c r="O125" s="153"/>
    </row>
    <row r="126" spans="1:23" ht="16.2" customHeight="1">
      <c r="A126" s="21" t="s">
        <v>36</v>
      </c>
      <c r="B126" s="22"/>
      <c r="C126" s="61"/>
      <c r="D126" s="48">
        <f>D125/D94</f>
        <v>273.92329444444442</v>
      </c>
      <c r="E126" s="48"/>
      <c r="F126" s="48"/>
      <c r="G126" s="48"/>
      <c r="H126" s="48"/>
      <c r="I126" s="48"/>
      <c r="J126" s="48"/>
      <c r="K126" s="48"/>
      <c r="L126" s="62"/>
      <c r="M126" s="308"/>
      <c r="N126" s="337"/>
      <c r="O126" s="4"/>
      <c r="P126" s="2"/>
      <c r="Q126" s="2"/>
      <c r="R126" s="2"/>
      <c r="S126" s="2"/>
      <c r="T126" s="2"/>
      <c r="U126" s="2"/>
      <c r="V126" s="2"/>
    </row>
    <row r="127" spans="1:23" ht="16.2" customHeight="1">
      <c r="A127" s="291" t="s">
        <v>54</v>
      </c>
      <c r="B127" s="225"/>
      <c r="C127" s="372" t="s">
        <v>151</v>
      </c>
      <c r="D127" s="20" t="s">
        <v>46</v>
      </c>
      <c r="E127" s="46"/>
      <c r="F127" s="46"/>
      <c r="G127" s="46"/>
      <c r="H127" s="46"/>
      <c r="I127" s="46"/>
      <c r="J127" s="48"/>
      <c r="K127" s="48"/>
      <c r="L127" s="47"/>
      <c r="M127" s="47"/>
      <c r="N127" s="176"/>
      <c r="O127" s="4"/>
      <c r="P127" s="2"/>
      <c r="Q127" s="2"/>
      <c r="R127" s="2"/>
      <c r="S127" s="2"/>
      <c r="T127" s="2"/>
      <c r="U127" s="2"/>
      <c r="V127" s="2"/>
      <c r="W127" s="2"/>
    </row>
    <row r="128" spans="1:23" ht="16.2" customHeight="1">
      <c r="A128" s="226"/>
      <c r="B128" s="227"/>
      <c r="C128" s="76" t="s">
        <v>60</v>
      </c>
      <c r="D128" s="78">
        <f>D126*100/930</f>
        <v>29.454117682198326</v>
      </c>
      <c r="E128" s="46"/>
      <c r="F128" s="46"/>
      <c r="G128" s="45"/>
      <c r="H128" s="45"/>
      <c r="I128" s="45"/>
      <c r="J128" s="48"/>
      <c r="K128" s="48"/>
      <c r="L128" s="47"/>
      <c r="M128" s="47"/>
      <c r="N128" s="176"/>
      <c r="O128" s="4"/>
      <c r="P128" s="2"/>
      <c r="Q128" s="2"/>
      <c r="R128" s="2"/>
      <c r="S128" s="2"/>
      <c r="T128" s="2"/>
      <c r="U128" s="2"/>
      <c r="V128" s="2"/>
      <c r="W128" s="2"/>
    </row>
    <row r="129" spans="1:23" ht="16.2" customHeight="1">
      <c r="A129" s="235" t="s">
        <v>35</v>
      </c>
      <c r="B129" s="235"/>
      <c r="C129" s="63"/>
      <c r="D129" s="64"/>
      <c r="E129" s="64"/>
      <c r="F129" s="64"/>
      <c r="G129" s="64"/>
      <c r="H129" s="64"/>
      <c r="I129" s="64"/>
      <c r="J129" s="64"/>
      <c r="K129" s="64"/>
      <c r="L129" s="65"/>
      <c r="M129" s="65"/>
      <c r="N129" s="66"/>
      <c r="O129" s="4"/>
      <c r="P129" s="2"/>
      <c r="Q129" s="2"/>
      <c r="R129" s="2"/>
      <c r="S129" s="2"/>
      <c r="T129" s="2"/>
      <c r="U129" s="2"/>
      <c r="V129" s="2"/>
    </row>
    <row r="130" spans="1:23" s="2" customFormat="1" ht="16.2" customHeight="1">
      <c r="A130" s="9">
        <v>1</v>
      </c>
      <c r="B130" s="10" t="s">
        <v>70</v>
      </c>
      <c r="C130" s="23">
        <f>L130/100*90</f>
        <v>18</v>
      </c>
      <c r="D130" s="24">
        <f>C130/100*253</f>
        <v>45.54</v>
      </c>
      <c r="E130" s="25"/>
      <c r="F130" s="25">
        <f>C130/100*32.4</f>
        <v>5.8319999999999999</v>
      </c>
      <c r="G130" s="25"/>
      <c r="H130" s="25">
        <f>C130/100*3.6</f>
        <v>0.64800000000000002</v>
      </c>
      <c r="I130" s="25">
        <f>C130/100*21.1</f>
        <v>3.798</v>
      </c>
      <c r="J130" s="27">
        <f>C130/100*165.6</f>
        <v>29.807999999999996</v>
      </c>
      <c r="K130" s="27">
        <f>C130/100*0.14</f>
        <v>2.52E-2</v>
      </c>
      <c r="L130" s="137">
        <v>20</v>
      </c>
      <c r="M130" s="75">
        <v>275</v>
      </c>
      <c r="N130" s="28">
        <f t="shared" ref="N130:N134" si="7">L130*M130</f>
        <v>5500</v>
      </c>
      <c r="O130" s="153"/>
    </row>
    <row r="131" spans="1:23" s="2" customFormat="1" ht="16.2" customHeight="1">
      <c r="A131" s="9">
        <v>2</v>
      </c>
      <c r="B131" s="5" t="s">
        <v>138</v>
      </c>
      <c r="C131" s="23">
        <f>L131/100*100</f>
        <v>210</v>
      </c>
      <c r="D131" s="24">
        <f>C131/100*340</f>
        <v>714</v>
      </c>
      <c r="E131" s="29"/>
      <c r="F131" s="29">
        <f>C131/100*0.7</f>
        <v>1.47</v>
      </c>
      <c r="G131" s="29"/>
      <c r="H131" s="29"/>
      <c r="I131" s="29">
        <f>C131/100*84.3</f>
        <v>177.03</v>
      </c>
      <c r="J131" s="71"/>
      <c r="K131" s="71"/>
      <c r="L131" s="370">
        <v>210</v>
      </c>
      <c r="M131" s="75">
        <v>180</v>
      </c>
      <c r="N131" s="28">
        <f t="shared" si="7"/>
        <v>37800</v>
      </c>
      <c r="O131" s="153"/>
      <c r="Q131" s="3"/>
      <c r="R131" s="3"/>
      <c r="S131" s="4"/>
      <c r="T131" s="3"/>
    </row>
    <row r="132" spans="1:23" s="2" customFormat="1" ht="16.2" customHeight="1">
      <c r="A132" s="9">
        <v>3</v>
      </c>
      <c r="B132" s="10" t="s">
        <v>170</v>
      </c>
      <c r="C132" s="23">
        <f>L132/100*55</f>
        <v>450.99999999999994</v>
      </c>
      <c r="D132" s="120">
        <f>C132/100*196</f>
        <v>883.95999999999992</v>
      </c>
      <c r="E132" s="25"/>
      <c r="F132" s="136">
        <f>C132/100*4.1</f>
        <v>18.490999999999996</v>
      </c>
      <c r="G132" s="25"/>
      <c r="H132" s="25">
        <f>C132/100*2.3</f>
        <v>10.372999999999999</v>
      </c>
      <c r="I132" s="25">
        <f>C132/100*39.6</f>
        <v>178.596</v>
      </c>
      <c r="J132" s="27">
        <f>C132/100*4</f>
        <v>18.04</v>
      </c>
      <c r="K132" s="27">
        <f>C132/100*0.15</f>
        <v>0.67649999999999999</v>
      </c>
      <c r="L132" s="401">
        <v>820</v>
      </c>
      <c r="M132" s="75">
        <v>22</v>
      </c>
      <c r="N132" s="28">
        <f t="shared" si="7"/>
        <v>18040</v>
      </c>
      <c r="O132" s="402"/>
      <c r="P132" s="141"/>
      <c r="Q132" s="141"/>
    </row>
    <row r="133" spans="1:23" s="2" customFormat="1" ht="16.2" customHeight="1">
      <c r="A133" s="9">
        <v>4</v>
      </c>
      <c r="B133" s="5" t="s">
        <v>69</v>
      </c>
      <c r="C133" s="23">
        <f>L133/100*48</f>
        <v>969.59999999999991</v>
      </c>
      <c r="D133" s="24">
        <f>C133/100*199</f>
        <v>1929.5039999999999</v>
      </c>
      <c r="E133" s="25">
        <f>C133/100*20.3</f>
        <v>196.8288</v>
      </c>
      <c r="F133" s="25"/>
      <c r="G133" s="25">
        <f>C133/100*13.1</f>
        <v>127.01759999999999</v>
      </c>
      <c r="H133" s="25"/>
      <c r="I133" s="25"/>
      <c r="J133" s="27">
        <f>C133/100*12</f>
        <v>116.352</v>
      </c>
      <c r="K133" s="27">
        <f>C133/100*0.15</f>
        <v>1.4543999999999999</v>
      </c>
      <c r="L133" s="26">
        <v>2020</v>
      </c>
      <c r="M133" s="137">
        <v>84</v>
      </c>
      <c r="N133" s="124">
        <f t="shared" si="7"/>
        <v>169680</v>
      </c>
      <c r="O133" s="153"/>
      <c r="Q133" s="3"/>
      <c r="R133" s="3"/>
      <c r="S133" s="4"/>
    </row>
    <row r="134" spans="1:23" s="2" customFormat="1" ht="16.2" customHeight="1">
      <c r="A134" s="103">
        <v>5</v>
      </c>
      <c r="B134" s="112" t="s">
        <v>171</v>
      </c>
      <c r="C134" s="104">
        <f>L134/100*85</f>
        <v>51</v>
      </c>
      <c r="D134" s="105">
        <f>C134/100*11</f>
        <v>5.61</v>
      </c>
      <c r="E134" s="106"/>
      <c r="F134" s="106">
        <f>C134/100*2.2</f>
        <v>1.1220000000000001</v>
      </c>
      <c r="G134" s="106"/>
      <c r="H134" s="106"/>
      <c r="I134" s="106">
        <f>C134/100*0.6</f>
        <v>0.30599999999999999</v>
      </c>
      <c r="J134" s="114"/>
      <c r="K134" s="114"/>
      <c r="L134" s="403">
        <v>60</v>
      </c>
      <c r="M134" s="145">
        <v>30</v>
      </c>
      <c r="N134" s="108">
        <f t="shared" si="7"/>
        <v>1800</v>
      </c>
      <c r="O134" s="153"/>
      <c r="Q134" s="3"/>
      <c r="R134" s="3"/>
    </row>
    <row r="135" spans="1:23" ht="20.399999999999999" customHeight="1">
      <c r="A135" s="208" t="s">
        <v>0</v>
      </c>
      <c r="B135" s="211" t="s">
        <v>19</v>
      </c>
      <c r="C135" s="214" t="s">
        <v>8</v>
      </c>
      <c r="D135" s="214" t="s">
        <v>9</v>
      </c>
      <c r="E135" s="217" t="s">
        <v>11</v>
      </c>
      <c r="F135" s="218"/>
      <c r="G135" s="217" t="s">
        <v>13</v>
      </c>
      <c r="H135" s="218"/>
      <c r="I135" s="221" t="s">
        <v>16</v>
      </c>
      <c r="J135" s="221" t="s">
        <v>41</v>
      </c>
      <c r="K135" s="221" t="s">
        <v>42</v>
      </c>
      <c r="L135" s="339" t="s">
        <v>17</v>
      </c>
      <c r="M135" s="221" t="s">
        <v>57</v>
      </c>
      <c r="N135" s="208" t="s">
        <v>18</v>
      </c>
      <c r="O135" s="369"/>
    </row>
    <row r="136" spans="1:23" ht="20.399999999999999" customHeight="1">
      <c r="A136" s="209"/>
      <c r="B136" s="212"/>
      <c r="C136" s="215"/>
      <c r="D136" s="215"/>
      <c r="E136" s="219"/>
      <c r="F136" s="220"/>
      <c r="G136" s="219"/>
      <c r="H136" s="220"/>
      <c r="I136" s="222"/>
      <c r="J136" s="222"/>
      <c r="K136" s="222"/>
      <c r="L136" s="340"/>
      <c r="M136" s="222"/>
      <c r="N136" s="209"/>
      <c r="O136" s="175"/>
    </row>
    <row r="137" spans="1:23" ht="20.399999999999999" customHeight="1">
      <c r="A137" s="209"/>
      <c r="B137" s="212"/>
      <c r="C137" s="215"/>
      <c r="D137" s="215"/>
      <c r="E137" s="221" t="s">
        <v>10</v>
      </c>
      <c r="F137" s="221" t="s">
        <v>12</v>
      </c>
      <c r="G137" s="221" t="s">
        <v>14</v>
      </c>
      <c r="H137" s="221" t="s">
        <v>15</v>
      </c>
      <c r="I137" s="222"/>
      <c r="J137" s="222"/>
      <c r="K137" s="222"/>
      <c r="L137" s="340"/>
      <c r="M137" s="222"/>
      <c r="N137" s="209"/>
      <c r="O137" s="175"/>
    </row>
    <row r="138" spans="1:23" ht="20.399999999999999" customHeight="1">
      <c r="A138" s="210"/>
      <c r="B138" s="213"/>
      <c r="C138" s="216"/>
      <c r="D138" s="216"/>
      <c r="E138" s="223"/>
      <c r="F138" s="223"/>
      <c r="G138" s="223"/>
      <c r="H138" s="223"/>
      <c r="I138" s="223"/>
      <c r="J138" s="223"/>
      <c r="K138" s="223"/>
      <c r="L138" s="341"/>
      <c r="M138" s="223"/>
      <c r="N138" s="210"/>
      <c r="O138" s="175"/>
    </row>
    <row r="139" spans="1:23" s="2" customFormat="1" ht="20.399999999999999" customHeight="1">
      <c r="A139" s="21" t="s">
        <v>106</v>
      </c>
      <c r="B139" s="22"/>
      <c r="C139" s="34"/>
      <c r="D139" s="35">
        <f>SUM(D130:D134)</f>
        <v>3578.614</v>
      </c>
      <c r="E139" s="43"/>
      <c r="F139" s="43"/>
      <c r="G139" s="43"/>
      <c r="H139" s="43"/>
      <c r="I139" s="43"/>
      <c r="J139" s="82"/>
      <c r="K139" s="43"/>
      <c r="L139" s="44"/>
      <c r="M139" s="307"/>
      <c r="N139" s="335">
        <f>SUM(N130:N134)</f>
        <v>232820</v>
      </c>
      <c r="O139" s="153"/>
    </row>
    <row r="140" spans="1:23" ht="20.399999999999999" customHeight="1">
      <c r="A140" s="21" t="s">
        <v>7</v>
      </c>
      <c r="B140" s="22"/>
      <c r="C140" s="45"/>
      <c r="D140" s="72">
        <f>D139/D94</f>
        <v>66.270629629629624</v>
      </c>
      <c r="E140" s="46"/>
      <c r="F140" s="46"/>
      <c r="G140" s="46"/>
      <c r="H140" s="46"/>
      <c r="I140" s="46"/>
      <c r="J140" s="83"/>
      <c r="K140" s="46"/>
      <c r="L140" s="47"/>
      <c r="M140" s="308"/>
      <c r="N140" s="336"/>
      <c r="O140" s="4"/>
      <c r="P140" s="2"/>
      <c r="Q140" s="2"/>
      <c r="R140" s="2"/>
      <c r="S140" s="2"/>
      <c r="T140" s="2"/>
      <c r="U140" s="2"/>
      <c r="V140" s="2"/>
    </row>
    <row r="141" spans="1:23" ht="20.399999999999999" customHeight="1">
      <c r="A141" s="291" t="s">
        <v>52</v>
      </c>
      <c r="B141" s="225"/>
      <c r="C141" s="372" t="s">
        <v>151</v>
      </c>
      <c r="D141" s="20" t="s">
        <v>50</v>
      </c>
      <c r="E141" s="46"/>
      <c r="F141" s="46"/>
      <c r="G141" s="46"/>
      <c r="H141" s="46"/>
      <c r="I141" s="46"/>
      <c r="J141" s="84"/>
      <c r="K141" s="48"/>
      <c r="L141" s="47"/>
      <c r="M141" s="47"/>
      <c r="N141" s="176"/>
      <c r="O141" s="4"/>
      <c r="P141" s="2"/>
      <c r="Q141" s="2"/>
      <c r="R141" s="2"/>
      <c r="S141" s="2"/>
      <c r="T141" s="2"/>
      <c r="U141" s="2"/>
      <c r="V141" s="2"/>
      <c r="W141" s="2"/>
    </row>
    <row r="142" spans="1:23" ht="20.399999999999999" customHeight="1">
      <c r="A142" s="226"/>
      <c r="B142" s="227"/>
      <c r="C142" s="76" t="s">
        <v>60</v>
      </c>
      <c r="D142" s="78">
        <f>D140*100/930</f>
        <v>7.1258741537236148</v>
      </c>
      <c r="E142" s="46"/>
      <c r="F142" s="46"/>
      <c r="G142" s="46"/>
      <c r="H142" s="46"/>
      <c r="I142" s="46"/>
      <c r="J142" s="84"/>
      <c r="K142" s="48"/>
      <c r="L142" s="47"/>
      <c r="M142" s="47"/>
      <c r="N142" s="176"/>
      <c r="O142" s="4"/>
      <c r="P142" s="2"/>
      <c r="Q142" s="2"/>
      <c r="R142" s="2"/>
      <c r="S142" s="2"/>
      <c r="T142" s="2"/>
      <c r="U142" s="2"/>
      <c r="V142" s="2"/>
      <c r="W142" s="2"/>
    </row>
    <row r="143" spans="1:23" ht="20.399999999999999" customHeight="1">
      <c r="A143" s="283" t="s">
        <v>107</v>
      </c>
      <c r="B143" s="284"/>
      <c r="C143" s="287"/>
      <c r="D143" s="301">
        <f>SUM(D111+D125+D139)</f>
        <v>34068.183899999996</v>
      </c>
      <c r="E143" s="7">
        <f t="shared" ref="E143:K143" si="8">SUM(E100:E134)</f>
        <v>993.24079999999992</v>
      </c>
      <c r="F143" s="7">
        <f t="shared" si="8"/>
        <v>433.95170999999999</v>
      </c>
      <c r="G143" s="7">
        <f t="shared" si="8"/>
        <v>934.79600000000005</v>
      </c>
      <c r="H143" s="7">
        <f t="shared" si="8"/>
        <v>412.67116999999996</v>
      </c>
      <c r="I143" s="354">
        <f t="shared" si="8"/>
        <v>3923.4552699999995</v>
      </c>
      <c r="J143" s="354">
        <f t="shared" si="8"/>
        <v>16254.789799999999</v>
      </c>
      <c r="K143" s="281">
        <f t="shared" si="8"/>
        <v>25.552831999999999</v>
      </c>
      <c r="L143" s="265"/>
      <c r="M143" s="265"/>
      <c r="N143" s="357">
        <f>N111+N125+N139</f>
        <v>1188265</v>
      </c>
      <c r="U143" s="12"/>
      <c r="V143" s="12"/>
    </row>
    <row r="144" spans="1:23" ht="20.399999999999999" customHeight="1">
      <c r="A144" s="285"/>
      <c r="B144" s="286"/>
      <c r="C144" s="288"/>
      <c r="D144" s="302"/>
      <c r="E144" s="279">
        <f>E143+F143</f>
        <v>1427.1925099999999</v>
      </c>
      <c r="F144" s="280"/>
      <c r="G144" s="279">
        <f>G143+H143</f>
        <v>1347.4671699999999</v>
      </c>
      <c r="H144" s="280"/>
      <c r="I144" s="355"/>
      <c r="J144" s="355"/>
      <c r="K144" s="282"/>
      <c r="L144" s="265"/>
      <c r="M144" s="265"/>
      <c r="N144" s="357"/>
      <c r="U144" s="12"/>
      <c r="V144" s="12"/>
    </row>
    <row r="145" spans="1:22" ht="20.399999999999999" customHeight="1">
      <c r="A145" s="266" t="s">
        <v>77</v>
      </c>
      <c r="B145" s="267"/>
      <c r="C145" s="268"/>
      <c r="D145" s="133">
        <f>D143/D94</f>
        <v>630.89229444444436</v>
      </c>
      <c r="E145" s="406">
        <f>E143/D94</f>
        <v>18.393348148148146</v>
      </c>
      <c r="F145" s="405">
        <f>F143/D94</f>
        <v>8.0361427777777781</v>
      </c>
      <c r="G145" s="406">
        <f>G143/D94</f>
        <v>17.311037037037039</v>
      </c>
      <c r="H145" s="405">
        <f>H143/D94</f>
        <v>7.6420587037037029</v>
      </c>
      <c r="I145" s="261">
        <f>I143/D94</f>
        <v>72.65657907407406</v>
      </c>
      <c r="J145" s="261">
        <f>J143/D94</f>
        <v>301.01462592592588</v>
      </c>
      <c r="K145" s="299">
        <f>K143/D94</f>
        <v>0.47320059259259256</v>
      </c>
      <c r="L145" s="265"/>
      <c r="M145" s="265"/>
      <c r="N145" s="357"/>
      <c r="P145" s="395"/>
      <c r="Q145" s="396"/>
      <c r="R145" s="396"/>
      <c r="S145" s="396"/>
      <c r="T145" s="396"/>
      <c r="U145" s="397"/>
      <c r="V145" s="397"/>
    </row>
    <row r="146" spans="1:22" ht="20.399999999999999" customHeight="1">
      <c r="A146" s="269"/>
      <c r="B146" s="270"/>
      <c r="C146" s="271"/>
      <c r="D146" s="127"/>
      <c r="E146" s="376">
        <f>E145+F145</f>
        <v>26.429490925925926</v>
      </c>
      <c r="F146" s="377"/>
      <c r="G146" s="376">
        <f>G145+H145</f>
        <v>24.953095740740743</v>
      </c>
      <c r="H146" s="377"/>
      <c r="I146" s="262"/>
      <c r="J146" s="262"/>
      <c r="K146" s="300"/>
      <c r="L146" s="265"/>
      <c r="M146" s="265"/>
      <c r="N146" s="357"/>
      <c r="P146" s="398"/>
      <c r="Q146" s="396"/>
      <c r="R146" s="396"/>
      <c r="S146" s="407"/>
      <c r="T146" s="407"/>
      <c r="U146" s="396"/>
      <c r="V146" s="396"/>
    </row>
    <row r="147" spans="1:22" ht="20.399999999999999" customHeight="1">
      <c r="A147" s="304" t="s">
        <v>80</v>
      </c>
      <c r="B147" s="305"/>
      <c r="C147" s="306"/>
      <c r="D147" s="178" t="s">
        <v>29</v>
      </c>
      <c r="E147" s="338" t="s">
        <v>24</v>
      </c>
      <c r="F147" s="338"/>
      <c r="G147" s="338" t="s">
        <v>25</v>
      </c>
      <c r="H147" s="338"/>
      <c r="I147" s="386" t="s">
        <v>26</v>
      </c>
      <c r="J147" s="173">
        <v>500</v>
      </c>
      <c r="K147" s="173">
        <v>0.5</v>
      </c>
      <c r="L147" s="265"/>
      <c r="M147" s="265"/>
      <c r="N147" s="357"/>
      <c r="O147" s="379"/>
      <c r="P147" s="395"/>
      <c r="Q147" s="395"/>
      <c r="R147" s="395"/>
      <c r="S147" s="395"/>
      <c r="T147" s="395"/>
      <c r="U147" s="395"/>
      <c r="V147" s="395"/>
    </row>
    <row r="148" spans="1:22" ht="20.399999999999999" customHeight="1">
      <c r="A148" s="242" t="s">
        <v>78</v>
      </c>
      <c r="B148" s="272"/>
      <c r="C148" s="243"/>
      <c r="D148" s="49"/>
      <c r="E148" s="273">
        <f>E146*4.1</f>
        <v>108.36091279629629</v>
      </c>
      <c r="F148" s="274"/>
      <c r="G148" s="273">
        <f>G146*9</f>
        <v>224.57786166666668</v>
      </c>
      <c r="H148" s="274"/>
      <c r="I148" s="85">
        <f>I145*4.1</f>
        <v>297.89197420370363</v>
      </c>
      <c r="J148" s="254"/>
      <c r="K148" s="254"/>
      <c r="L148" s="265"/>
      <c r="M148" s="265"/>
      <c r="N148" s="357"/>
      <c r="O148" s="379"/>
      <c r="P148" s="399"/>
      <c r="Q148" s="400"/>
      <c r="R148" s="400"/>
      <c r="S148" s="400"/>
      <c r="T148" s="395"/>
      <c r="U148" s="395"/>
      <c r="V148" s="395"/>
    </row>
    <row r="149" spans="1:22" ht="20.399999999999999" customHeight="1">
      <c r="A149" s="275" t="s">
        <v>87</v>
      </c>
      <c r="B149" s="276"/>
      <c r="C149" s="242" t="s">
        <v>59</v>
      </c>
      <c r="D149" s="243"/>
      <c r="E149" s="188">
        <f>E148*100/D145</f>
        <v>17.175818083452345</v>
      </c>
      <c r="F149" s="189"/>
      <c r="G149" s="188">
        <f>G148*100/D145</f>
        <v>35.596862355788808</v>
      </c>
      <c r="H149" s="189"/>
      <c r="I149" s="115">
        <f>I148*100/D145</f>
        <v>47.217564206585131</v>
      </c>
      <c r="J149" s="255"/>
      <c r="K149" s="255"/>
      <c r="L149" s="265"/>
      <c r="M149" s="265"/>
      <c r="N149" s="357"/>
      <c r="O149" s="379"/>
      <c r="P149" s="395"/>
      <c r="Q149" s="395"/>
      <c r="R149" s="395"/>
      <c r="S149" s="395"/>
      <c r="T149" s="395"/>
      <c r="U149" s="395"/>
      <c r="V149" s="395"/>
    </row>
    <row r="150" spans="1:22" ht="20.399999999999999" customHeight="1">
      <c r="A150" s="277"/>
      <c r="B150" s="278"/>
      <c r="C150" s="242" t="s">
        <v>79</v>
      </c>
      <c r="D150" s="243"/>
      <c r="E150" s="242" t="s">
        <v>82</v>
      </c>
      <c r="F150" s="243"/>
      <c r="G150" s="242" t="s">
        <v>85</v>
      </c>
      <c r="H150" s="243"/>
      <c r="I150" s="178" t="s">
        <v>86</v>
      </c>
      <c r="J150" s="256"/>
      <c r="K150" s="256"/>
      <c r="L150" s="265"/>
      <c r="M150" s="265"/>
      <c r="N150" s="357"/>
      <c r="O150" s="379"/>
      <c r="P150" s="132"/>
    </row>
    <row r="151" spans="1:22" ht="20.399999999999999" customHeight="1">
      <c r="A151" s="90"/>
      <c r="B151" s="90"/>
      <c r="C151" s="90"/>
      <c r="D151" s="90"/>
      <c r="E151" s="90"/>
      <c r="F151" s="90"/>
      <c r="G151" s="90"/>
      <c r="H151" s="90"/>
      <c r="I151" s="90"/>
      <c r="J151" s="90"/>
      <c r="K151" s="90"/>
      <c r="L151" s="94"/>
      <c r="M151" s="94"/>
      <c r="N151" s="95"/>
      <c r="O151" s="379"/>
    </row>
    <row r="152" spans="1:22" ht="21" customHeight="1">
      <c r="A152" s="183" t="s">
        <v>114</v>
      </c>
      <c r="B152" s="183"/>
      <c r="C152" s="183"/>
      <c r="D152" s="183"/>
      <c r="E152" s="183"/>
      <c r="F152" s="183"/>
      <c r="G152" s="183"/>
      <c r="H152" s="183"/>
      <c r="I152" s="183"/>
      <c r="J152" s="183"/>
      <c r="K152" s="183"/>
      <c r="L152" s="183"/>
      <c r="M152" s="183"/>
      <c r="N152" s="183"/>
      <c r="O152" s="379"/>
    </row>
    <row r="153" spans="1:22" ht="21" customHeight="1">
      <c r="A153" s="117" t="s">
        <v>115</v>
      </c>
      <c r="B153" s="184" t="s">
        <v>116</v>
      </c>
      <c r="C153" s="184"/>
      <c r="D153" s="184"/>
      <c r="E153" s="184"/>
      <c r="F153" s="184"/>
      <c r="G153" s="184"/>
      <c r="H153" s="184"/>
      <c r="I153" s="184"/>
      <c r="J153" s="184"/>
      <c r="K153" s="184"/>
      <c r="L153" s="184"/>
      <c r="M153" s="184"/>
      <c r="N153" s="184"/>
      <c r="O153" s="379"/>
    </row>
    <row r="154" spans="1:22" ht="21" customHeight="1">
      <c r="A154" s="118"/>
      <c r="B154" s="185" t="s">
        <v>219</v>
      </c>
      <c r="C154" s="185"/>
      <c r="D154" s="185"/>
      <c r="E154" s="185"/>
      <c r="F154" s="185"/>
      <c r="G154" s="185"/>
      <c r="H154" s="185"/>
      <c r="I154" s="185"/>
      <c r="J154" s="185"/>
      <c r="K154" s="185"/>
      <c r="L154" s="185"/>
      <c r="M154" s="185"/>
      <c r="N154" s="185"/>
      <c r="O154" s="379"/>
    </row>
    <row r="155" spans="1:22" ht="21" customHeight="1">
      <c r="A155" s="118"/>
      <c r="B155" s="185" t="s">
        <v>189</v>
      </c>
      <c r="C155" s="185"/>
      <c r="D155" s="185"/>
      <c r="E155" s="185"/>
      <c r="F155" s="185"/>
      <c r="G155" s="185"/>
      <c r="H155" s="185"/>
      <c r="I155" s="185"/>
      <c r="J155" s="185"/>
      <c r="K155" s="185"/>
      <c r="L155" s="185"/>
      <c r="M155" s="185"/>
      <c r="N155" s="185"/>
      <c r="O155" s="379"/>
    </row>
    <row r="156" spans="1:22" ht="21" customHeight="1">
      <c r="A156" s="118"/>
      <c r="B156" s="185" t="s">
        <v>218</v>
      </c>
      <c r="C156" s="185"/>
      <c r="D156" s="185"/>
      <c r="E156" s="185"/>
      <c r="F156" s="185"/>
      <c r="G156" s="185"/>
      <c r="H156" s="185"/>
      <c r="I156" s="185"/>
      <c r="J156" s="185"/>
      <c r="K156" s="185"/>
      <c r="L156" s="185"/>
      <c r="M156" s="185"/>
      <c r="N156" s="185"/>
      <c r="O156" s="379"/>
    </row>
    <row r="157" spans="1:22" ht="21" customHeight="1">
      <c r="A157" s="90"/>
      <c r="B157" s="186" t="s">
        <v>117</v>
      </c>
      <c r="C157" s="186"/>
      <c r="D157" s="186"/>
      <c r="E157" s="186"/>
      <c r="F157" s="186"/>
      <c r="G157" s="186"/>
      <c r="H157" s="186"/>
      <c r="I157" s="186"/>
      <c r="J157" s="186"/>
      <c r="K157" s="186"/>
      <c r="L157" s="186"/>
      <c r="M157" s="186"/>
      <c r="N157" s="186"/>
      <c r="O157" s="379"/>
    </row>
    <row r="158" spans="1:22" ht="21" customHeight="1">
      <c r="A158" s="90"/>
      <c r="B158" s="90"/>
      <c r="C158" s="90"/>
      <c r="D158" s="90"/>
      <c r="E158" s="90"/>
      <c r="F158" s="90"/>
      <c r="G158" s="90"/>
      <c r="H158" s="90"/>
      <c r="I158" s="90"/>
      <c r="J158" s="90"/>
      <c r="K158" s="90"/>
      <c r="L158" s="94"/>
      <c r="M158" s="94"/>
      <c r="N158" s="95"/>
      <c r="O158" s="379"/>
    </row>
    <row r="159" spans="1:22" ht="21" customHeight="1">
      <c r="A159" s="187" t="s">
        <v>62</v>
      </c>
      <c r="B159" s="187"/>
      <c r="C159" s="187"/>
      <c r="D159" s="187"/>
      <c r="E159" s="380"/>
      <c r="F159" s="380"/>
      <c r="G159" s="380"/>
      <c r="H159" s="380"/>
      <c r="I159" s="380"/>
      <c r="J159" s="381" t="s">
        <v>33</v>
      </c>
      <c r="K159" s="381"/>
      <c r="L159" s="381"/>
      <c r="M159" s="381"/>
      <c r="N159" s="381"/>
      <c r="O159" s="379"/>
    </row>
    <row r="160" spans="1:22" ht="21" customHeight="1">
      <c r="A160" s="175"/>
      <c r="B160" s="175"/>
      <c r="C160" s="175"/>
      <c r="D160" s="380"/>
      <c r="E160" s="380"/>
      <c r="F160" s="380"/>
      <c r="G160" s="380"/>
      <c r="H160" s="382"/>
      <c r="I160" s="382"/>
      <c r="J160" s="382"/>
      <c r="K160" s="382"/>
      <c r="L160" s="382"/>
      <c r="M160" s="382"/>
      <c r="N160" s="382"/>
      <c r="O160" s="379"/>
    </row>
    <row r="161" spans="1:15" ht="21" customHeight="1">
      <c r="A161" s="175"/>
      <c r="B161" s="175"/>
      <c r="C161" s="175"/>
      <c r="D161" s="380"/>
      <c r="E161" s="380"/>
      <c r="F161" s="380"/>
      <c r="G161" s="380"/>
      <c r="H161" s="382"/>
      <c r="I161" s="382"/>
      <c r="J161" s="382"/>
      <c r="K161" s="382"/>
      <c r="L161" s="382"/>
      <c r="M161" s="382"/>
      <c r="N161" s="382"/>
      <c r="O161" s="379"/>
    </row>
    <row r="162" spans="1:15" ht="21" customHeight="1">
      <c r="A162" s="175"/>
      <c r="B162" s="175"/>
      <c r="C162" s="175"/>
      <c r="D162" s="380"/>
      <c r="E162" s="380"/>
      <c r="F162" s="380"/>
      <c r="G162" s="380"/>
      <c r="H162" s="382"/>
      <c r="I162" s="382"/>
      <c r="J162" s="383" t="s">
        <v>124</v>
      </c>
      <c r="K162" s="383"/>
      <c r="L162" s="383"/>
      <c r="M162" s="383"/>
      <c r="N162" s="383"/>
      <c r="O162" s="379"/>
    </row>
    <row r="163" spans="1:15" ht="21" customHeight="1">
      <c r="A163" s="179" t="s">
        <v>91</v>
      </c>
      <c r="B163" s="179"/>
      <c r="C163" s="179"/>
      <c r="D163" s="179"/>
      <c r="E163" s="380"/>
      <c r="F163" s="380"/>
      <c r="G163" s="380"/>
      <c r="H163" s="382"/>
      <c r="I163" s="382"/>
      <c r="J163" s="383"/>
      <c r="K163" s="383"/>
      <c r="L163" s="383"/>
      <c r="M163" s="383"/>
      <c r="N163" s="383"/>
      <c r="O163" s="379"/>
    </row>
    <row r="164" spans="1:15" ht="20.399999999999999" customHeight="1">
      <c r="J164" s="382"/>
      <c r="K164" s="382"/>
      <c r="L164" s="382"/>
      <c r="M164" s="382"/>
      <c r="N164" s="382"/>
    </row>
    <row r="165" spans="1:15" ht="20.399999999999999" customHeight="1">
      <c r="J165" s="383" t="s">
        <v>127</v>
      </c>
      <c r="K165" s="383"/>
      <c r="L165" s="383"/>
      <c r="M165" s="383"/>
      <c r="N165" s="383"/>
    </row>
  </sheetData>
  <mergeCells count="207">
    <mergeCell ref="J162:N162"/>
    <mergeCell ref="J165:N165"/>
    <mergeCell ref="D45:D48"/>
    <mergeCell ref="J72:N72"/>
    <mergeCell ref="J75:N75"/>
    <mergeCell ref="B153:N153"/>
    <mergeCell ref="B154:N154"/>
    <mergeCell ref="B155:N155"/>
    <mergeCell ref="B156:N156"/>
    <mergeCell ref="B157:N157"/>
    <mergeCell ref="A159:D159"/>
    <mergeCell ref="J159:N159"/>
    <mergeCell ref="A148:C148"/>
    <mergeCell ref="E148:F148"/>
    <mergeCell ref="G148:H148"/>
    <mergeCell ref="A113:B114"/>
    <mergeCell ref="E91:I93"/>
    <mergeCell ref="E137:E138"/>
    <mergeCell ref="F137:F138"/>
    <mergeCell ref="G137:G138"/>
    <mergeCell ref="H137:H138"/>
    <mergeCell ref="A92:D92"/>
    <mergeCell ref="A93:D93"/>
    <mergeCell ref="J95:J98"/>
    <mergeCell ref="B65:N65"/>
    <mergeCell ref="B66:N66"/>
    <mergeCell ref="A69:D69"/>
    <mergeCell ref="J69:N69"/>
    <mergeCell ref="A73:D73"/>
    <mergeCell ref="J73:N73"/>
    <mergeCell ref="A89:D90"/>
    <mergeCell ref="E89:N89"/>
    <mergeCell ref="E90:I90"/>
    <mergeCell ref="D95:D98"/>
    <mergeCell ref="F97:F98"/>
    <mergeCell ref="G97:G98"/>
    <mergeCell ref="K95:K98"/>
    <mergeCell ref="A91:D91"/>
    <mergeCell ref="J91:N91"/>
    <mergeCell ref="J92:N92"/>
    <mergeCell ref="J93:N93"/>
    <mergeCell ref="A163:D163"/>
    <mergeCell ref="J163:N163"/>
    <mergeCell ref="K148:K150"/>
    <mergeCell ref="A149:B150"/>
    <mergeCell ref="C149:D149"/>
    <mergeCell ref="E149:F149"/>
    <mergeCell ref="K145:K146"/>
    <mergeCell ref="D143:D144"/>
    <mergeCell ref="I143:I144"/>
    <mergeCell ref="E144:F144"/>
    <mergeCell ref="I145:I146"/>
    <mergeCell ref="E146:F146"/>
    <mergeCell ref="J145:J146"/>
    <mergeCell ref="G149:H149"/>
    <mergeCell ref="C150:D150"/>
    <mergeCell ref="E150:F150"/>
    <mergeCell ref="G150:H150"/>
    <mergeCell ref="L143:L150"/>
    <mergeCell ref="M143:M150"/>
    <mergeCell ref="N143:N150"/>
    <mergeCell ref="A145:C146"/>
    <mergeCell ref="A147:C147"/>
    <mergeCell ref="J148:J150"/>
    <mergeCell ref="A152:N152"/>
    <mergeCell ref="U146:V146"/>
    <mergeCell ref="Q146:R146"/>
    <mergeCell ref="S146:T146"/>
    <mergeCell ref="A127:B128"/>
    <mergeCell ref="A129:B129"/>
    <mergeCell ref="M139:M140"/>
    <mergeCell ref="N139:N140"/>
    <mergeCell ref="A141:B142"/>
    <mergeCell ref="J143:J144"/>
    <mergeCell ref="K143:K144"/>
    <mergeCell ref="M125:M126"/>
    <mergeCell ref="N125:N126"/>
    <mergeCell ref="A135:A138"/>
    <mergeCell ref="B135:B138"/>
    <mergeCell ref="C135:C138"/>
    <mergeCell ref="D135:D138"/>
    <mergeCell ref="E135:F136"/>
    <mergeCell ref="G135:H136"/>
    <mergeCell ref="I135:I138"/>
    <mergeCell ref="J135:J138"/>
    <mergeCell ref="K135:K138"/>
    <mergeCell ref="L135:L138"/>
    <mergeCell ref="M135:M138"/>
    <mergeCell ref="N135:N138"/>
    <mergeCell ref="U54:V54"/>
    <mergeCell ref="U55:V55"/>
    <mergeCell ref="U145:V145"/>
    <mergeCell ref="Q54:R54"/>
    <mergeCell ref="S54:T54"/>
    <mergeCell ref="A95:A98"/>
    <mergeCell ref="B95:B98"/>
    <mergeCell ref="I55:I56"/>
    <mergeCell ref="A53:B54"/>
    <mergeCell ref="C53:C54"/>
    <mergeCell ref="M95:M98"/>
    <mergeCell ref="J58:J60"/>
    <mergeCell ref="K58:K60"/>
    <mergeCell ref="A94:C94"/>
    <mergeCell ref="A62:N62"/>
    <mergeCell ref="B63:N63"/>
    <mergeCell ref="B64:N64"/>
    <mergeCell ref="L53:L60"/>
    <mergeCell ref="M53:M60"/>
    <mergeCell ref="N53:N60"/>
    <mergeCell ref="I53:I54"/>
    <mergeCell ref="A143:B144"/>
    <mergeCell ref="C143:C144"/>
    <mergeCell ref="A115:B115"/>
    <mergeCell ref="M27:M28"/>
    <mergeCell ref="A51:B52"/>
    <mergeCell ref="M49:M50"/>
    <mergeCell ref="N49:N50"/>
    <mergeCell ref="E54:F54"/>
    <mergeCell ref="G54:H54"/>
    <mergeCell ref="J6:N9"/>
    <mergeCell ref="M11:M14"/>
    <mergeCell ref="A58:C58"/>
    <mergeCell ref="E58:F58"/>
    <mergeCell ref="G58:H58"/>
    <mergeCell ref="N27:N28"/>
    <mergeCell ref="A29:B30"/>
    <mergeCell ref="A31:B31"/>
    <mergeCell ref="A55:C56"/>
    <mergeCell ref="E57:F57"/>
    <mergeCell ref="D53:D54"/>
    <mergeCell ref="J53:J54"/>
    <mergeCell ref="K53:K54"/>
    <mergeCell ref="B45:B48"/>
    <mergeCell ref="K55:K56"/>
    <mergeCell ref="K11:K14"/>
    <mergeCell ref="A9:D9"/>
    <mergeCell ref="E6:I9"/>
    <mergeCell ref="F1:N1"/>
    <mergeCell ref="A15:N15"/>
    <mergeCell ref="A11:A14"/>
    <mergeCell ref="B11:B14"/>
    <mergeCell ref="C11:C14"/>
    <mergeCell ref="D11:D14"/>
    <mergeCell ref="E11:F12"/>
    <mergeCell ref="G11:H12"/>
    <mergeCell ref="I11:I14"/>
    <mergeCell ref="L11:L14"/>
    <mergeCell ref="N11:N14"/>
    <mergeCell ref="E13:E14"/>
    <mergeCell ref="F13:F14"/>
    <mergeCell ref="G13:G14"/>
    <mergeCell ref="H13:H14"/>
    <mergeCell ref="A6:D6"/>
    <mergeCell ref="A10:C10"/>
    <mergeCell ref="A7:D7"/>
    <mergeCell ref="A5:D5"/>
    <mergeCell ref="E5:N5"/>
    <mergeCell ref="J11:J14"/>
    <mergeCell ref="A8:D8"/>
    <mergeCell ref="E45:F46"/>
    <mergeCell ref="G45:H46"/>
    <mergeCell ref="I45:I48"/>
    <mergeCell ref="J45:J48"/>
    <mergeCell ref="J90:N90"/>
    <mergeCell ref="C45:C48"/>
    <mergeCell ref="G59:H59"/>
    <mergeCell ref="C60:D60"/>
    <mergeCell ref="A59:B60"/>
    <mergeCell ref="C59:D59"/>
    <mergeCell ref="E59:F59"/>
    <mergeCell ref="E60:F60"/>
    <mergeCell ref="G60:H60"/>
    <mergeCell ref="M45:M48"/>
    <mergeCell ref="N45:N48"/>
    <mergeCell ref="E47:E48"/>
    <mergeCell ref="F47:F48"/>
    <mergeCell ref="G47:G48"/>
    <mergeCell ref="H47:H48"/>
    <mergeCell ref="K45:K48"/>
    <mergeCell ref="L45:L48"/>
    <mergeCell ref="A45:A48"/>
    <mergeCell ref="A57:C57"/>
    <mergeCell ref="J55:J56"/>
    <mergeCell ref="S55:T55"/>
    <mergeCell ref="Q145:R145"/>
    <mergeCell ref="S145:T145"/>
    <mergeCell ref="E147:F147"/>
    <mergeCell ref="G147:H147"/>
    <mergeCell ref="E95:F96"/>
    <mergeCell ref="G95:H96"/>
    <mergeCell ref="I95:I98"/>
    <mergeCell ref="L95:L98"/>
    <mergeCell ref="N95:N98"/>
    <mergeCell ref="E97:E98"/>
    <mergeCell ref="M111:M112"/>
    <mergeCell ref="N111:N112"/>
    <mergeCell ref="E56:F56"/>
    <mergeCell ref="G56:H56"/>
    <mergeCell ref="F85:N85"/>
    <mergeCell ref="G57:H57"/>
    <mergeCell ref="G146:H146"/>
    <mergeCell ref="H97:H98"/>
    <mergeCell ref="A99:N99"/>
    <mergeCell ref="C95:C98"/>
    <mergeCell ref="G144:H144"/>
    <mergeCell ref="Q55:R55"/>
    <mergeCell ref="B67:N67"/>
  </mergeCells>
  <pageMargins left="0.54166666666666663" right="0.13333333333333333" top="0.42708333333333331" bottom="0.41666666666666669" header="0.3" footer="0.3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W156"/>
  <sheetViews>
    <sheetView topLeftCell="A34" workbookViewId="0">
      <selection activeCell="P52" sqref="P52:V56"/>
    </sheetView>
  </sheetViews>
  <sheetFormatPr defaultColWidth="9.109375" defaultRowHeight="21" customHeight="1"/>
  <cols>
    <col min="1" max="1" width="4" style="1" customWidth="1"/>
    <col min="2" max="2" width="12" style="1" customWidth="1"/>
    <col min="3" max="3" width="5.33203125" style="1" customWidth="1"/>
    <col min="4" max="4" width="8" style="1" customWidth="1"/>
    <col min="5" max="8" width="6.109375" style="1" customWidth="1"/>
    <col min="9" max="9" width="7" style="1" customWidth="1"/>
    <col min="10" max="10" width="7.6640625" style="1" customWidth="1"/>
    <col min="11" max="11" width="7.44140625" style="1" customWidth="1"/>
    <col min="12" max="12" width="5.6640625" style="1" customWidth="1"/>
    <col min="13" max="13" width="5.33203125" style="1" customWidth="1"/>
    <col min="14" max="14" width="7.44140625" style="1" customWidth="1"/>
    <col min="15" max="15" width="11.88671875" style="1" customWidth="1"/>
    <col min="16" max="16" width="9.109375" style="1"/>
    <col min="17" max="22" width="7.88671875" style="1" customWidth="1"/>
    <col min="23" max="16384" width="9.109375" style="1"/>
  </cols>
  <sheetData>
    <row r="1" spans="1:20" ht="21.6" customHeight="1">
      <c r="A1" s="11" t="s">
        <v>61</v>
      </c>
      <c r="B1" s="8"/>
      <c r="C1" s="8"/>
      <c r="D1" s="8"/>
      <c r="E1" s="8"/>
      <c r="F1" s="290" t="s">
        <v>31</v>
      </c>
      <c r="G1" s="290"/>
      <c r="H1" s="290"/>
      <c r="I1" s="290"/>
      <c r="J1" s="290"/>
      <c r="K1" s="290"/>
      <c r="L1" s="290"/>
      <c r="M1" s="290"/>
      <c r="N1" s="290"/>
      <c r="O1" s="367"/>
      <c r="P1" s="367"/>
      <c r="T1" s="2"/>
    </row>
    <row r="2" spans="1:20" ht="21.6" customHeight="1">
      <c r="A2" s="8" t="s">
        <v>220</v>
      </c>
      <c r="B2" s="8"/>
      <c r="C2" s="8"/>
      <c r="D2" s="8"/>
      <c r="E2" s="8"/>
      <c r="F2" s="172"/>
      <c r="G2" s="172"/>
      <c r="H2" s="172"/>
      <c r="I2" s="172"/>
      <c r="J2" s="172"/>
      <c r="K2" s="172"/>
      <c r="L2" s="172"/>
      <c r="M2" s="172"/>
      <c r="N2" s="172"/>
      <c r="O2" s="367"/>
      <c r="P2" s="367"/>
      <c r="T2" s="2"/>
    </row>
    <row r="3" spans="1:20" s="2" customFormat="1" ht="21.6" customHeight="1">
      <c r="A3" s="194" t="s">
        <v>97</v>
      </c>
      <c r="B3" s="194"/>
      <c r="C3" s="194"/>
      <c r="D3" s="194"/>
      <c r="E3" s="194" t="s">
        <v>98</v>
      </c>
      <c r="F3" s="194"/>
      <c r="G3" s="194"/>
      <c r="H3" s="194"/>
      <c r="I3" s="194"/>
      <c r="J3" s="194"/>
      <c r="K3" s="194"/>
      <c r="L3" s="194"/>
      <c r="M3" s="194"/>
      <c r="N3" s="194"/>
      <c r="O3" s="368"/>
    </row>
    <row r="4" spans="1:20" s="2" customFormat="1" ht="21.6" customHeight="1">
      <c r="A4" s="195" t="s">
        <v>90</v>
      </c>
      <c r="B4" s="195"/>
      <c r="C4" s="195"/>
      <c r="D4" s="195"/>
      <c r="E4" s="198" t="s">
        <v>148</v>
      </c>
      <c r="F4" s="198"/>
      <c r="G4" s="198"/>
      <c r="H4" s="198"/>
      <c r="I4" s="198"/>
      <c r="J4" s="199" t="s">
        <v>175</v>
      </c>
      <c r="K4" s="200"/>
      <c r="L4" s="200"/>
      <c r="M4" s="200"/>
      <c r="N4" s="201"/>
      <c r="O4" s="368"/>
    </row>
    <row r="5" spans="1:20" s="2" customFormat="1" ht="21.6" customHeight="1">
      <c r="A5" s="344" t="s">
        <v>174</v>
      </c>
      <c r="B5" s="345"/>
      <c r="C5" s="345"/>
      <c r="D5" s="346"/>
      <c r="E5" s="198"/>
      <c r="F5" s="198"/>
      <c r="G5" s="198"/>
      <c r="H5" s="198"/>
      <c r="I5" s="198"/>
      <c r="J5" s="202"/>
      <c r="K5" s="203"/>
      <c r="L5" s="203"/>
      <c r="M5" s="203"/>
      <c r="N5" s="204"/>
      <c r="O5" s="368"/>
    </row>
    <row r="6" spans="1:20" s="2" customFormat="1" ht="21.6" customHeight="1">
      <c r="A6" s="196" t="s">
        <v>172</v>
      </c>
      <c r="B6" s="196"/>
      <c r="C6" s="196"/>
      <c r="D6" s="196"/>
      <c r="E6" s="198"/>
      <c r="F6" s="198"/>
      <c r="G6" s="198"/>
      <c r="H6" s="198"/>
      <c r="I6" s="198"/>
      <c r="J6" s="202"/>
      <c r="K6" s="203"/>
      <c r="L6" s="203"/>
      <c r="M6" s="203"/>
      <c r="N6" s="204"/>
      <c r="O6" s="368"/>
    </row>
    <row r="7" spans="1:20" s="2" customFormat="1" ht="21.6" customHeight="1">
      <c r="A7" s="356" t="s">
        <v>173</v>
      </c>
      <c r="B7" s="356"/>
      <c r="C7" s="356"/>
      <c r="D7" s="356"/>
      <c r="E7" s="198"/>
      <c r="F7" s="198"/>
      <c r="G7" s="198"/>
      <c r="H7" s="198"/>
      <c r="I7" s="198"/>
      <c r="J7" s="205"/>
      <c r="K7" s="206"/>
      <c r="L7" s="206"/>
      <c r="M7" s="206"/>
      <c r="N7" s="207"/>
      <c r="O7" s="368"/>
    </row>
    <row r="8" spans="1:20" s="2" customFormat="1" ht="21.6" customHeight="1">
      <c r="A8" s="228" t="s">
        <v>122</v>
      </c>
      <c r="B8" s="229"/>
      <c r="C8" s="230"/>
      <c r="D8" s="128">
        <v>94</v>
      </c>
      <c r="E8" s="87"/>
      <c r="F8" s="87"/>
      <c r="G8" s="87"/>
      <c r="H8" s="87"/>
      <c r="I8" s="87"/>
      <c r="J8" s="87"/>
      <c r="K8" s="87"/>
      <c r="L8" s="87"/>
      <c r="M8" s="87"/>
      <c r="N8" s="87"/>
      <c r="O8" s="368"/>
    </row>
    <row r="9" spans="1:20" ht="21.6" customHeight="1">
      <c r="A9" s="208" t="s">
        <v>0</v>
      </c>
      <c r="B9" s="211" t="s">
        <v>19</v>
      </c>
      <c r="C9" s="319" t="s">
        <v>8</v>
      </c>
      <c r="D9" s="214" t="s">
        <v>9</v>
      </c>
      <c r="E9" s="217" t="s">
        <v>11</v>
      </c>
      <c r="F9" s="218"/>
      <c r="G9" s="217" t="s">
        <v>13</v>
      </c>
      <c r="H9" s="218"/>
      <c r="I9" s="221" t="s">
        <v>16</v>
      </c>
      <c r="J9" s="221" t="s">
        <v>41</v>
      </c>
      <c r="K9" s="221" t="s">
        <v>42</v>
      </c>
      <c r="L9" s="221" t="s">
        <v>17</v>
      </c>
      <c r="M9" s="221" t="s">
        <v>57</v>
      </c>
      <c r="N9" s="208" t="s">
        <v>18</v>
      </c>
      <c r="O9" s="369"/>
    </row>
    <row r="10" spans="1:20" ht="21.6" customHeight="1">
      <c r="A10" s="209"/>
      <c r="B10" s="212"/>
      <c r="C10" s="320"/>
      <c r="D10" s="215"/>
      <c r="E10" s="219"/>
      <c r="F10" s="220"/>
      <c r="G10" s="219"/>
      <c r="H10" s="220"/>
      <c r="I10" s="222"/>
      <c r="J10" s="222"/>
      <c r="K10" s="222"/>
      <c r="L10" s="222"/>
      <c r="M10" s="222"/>
      <c r="N10" s="209"/>
      <c r="O10" s="175"/>
    </row>
    <row r="11" spans="1:20" ht="21.6" customHeight="1">
      <c r="A11" s="209"/>
      <c r="B11" s="212"/>
      <c r="C11" s="320"/>
      <c r="D11" s="215"/>
      <c r="E11" s="221" t="s">
        <v>10</v>
      </c>
      <c r="F11" s="221" t="s">
        <v>12</v>
      </c>
      <c r="G11" s="221" t="s">
        <v>14</v>
      </c>
      <c r="H11" s="221" t="s">
        <v>15</v>
      </c>
      <c r="I11" s="222"/>
      <c r="J11" s="222"/>
      <c r="K11" s="222"/>
      <c r="L11" s="222"/>
      <c r="M11" s="222"/>
      <c r="N11" s="209"/>
      <c r="O11" s="175"/>
    </row>
    <row r="12" spans="1:20" ht="21.6" customHeight="1">
      <c r="A12" s="210"/>
      <c r="B12" s="213"/>
      <c r="C12" s="321"/>
      <c r="D12" s="216"/>
      <c r="E12" s="223"/>
      <c r="F12" s="223"/>
      <c r="G12" s="223"/>
      <c r="H12" s="223"/>
      <c r="I12" s="223"/>
      <c r="J12" s="223"/>
      <c r="K12" s="223"/>
      <c r="L12" s="223"/>
      <c r="M12" s="223"/>
      <c r="N12" s="210"/>
      <c r="O12" s="175"/>
    </row>
    <row r="13" spans="1:20" ht="19.8" customHeight="1">
      <c r="A13" s="237" t="s">
        <v>34</v>
      </c>
      <c r="B13" s="238"/>
      <c r="C13" s="238"/>
      <c r="D13" s="238"/>
      <c r="E13" s="238"/>
      <c r="F13" s="238"/>
      <c r="G13" s="238"/>
      <c r="H13" s="238"/>
      <c r="I13" s="238"/>
      <c r="J13" s="238"/>
      <c r="K13" s="238"/>
      <c r="L13" s="238"/>
      <c r="M13" s="238"/>
      <c r="N13" s="239"/>
      <c r="O13" s="175"/>
    </row>
    <row r="14" spans="1:20" s="2" customFormat="1" ht="19.8" customHeight="1">
      <c r="A14" s="9">
        <v>1</v>
      </c>
      <c r="B14" s="10" t="s">
        <v>2</v>
      </c>
      <c r="C14" s="23">
        <f>L14/100*100</f>
        <v>130</v>
      </c>
      <c r="D14" s="24">
        <f>C14/100*60</f>
        <v>78</v>
      </c>
      <c r="E14" s="25">
        <f>C14/100*15</f>
        <v>19.5</v>
      </c>
      <c r="F14" s="25"/>
      <c r="G14" s="25"/>
      <c r="H14" s="25"/>
      <c r="I14" s="25"/>
      <c r="J14" s="27">
        <f>C14/100*387</f>
        <v>503.1</v>
      </c>
      <c r="K14" s="27">
        <f>C14/100*0.09</f>
        <v>0.11699999999999999</v>
      </c>
      <c r="L14" s="137">
        <v>130</v>
      </c>
      <c r="M14" s="75">
        <v>20</v>
      </c>
      <c r="N14" s="28">
        <f>L14*M14</f>
        <v>2600</v>
      </c>
      <c r="O14" s="153"/>
    </row>
    <row r="15" spans="1:20" s="2" customFormat="1" ht="19.8" customHeight="1">
      <c r="A15" s="9">
        <v>2</v>
      </c>
      <c r="B15" s="146" t="s">
        <v>141</v>
      </c>
      <c r="C15" s="23">
        <f>L15/100*100</f>
        <v>280</v>
      </c>
      <c r="D15" s="24">
        <f>C15/100*899</f>
        <v>2517.1999999999998</v>
      </c>
      <c r="E15" s="25"/>
      <c r="F15" s="25"/>
      <c r="G15" s="119">
        <f>C15/100*100</f>
        <v>280</v>
      </c>
      <c r="H15" s="25"/>
      <c r="I15" s="25"/>
      <c r="J15" s="27"/>
      <c r="K15" s="27"/>
      <c r="L15" s="137">
        <v>280</v>
      </c>
      <c r="M15" s="75">
        <v>68</v>
      </c>
      <c r="N15" s="28">
        <f t="shared" ref="N15:N23" si="0">L15*M15</f>
        <v>19040</v>
      </c>
      <c r="O15" s="153"/>
    </row>
    <row r="16" spans="1:20" s="2" customFormat="1" ht="19.8" customHeight="1">
      <c r="A16" s="9">
        <v>3</v>
      </c>
      <c r="B16" s="5" t="s">
        <v>1</v>
      </c>
      <c r="C16" s="23">
        <f>L16/100*100</f>
        <v>8930</v>
      </c>
      <c r="D16" s="120">
        <f>C16/100*330.1</f>
        <v>29477.93</v>
      </c>
      <c r="E16" s="25"/>
      <c r="F16" s="119">
        <f>C16/100*7.9</f>
        <v>705.47</v>
      </c>
      <c r="G16" s="25"/>
      <c r="H16" s="25">
        <f>C16/100*1</f>
        <v>89.3</v>
      </c>
      <c r="I16" s="119">
        <f>C16/100*70.1</f>
        <v>6259.9299999999994</v>
      </c>
      <c r="J16" s="81">
        <f>C16/100*30</f>
        <v>2679</v>
      </c>
      <c r="K16" s="27">
        <f>C16/100*0.1</f>
        <v>8.93</v>
      </c>
      <c r="L16" s="137">
        <v>8930</v>
      </c>
      <c r="M16" s="75">
        <v>18</v>
      </c>
      <c r="N16" s="28">
        <f t="shared" si="0"/>
        <v>160740</v>
      </c>
      <c r="O16" s="153"/>
    </row>
    <row r="17" spans="1:20" s="2" customFormat="1" ht="19.8" customHeight="1">
      <c r="A17" s="9">
        <v>4</v>
      </c>
      <c r="B17" s="5" t="s">
        <v>69</v>
      </c>
      <c r="C17" s="23">
        <f>L17/100*48</f>
        <v>2112</v>
      </c>
      <c r="D17" s="24">
        <f>C17/100*199</f>
        <v>4202.88</v>
      </c>
      <c r="E17" s="119">
        <f>C17/100*20.3</f>
        <v>428.73600000000005</v>
      </c>
      <c r="F17" s="119"/>
      <c r="G17" s="119">
        <f>C17/100*13.1</f>
        <v>276.67200000000003</v>
      </c>
      <c r="H17" s="25"/>
      <c r="I17" s="25"/>
      <c r="J17" s="27">
        <f>C17/100*12</f>
        <v>253.44</v>
      </c>
      <c r="K17" s="27">
        <f>C17/100*0.15</f>
        <v>3.1680000000000001</v>
      </c>
      <c r="L17" s="137">
        <v>4400</v>
      </c>
      <c r="M17" s="26">
        <v>84</v>
      </c>
      <c r="N17" s="28">
        <f t="shared" si="0"/>
        <v>369600</v>
      </c>
      <c r="O17" s="153"/>
      <c r="Q17" s="3"/>
      <c r="R17" s="3"/>
      <c r="S17" s="4"/>
    </row>
    <row r="18" spans="1:20" s="2" customFormat="1" ht="19.8" customHeight="1">
      <c r="A18" s="9">
        <v>5</v>
      </c>
      <c r="B18" s="10" t="s">
        <v>71</v>
      </c>
      <c r="C18" s="23">
        <f>L18/100*98</f>
        <v>921.2</v>
      </c>
      <c r="D18" s="24">
        <f>C18/100*139</f>
        <v>1280.4680000000001</v>
      </c>
      <c r="E18" s="119">
        <f>C18/100*19</f>
        <v>175.02799999999999</v>
      </c>
      <c r="F18" s="25"/>
      <c r="G18" s="25">
        <f>C18/100*7</f>
        <v>64.483999999999995</v>
      </c>
      <c r="H18" s="25"/>
      <c r="I18" s="25"/>
      <c r="J18" s="25">
        <f>C18/100*7</f>
        <v>64.483999999999995</v>
      </c>
      <c r="K18" s="25">
        <f>C18/100*0.9</f>
        <v>8.2908000000000008</v>
      </c>
      <c r="L18" s="137">
        <v>940</v>
      </c>
      <c r="M18" s="75">
        <v>137</v>
      </c>
      <c r="N18" s="28">
        <f t="shared" si="0"/>
        <v>128780</v>
      </c>
      <c r="O18" s="153"/>
    </row>
    <row r="19" spans="1:20" s="2" customFormat="1" ht="19.8" customHeight="1">
      <c r="A19" s="9">
        <v>6</v>
      </c>
      <c r="B19" s="79" t="s">
        <v>147</v>
      </c>
      <c r="C19" s="23">
        <f>L19/100*89</f>
        <v>1922.4</v>
      </c>
      <c r="D19" s="24">
        <f>C19/100*154</f>
        <v>2960.4960000000001</v>
      </c>
      <c r="E19" s="119">
        <f>C19/100*13.1</f>
        <v>251.83439999999999</v>
      </c>
      <c r="F19" s="25"/>
      <c r="G19" s="119">
        <f>C19/100*11.1</f>
        <v>213.38640000000001</v>
      </c>
      <c r="H19" s="25"/>
      <c r="I19" s="25">
        <f>C19/100*0.4</f>
        <v>7.6896000000000004</v>
      </c>
      <c r="J19" s="81">
        <f>C19/100*64</f>
        <v>1230.336</v>
      </c>
      <c r="K19" s="27">
        <f>C19/100*0.13</f>
        <v>2.49912</v>
      </c>
      <c r="L19" s="26">
        <v>2160</v>
      </c>
      <c r="M19" s="54">
        <v>82</v>
      </c>
      <c r="N19" s="151">
        <f t="shared" si="0"/>
        <v>177120</v>
      </c>
      <c r="O19" s="153"/>
    </row>
    <row r="20" spans="1:20" s="2" customFormat="1" ht="19.8" customHeight="1">
      <c r="A20" s="9">
        <v>7</v>
      </c>
      <c r="B20" s="5" t="s">
        <v>136</v>
      </c>
      <c r="C20" s="23">
        <f>L20/100*100</f>
        <v>100</v>
      </c>
      <c r="D20" s="24">
        <f>C20/100*247</f>
        <v>247</v>
      </c>
      <c r="E20" s="29"/>
      <c r="F20" s="29">
        <f>C20/100*17.5</f>
        <v>17.5</v>
      </c>
      <c r="G20" s="29"/>
      <c r="H20" s="29">
        <f>C20/100*1.6</f>
        <v>1.6</v>
      </c>
      <c r="I20" s="29">
        <f>C20/100*39.2</f>
        <v>39.200000000000003</v>
      </c>
      <c r="J20" s="71"/>
      <c r="K20" s="71"/>
      <c r="L20" s="370">
        <v>100</v>
      </c>
      <c r="M20" s="75">
        <v>50</v>
      </c>
      <c r="N20" s="28">
        <f t="shared" si="0"/>
        <v>5000</v>
      </c>
      <c r="O20" s="153"/>
      <c r="Q20" s="3"/>
      <c r="R20" s="3"/>
      <c r="S20" s="4"/>
      <c r="T20" s="3"/>
    </row>
    <row r="21" spans="1:20" s="2" customFormat="1" ht="19.8" customHeight="1">
      <c r="A21" s="9">
        <v>8</v>
      </c>
      <c r="B21" s="5" t="s">
        <v>20</v>
      </c>
      <c r="C21" s="23">
        <f>L21/100*95</f>
        <v>893</v>
      </c>
      <c r="D21" s="24">
        <f>C21/100*20</f>
        <v>178.6</v>
      </c>
      <c r="E21" s="25"/>
      <c r="F21" s="25">
        <f>C21/100*0.6</f>
        <v>5.3579999999999997</v>
      </c>
      <c r="G21" s="25"/>
      <c r="H21" s="25">
        <f>C21/100*0.2</f>
        <v>1.786</v>
      </c>
      <c r="I21" s="25">
        <f>C21/100*4</f>
        <v>35.72</v>
      </c>
      <c r="J21" s="27">
        <f>C21/100*12</f>
        <v>107.16</v>
      </c>
      <c r="K21" s="24">
        <f>C21/100*0.04</f>
        <v>0.35720000000000002</v>
      </c>
      <c r="L21" s="137">
        <v>940</v>
      </c>
      <c r="M21" s="77">
        <v>22</v>
      </c>
      <c r="N21" s="28">
        <f t="shared" si="0"/>
        <v>20680</v>
      </c>
      <c r="O21" s="371"/>
      <c r="Q21" s="3"/>
      <c r="R21" s="3"/>
      <c r="S21" s="4"/>
    </row>
    <row r="22" spans="1:20" s="2" customFormat="1" ht="19.8" customHeight="1">
      <c r="A22" s="9">
        <v>9</v>
      </c>
      <c r="B22" s="149" t="s">
        <v>176</v>
      </c>
      <c r="C22" s="23">
        <f>L22/100*90</f>
        <v>1287</v>
      </c>
      <c r="D22" s="24">
        <f>C22/100*29</f>
        <v>373.22999999999996</v>
      </c>
      <c r="E22" s="25"/>
      <c r="F22" s="25">
        <f>C22/100*1.8</f>
        <v>23.166</v>
      </c>
      <c r="G22" s="25"/>
      <c r="H22" s="25">
        <f>C22/100*0.1</f>
        <v>1.2869999999999999</v>
      </c>
      <c r="I22" s="25">
        <f>C22/100*5.3</f>
        <v>68.210999999999999</v>
      </c>
      <c r="J22" s="119">
        <f>C22/100*48</f>
        <v>617.76</v>
      </c>
      <c r="K22" s="25">
        <f>C22/100*0.05</f>
        <v>0.64349999999999996</v>
      </c>
      <c r="L22" s="137">
        <v>1430</v>
      </c>
      <c r="M22" s="75">
        <v>13</v>
      </c>
      <c r="N22" s="28">
        <f t="shared" si="0"/>
        <v>18590</v>
      </c>
      <c r="O22" s="153"/>
    </row>
    <row r="23" spans="1:20" s="2" customFormat="1" ht="19.8" customHeight="1">
      <c r="A23" s="9">
        <v>10</v>
      </c>
      <c r="B23" s="5" t="s">
        <v>131</v>
      </c>
      <c r="C23" s="23">
        <f>L23/100*75</f>
        <v>2467.5</v>
      </c>
      <c r="D23" s="24">
        <f>C23/100*17</f>
        <v>419.47500000000002</v>
      </c>
      <c r="E23" s="25"/>
      <c r="F23" s="25">
        <f>C23/100*1.4</f>
        <v>34.545000000000002</v>
      </c>
      <c r="G23" s="25"/>
      <c r="H23" s="25">
        <f>C23/100*0.2</f>
        <v>4.9350000000000005</v>
      </c>
      <c r="I23" s="25">
        <f>C23/100*2.4</f>
        <v>59.22</v>
      </c>
      <c r="J23" s="25">
        <f>C23/100*50</f>
        <v>1233.75</v>
      </c>
      <c r="K23" s="25">
        <f>C23/100*0.09</f>
        <v>2.2207499999999998</v>
      </c>
      <c r="L23" s="137">
        <v>3290</v>
      </c>
      <c r="M23" s="75">
        <v>18</v>
      </c>
      <c r="N23" s="28">
        <f t="shared" si="0"/>
        <v>59220</v>
      </c>
      <c r="O23" s="153"/>
    </row>
    <row r="24" spans="1:20" s="2" customFormat="1" ht="19.8" customHeight="1">
      <c r="A24" s="9">
        <v>11</v>
      </c>
      <c r="B24" s="6" t="s">
        <v>123</v>
      </c>
      <c r="C24" s="23"/>
      <c r="D24" s="24"/>
      <c r="E24" s="25"/>
      <c r="F24" s="25"/>
      <c r="G24" s="25"/>
      <c r="H24" s="25"/>
      <c r="I24" s="25"/>
      <c r="J24" s="27"/>
      <c r="K24" s="27"/>
      <c r="L24" s="26"/>
      <c r="M24" s="26"/>
      <c r="N24" s="28">
        <v>7500</v>
      </c>
      <c r="O24" s="153"/>
    </row>
    <row r="25" spans="1:20" s="2" customFormat="1" ht="19.8" customHeight="1">
      <c r="A25" s="21" t="s">
        <v>105</v>
      </c>
      <c r="B25" s="22"/>
      <c r="C25" s="34"/>
      <c r="D25" s="121">
        <f>SUM(D14:D24)</f>
        <v>41735.279000000002</v>
      </c>
      <c r="E25" s="36"/>
      <c r="F25" s="36"/>
      <c r="G25" s="36"/>
      <c r="H25" s="36"/>
      <c r="I25" s="36"/>
      <c r="J25" s="36"/>
      <c r="K25" s="36"/>
      <c r="L25" s="37"/>
      <c r="M25" s="310"/>
      <c r="N25" s="192">
        <f>SUM(N14:N24)</f>
        <v>968870</v>
      </c>
      <c r="O25" s="153"/>
    </row>
    <row r="26" spans="1:20" s="2" customFormat="1" ht="19.8" customHeight="1">
      <c r="A26" s="21" t="s">
        <v>6</v>
      </c>
      <c r="B26" s="22"/>
      <c r="C26" s="34"/>
      <c r="D26" s="35">
        <f>D25/D8</f>
        <v>443.99232978723404</v>
      </c>
      <c r="E26" s="36"/>
      <c r="F26" s="36"/>
      <c r="G26" s="36"/>
      <c r="H26" s="36"/>
      <c r="I26" s="36"/>
      <c r="J26" s="36"/>
      <c r="K26" s="36"/>
      <c r="L26" s="37"/>
      <c r="M26" s="311"/>
      <c r="N26" s="193"/>
      <c r="O26" s="153"/>
    </row>
    <row r="27" spans="1:20" s="2" customFormat="1" ht="19.8" customHeight="1">
      <c r="A27" s="291" t="s">
        <v>51</v>
      </c>
      <c r="B27" s="351"/>
      <c r="C27" s="372" t="s">
        <v>151</v>
      </c>
      <c r="D27" s="20" t="s">
        <v>45</v>
      </c>
      <c r="E27" s="36"/>
      <c r="F27" s="36"/>
      <c r="G27" s="36"/>
      <c r="H27" s="36"/>
      <c r="I27" s="36"/>
      <c r="J27" s="36"/>
      <c r="K27" s="36"/>
      <c r="L27" s="37"/>
      <c r="M27" s="37"/>
      <c r="N27" s="38"/>
      <c r="O27" s="153"/>
    </row>
    <row r="28" spans="1:20" s="2" customFormat="1" ht="19.8" customHeight="1">
      <c r="A28" s="352"/>
      <c r="B28" s="353"/>
      <c r="C28" s="76" t="s">
        <v>60</v>
      </c>
      <c r="D28" s="20">
        <f>D26*100/1320</f>
        <v>33.63578255963894</v>
      </c>
      <c r="E28" s="36"/>
      <c r="F28" s="36"/>
      <c r="G28" s="36"/>
      <c r="H28" s="36"/>
      <c r="I28" s="36"/>
      <c r="J28" s="36"/>
      <c r="K28" s="36"/>
      <c r="L28" s="37"/>
      <c r="M28" s="37"/>
      <c r="N28" s="38"/>
      <c r="O28" s="153"/>
    </row>
    <row r="29" spans="1:20" s="2" customFormat="1" ht="19.8" customHeight="1">
      <c r="A29" s="235" t="s">
        <v>35</v>
      </c>
      <c r="B29" s="235"/>
      <c r="C29" s="56"/>
      <c r="D29" s="57"/>
      <c r="E29" s="58"/>
      <c r="F29" s="58"/>
      <c r="G29" s="58"/>
      <c r="H29" s="58"/>
      <c r="I29" s="58"/>
      <c r="J29" s="58"/>
      <c r="K29" s="58"/>
      <c r="L29" s="59"/>
      <c r="M29" s="59"/>
      <c r="N29" s="69"/>
      <c r="O29" s="153"/>
    </row>
    <row r="30" spans="1:20" s="2" customFormat="1" ht="19.8" customHeight="1">
      <c r="A30" s="9">
        <v>1</v>
      </c>
      <c r="B30" s="10" t="s">
        <v>2</v>
      </c>
      <c r="C30" s="23">
        <f t="shared" ref="C30:C36" si="1">L30/100*100</f>
        <v>110.00000000000001</v>
      </c>
      <c r="D30" s="24">
        <f>C30/100*60</f>
        <v>66</v>
      </c>
      <c r="E30" s="25">
        <f>C30/100*15</f>
        <v>16.5</v>
      </c>
      <c r="F30" s="25"/>
      <c r="G30" s="25"/>
      <c r="H30" s="25"/>
      <c r="I30" s="25"/>
      <c r="J30" s="27">
        <f>C30/100*387</f>
        <v>425.70000000000005</v>
      </c>
      <c r="K30" s="27">
        <f>C30/100*0.09</f>
        <v>9.9000000000000005E-2</v>
      </c>
      <c r="L30" s="137">
        <v>110</v>
      </c>
      <c r="M30" s="75">
        <v>20</v>
      </c>
      <c r="N30" s="28">
        <f>L30*M30</f>
        <v>2200</v>
      </c>
      <c r="O30" s="153"/>
    </row>
    <row r="31" spans="1:20" s="2" customFormat="1" ht="19.8" customHeight="1">
      <c r="A31" s="9">
        <v>2</v>
      </c>
      <c r="B31" s="146" t="s">
        <v>141</v>
      </c>
      <c r="C31" s="23">
        <f t="shared" si="1"/>
        <v>470</v>
      </c>
      <c r="D31" s="24">
        <f>C31/100*899</f>
        <v>4225.3</v>
      </c>
      <c r="E31" s="25"/>
      <c r="F31" s="25"/>
      <c r="G31" s="119">
        <f>C31/100*100</f>
        <v>470</v>
      </c>
      <c r="H31" s="25"/>
      <c r="I31" s="25"/>
      <c r="J31" s="25"/>
      <c r="K31" s="25"/>
      <c r="L31" s="137">
        <v>470</v>
      </c>
      <c r="M31" s="144">
        <v>68</v>
      </c>
      <c r="N31" s="28">
        <f t="shared" ref="N31:N40" si="2">L31*M31</f>
        <v>31960</v>
      </c>
      <c r="O31" s="373"/>
    </row>
    <row r="32" spans="1:20" s="2" customFormat="1" ht="19.8" customHeight="1">
      <c r="A32" s="9">
        <v>3</v>
      </c>
      <c r="B32" s="148" t="s">
        <v>146</v>
      </c>
      <c r="C32" s="23">
        <f>L32/100*100</f>
        <v>140</v>
      </c>
      <c r="D32" s="120">
        <f>C32/100*900</f>
        <v>1260</v>
      </c>
      <c r="E32" s="25"/>
      <c r="F32" s="25"/>
      <c r="G32" s="119"/>
      <c r="H32" s="119">
        <f>C32/100*100</f>
        <v>140</v>
      </c>
      <c r="I32" s="25"/>
      <c r="J32" s="25"/>
      <c r="K32" s="25"/>
      <c r="L32" s="137">
        <v>140</v>
      </c>
      <c r="M32" s="75">
        <v>63.5</v>
      </c>
      <c r="N32" s="28">
        <f t="shared" si="2"/>
        <v>8890</v>
      </c>
      <c r="O32" s="373"/>
    </row>
    <row r="33" spans="1:23" s="2" customFormat="1" ht="19.8" customHeight="1">
      <c r="A33" s="9">
        <v>4</v>
      </c>
      <c r="B33" s="5" t="s">
        <v>1</v>
      </c>
      <c r="C33" s="23">
        <f t="shared" si="1"/>
        <v>1410</v>
      </c>
      <c r="D33" s="24">
        <f>C33/100*330.1</f>
        <v>4654.41</v>
      </c>
      <c r="E33" s="25"/>
      <c r="F33" s="119">
        <f>C33/100*7.9</f>
        <v>111.39</v>
      </c>
      <c r="G33" s="25"/>
      <c r="H33" s="25">
        <f>C33/100*1</f>
        <v>14.1</v>
      </c>
      <c r="I33" s="25">
        <f>C33/100*70.1</f>
        <v>988.40999999999985</v>
      </c>
      <c r="J33" s="27">
        <f>C33/100*30</f>
        <v>423</v>
      </c>
      <c r="K33" s="27">
        <f>C33/100*0.1</f>
        <v>1.4100000000000001</v>
      </c>
      <c r="L33" s="137">
        <v>1410</v>
      </c>
      <c r="M33" s="75">
        <v>18</v>
      </c>
      <c r="N33" s="28">
        <f t="shared" si="2"/>
        <v>25380</v>
      </c>
      <c r="O33" s="153"/>
    </row>
    <row r="34" spans="1:23" s="2" customFormat="1" ht="19.8" customHeight="1">
      <c r="A34" s="9">
        <v>5</v>
      </c>
      <c r="B34" s="5" t="s">
        <v>73</v>
      </c>
      <c r="C34" s="23">
        <f t="shared" si="1"/>
        <v>940</v>
      </c>
      <c r="D34" s="24">
        <f>C34/100*344</f>
        <v>3233.6</v>
      </c>
      <c r="E34" s="25"/>
      <c r="F34" s="25">
        <f>C34/100*8.6</f>
        <v>80.84</v>
      </c>
      <c r="G34" s="25"/>
      <c r="H34" s="25">
        <f>C34/100*1.5</f>
        <v>14.100000000000001</v>
      </c>
      <c r="I34" s="25">
        <f>C34/100*74.5</f>
        <v>700.30000000000007</v>
      </c>
      <c r="J34" s="25">
        <f>C34/100*32</f>
        <v>300.8</v>
      </c>
      <c r="K34" s="25">
        <f>C34/100*0.14</f>
        <v>1.3160000000000003</v>
      </c>
      <c r="L34" s="137">
        <v>940</v>
      </c>
      <c r="M34" s="75">
        <v>30</v>
      </c>
      <c r="N34" s="28">
        <f t="shared" si="2"/>
        <v>28200</v>
      </c>
      <c r="O34" s="153"/>
      <c r="P34" s="18"/>
    </row>
    <row r="35" spans="1:23" s="2" customFormat="1" ht="19.8" customHeight="1">
      <c r="A35" s="9">
        <v>6</v>
      </c>
      <c r="B35" s="5" t="s">
        <v>67</v>
      </c>
      <c r="C35" s="23">
        <f t="shared" si="1"/>
        <v>190</v>
      </c>
      <c r="D35" s="24">
        <f>C35/100*334</f>
        <v>634.6</v>
      </c>
      <c r="E35" s="25"/>
      <c r="F35" s="25">
        <f>C35/100*20</f>
        <v>38</v>
      </c>
      <c r="G35" s="25"/>
      <c r="H35" s="25">
        <f>C35/100*2.4</f>
        <v>4.5599999999999996</v>
      </c>
      <c r="I35" s="25">
        <f>C35/100*58</f>
        <v>110.19999999999999</v>
      </c>
      <c r="J35" s="27">
        <f>C35/100*89</f>
        <v>169.1</v>
      </c>
      <c r="K35" s="27">
        <f>C35/100*0.64</f>
        <v>1.216</v>
      </c>
      <c r="L35" s="137">
        <v>190</v>
      </c>
      <c r="M35" s="75">
        <v>190</v>
      </c>
      <c r="N35" s="28">
        <f>L35*M35</f>
        <v>36100</v>
      </c>
      <c r="O35" s="153"/>
    </row>
    <row r="36" spans="1:23" s="2" customFormat="1" ht="19.8" customHeight="1">
      <c r="A36" s="9">
        <v>7</v>
      </c>
      <c r="B36" s="5" t="s">
        <v>136</v>
      </c>
      <c r="C36" s="23">
        <f t="shared" si="1"/>
        <v>60</v>
      </c>
      <c r="D36" s="24">
        <f>C36/100*247</f>
        <v>148.19999999999999</v>
      </c>
      <c r="E36" s="29"/>
      <c r="F36" s="29">
        <f>C36/100*17.5</f>
        <v>10.5</v>
      </c>
      <c r="G36" s="29"/>
      <c r="H36" s="29">
        <f>C36/100*1.6</f>
        <v>0.96</v>
      </c>
      <c r="I36" s="29">
        <f>C36/100*39.2</f>
        <v>23.52</v>
      </c>
      <c r="J36" s="71"/>
      <c r="K36" s="71"/>
      <c r="L36" s="370">
        <v>60</v>
      </c>
      <c r="M36" s="75">
        <v>50</v>
      </c>
      <c r="N36" s="28">
        <f t="shared" ref="N36:N39" si="3">L36*M36</f>
        <v>3000</v>
      </c>
      <c r="O36" s="153"/>
      <c r="Q36" s="3"/>
      <c r="R36" s="3"/>
      <c r="S36" s="4"/>
      <c r="T36" s="3"/>
    </row>
    <row r="37" spans="1:23" s="2" customFormat="1" ht="19.8" customHeight="1">
      <c r="A37" s="9">
        <v>8</v>
      </c>
      <c r="B37" s="5" t="s">
        <v>4</v>
      </c>
      <c r="C37" s="23">
        <f>L37/100*98.5</f>
        <v>1388.85</v>
      </c>
      <c r="D37" s="24">
        <f>C37/100*39</f>
        <v>541.65149999999994</v>
      </c>
      <c r="E37" s="29"/>
      <c r="F37" s="29">
        <f>C37/100*1.5</f>
        <v>20.832749999999997</v>
      </c>
      <c r="G37" s="29"/>
      <c r="H37" s="29">
        <f>C37/100*0.2</f>
        <v>2.7776999999999998</v>
      </c>
      <c r="I37" s="29">
        <f>C37/100*7.8</f>
        <v>108.33029999999999</v>
      </c>
      <c r="J37" s="29">
        <f>C37/100*43</f>
        <v>597.20549999999992</v>
      </c>
      <c r="K37" s="29">
        <f>C37/100*0.06</f>
        <v>0.83330999999999988</v>
      </c>
      <c r="L37" s="370">
        <v>1410</v>
      </c>
      <c r="M37" s="26">
        <v>17</v>
      </c>
      <c r="N37" s="135">
        <f t="shared" si="3"/>
        <v>23970</v>
      </c>
      <c r="O37" s="153"/>
      <c r="Q37" s="3"/>
      <c r="R37" s="3"/>
      <c r="S37" s="4"/>
    </row>
    <row r="38" spans="1:23" s="2" customFormat="1" ht="19.8" customHeight="1">
      <c r="A38" s="9">
        <v>8</v>
      </c>
      <c r="B38" s="10" t="s">
        <v>3</v>
      </c>
      <c r="C38" s="23">
        <f>L38/100*98</f>
        <v>1107.4000000000001</v>
      </c>
      <c r="D38" s="24">
        <f>C38/100*118</f>
        <v>1306.7320000000002</v>
      </c>
      <c r="E38" s="119">
        <f>C38/100*21</f>
        <v>232.55400000000003</v>
      </c>
      <c r="F38" s="25"/>
      <c r="G38" s="25">
        <f>C38/100*3.8</f>
        <v>42.081200000000003</v>
      </c>
      <c r="H38" s="25"/>
      <c r="I38" s="25"/>
      <c r="J38" s="25">
        <f>C38/100*12</f>
        <v>132.88800000000003</v>
      </c>
      <c r="K38" s="25">
        <f>C38/100*0.1</f>
        <v>1.1074000000000002</v>
      </c>
      <c r="L38" s="137">
        <v>1130</v>
      </c>
      <c r="M38" s="143">
        <v>260</v>
      </c>
      <c r="N38" s="135">
        <f t="shared" si="3"/>
        <v>293800</v>
      </c>
      <c r="O38" s="153"/>
    </row>
    <row r="39" spans="1:23" s="2" customFormat="1" ht="19.8" customHeight="1">
      <c r="A39" s="9">
        <v>9</v>
      </c>
      <c r="B39" s="5" t="s">
        <v>69</v>
      </c>
      <c r="C39" s="23">
        <f>L39/100*48</f>
        <v>1257.5999999999999</v>
      </c>
      <c r="D39" s="24">
        <f>C39/100*199</f>
        <v>2502.6239999999998</v>
      </c>
      <c r="E39" s="119">
        <f>C39/100*20.3</f>
        <v>255.29279999999997</v>
      </c>
      <c r="F39" s="119"/>
      <c r="G39" s="119">
        <f>C39/100*13.1</f>
        <v>164.74559999999997</v>
      </c>
      <c r="H39" s="25"/>
      <c r="I39" s="25"/>
      <c r="J39" s="27">
        <f>C39/100*12</f>
        <v>150.91199999999998</v>
      </c>
      <c r="K39" s="27">
        <f>C39/100*0.15</f>
        <v>1.8863999999999996</v>
      </c>
      <c r="L39" s="137">
        <v>2620</v>
      </c>
      <c r="M39" s="137">
        <v>84</v>
      </c>
      <c r="N39" s="28">
        <f t="shared" si="3"/>
        <v>220080</v>
      </c>
      <c r="O39" s="153"/>
      <c r="Q39" s="3"/>
      <c r="R39" s="3"/>
      <c r="S39" s="4"/>
    </row>
    <row r="40" spans="1:23" s="2" customFormat="1" ht="19.8" customHeight="1">
      <c r="A40" s="9">
        <v>10</v>
      </c>
      <c r="B40" s="152" t="s">
        <v>149</v>
      </c>
      <c r="C40" s="23">
        <f>L40/100*100</f>
        <v>1610.0000000000002</v>
      </c>
      <c r="D40" s="24">
        <f>C40/100*487</f>
        <v>7840.7000000000007</v>
      </c>
      <c r="E40" s="29"/>
      <c r="F40" s="167">
        <f>C40/100*19.5</f>
        <v>313.95000000000005</v>
      </c>
      <c r="G40" s="167"/>
      <c r="H40" s="167">
        <f>C40/100*23.2</f>
        <v>373.52000000000004</v>
      </c>
      <c r="I40" s="29">
        <f>C40/100*46</f>
        <v>740.6</v>
      </c>
      <c r="J40" s="119">
        <f>C40/100*680</f>
        <v>10948.000000000002</v>
      </c>
      <c r="K40" s="25">
        <f>C40/100*0.55</f>
        <v>8.8550000000000022</v>
      </c>
      <c r="L40" s="30">
        <v>1610</v>
      </c>
      <c r="M40" s="143">
        <v>260</v>
      </c>
      <c r="N40" s="28">
        <f t="shared" si="2"/>
        <v>418600</v>
      </c>
      <c r="O40" s="153"/>
      <c r="P40" s="3"/>
    </row>
    <row r="41" spans="1:23" s="2" customFormat="1" ht="19.8" customHeight="1">
      <c r="A41" s="103">
        <v>11</v>
      </c>
      <c r="B41" s="112" t="s">
        <v>123</v>
      </c>
      <c r="C41" s="104"/>
      <c r="D41" s="105"/>
      <c r="E41" s="106"/>
      <c r="F41" s="106"/>
      <c r="G41" s="106"/>
      <c r="H41" s="106"/>
      <c r="I41" s="106"/>
      <c r="J41" s="114"/>
      <c r="K41" s="114"/>
      <c r="L41" s="107"/>
      <c r="M41" s="107"/>
      <c r="N41" s="108">
        <v>6400</v>
      </c>
      <c r="O41" s="153"/>
      <c r="P41" s="153"/>
    </row>
    <row r="42" spans="1:23" ht="21" customHeight="1">
      <c r="A42" s="208" t="s">
        <v>0</v>
      </c>
      <c r="B42" s="211" t="s">
        <v>19</v>
      </c>
      <c r="C42" s="319" t="s">
        <v>8</v>
      </c>
      <c r="D42" s="214" t="s">
        <v>9</v>
      </c>
      <c r="E42" s="217" t="s">
        <v>11</v>
      </c>
      <c r="F42" s="218"/>
      <c r="G42" s="217" t="s">
        <v>13</v>
      </c>
      <c r="H42" s="218"/>
      <c r="I42" s="221" t="s">
        <v>16</v>
      </c>
      <c r="J42" s="221" t="s">
        <v>41</v>
      </c>
      <c r="K42" s="221" t="s">
        <v>42</v>
      </c>
      <c r="L42" s="221" t="s">
        <v>17</v>
      </c>
      <c r="M42" s="221" t="s">
        <v>57</v>
      </c>
      <c r="N42" s="208" t="s">
        <v>18</v>
      </c>
      <c r="O42" s="369"/>
    </row>
    <row r="43" spans="1:23" ht="21" customHeight="1">
      <c r="A43" s="209"/>
      <c r="B43" s="212"/>
      <c r="C43" s="320"/>
      <c r="D43" s="215"/>
      <c r="E43" s="219"/>
      <c r="F43" s="220"/>
      <c r="G43" s="219"/>
      <c r="H43" s="220"/>
      <c r="I43" s="222"/>
      <c r="J43" s="222"/>
      <c r="K43" s="222"/>
      <c r="L43" s="222"/>
      <c r="M43" s="222"/>
      <c r="N43" s="209"/>
      <c r="O43" s="175"/>
    </row>
    <row r="44" spans="1:23" ht="21" customHeight="1">
      <c r="A44" s="209"/>
      <c r="B44" s="212"/>
      <c r="C44" s="320"/>
      <c r="D44" s="215"/>
      <c r="E44" s="221" t="s">
        <v>10</v>
      </c>
      <c r="F44" s="221" t="s">
        <v>12</v>
      </c>
      <c r="G44" s="221" t="s">
        <v>14</v>
      </c>
      <c r="H44" s="221" t="s">
        <v>15</v>
      </c>
      <c r="I44" s="222"/>
      <c r="J44" s="222"/>
      <c r="K44" s="222"/>
      <c r="L44" s="222"/>
      <c r="M44" s="222"/>
      <c r="N44" s="209"/>
      <c r="O44" s="175"/>
    </row>
    <row r="45" spans="1:23" ht="21" customHeight="1">
      <c r="A45" s="210"/>
      <c r="B45" s="213"/>
      <c r="C45" s="321"/>
      <c r="D45" s="216"/>
      <c r="E45" s="223"/>
      <c r="F45" s="223"/>
      <c r="G45" s="223"/>
      <c r="H45" s="223"/>
      <c r="I45" s="223"/>
      <c r="J45" s="223"/>
      <c r="K45" s="223"/>
      <c r="L45" s="223"/>
      <c r="M45" s="223"/>
      <c r="N45" s="210"/>
      <c r="O45" s="175"/>
    </row>
    <row r="46" spans="1:23" s="2" customFormat="1" ht="21" customHeight="1">
      <c r="A46" s="21" t="s">
        <v>106</v>
      </c>
      <c r="B46" s="22"/>
      <c r="C46" s="34"/>
      <c r="D46" s="121">
        <f>SUM(D30:D41)</f>
        <v>26413.817500000001</v>
      </c>
      <c r="E46" s="43"/>
      <c r="F46" s="43"/>
      <c r="G46" s="43"/>
      <c r="H46" s="43"/>
      <c r="I46" s="43"/>
      <c r="J46" s="43"/>
      <c r="K46" s="43"/>
      <c r="L46" s="44"/>
      <c r="M46" s="307"/>
      <c r="N46" s="240">
        <f>SUM(N30:N41)</f>
        <v>1098580</v>
      </c>
      <c r="O46" s="153"/>
    </row>
    <row r="47" spans="1:23" ht="21" customHeight="1">
      <c r="A47" s="21" t="s">
        <v>7</v>
      </c>
      <c r="B47" s="22"/>
      <c r="C47" s="45"/>
      <c r="D47" s="46">
        <f>D46/D8</f>
        <v>280.99805851063832</v>
      </c>
      <c r="E47" s="46"/>
      <c r="F47" s="46"/>
      <c r="G47" s="46"/>
      <c r="H47" s="46"/>
      <c r="I47" s="46"/>
      <c r="J47" s="46"/>
      <c r="K47" s="46"/>
      <c r="L47" s="47"/>
      <c r="M47" s="308"/>
      <c r="N47" s="241"/>
      <c r="O47" s="4"/>
      <c r="P47" s="2"/>
      <c r="Q47" s="2"/>
      <c r="R47" s="2"/>
      <c r="S47" s="2"/>
      <c r="T47" s="2"/>
      <c r="U47" s="2"/>
      <c r="V47" s="2"/>
    </row>
    <row r="48" spans="1:23" ht="21" customHeight="1">
      <c r="A48" s="291" t="s">
        <v>52</v>
      </c>
      <c r="B48" s="225"/>
      <c r="C48" s="372" t="s">
        <v>151</v>
      </c>
      <c r="D48" s="20" t="s">
        <v>58</v>
      </c>
      <c r="E48" s="46"/>
      <c r="F48" s="46"/>
      <c r="G48" s="46"/>
      <c r="H48" s="46"/>
      <c r="I48" s="46"/>
      <c r="J48" s="48"/>
      <c r="K48" s="48"/>
      <c r="L48" s="47"/>
      <c r="M48" s="47"/>
      <c r="N48" s="176"/>
      <c r="O48" s="4"/>
      <c r="P48" s="2"/>
      <c r="Q48" s="2"/>
      <c r="R48" s="2"/>
      <c r="S48" s="2"/>
      <c r="T48" s="2"/>
      <c r="U48" s="2"/>
      <c r="V48" s="2"/>
      <c r="W48" s="2"/>
    </row>
    <row r="49" spans="1:23" ht="21" customHeight="1">
      <c r="A49" s="226"/>
      <c r="B49" s="227"/>
      <c r="C49" s="76" t="s">
        <v>60</v>
      </c>
      <c r="D49" s="20">
        <f>D47*100/1320</f>
        <v>21.287731705351387</v>
      </c>
      <c r="E49" s="46"/>
      <c r="F49" s="46"/>
      <c r="G49" s="46"/>
      <c r="H49" s="46"/>
      <c r="I49" s="46"/>
      <c r="J49" s="48"/>
      <c r="K49" s="48"/>
      <c r="L49" s="47"/>
      <c r="M49" s="47"/>
      <c r="N49" s="176"/>
      <c r="O49" s="4"/>
      <c r="P49" s="2"/>
      <c r="Q49" s="2"/>
      <c r="R49" s="2"/>
      <c r="S49" s="2"/>
      <c r="T49" s="2"/>
      <c r="U49" s="2"/>
      <c r="V49" s="2"/>
      <c r="W49" s="2"/>
    </row>
    <row r="50" spans="1:23" ht="21" customHeight="1">
      <c r="A50" s="283" t="s">
        <v>107</v>
      </c>
      <c r="B50" s="284"/>
      <c r="C50" s="287"/>
      <c r="D50" s="301">
        <f>D25+D46</f>
        <v>68149.0965</v>
      </c>
      <c r="E50" s="123">
        <f>SUM(E14:E41)</f>
        <v>1379.4451999999999</v>
      </c>
      <c r="F50" s="123">
        <f t="shared" ref="F50:H50" si="4">SUM(F14:F41)</f>
        <v>1361.5517500000001</v>
      </c>
      <c r="G50" s="123">
        <f t="shared" si="4"/>
        <v>1511.3692000000001</v>
      </c>
      <c r="H50" s="50">
        <f t="shared" si="4"/>
        <v>648.92570000000001</v>
      </c>
      <c r="I50" s="251">
        <f>SUM(I14:I41)</f>
        <v>9141.3309000000008</v>
      </c>
      <c r="J50" s="251">
        <f>SUM(J14:J41)</f>
        <v>19836.635500000004</v>
      </c>
      <c r="K50" s="281">
        <f>SUM(K14:K41)</f>
        <v>42.949480000000008</v>
      </c>
      <c r="L50" s="265"/>
      <c r="M50" s="265"/>
      <c r="N50" s="303">
        <f>N25+N46</f>
        <v>2067450</v>
      </c>
      <c r="U50" s="12"/>
      <c r="V50" s="12"/>
    </row>
    <row r="51" spans="1:23" ht="21" customHeight="1">
      <c r="A51" s="285"/>
      <c r="B51" s="286"/>
      <c r="C51" s="288"/>
      <c r="D51" s="302"/>
      <c r="E51" s="326">
        <f>E50+F50</f>
        <v>2740.9969499999997</v>
      </c>
      <c r="F51" s="327"/>
      <c r="G51" s="279">
        <f>G50+H50</f>
        <v>2160.2948999999999</v>
      </c>
      <c r="H51" s="280"/>
      <c r="I51" s="253"/>
      <c r="J51" s="253"/>
      <c r="K51" s="282"/>
      <c r="L51" s="265"/>
      <c r="M51" s="265"/>
      <c r="N51" s="303"/>
      <c r="U51" s="12"/>
      <c r="V51" s="12"/>
    </row>
    <row r="52" spans="1:23" ht="21" customHeight="1">
      <c r="A52" s="245" t="s">
        <v>77</v>
      </c>
      <c r="B52" s="246"/>
      <c r="C52" s="247"/>
      <c r="D52" s="138">
        <f>D50/D8</f>
        <v>724.9903882978723</v>
      </c>
      <c r="E52" s="374">
        <f>E50/D8</f>
        <v>14.674948936170212</v>
      </c>
      <c r="F52" s="375">
        <f>F50/D8</f>
        <v>14.484593085106384</v>
      </c>
      <c r="G52" s="374">
        <f>G50/D8</f>
        <v>16.078395744680851</v>
      </c>
      <c r="H52" s="375">
        <f>H50/D8</f>
        <v>6.9034648936170218</v>
      </c>
      <c r="I52" s="261">
        <f>I50/D8</f>
        <v>97.248201063829796</v>
      </c>
      <c r="J52" s="261">
        <f>J50/D8</f>
        <v>211.02803723404259</v>
      </c>
      <c r="K52" s="299">
        <f>K50/D8</f>
        <v>0.45690936170212776</v>
      </c>
      <c r="L52" s="265"/>
      <c r="M52" s="265"/>
      <c r="N52" s="303"/>
      <c r="P52" s="395"/>
      <c r="Q52" s="396"/>
      <c r="R52" s="396"/>
      <c r="S52" s="396"/>
      <c r="T52" s="396"/>
      <c r="U52" s="397"/>
      <c r="V52" s="397"/>
    </row>
    <row r="53" spans="1:23" ht="21" customHeight="1">
      <c r="A53" s="248"/>
      <c r="B53" s="249"/>
      <c r="C53" s="250"/>
      <c r="D53" s="127"/>
      <c r="E53" s="376">
        <f>E52+F52</f>
        <v>29.159542021276597</v>
      </c>
      <c r="F53" s="377"/>
      <c r="G53" s="376">
        <f>G52+H52</f>
        <v>22.981860638297874</v>
      </c>
      <c r="H53" s="377"/>
      <c r="I53" s="262"/>
      <c r="J53" s="262"/>
      <c r="K53" s="300"/>
      <c r="L53" s="265"/>
      <c r="M53" s="265"/>
      <c r="N53" s="303"/>
      <c r="P53" s="398"/>
      <c r="Q53" s="396"/>
      <c r="R53" s="396"/>
      <c r="S53" s="396"/>
      <c r="T53" s="396"/>
      <c r="U53" s="396"/>
      <c r="V53" s="396"/>
    </row>
    <row r="54" spans="1:23" ht="21" customHeight="1">
      <c r="A54" s="304" t="s">
        <v>80</v>
      </c>
      <c r="B54" s="305"/>
      <c r="C54" s="306"/>
      <c r="D54" s="178" t="s">
        <v>28</v>
      </c>
      <c r="E54" s="194" t="s">
        <v>21</v>
      </c>
      <c r="F54" s="194"/>
      <c r="G54" s="194" t="s">
        <v>22</v>
      </c>
      <c r="H54" s="194"/>
      <c r="I54" s="378" t="s">
        <v>23</v>
      </c>
      <c r="J54" s="378">
        <v>600</v>
      </c>
      <c r="K54" s="378">
        <v>0.7</v>
      </c>
      <c r="L54" s="265"/>
      <c r="M54" s="265"/>
      <c r="N54" s="303"/>
      <c r="O54" s="379"/>
      <c r="P54" s="395"/>
      <c r="Q54" s="395"/>
      <c r="R54" s="395"/>
      <c r="S54" s="395"/>
      <c r="T54" s="395"/>
      <c r="U54" s="395"/>
      <c r="V54" s="395"/>
    </row>
    <row r="55" spans="1:23" ht="21" customHeight="1">
      <c r="A55" s="242" t="s">
        <v>78</v>
      </c>
      <c r="B55" s="272"/>
      <c r="C55" s="243"/>
      <c r="D55" s="49"/>
      <c r="E55" s="273">
        <f>E53*4.1</f>
        <v>119.55412228723404</v>
      </c>
      <c r="F55" s="274"/>
      <c r="G55" s="273">
        <f>G53*9</f>
        <v>206.83674574468085</v>
      </c>
      <c r="H55" s="274"/>
      <c r="I55" s="122">
        <f>I52*4.1</f>
        <v>398.71762436170212</v>
      </c>
      <c r="J55" s="254"/>
      <c r="K55" s="254"/>
      <c r="L55" s="265"/>
      <c r="M55" s="265"/>
      <c r="N55" s="303"/>
      <c r="O55" s="379"/>
      <c r="P55" s="399"/>
      <c r="Q55" s="400"/>
      <c r="R55" s="400"/>
      <c r="S55" s="400"/>
      <c r="T55" s="395"/>
      <c r="U55" s="395"/>
      <c r="V55" s="395"/>
    </row>
    <row r="56" spans="1:23" ht="21" customHeight="1">
      <c r="A56" s="275" t="s">
        <v>81</v>
      </c>
      <c r="B56" s="276"/>
      <c r="C56" s="242" t="s">
        <v>59</v>
      </c>
      <c r="D56" s="243"/>
      <c r="E56" s="188">
        <f>E55*100/D52</f>
        <v>16.490442386129068</v>
      </c>
      <c r="F56" s="189"/>
      <c r="G56" s="188">
        <f>G55*100/D52</f>
        <v>28.529584541153824</v>
      </c>
      <c r="H56" s="189"/>
      <c r="I56" s="115">
        <f>I55*100/D52</f>
        <v>54.996263508790612</v>
      </c>
      <c r="J56" s="255"/>
      <c r="K56" s="255"/>
      <c r="L56" s="265"/>
      <c r="M56" s="265"/>
      <c r="N56" s="303"/>
      <c r="O56" s="379"/>
      <c r="P56" s="395"/>
      <c r="Q56" s="395"/>
      <c r="R56" s="395"/>
      <c r="S56" s="395"/>
      <c r="T56" s="395"/>
      <c r="U56" s="395"/>
      <c r="V56" s="395"/>
    </row>
    <row r="57" spans="1:23" ht="21" customHeight="1">
      <c r="A57" s="277"/>
      <c r="B57" s="278"/>
      <c r="C57" s="242" t="s">
        <v>79</v>
      </c>
      <c r="D57" s="243"/>
      <c r="E57" s="242" t="s">
        <v>82</v>
      </c>
      <c r="F57" s="243"/>
      <c r="G57" s="242" t="s">
        <v>83</v>
      </c>
      <c r="H57" s="243"/>
      <c r="I57" s="178" t="s">
        <v>84</v>
      </c>
      <c r="J57" s="256"/>
      <c r="K57" s="256"/>
      <c r="L57" s="265"/>
      <c r="M57" s="265"/>
      <c r="N57" s="303"/>
      <c r="O57" s="379"/>
      <c r="P57" s="132"/>
    </row>
    <row r="58" spans="1:23" ht="21" customHeight="1">
      <c r="A58" s="90"/>
      <c r="B58" s="90"/>
      <c r="C58" s="90"/>
      <c r="D58" s="90"/>
      <c r="E58" s="90"/>
      <c r="F58" s="90"/>
      <c r="G58" s="90"/>
      <c r="H58" s="90"/>
      <c r="I58" s="90"/>
      <c r="J58" s="90"/>
      <c r="K58" s="90"/>
      <c r="L58" s="94"/>
      <c r="M58" s="94"/>
      <c r="N58" s="95"/>
      <c r="O58" s="379"/>
    </row>
    <row r="59" spans="1:23" ht="21" customHeight="1">
      <c r="A59" s="183" t="s">
        <v>114</v>
      </c>
      <c r="B59" s="183"/>
      <c r="C59" s="183"/>
      <c r="D59" s="183"/>
      <c r="E59" s="183"/>
      <c r="F59" s="183"/>
      <c r="G59" s="183"/>
      <c r="H59" s="183"/>
      <c r="I59" s="183"/>
      <c r="J59" s="183"/>
      <c r="K59" s="183"/>
      <c r="L59" s="183"/>
      <c r="M59" s="183"/>
      <c r="N59" s="183"/>
      <c r="O59" s="379"/>
    </row>
    <row r="60" spans="1:23" ht="21" customHeight="1">
      <c r="A60" s="117" t="s">
        <v>115</v>
      </c>
      <c r="B60" s="184" t="s">
        <v>116</v>
      </c>
      <c r="C60" s="184"/>
      <c r="D60" s="184"/>
      <c r="E60" s="184"/>
      <c r="F60" s="184"/>
      <c r="G60" s="184"/>
      <c r="H60" s="184"/>
      <c r="I60" s="184"/>
      <c r="J60" s="184"/>
      <c r="K60" s="184"/>
      <c r="L60" s="184"/>
      <c r="M60" s="184"/>
      <c r="N60" s="184"/>
      <c r="O60" s="379"/>
    </row>
    <row r="61" spans="1:23" ht="21" customHeight="1">
      <c r="A61" s="118"/>
      <c r="B61" s="185" t="s">
        <v>221</v>
      </c>
      <c r="C61" s="185"/>
      <c r="D61" s="185"/>
      <c r="E61" s="185"/>
      <c r="F61" s="185"/>
      <c r="G61" s="185"/>
      <c r="H61" s="185"/>
      <c r="I61" s="185"/>
      <c r="J61" s="185"/>
      <c r="K61" s="185"/>
      <c r="L61" s="185"/>
      <c r="M61" s="185"/>
      <c r="N61" s="185"/>
      <c r="O61" s="379"/>
    </row>
    <row r="62" spans="1:23" ht="21" customHeight="1">
      <c r="A62" s="118"/>
      <c r="B62" s="185" t="s">
        <v>222</v>
      </c>
      <c r="C62" s="185"/>
      <c r="D62" s="185"/>
      <c r="E62" s="185"/>
      <c r="F62" s="185"/>
      <c r="G62" s="185"/>
      <c r="H62" s="185"/>
      <c r="I62" s="185"/>
      <c r="J62" s="185"/>
      <c r="K62" s="185"/>
      <c r="L62" s="185"/>
      <c r="M62" s="185"/>
      <c r="N62" s="185"/>
      <c r="O62" s="379"/>
    </row>
    <row r="63" spans="1:23" ht="21" customHeight="1">
      <c r="A63" s="118"/>
      <c r="B63" s="185" t="s">
        <v>188</v>
      </c>
      <c r="C63" s="185"/>
      <c r="D63" s="185"/>
      <c r="E63" s="185"/>
      <c r="F63" s="185"/>
      <c r="G63" s="185"/>
      <c r="H63" s="185"/>
      <c r="I63" s="185"/>
      <c r="J63" s="185"/>
      <c r="K63" s="185"/>
      <c r="L63" s="185"/>
      <c r="M63" s="185"/>
      <c r="N63" s="185"/>
      <c r="O63" s="379"/>
    </row>
    <row r="64" spans="1:23" ht="21" customHeight="1">
      <c r="A64" s="90"/>
      <c r="B64" s="186" t="s">
        <v>117</v>
      </c>
      <c r="C64" s="186"/>
      <c r="D64" s="186"/>
      <c r="E64" s="186"/>
      <c r="F64" s="186"/>
      <c r="G64" s="186"/>
      <c r="H64" s="186"/>
      <c r="I64" s="186"/>
      <c r="J64" s="186"/>
      <c r="K64" s="186"/>
      <c r="L64" s="186"/>
      <c r="M64" s="186"/>
      <c r="N64" s="186"/>
      <c r="O64" s="379"/>
    </row>
    <row r="65" spans="1:15" ht="21" customHeight="1">
      <c r="A65" s="90"/>
      <c r="B65" s="90"/>
      <c r="C65" s="90"/>
      <c r="D65" s="90"/>
      <c r="E65" s="90"/>
      <c r="F65" s="90"/>
      <c r="G65" s="90"/>
      <c r="H65" s="90"/>
      <c r="I65" s="90"/>
      <c r="J65" s="90"/>
      <c r="K65" s="90"/>
      <c r="L65" s="94"/>
      <c r="M65" s="94"/>
      <c r="N65" s="95"/>
      <c r="O65" s="379"/>
    </row>
    <row r="66" spans="1:15" ht="21" customHeight="1">
      <c r="A66" s="187" t="s">
        <v>62</v>
      </c>
      <c r="B66" s="187"/>
      <c r="C66" s="187"/>
      <c r="D66" s="187"/>
      <c r="E66" s="380"/>
      <c r="F66" s="380"/>
      <c r="G66" s="380"/>
      <c r="H66" s="380"/>
      <c r="I66" s="380"/>
      <c r="J66" s="381" t="s">
        <v>33</v>
      </c>
      <c r="K66" s="381"/>
      <c r="L66" s="381"/>
      <c r="M66" s="381"/>
      <c r="N66" s="381"/>
      <c r="O66" s="379"/>
    </row>
    <row r="67" spans="1:15" ht="21" customHeight="1">
      <c r="A67" s="175"/>
      <c r="B67" s="175"/>
      <c r="C67" s="175"/>
      <c r="D67" s="380"/>
      <c r="E67" s="380"/>
      <c r="F67" s="380"/>
      <c r="G67" s="380"/>
      <c r="H67" s="382"/>
      <c r="I67" s="382"/>
      <c r="J67" s="382"/>
      <c r="K67" s="382"/>
      <c r="L67" s="382"/>
      <c r="M67" s="382"/>
      <c r="N67" s="382"/>
      <c r="O67" s="379"/>
    </row>
    <row r="68" spans="1:15" ht="21" customHeight="1">
      <c r="A68" s="175"/>
      <c r="B68" s="175"/>
      <c r="C68" s="175"/>
      <c r="D68" s="380"/>
      <c r="E68" s="380"/>
      <c r="F68" s="380"/>
      <c r="G68" s="380"/>
      <c r="H68" s="382"/>
      <c r="I68" s="382"/>
      <c r="J68" s="382"/>
      <c r="K68" s="382"/>
      <c r="L68" s="382"/>
      <c r="M68" s="382"/>
      <c r="N68" s="382"/>
      <c r="O68" s="379"/>
    </row>
    <row r="69" spans="1:15" ht="21" customHeight="1">
      <c r="A69" s="175"/>
      <c r="B69" s="175"/>
      <c r="C69" s="175"/>
      <c r="D69" s="380"/>
      <c r="E69" s="380"/>
      <c r="F69" s="380"/>
      <c r="G69" s="380"/>
      <c r="H69" s="382"/>
      <c r="I69" s="382"/>
      <c r="J69" s="383" t="s">
        <v>124</v>
      </c>
      <c r="K69" s="383"/>
      <c r="L69" s="383"/>
      <c r="M69" s="383"/>
      <c r="N69" s="383"/>
      <c r="O69" s="379"/>
    </row>
    <row r="70" spans="1:15" ht="21" customHeight="1">
      <c r="A70" s="179" t="s">
        <v>91</v>
      </c>
      <c r="B70" s="179"/>
      <c r="C70" s="179"/>
      <c r="D70" s="179"/>
      <c r="E70" s="380"/>
      <c r="F70" s="380"/>
      <c r="G70" s="380"/>
      <c r="H70" s="382"/>
      <c r="I70" s="382"/>
      <c r="O70" s="379"/>
    </row>
    <row r="71" spans="1:15" ht="21" customHeight="1">
      <c r="A71" s="175"/>
      <c r="B71" s="175"/>
      <c r="C71" s="175"/>
      <c r="D71" s="380"/>
      <c r="E71" s="380"/>
      <c r="F71" s="380"/>
      <c r="G71" s="380"/>
      <c r="H71" s="382"/>
      <c r="I71" s="382"/>
      <c r="J71" s="382"/>
      <c r="K71" s="382"/>
      <c r="L71" s="382"/>
      <c r="M71" s="382"/>
      <c r="N71" s="382"/>
      <c r="O71" s="379"/>
    </row>
    <row r="72" spans="1:15" ht="21" customHeight="1">
      <c r="A72" s="175"/>
      <c r="B72" s="175"/>
      <c r="C72" s="175"/>
      <c r="D72" s="380"/>
      <c r="E72" s="380"/>
      <c r="F72" s="380"/>
      <c r="G72" s="380"/>
      <c r="H72" s="382"/>
      <c r="I72" s="382"/>
      <c r="J72" s="383" t="s">
        <v>127</v>
      </c>
      <c r="K72" s="383"/>
      <c r="L72" s="383"/>
      <c r="M72" s="383"/>
      <c r="N72" s="383"/>
      <c r="O72" s="379"/>
    </row>
    <row r="73" spans="1:15" ht="21" customHeight="1">
      <c r="A73" s="175"/>
      <c r="B73" s="175"/>
      <c r="C73" s="175"/>
      <c r="D73" s="380"/>
      <c r="E73" s="380"/>
      <c r="F73" s="380"/>
      <c r="G73" s="380"/>
      <c r="H73" s="382"/>
      <c r="I73" s="382"/>
      <c r="J73" s="382"/>
      <c r="K73" s="382"/>
      <c r="L73" s="382"/>
      <c r="M73" s="382"/>
      <c r="N73" s="382"/>
      <c r="O73" s="379"/>
    </row>
    <row r="74" spans="1:15" ht="21" customHeight="1">
      <c r="A74" s="175"/>
      <c r="B74" s="175"/>
      <c r="C74" s="175"/>
      <c r="D74" s="380"/>
      <c r="E74" s="380"/>
      <c r="F74" s="380"/>
      <c r="G74" s="380"/>
      <c r="H74" s="382"/>
      <c r="I74" s="382"/>
      <c r="J74" s="382"/>
      <c r="K74" s="382"/>
      <c r="L74" s="382"/>
      <c r="M74" s="382"/>
      <c r="N74" s="382"/>
      <c r="O74" s="379"/>
    </row>
    <row r="75" spans="1:15" ht="21" customHeight="1">
      <c r="A75" s="175"/>
      <c r="B75" s="175"/>
      <c r="C75" s="175"/>
      <c r="D75" s="380"/>
      <c r="E75" s="380"/>
      <c r="F75" s="380"/>
      <c r="G75" s="380"/>
      <c r="H75" s="382"/>
      <c r="I75" s="382"/>
      <c r="J75" s="382"/>
      <c r="K75" s="382"/>
      <c r="L75" s="382"/>
      <c r="M75" s="382"/>
      <c r="N75" s="382"/>
      <c r="O75" s="379"/>
    </row>
    <row r="76" spans="1:15" ht="21" customHeight="1">
      <c r="A76" s="175"/>
      <c r="B76" s="175"/>
      <c r="C76" s="175"/>
      <c r="D76" s="380"/>
      <c r="E76" s="380"/>
      <c r="F76" s="380"/>
      <c r="G76" s="380"/>
      <c r="H76" s="382"/>
      <c r="I76" s="382"/>
      <c r="J76" s="382"/>
      <c r="K76" s="382"/>
      <c r="L76" s="382"/>
      <c r="M76" s="382"/>
      <c r="N76" s="382"/>
      <c r="O76" s="379"/>
    </row>
    <row r="77" spans="1:15" ht="21" customHeight="1">
      <c r="A77" s="175"/>
      <c r="B77" s="175"/>
      <c r="C77" s="175"/>
      <c r="D77" s="380"/>
      <c r="E77" s="380"/>
      <c r="F77" s="380"/>
      <c r="G77" s="380"/>
      <c r="H77" s="382"/>
      <c r="I77" s="382"/>
      <c r="J77" s="382"/>
      <c r="K77" s="382"/>
      <c r="L77" s="382"/>
      <c r="M77" s="382"/>
      <c r="N77" s="382"/>
      <c r="O77" s="379"/>
    </row>
    <row r="78" spans="1:15" ht="21" customHeight="1">
      <c r="A78" s="175"/>
      <c r="B78" s="175"/>
      <c r="C78" s="175"/>
      <c r="D78" s="380"/>
      <c r="E78" s="380"/>
      <c r="F78" s="380"/>
      <c r="G78" s="380"/>
      <c r="H78" s="382"/>
      <c r="I78" s="382"/>
      <c r="J78" s="382"/>
      <c r="K78" s="382"/>
      <c r="L78" s="382"/>
      <c r="M78" s="382"/>
      <c r="N78" s="382"/>
      <c r="O78" s="379"/>
    </row>
    <row r="79" spans="1:15" ht="21" customHeight="1">
      <c r="A79" s="175"/>
      <c r="B79" s="175"/>
      <c r="C79" s="175"/>
      <c r="D79" s="380"/>
      <c r="E79" s="380"/>
      <c r="F79" s="380"/>
      <c r="G79" s="380"/>
      <c r="H79" s="382"/>
      <c r="I79" s="382"/>
      <c r="J79" s="382"/>
      <c r="K79" s="382"/>
      <c r="L79" s="382"/>
      <c r="M79" s="382"/>
      <c r="N79" s="382"/>
      <c r="O79" s="379"/>
    </row>
    <row r="80" spans="1:15" ht="21" customHeight="1">
      <c r="A80" s="175"/>
      <c r="B80" s="175"/>
      <c r="C80" s="175"/>
      <c r="D80" s="380"/>
      <c r="E80" s="380"/>
      <c r="F80" s="380"/>
      <c r="G80" s="380"/>
      <c r="H80" s="382"/>
      <c r="I80" s="382"/>
      <c r="J80" s="382"/>
      <c r="K80" s="382"/>
      <c r="L80" s="382"/>
      <c r="M80" s="382"/>
      <c r="N80" s="382"/>
      <c r="O80" s="379"/>
    </row>
    <row r="81" spans="1:20" ht="21" customHeight="1">
      <c r="A81" s="175"/>
      <c r="B81" s="175"/>
      <c r="C81" s="175"/>
      <c r="D81" s="380"/>
      <c r="E81" s="380"/>
      <c r="F81" s="380"/>
      <c r="G81" s="380"/>
      <c r="H81" s="382"/>
      <c r="I81" s="382"/>
      <c r="J81" s="382"/>
      <c r="K81" s="382"/>
      <c r="L81" s="382"/>
      <c r="M81" s="382"/>
      <c r="N81" s="382"/>
      <c r="O81" s="379"/>
    </row>
    <row r="82" spans="1:20" ht="19.8" customHeight="1">
      <c r="A82" s="11" t="s">
        <v>61</v>
      </c>
      <c r="B82" s="8"/>
      <c r="C82" s="8"/>
      <c r="D82" s="8"/>
      <c r="E82" s="8"/>
      <c r="F82" s="290" t="s">
        <v>32</v>
      </c>
      <c r="G82" s="290"/>
      <c r="H82" s="290"/>
      <c r="I82" s="290"/>
      <c r="J82" s="290"/>
      <c r="K82" s="290"/>
      <c r="L82" s="290"/>
      <c r="M82" s="290"/>
      <c r="N82" s="290"/>
      <c r="O82" s="367"/>
      <c r="P82" s="367"/>
      <c r="T82" s="2"/>
    </row>
    <row r="83" spans="1:20" ht="19.8" customHeight="1">
      <c r="A83" s="8" t="s">
        <v>220</v>
      </c>
      <c r="B83" s="8"/>
      <c r="C83" s="8"/>
      <c r="D83" s="8"/>
      <c r="E83" s="8"/>
      <c r="F83" s="172"/>
      <c r="G83" s="172"/>
      <c r="H83" s="172"/>
      <c r="I83" s="172"/>
      <c r="J83" s="172"/>
      <c r="K83" s="172"/>
      <c r="L83" s="172"/>
      <c r="M83" s="172"/>
      <c r="N83" s="172"/>
      <c r="O83" s="367"/>
      <c r="P83" s="367"/>
      <c r="T83" s="2"/>
    </row>
    <row r="84" spans="1:20" s="2" customFormat="1" ht="18" customHeight="1">
      <c r="A84" s="194" t="s">
        <v>97</v>
      </c>
      <c r="B84" s="194"/>
      <c r="C84" s="194"/>
      <c r="D84" s="194"/>
      <c r="E84" s="194" t="s">
        <v>89</v>
      </c>
      <c r="F84" s="194"/>
      <c r="G84" s="194"/>
      <c r="H84" s="194"/>
      <c r="I84" s="194"/>
      <c r="J84" s="194"/>
      <c r="K84" s="194"/>
      <c r="L84" s="194"/>
      <c r="M84" s="194"/>
      <c r="N84" s="194"/>
      <c r="O84" s="368"/>
    </row>
    <row r="85" spans="1:20" s="2" customFormat="1" ht="18" customHeight="1">
      <c r="A85" s="194"/>
      <c r="B85" s="194"/>
      <c r="C85" s="194"/>
      <c r="D85" s="194"/>
      <c r="E85" s="194" t="s">
        <v>104</v>
      </c>
      <c r="F85" s="194"/>
      <c r="G85" s="194"/>
      <c r="H85" s="194"/>
      <c r="I85" s="194"/>
      <c r="J85" s="194" t="s">
        <v>101</v>
      </c>
      <c r="K85" s="194"/>
      <c r="L85" s="194"/>
      <c r="M85" s="194"/>
      <c r="N85" s="194"/>
      <c r="O85" s="368"/>
    </row>
    <row r="86" spans="1:20" s="2" customFormat="1" ht="18" customHeight="1">
      <c r="A86" s="195" t="s">
        <v>90</v>
      </c>
      <c r="B86" s="195"/>
      <c r="C86" s="195"/>
      <c r="D86" s="195"/>
      <c r="E86" s="198" t="s">
        <v>148</v>
      </c>
      <c r="F86" s="198"/>
      <c r="G86" s="198"/>
      <c r="H86" s="198"/>
      <c r="I86" s="198"/>
      <c r="J86" s="199" t="s">
        <v>175</v>
      </c>
      <c r="K86" s="200"/>
      <c r="L86" s="200"/>
      <c r="M86" s="200"/>
      <c r="N86" s="201"/>
      <c r="O86" s="368"/>
    </row>
    <row r="87" spans="1:20" s="2" customFormat="1" ht="18" customHeight="1">
      <c r="A87" s="344" t="s">
        <v>174</v>
      </c>
      <c r="B87" s="345"/>
      <c r="C87" s="345"/>
      <c r="D87" s="346"/>
      <c r="E87" s="198"/>
      <c r="F87" s="198"/>
      <c r="G87" s="198"/>
      <c r="H87" s="198"/>
      <c r="I87" s="198"/>
      <c r="J87" s="202"/>
      <c r="K87" s="203"/>
      <c r="L87" s="203"/>
      <c r="M87" s="203"/>
      <c r="N87" s="204"/>
      <c r="O87" s="368"/>
    </row>
    <row r="88" spans="1:20" s="2" customFormat="1" ht="18" customHeight="1">
      <c r="A88" s="356" t="s">
        <v>173</v>
      </c>
      <c r="B88" s="356"/>
      <c r="C88" s="356"/>
      <c r="D88" s="356"/>
      <c r="E88" s="198"/>
      <c r="F88" s="198"/>
      <c r="G88" s="198"/>
      <c r="H88" s="198"/>
      <c r="I88" s="198"/>
      <c r="J88" s="205"/>
      <c r="K88" s="206"/>
      <c r="L88" s="206"/>
      <c r="M88" s="206"/>
      <c r="N88" s="207"/>
      <c r="O88" s="368"/>
    </row>
    <row r="89" spans="1:20" ht="18" customHeight="1">
      <c r="A89" s="228" t="s">
        <v>122</v>
      </c>
      <c r="B89" s="229"/>
      <c r="C89" s="230"/>
      <c r="D89" s="128">
        <v>31</v>
      </c>
      <c r="E89" s="8"/>
      <c r="F89" s="172"/>
      <c r="G89" s="172"/>
      <c r="H89" s="172"/>
      <c r="I89" s="172"/>
      <c r="J89" s="172"/>
      <c r="K89" s="172"/>
      <c r="L89" s="172"/>
      <c r="M89" s="172"/>
      <c r="N89" s="172"/>
      <c r="O89" s="367"/>
      <c r="P89" s="367"/>
      <c r="T89" s="2"/>
    </row>
    <row r="90" spans="1:20" ht="19.8" customHeight="1">
      <c r="A90" s="208" t="s">
        <v>0</v>
      </c>
      <c r="B90" s="211" t="s">
        <v>19</v>
      </c>
      <c r="C90" s="362" t="s">
        <v>8</v>
      </c>
      <c r="D90" s="214" t="s">
        <v>9</v>
      </c>
      <c r="E90" s="358" t="s">
        <v>11</v>
      </c>
      <c r="F90" s="359"/>
      <c r="G90" s="358" t="s">
        <v>13</v>
      </c>
      <c r="H90" s="359"/>
      <c r="I90" s="221" t="s">
        <v>16</v>
      </c>
      <c r="J90" s="221" t="s">
        <v>41</v>
      </c>
      <c r="K90" s="221" t="s">
        <v>42</v>
      </c>
      <c r="L90" s="221" t="s">
        <v>17</v>
      </c>
      <c r="M90" s="221" t="s">
        <v>57</v>
      </c>
      <c r="N90" s="208" t="s">
        <v>18</v>
      </c>
      <c r="O90" s="369"/>
    </row>
    <row r="91" spans="1:20" ht="19.8" customHeight="1">
      <c r="A91" s="209"/>
      <c r="B91" s="212"/>
      <c r="C91" s="363"/>
      <c r="D91" s="215"/>
      <c r="E91" s="360"/>
      <c r="F91" s="361"/>
      <c r="G91" s="360"/>
      <c r="H91" s="361"/>
      <c r="I91" s="222"/>
      <c r="J91" s="222"/>
      <c r="K91" s="222"/>
      <c r="L91" s="222"/>
      <c r="M91" s="222"/>
      <c r="N91" s="209"/>
      <c r="O91" s="175"/>
    </row>
    <row r="92" spans="1:20" ht="19.8" customHeight="1">
      <c r="A92" s="209"/>
      <c r="B92" s="212"/>
      <c r="C92" s="363"/>
      <c r="D92" s="215"/>
      <c r="E92" s="221" t="s">
        <v>10</v>
      </c>
      <c r="F92" s="221" t="s">
        <v>12</v>
      </c>
      <c r="G92" s="221" t="s">
        <v>94</v>
      </c>
      <c r="H92" s="221" t="s">
        <v>15</v>
      </c>
      <c r="I92" s="222"/>
      <c r="J92" s="222"/>
      <c r="K92" s="222"/>
      <c r="L92" s="222"/>
      <c r="M92" s="222"/>
      <c r="N92" s="209"/>
      <c r="O92" s="175"/>
    </row>
    <row r="93" spans="1:20" ht="19.8" customHeight="1">
      <c r="A93" s="210"/>
      <c r="B93" s="213"/>
      <c r="C93" s="364"/>
      <c r="D93" s="216"/>
      <c r="E93" s="223"/>
      <c r="F93" s="223"/>
      <c r="G93" s="223"/>
      <c r="H93" s="223"/>
      <c r="I93" s="223"/>
      <c r="J93" s="223"/>
      <c r="K93" s="223"/>
      <c r="L93" s="223"/>
      <c r="M93" s="223"/>
      <c r="N93" s="210"/>
      <c r="O93" s="175"/>
    </row>
    <row r="94" spans="1:20" ht="19.8" customHeight="1">
      <c r="A94" s="237" t="s">
        <v>39</v>
      </c>
      <c r="B94" s="238"/>
      <c r="C94" s="238"/>
      <c r="D94" s="238"/>
      <c r="E94" s="238"/>
      <c r="F94" s="238"/>
      <c r="G94" s="238"/>
      <c r="H94" s="238"/>
      <c r="I94" s="238"/>
      <c r="J94" s="238"/>
      <c r="K94" s="238"/>
      <c r="L94" s="238"/>
      <c r="M94" s="238"/>
      <c r="N94" s="239"/>
      <c r="O94" s="175"/>
    </row>
    <row r="95" spans="1:20" s="2" customFormat="1" ht="19.2" customHeight="1">
      <c r="A95" s="9">
        <v>1</v>
      </c>
      <c r="B95" s="10" t="s">
        <v>2</v>
      </c>
      <c r="C95" s="23">
        <f>L95/100*100</f>
        <v>40</v>
      </c>
      <c r="D95" s="24">
        <f>C95/100*60</f>
        <v>24</v>
      </c>
      <c r="E95" s="25">
        <f>C95/100*15</f>
        <v>6</v>
      </c>
      <c r="F95" s="25"/>
      <c r="G95" s="25"/>
      <c r="H95" s="25"/>
      <c r="I95" s="25"/>
      <c r="J95" s="27">
        <f>C95/100*387</f>
        <v>154.80000000000001</v>
      </c>
      <c r="K95" s="27">
        <f>C95/100*0.09</f>
        <v>3.5999999999999997E-2</v>
      </c>
      <c r="L95" s="137">
        <v>40</v>
      </c>
      <c r="M95" s="75">
        <v>20</v>
      </c>
      <c r="N95" s="28">
        <f>L95*M95</f>
        <v>800</v>
      </c>
      <c r="O95" s="153"/>
    </row>
    <row r="96" spans="1:20" s="2" customFormat="1" ht="19.2" customHeight="1">
      <c r="A96" s="9">
        <v>2</v>
      </c>
      <c r="B96" s="146" t="s">
        <v>141</v>
      </c>
      <c r="C96" s="23">
        <f>L96/100*100</f>
        <v>160</v>
      </c>
      <c r="D96" s="24">
        <f>C96/100*899</f>
        <v>1438.4</v>
      </c>
      <c r="E96" s="25"/>
      <c r="F96" s="25"/>
      <c r="G96" s="120">
        <f>C96/100*100</f>
        <v>160</v>
      </c>
      <c r="H96" s="119"/>
      <c r="I96" s="25"/>
      <c r="J96" s="27"/>
      <c r="K96" s="27"/>
      <c r="L96" s="137">
        <v>160</v>
      </c>
      <c r="M96" s="75">
        <v>68</v>
      </c>
      <c r="N96" s="28">
        <f t="shared" ref="N96:N102" si="5">L96*M96</f>
        <v>10880</v>
      </c>
      <c r="O96" s="153"/>
    </row>
    <row r="97" spans="1:23" s="2" customFormat="1" ht="19.2" customHeight="1">
      <c r="A97" s="9">
        <v>3</v>
      </c>
      <c r="B97" s="5" t="s">
        <v>1</v>
      </c>
      <c r="C97" s="23">
        <f>L97/100*100</f>
        <v>1333</v>
      </c>
      <c r="D97" s="24">
        <f>C97/100*344</f>
        <v>4585.5200000000004</v>
      </c>
      <c r="E97" s="25"/>
      <c r="F97" s="119">
        <f>C97/100*7.9</f>
        <v>105.307</v>
      </c>
      <c r="G97" s="25"/>
      <c r="H97" s="25">
        <f>C97/100*1</f>
        <v>13.33</v>
      </c>
      <c r="I97" s="119">
        <f>C97/100*75.9</f>
        <v>1011.7470000000001</v>
      </c>
      <c r="J97" s="27">
        <f>C97/100*30</f>
        <v>399.9</v>
      </c>
      <c r="K97" s="27">
        <f>C97/100*0.1</f>
        <v>1.3330000000000002</v>
      </c>
      <c r="L97" s="137">
        <v>1333</v>
      </c>
      <c r="M97" s="75">
        <v>18</v>
      </c>
      <c r="N97" s="28">
        <f t="shared" si="5"/>
        <v>23994</v>
      </c>
      <c r="O97" s="153"/>
    </row>
    <row r="98" spans="1:23" s="2" customFormat="1" ht="19.2" customHeight="1">
      <c r="A98" s="9">
        <v>4</v>
      </c>
      <c r="B98" s="5" t="s">
        <v>69</v>
      </c>
      <c r="C98" s="23">
        <f>L98/100*48</f>
        <v>595.20000000000005</v>
      </c>
      <c r="D98" s="24">
        <f>C98/100*199</f>
        <v>1184.4480000000001</v>
      </c>
      <c r="E98" s="119">
        <f>C98/100*20.3</f>
        <v>120.82560000000002</v>
      </c>
      <c r="F98" s="119"/>
      <c r="G98" s="119">
        <f>C98/100*13.1</f>
        <v>77.97120000000001</v>
      </c>
      <c r="H98" s="25"/>
      <c r="I98" s="25"/>
      <c r="J98" s="27">
        <f>C98/100*12</f>
        <v>71.424000000000007</v>
      </c>
      <c r="K98" s="27">
        <f>C98/100*0.15</f>
        <v>0.89280000000000015</v>
      </c>
      <c r="L98" s="137">
        <v>1240</v>
      </c>
      <c r="M98" s="26">
        <v>84</v>
      </c>
      <c r="N98" s="28">
        <f t="shared" si="5"/>
        <v>104160</v>
      </c>
      <c r="O98" s="153"/>
      <c r="Q98" s="3"/>
      <c r="R98" s="3"/>
      <c r="S98" s="4"/>
    </row>
    <row r="99" spans="1:23" s="2" customFormat="1" ht="19.2" customHeight="1">
      <c r="A99" s="9">
        <v>5</v>
      </c>
      <c r="B99" s="79" t="s">
        <v>147</v>
      </c>
      <c r="C99" s="23">
        <f>L99/100*89</f>
        <v>1094.7</v>
      </c>
      <c r="D99" s="24">
        <f>C99/100*154</f>
        <v>1685.8380000000002</v>
      </c>
      <c r="E99" s="119">
        <f>C99/100*13.1</f>
        <v>143.4057</v>
      </c>
      <c r="F99" s="25"/>
      <c r="G99" s="25">
        <f>C99/100*8.3</f>
        <v>90.860100000000017</v>
      </c>
      <c r="H99" s="25"/>
      <c r="I99" s="25">
        <f>C99/100*0.4</f>
        <v>4.3788000000000009</v>
      </c>
      <c r="J99" s="81">
        <f>C99/100*64</f>
        <v>700.60800000000006</v>
      </c>
      <c r="K99" s="27">
        <f>C99/100*0.13</f>
        <v>1.4231100000000001</v>
      </c>
      <c r="L99" s="26">
        <v>1230</v>
      </c>
      <c r="M99" s="54">
        <v>82</v>
      </c>
      <c r="N99" s="151">
        <f t="shared" si="5"/>
        <v>100860</v>
      </c>
      <c r="O99" s="153"/>
    </row>
    <row r="100" spans="1:23" s="2" customFormat="1" ht="19.2" customHeight="1">
      <c r="A100" s="9">
        <v>6</v>
      </c>
      <c r="B100" s="5" t="s">
        <v>136</v>
      </c>
      <c r="C100" s="23">
        <f>L100/100*100</f>
        <v>30</v>
      </c>
      <c r="D100" s="24">
        <f>C100/100*247</f>
        <v>74.099999999999994</v>
      </c>
      <c r="E100" s="29"/>
      <c r="F100" s="29">
        <f>C100/100*17.5</f>
        <v>5.25</v>
      </c>
      <c r="G100" s="29"/>
      <c r="H100" s="29">
        <f>C100/100*1.6</f>
        <v>0.48</v>
      </c>
      <c r="I100" s="29">
        <f>C100/100*39.2</f>
        <v>11.76</v>
      </c>
      <c r="J100" s="71"/>
      <c r="K100" s="71"/>
      <c r="L100" s="370">
        <v>30</v>
      </c>
      <c r="M100" s="75">
        <v>50</v>
      </c>
      <c r="N100" s="28">
        <f t="shared" si="5"/>
        <v>1500</v>
      </c>
      <c r="O100" s="153"/>
      <c r="Q100" s="3"/>
      <c r="R100" s="3"/>
      <c r="S100" s="4"/>
      <c r="T100" s="3"/>
    </row>
    <row r="101" spans="1:23" s="2" customFormat="1" ht="18.600000000000001" customHeight="1">
      <c r="A101" s="9">
        <v>7</v>
      </c>
      <c r="B101" s="5" t="s">
        <v>20</v>
      </c>
      <c r="C101" s="23">
        <f>L101/100*95</f>
        <v>294.5</v>
      </c>
      <c r="D101" s="24">
        <f>C101/100*20</f>
        <v>58.9</v>
      </c>
      <c r="E101" s="25"/>
      <c r="F101" s="25">
        <f>C101/100*0.6</f>
        <v>1.7669999999999999</v>
      </c>
      <c r="G101" s="25"/>
      <c r="H101" s="25">
        <f>C101/100*0.2</f>
        <v>0.58899999999999997</v>
      </c>
      <c r="I101" s="25">
        <f>C101/100*4</f>
        <v>11.78</v>
      </c>
      <c r="J101" s="27">
        <f>C101/100*12</f>
        <v>35.339999999999996</v>
      </c>
      <c r="K101" s="24">
        <f>C101/100*0.04</f>
        <v>0.1178</v>
      </c>
      <c r="L101" s="137">
        <v>310</v>
      </c>
      <c r="M101" s="77">
        <v>22</v>
      </c>
      <c r="N101" s="28">
        <f t="shared" si="5"/>
        <v>6820</v>
      </c>
      <c r="O101" s="371"/>
      <c r="Q101" s="3"/>
      <c r="R101" s="3"/>
      <c r="S101" s="4"/>
    </row>
    <row r="102" spans="1:23" s="2" customFormat="1" ht="19.2" customHeight="1">
      <c r="A102" s="9">
        <v>8</v>
      </c>
      <c r="B102" s="5" t="s">
        <v>131</v>
      </c>
      <c r="C102" s="23">
        <f>L102/100*75</f>
        <v>712.5</v>
      </c>
      <c r="D102" s="24">
        <f>C102/100*17</f>
        <v>121.125</v>
      </c>
      <c r="E102" s="25"/>
      <c r="F102" s="25">
        <f>C102/100*1.4</f>
        <v>9.9749999999999996</v>
      </c>
      <c r="G102" s="25"/>
      <c r="H102" s="25">
        <f>C102/100*0.2</f>
        <v>1.425</v>
      </c>
      <c r="I102" s="25">
        <f>C102/100*2.4</f>
        <v>17.099999999999998</v>
      </c>
      <c r="J102" s="25">
        <f>C102/100*50</f>
        <v>356.25</v>
      </c>
      <c r="K102" s="25">
        <f>C102/100*0.09</f>
        <v>0.64124999999999999</v>
      </c>
      <c r="L102" s="137">
        <v>950</v>
      </c>
      <c r="M102" s="75">
        <v>18</v>
      </c>
      <c r="N102" s="28">
        <f t="shared" si="5"/>
        <v>17100</v>
      </c>
      <c r="O102" s="153"/>
    </row>
    <row r="103" spans="1:23" s="2" customFormat="1" ht="19.2" customHeight="1">
      <c r="A103" s="9">
        <v>9</v>
      </c>
      <c r="B103" s="6" t="s">
        <v>123</v>
      </c>
      <c r="C103" s="23"/>
      <c r="D103" s="24"/>
      <c r="E103" s="25"/>
      <c r="F103" s="25"/>
      <c r="G103" s="25"/>
      <c r="H103" s="25"/>
      <c r="I103" s="25"/>
      <c r="J103" s="27"/>
      <c r="K103" s="27"/>
      <c r="L103" s="26"/>
      <c r="M103" s="26"/>
      <c r="N103" s="28">
        <v>2250</v>
      </c>
      <c r="O103" s="153"/>
    </row>
    <row r="104" spans="1:23" s="2" customFormat="1" ht="19.2" customHeight="1">
      <c r="A104" s="21" t="s">
        <v>118</v>
      </c>
      <c r="B104" s="22"/>
      <c r="C104" s="34"/>
      <c r="D104" s="35">
        <f>SUM(D95:D103)</f>
        <v>9172.3310000000001</v>
      </c>
      <c r="E104" s="43"/>
      <c r="F104" s="43"/>
      <c r="G104" s="43"/>
      <c r="H104" s="43"/>
      <c r="I104" s="43"/>
      <c r="J104" s="43"/>
      <c r="K104" s="43"/>
      <c r="L104" s="44"/>
      <c r="M104" s="307"/>
      <c r="N104" s="192">
        <f>SUM(N95:N103)</f>
        <v>268364</v>
      </c>
      <c r="O104" s="153"/>
    </row>
    <row r="105" spans="1:23" ht="19.2" customHeight="1">
      <c r="A105" s="21" t="s">
        <v>37</v>
      </c>
      <c r="B105" s="22"/>
      <c r="C105" s="45"/>
      <c r="D105" s="46">
        <f>D104/D89</f>
        <v>295.88164516129035</v>
      </c>
      <c r="E105" s="46"/>
      <c r="F105" s="46"/>
      <c r="G105" s="46"/>
      <c r="H105" s="46"/>
      <c r="I105" s="46"/>
      <c r="J105" s="46"/>
      <c r="K105" s="46"/>
      <c r="L105" s="47"/>
      <c r="M105" s="308"/>
      <c r="N105" s="193"/>
      <c r="O105" s="4"/>
      <c r="P105" s="2"/>
      <c r="Q105" s="2"/>
      <c r="R105" s="2"/>
      <c r="S105" s="2"/>
      <c r="T105" s="2"/>
      <c r="U105" s="2"/>
      <c r="V105" s="2"/>
    </row>
    <row r="106" spans="1:23" ht="19.2" customHeight="1">
      <c r="A106" s="291" t="s">
        <v>53</v>
      </c>
      <c r="B106" s="225"/>
      <c r="C106" s="372" t="s">
        <v>151</v>
      </c>
      <c r="D106" s="20" t="s">
        <v>45</v>
      </c>
      <c r="E106" s="46"/>
      <c r="F106" s="46"/>
      <c r="G106" s="46"/>
      <c r="H106" s="46"/>
      <c r="I106" s="46"/>
      <c r="J106" s="48"/>
      <c r="K106" s="48"/>
      <c r="L106" s="47"/>
      <c r="M106" s="47"/>
      <c r="N106" s="176"/>
      <c r="O106" s="4"/>
      <c r="P106" s="2"/>
      <c r="Q106" s="2"/>
      <c r="R106" s="2"/>
      <c r="S106" s="2"/>
      <c r="T106" s="2"/>
      <c r="U106" s="2"/>
      <c r="V106" s="2"/>
      <c r="W106" s="2"/>
    </row>
    <row r="107" spans="1:23" ht="19.2" customHeight="1">
      <c r="A107" s="226"/>
      <c r="B107" s="227"/>
      <c r="C107" s="76" t="s">
        <v>60</v>
      </c>
      <c r="D107" s="20">
        <f>D105*100/930</f>
        <v>31.815230662504341</v>
      </c>
      <c r="E107" s="46"/>
      <c r="F107" s="46"/>
      <c r="G107" s="46"/>
      <c r="H107" s="46"/>
      <c r="I107" s="46"/>
      <c r="J107" s="48"/>
      <c r="K107" s="48"/>
      <c r="L107" s="47"/>
      <c r="M107" s="47"/>
      <c r="N107" s="176"/>
      <c r="O107" s="4"/>
      <c r="P107" s="2"/>
      <c r="Q107" s="2"/>
      <c r="R107" s="2"/>
      <c r="S107" s="2"/>
      <c r="T107" s="2"/>
      <c r="U107" s="2"/>
      <c r="V107" s="2"/>
      <c r="W107" s="2"/>
    </row>
    <row r="108" spans="1:23" s="2" customFormat="1" ht="19.2" customHeight="1">
      <c r="A108" s="235" t="s">
        <v>38</v>
      </c>
      <c r="B108" s="235"/>
      <c r="C108" s="56"/>
      <c r="D108" s="57"/>
      <c r="E108" s="58"/>
      <c r="F108" s="58"/>
      <c r="G108" s="58"/>
      <c r="H108" s="58"/>
      <c r="I108" s="58"/>
      <c r="J108" s="58"/>
      <c r="K108" s="58"/>
      <c r="L108" s="59"/>
      <c r="M108" s="59"/>
      <c r="N108" s="60"/>
      <c r="O108" s="153"/>
    </row>
    <row r="109" spans="1:23" s="2" customFormat="1" ht="19.2" customHeight="1">
      <c r="A109" s="9">
        <v>1</v>
      </c>
      <c r="B109" s="10" t="s">
        <v>2</v>
      </c>
      <c r="C109" s="23">
        <f t="shared" ref="C109:C114" si="6">L109/100*100</f>
        <v>40</v>
      </c>
      <c r="D109" s="24">
        <f>C109/100*60</f>
        <v>24</v>
      </c>
      <c r="E109" s="25">
        <f>C109/100*15</f>
        <v>6</v>
      </c>
      <c r="F109" s="25"/>
      <c r="G109" s="25"/>
      <c r="H109" s="25"/>
      <c r="I109" s="25"/>
      <c r="J109" s="27">
        <f>C109/100*387</f>
        <v>154.80000000000001</v>
      </c>
      <c r="K109" s="27">
        <f>C109/100*0.09</f>
        <v>3.5999999999999997E-2</v>
      </c>
      <c r="L109" s="137">
        <v>40</v>
      </c>
      <c r="M109" s="75">
        <v>20</v>
      </c>
      <c r="N109" s="28">
        <f>L109*M109</f>
        <v>800</v>
      </c>
      <c r="O109" s="153"/>
    </row>
    <row r="110" spans="1:23" s="2" customFormat="1" ht="19.2" customHeight="1">
      <c r="A110" s="9">
        <v>2</v>
      </c>
      <c r="B110" s="146" t="s">
        <v>141</v>
      </c>
      <c r="C110" s="23">
        <f t="shared" si="6"/>
        <v>160</v>
      </c>
      <c r="D110" s="24">
        <f>C110/100*899</f>
        <v>1438.4</v>
      </c>
      <c r="E110" s="25"/>
      <c r="F110" s="25"/>
      <c r="G110" s="119">
        <f>C110/100*100</f>
        <v>160</v>
      </c>
      <c r="H110" s="25"/>
      <c r="I110" s="25"/>
      <c r="J110" s="25"/>
      <c r="K110" s="25"/>
      <c r="L110" s="137">
        <v>160</v>
      </c>
      <c r="M110" s="144">
        <v>68</v>
      </c>
      <c r="N110" s="28">
        <f t="shared" ref="N110:N113" si="7">L110*M110</f>
        <v>10880</v>
      </c>
      <c r="O110" s="373"/>
    </row>
    <row r="111" spans="1:23" s="2" customFormat="1" ht="19.2" customHeight="1">
      <c r="A111" s="9">
        <v>3</v>
      </c>
      <c r="B111" s="148" t="s">
        <v>146</v>
      </c>
      <c r="C111" s="23">
        <f t="shared" si="6"/>
        <v>80</v>
      </c>
      <c r="D111" s="120">
        <f>C111/100*900</f>
        <v>720</v>
      </c>
      <c r="E111" s="25"/>
      <c r="F111" s="25"/>
      <c r="G111" s="119"/>
      <c r="H111" s="25">
        <f>C111/100*100</f>
        <v>80</v>
      </c>
      <c r="I111" s="25"/>
      <c r="J111" s="25"/>
      <c r="K111" s="25"/>
      <c r="L111" s="137">
        <v>80</v>
      </c>
      <c r="M111" s="75">
        <v>63.5</v>
      </c>
      <c r="N111" s="28">
        <f t="shared" si="7"/>
        <v>5080</v>
      </c>
      <c r="O111" s="373"/>
    </row>
    <row r="112" spans="1:23" s="2" customFormat="1" ht="19.2" customHeight="1">
      <c r="A112" s="9">
        <v>4</v>
      </c>
      <c r="B112" s="5" t="s">
        <v>1</v>
      </c>
      <c r="C112" s="23">
        <f t="shared" si="6"/>
        <v>744</v>
      </c>
      <c r="D112" s="24">
        <f>C112/100*344</f>
        <v>2559.36</v>
      </c>
      <c r="E112" s="25"/>
      <c r="F112" s="25">
        <f>C112/100*7.9</f>
        <v>58.776000000000003</v>
      </c>
      <c r="G112" s="25"/>
      <c r="H112" s="25">
        <f>C112/100*1</f>
        <v>7.44</v>
      </c>
      <c r="I112" s="25">
        <f>C112/100*75.9</f>
        <v>564.69600000000003</v>
      </c>
      <c r="J112" s="27">
        <f>C112/100*30</f>
        <v>223.20000000000002</v>
      </c>
      <c r="K112" s="27">
        <f>C112/100*0.1</f>
        <v>0.74400000000000011</v>
      </c>
      <c r="L112" s="137">
        <v>744</v>
      </c>
      <c r="M112" s="75">
        <v>18</v>
      </c>
      <c r="N112" s="28">
        <f t="shared" si="7"/>
        <v>13392</v>
      </c>
      <c r="O112" s="153"/>
    </row>
    <row r="113" spans="1:23" s="2" customFormat="1" ht="19.2" customHeight="1">
      <c r="A113" s="9">
        <v>5</v>
      </c>
      <c r="B113" s="5" t="s">
        <v>73</v>
      </c>
      <c r="C113" s="23">
        <f t="shared" si="6"/>
        <v>490.00000000000006</v>
      </c>
      <c r="D113" s="24">
        <f>C113/100*344</f>
        <v>1685.6000000000001</v>
      </c>
      <c r="E113" s="25"/>
      <c r="F113" s="25">
        <f>C113/100*8.6</f>
        <v>42.14</v>
      </c>
      <c r="G113" s="25"/>
      <c r="H113" s="25">
        <f>C113/100*1.5</f>
        <v>7.3500000000000005</v>
      </c>
      <c r="I113" s="25">
        <f>C113/100*74.5</f>
        <v>365.05</v>
      </c>
      <c r="J113" s="25">
        <f>C113/100*32</f>
        <v>156.80000000000001</v>
      </c>
      <c r="K113" s="27">
        <f>C113/100*0.14</f>
        <v>0.68600000000000017</v>
      </c>
      <c r="L113" s="137">
        <v>490</v>
      </c>
      <c r="M113" s="75">
        <v>30</v>
      </c>
      <c r="N113" s="28">
        <f t="shared" si="7"/>
        <v>14700</v>
      </c>
      <c r="O113" s="153"/>
      <c r="P113" s="18"/>
    </row>
    <row r="114" spans="1:23" s="2" customFormat="1" ht="19.2" customHeight="1">
      <c r="A114" s="9">
        <v>6</v>
      </c>
      <c r="B114" s="5" t="s">
        <v>67</v>
      </c>
      <c r="C114" s="23">
        <f t="shared" si="6"/>
        <v>60</v>
      </c>
      <c r="D114" s="24">
        <f>C114/100*334</f>
        <v>200.4</v>
      </c>
      <c r="E114" s="25"/>
      <c r="F114" s="25">
        <f>C114/100*20</f>
        <v>12</v>
      </c>
      <c r="G114" s="25"/>
      <c r="H114" s="25">
        <f>C114/100*2.4</f>
        <v>1.44</v>
      </c>
      <c r="I114" s="25">
        <f>C114/100*58</f>
        <v>34.799999999999997</v>
      </c>
      <c r="J114" s="27">
        <f>C114/100*89</f>
        <v>53.4</v>
      </c>
      <c r="K114" s="27">
        <f>C114/100*0.64</f>
        <v>0.38400000000000001</v>
      </c>
      <c r="L114" s="137">
        <v>60</v>
      </c>
      <c r="M114" s="75">
        <v>190</v>
      </c>
      <c r="N114" s="28">
        <f>L114*M114</f>
        <v>11400</v>
      </c>
      <c r="O114" s="153"/>
    </row>
    <row r="115" spans="1:23" s="2" customFormat="1" ht="16.2" customHeight="1">
      <c r="A115" s="9">
        <v>7</v>
      </c>
      <c r="B115" s="5" t="s">
        <v>4</v>
      </c>
      <c r="C115" s="23">
        <f>L115/100*98.5</f>
        <v>492.5</v>
      </c>
      <c r="D115" s="24">
        <f>C115/100*39</f>
        <v>192.07499999999999</v>
      </c>
      <c r="E115" s="29"/>
      <c r="F115" s="29">
        <f>C115/100*1.5</f>
        <v>7.3874999999999993</v>
      </c>
      <c r="G115" s="29"/>
      <c r="H115" s="29">
        <f>C115/100*0.2</f>
        <v>0.98499999999999999</v>
      </c>
      <c r="I115" s="29">
        <f>C115/100*7.8</f>
        <v>38.414999999999999</v>
      </c>
      <c r="J115" s="29">
        <f>C115/100*43</f>
        <v>211.77500000000001</v>
      </c>
      <c r="K115" s="29">
        <f>C115/100*0.06</f>
        <v>0.29549999999999998</v>
      </c>
      <c r="L115" s="370">
        <v>500</v>
      </c>
      <c r="M115" s="26">
        <v>17</v>
      </c>
      <c r="N115" s="135">
        <f t="shared" ref="N115:N117" si="8">L115*M115</f>
        <v>8500</v>
      </c>
      <c r="O115" s="153"/>
      <c r="Q115" s="3"/>
      <c r="R115" s="3"/>
      <c r="S115" s="4"/>
    </row>
    <row r="116" spans="1:23" s="2" customFormat="1" ht="20.399999999999999" customHeight="1">
      <c r="A116" s="9">
        <v>8</v>
      </c>
      <c r="B116" s="10" t="s">
        <v>3</v>
      </c>
      <c r="C116" s="23">
        <f>L116/100*98</f>
        <v>490</v>
      </c>
      <c r="D116" s="24">
        <f>C116/100*118</f>
        <v>578.20000000000005</v>
      </c>
      <c r="E116" s="119">
        <f>C116/100*21</f>
        <v>102.9</v>
      </c>
      <c r="F116" s="25"/>
      <c r="G116" s="25">
        <f>C116/100*3.8</f>
        <v>18.62</v>
      </c>
      <c r="H116" s="25"/>
      <c r="I116" s="25"/>
      <c r="J116" s="25">
        <f>C116/100*12</f>
        <v>58.800000000000004</v>
      </c>
      <c r="K116" s="25">
        <f>C116/100*0.1</f>
        <v>0.49000000000000005</v>
      </c>
      <c r="L116" s="137">
        <v>500</v>
      </c>
      <c r="M116" s="143">
        <v>260</v>
      </c>
      <c r="N116" s="135">
        <f t="shared" si="8"/>
        <v>130000</v>
      </c>
      <c r="O116" s="153"/>
    </row>
    <row r="117" spans="1:23" s="2" customFormat="1" ht="18.600000000000001" customHeight="1">
      <c r="A117" s="9">
        <v>9</v>
      </c>
      <c r="B117" s="5" t="s">
        <v>69</v>
      </c>
      <c r="C117" s="23">
        <f>L117/100*48</f>
        <v>460.79999999999995</v>
      </c>
      <c r="D117" s="24">
        <f>C117/100*199</f>
        <v>916.99199999999996</v>
      </c>
      <c r="E117" s="25">
        <f>C117/100*20.3</f>
        <v>93.542400000000001</v>
      </c>
      <c r="F117" s="25"/>
      <c r="G117" s="25">
        <f>C117/100*13.1</f>
        <v>60.364799999999995</v>
      </c>
      <c r="H117" s="25"/>
      <c r="I117" s="25"/>
      <c r="J117" s="27">
        <f>C117/100*12</f>
        <v>55.295999999999992</v>
      </c>
      <c r="K117" s="27">
        <f>C117/100*0.15</f>
        <v>0.69119999999999993</v>
      </c>
      <c r="L117" s="137">
        <v>960</v>
      </c>
      <c r="M117" s="137">
        <v>84</v>
      </c>
      <c r="N117" s="28">
        <f t="shared" si="8"/>
        <v>80640</v>
      </c>
      <c r="O117" s="153"/>
      <c r="Q117" s="3"/>
      <c r="R117" s="3"/>
      <c r="S117" s="4"/>
    </row>
    <row r="118" spans="1:23" s="2" customFormat="1" ht="19.2" customHeight="1">
      <c r="A118" s="9">
        <v>10</v>
      </c>
      <c r="B118" s="5" t="s">
        <v>136</v>
      </c>
      <c r="C118" s="23">
        <f>L118/100*100</f>
        <v>30</v>
      </c>
      <c r="D118" s="24">
        <f>C118/100*247</f>
        <v>74.099999999999994</v>
      </c>
      <c r="E118" s="29"/>
      <c r="F118" s="29">
        <f>C118/100*17.5</f>
        <v>5.25</v>
      </c>
      <c r="G118" s="29"/>
      <c r="H118" s="29">
        <f>C118/100*1.6</f>
        <v>0.48</v>
      </c>
      <c r="I118" s="29">
        <f>C118/100*39.2</f>
        <v>11.76</v>
      </c>
      <c r="J118" s="71"/>
      <c r="K118" s="71"/>
      <c r="L118" s="370">
        <v>30</v>
      </c>
      <c r="M118" s="75">
        <v>50</v>
      </c>
      <c r="N118" s="28">
        <f t="shared" ref="N118" si="9">L118*M118</f>
        <v>1500</v>
      </c>
      <c r="O118" s="153"/>
      <c r="Q118" s="3"/>
      <c r="R118" s="3"/>
      <c r="S118" s="4"/>
      <c r="T118" s="3"/>
    </row>
    <row r="119" spans="1:23" s="2" customFormat="1" ht="19.2" customHeight="1">
      <c r="A119" s="9">
        <v>11</v>
      </c>
      <c r="B119" s="6" t="s">
        <v>123</v>
      </c>
      <c r="C119" s="23"/>
      <c r="D119" s="24"/>
      <c r="E119" s="25"/>
      <c r="F119" s="25"/>
      <c r="G119" s="25"/>
      <c r="H119" s="25"/>
      <c r="I119" s="25"/>
      <c r="J119" s="27"/>
      <c r="K119" s="27"/>
      <c r="L119" s="26"/>
      <c r="M119" s="26"/>
      <c r="N119" s="28">
        <v>2250</v>
      </c>
      <c r="O119" s="153"/>
    </row>
    <row r="120" spans="1:23" s="2" customFormat="1" ht="19.2" customHeight="1">
      <c r="A120" s="21" t="s">
        <v>119</v>
      </c>
      <c r="B120" s="22"/>
      <c r="C120" s="34"/>
      <c r="D120" s="35">
        <f>SUM(D109:D119)</f>
        <v>8389.1270000000004</v>
      </c>
      <c r="E120" s="43"/>
      <c r="F120" s="43"/>
      <c r="G120" s="43"/>
      <c r="H120" s="43"/>
      <c r="I120" s="43"/>
      <c r="J120" s="43"/>
      <c r="K120" s="43"/>
      <c r="L120" s="44"/>
      <c r="M120" s="307"/>
      <c r="N120" s="192">
        <f>SUM(N109:N119)</f>
        <v>279142</v>
      </c>
      <c r="O120" s="153"/>
    </row>
    <row r="121" spans="1:23" ht="19.2" customHeight="1">
      <c r="A121" s="21" t="s">
        <v>36</v>
      </c>
      <c r="B121" s="22"/>
      <c r="C121" s="61"/>
      <c r="D121" s="48">
        <f>D120/D89</f>
        <v>270.61700000000002</v>
      </c>
      <c r="E121" s="48"/>
      <c r="F121" s="48"/>
      <c r="G121" s="48"/>
      <c r="H121" s="48"/>
      <c r="I121" s="48"/>
      <c r="J121" s="48"/>
      <c r="K121" s="48"/>
      <c r="L121" s="62"/>
      <c r="M121" s="308"/>
      <c r="N121" s="234"/>
      <c r="O121" s="4"/>
      <c r="P121" s="2"/>
      <c r="Q121" s="2"/>
      <c r="R121" s="2"/>
      <c r="S121" s="2"/>
      <c r="T121" s="2"/>
      <c r="U121" s="2"/>
      <c r="V121" s="2"/>
    </row>
    <row r="122" spans="1:23" ht="19.2" customHeight="1">
      <c r="A122" s="291" t="s">
        <v>54</v>
      </c>
      <c r="B122" s="225"/>
      <c r="C122" s="372" t="s">
        <v>151</v>
      </c>
      <c r="D122" s="20" t="s">
        <v>46</v>
      </c>
      <c r="E122" s="46"/>
      <c r="F122" s="46"/>
      <c r="G122" s="46"/>
      <c r="H122" s="46"/>
      <c r="I122" s="46"/>
      <c r="J122" s="48"/>
      <c r="K122" s="48"/>
      <c r="L122" s="47"/>
      <c r="M122" s="47"/>
      <c r="N122" s="176"/>
      <c r="O122" s="4"/>
      <c r="P122" s="2"/>
      <c r="Q122" s="2"/>
      <c r="R122" s="2"/>
      <c r="S122" s="2"/>
      <c r="T122" s="2"/>
      <c r="U122" s="2"/>
      <c r="V122" s="2"/>
      <c r="W122" s="2"/>
    </row>
    <row r="123" spans="1:23" ht="19.2" customHeight="1">
      <c r="A123" s="226"/>
      <c r="B123" s="227"/>
      <c r="C123" s="76" t="s">
        <v>60</v>
      </c>
      <c r="D123" s="20">
        <f>D121*100/930</f>
        <v>29.098602150537634</v>
      </c>
      <c r="E123" s="46"/>
      <c r="F123" s="46"/>
      <c r="G123" s="46"/>
      <c r="H123" s="46"/>
      <c r="I123" s="46"/>
      <c r="J123" s="48"/>
      <c r="K123" s="48"/>
      <c r="L123" s="47"/>
      <c r="M123" s="47"/>
      <c r="N123" s="176"/>
      <c r="O123" s="4"/>
      <c r="P123" s="2"/>
      <c r="Q123" s="2"/>
      <c r="R123" s="2"/>
      <c r="S123" s="2"/>
      <c r="T123" s="2"/>
      <c r="U123" s="2"/>
      <c r="V123" s="2"/>
      <c r="W123" s="2"/>
    </row>
    <row r="124" spans="1:23" ht="19.2" customHeight="1">
      <c r="A124" s="235" t="s">
        <v>35</v>
      </c>
      <c r="B124" s="235"/>
      <c r="C124" s="63"/>
      <c r="D124" s="64"/>
      <c r="E124" s="64"/>
      <c r="F124" s="64"/>
      <c r="G124" s="64"/>
      <c r="H124" s="64"/>
      <c r="I124" s="64"/>
      <c r="J124" s="64"/>
      <c r="K124" s="64"/>
      <c r="L124" s="65"/>
      <c r="M124" s="65"/>
      <c r="N124" s="66"/>
      <c r="O124" s="4"/>
      <c r="P124" s="2"/>
      <c r="Q124" s="2"/>
      <c r="R124" s="2"/>
      <c r="S124" s="2"/>
      <c r="T124" s="2"/>
      <c r="U124" s="2"/>
      <c r="V124" s="2"/>
    </row>
    <row r="125" spans="1:23" s="2" customFormat="1" ht="19.2" customHeight="1">
      <c r="A125" s="109">
        <v>1</v>
      </c>
      <c r="B125" s="154" t="s">
        <v>149</v>
      </c>
      <c r="C125" s="34">
        <f>L125/100*100</f>
        <v>520</v>
      </c>
      <c r="D125" s="110">
        <f>C125/100*487</f>
        <v>2532.4</v>
      </c>
      <c r="E125" s="36"/>
      <c r="F125" s="129">
        <f>C125/100*19.5</f>
        <v>101.4</v>
      </c>
      <c r="G125" s="129"/>
      <c r="H125" s="129">
        <f>C125/100*23.2</f>
        <v>120.64</v>
      </c>
      <c r="I125" s="36">
        <f>C125/100*46</f>
        <v>239.20000000000002</v>
      </c>
      <c r="J125" s="129">
        <f>C125/100*680</f>
        <v>3536</v>
      </c>
      <c r="K125" s="36">
        <f>C125/100*0.55</f>
        <v>2.8600000000000003</v>
      </c>
      <c r="L125" s="37">
        <v>520</v>
      </c>
      <c r="M125" s="155">
        <v>260</v>
      </c>
      <c r="N125" s="111">
        <f t="shared" ref="N125" si="10">L125*M125</f>
        <v>135200</v>
      </c>
      <c r="O125" s="153"/>
      <c r="P125" s="3"/>
    </row>
    <row r="126" spans="1:23" ht="20.399999999999999" customHeight="1">
      <c r="A126" s="208" t="s">
        <v>0</v>
      </c>
      <c r="B126" s="211" t="s">
        <v>19</v>
      </c>
      <c r="C126" s="362" t="s">
        <v>8</v>
      </c>
      <c r="D126" s="214" t="s">
        <v>9</v>
      </c>
      <c r="E126" s="358" t="s">
        <v>11</v>
      </c>
      <c r="F126" s="359"/>
      <c r="G126" s="358" t="s">
        <v>13</v>
      </c>
      <c r="H126" s="359"/>
      <c r="I126" s="221" t="s">
        <v>16</v>
      </c>
      <c r="J126" s="221" t="s">
        <v>41</v>
      </c>
      <c r="K126" s="221" t="s">
        <v>42</v>
      </c>
      <c r="L126" s="221" t="s">
        <v>17</v>
      </c>
      <c r="M126" s="221" t="s">
        <v>57</v>
      </c>
      <c r="N126" s="208" t="s">
        <v>18</v>
      </c>
      <c r="O126" s="369"/>
    </row>
    <row r="127" spans="1:23" ht="20.399999999999999" customHeight="1">
      <c r="A127" s="209"/>
      <c r="B127" s="212"/>
      <c r="C127" s="363"/>
      <c r="D127" s="215"/>
      <c r="E127" s="360"/>
      <c r="F127" s="361"/>
      <c r="G127" s="360"/>
      <c r="H127" s="361"/>
      <c r="I127" s="222"/>
      <c r="J127" s="222"/>
      <c r="K127" s="222"/>
      <c r="L127" s="222"/>
      <c r="M127" s="222"/>
      <c r="N127" s="209"/>
      <c r="O127" s="175"/>
    </row>
    <row r="128" spans="1:23" ht="20.399999999999999" customHeight="1">
      <c r="A128" s="209"/>
      <c r="B128" s="212"/>
      <c r="C128" s="363"/>
      <c r="D128" s="215"/>
      <c r="E128" s="221" t="s">
        <v>10</v>
      </c>
      <c r="F128" s="221" t="s">
        <v>12</v>
      </c>
      <c r="G128" s="221" t="s">
        <v>94</v>
      </c>
      <c r="H128" s="221" t="s">
        <v>15</v>
      </c>
      <c r="I128" s="222"/>
      <c r="J128" s="222"/>
      <c r="K128" s="222"/>
      <c r="L128" s="222"/>
      <c r="M128" s="222"/>
      <c r="N128" s="209"/>
      <c r="O128" s="175"/>
    </row>
    <row r="129" spans="1:23" ht="20.399999999999999" customHeight="1">
      <c r="A129" s="210"/>
      <c r="B129" s="213"/>
      <c r="C129" s="364"/>
      <c r="D129" s="216"/>
      <c r="E129" s="223"/>
      <c r="F129" s="223"/>
      <c r="G129" s="223"/>
      <c r="H129" s="223"/>
      <c r="I129" s="223"/>
      <c r="J129" s="223"/>
      <c r="K129" s="223"/>
      <c r="L129" s="223"/>
      <c r="M129" s="223"/>
      <c r="N129" s="210"/>
      <c r="O129" s="175"/>
    </row>
    <row r="130" spans="1:23" s="2" customFormat="1" ht="21" customHeight="1">
      <c r="A130" s="21" t="s">
        <v>110</v>
      </c>
      <c r="B130" s="22"/>
      <c r="C130" s="34"/>
      <c r="D130" s="35">
        <f>SUM(D124:D125)</f>
        <v>2532.4</v>
      </c>
      <c r="E130" s="43"/>
      <c r="F130" s="43"/>
      <c r="G130" s="43"/>
      <c r="H130" s="43"/>
      <c r="I130" s="43"/>
      <c r="J130" s="82"/>
      <c r="K130" s="43"/>
      <c r="L130" s="44"/>
      <c r="M130" s="307"/>
      <c r="N130" s="192">
        <f>SUM(N124:N125)</f>
        <v>135200</v>
      </c>
      <c r="O130" s="153"/>
    </row>
    <row r="131" spans="1:23" ht="21" customHeight="1">
      <c r="A131" s="21" t="s">
        <v>7</v>
      </c>
      <c r="B131" s="22"/>
      <c r="C131" s="45"/>
      <c r="D131" s="46">
        <f>D130/D89</f>
        <v>81.690322580645159</v>
      </c>
      <c r="E131" s="46"/>
      <c r="F131" s="46"/>
      <c r="G131" s="46"/>
      <c r="H131" s="46"/>
      <c r="I131" s="46"/>
      <c r="J131" s="83"/>
      <c r="K131" s="46"/>
      <c r="L131" s="47"/>
      <c r="M131" s="308"/>
      <c r="N131" s="193"/>
      <c r="O131" s="4"/>
      <c r="P131" s="2"/>
      <c r="Q131" s="2"/>
      <c r="R131" s="2"/>
      <c r="S131" s="2"/>
      <c r="T131" s="2"/>
      <c r="U131" s="2"/>
      <c r="V131" s="2"/>
    </row>
    <row r="132" spans="1:23" ht="21" customHeight="1">
      <c r="A132" s="291" t="s">
        <v>52</v>
      </c>
      <c r="B132" s="225"/>
      <c r="C132" s="372" t="s">
        <v>151</v>
      </c>
      <c r="D132" s="20" t="s">
        <v>50</v>
      </c>
      <c r="E132" s="46"/>
      <c r="F132" s="46"/>
      <c r="G132" s="46"/>
      <c r="H132" s="46"/>
      <c r="I132" s="46"/>
      <c r="J132" s="48"/>
      <c r="K132" s="48"/>
      <c r="L132" s="47"/>
      <c r="M132" s="47"/>
      <c r="N132" s="176"/>
      <c r="O132" s="4"/>
      <c r="P132" s="2"/>
      <c r="Q132" s="2"/>
      <c r="R132" s="2"/>
      <c r="S132" s="2"/>
      <c r="T132" s="2"/>
      <c r="U132" s="2"/>
      <c r="V132" s="2"/>
      <c r="W132" s="2"/>
    </row>
    <row r="133" spans="1:23" ht="21" customHeight="1">
      <c r="A133" s="226"/>
      <c r="B133" s="227"/>
      <c r="C133" s="76" t="s">
        <v>60</v>
      </c>
      <c r="D133" s="20">
        <f>D131*100/930</f>
        <v>8.7839056538328126</v>
      </c>
      <c r="E133" s="46"/>
      <c r="F133" s="46"/>
      <c r="G133" s="46"/>
      <c r="H133" s="46"/>
      <c r="I133" s="46"/>
      <c r="J133" s="48"/>
      <c r="K133" s="48"/>
      <c r="L133" s="47"/>
      <c r="M133" s="47"/>
      <c r="N133" s="176"/>
      <c r="O133" s="4"/>
      <c r="P133" s="2"/>
      <c r="Q133" s="2"/>
      <c r="R133" s="2"/>
      <c r="S133" s="2"/>
      <c r="T133" s="2"/>
      <c r="U133" s="2"/>
      <c r="V133" s="2"/>
      <c r="W133" s="2"/>
    </row>
    <row r="134" spans="1:23" ht="21" customHeight="1">
      <c r="A134" s="283" t="s">
        <v>107</v>
      </c>
      <c r="B134" s="284"/>
      <c r="C134" s="287"/>
      <c r="D134" s="301">
        <f>D104+D120+D130</f>
        <v>20093.858</v>
      </c>
      <c r="E134" s="50">
        <f t="shared" ref="E134:K134" si="11">SUM(E95:E125)</f>
        <v>472.6737</v>
      </c>
      <c r="F134" s="50">
        <f t="shared" si="11"/>
        <v>349.25249999999994</v>
      </c>
      <c r="G134" s="50">
        <f t="shared" si="11"/>
        <v>567.81610000000001</v>
      </c>
      <c r="H134" s="50">
        <f t="shared" si="11"/>
        <v>234.15899999999999</v>
      </c>
      <c r="I134" s="251">
        <f t="shared" si="11"/>
        <v>2310.6867999999999</v>
      </c>
      <c r="J134" s="281">
        <f t="shared" si="11"/>
        <v>6168.393</v>
      </c>
      <c r="K134" s="281">
        <f t="shared" si="11"/>
        <v>10.630660000000001</v>
      </c>
      <c r="L134" s="97"/>
      <c r="M134" s="97"/>
      <c r="N134" s="365">
        <f>N104+N120+N130</f>
        <v>682706</v>
      </c>
      <c r="U134" s="12"/>
      <c r="V134" s="12"/>
    </row>
    <row r="135" spans="1:23" ht="21" customHeight="1">
      <c r="A135" s="285"/>
      <c r="B135" s="286"/>
      <c r="C135" s="288"/>
      <c r="D135" s="302"/>
      <c r="E135" s="326">
        <f>E134+F134</f>
        <v>821.92619999999988</v>
      </c>
      <c r="F135" s="327"/>
      <c r="G135" s="326">
        <f>G134+H134</f>
        <v>801.9751</v>
      </c>
      <c r="H135" s="327"/>
      <c r="I135" s="253"/>
      <c r="J135" s="282"/>
      <c r="K135" s="282"/>
      <c r="L135" s="99"/>
      <c r="M135" s="99"/>
      <c r="N135" s="366"/>
      <c r="U135" s="12"/>
      <c r="V135" s="12"/>
    </row>
    <row r="136" spans="1:23" ht="21" customHeight="1">
      <c r="A136" s="266" t="s">
        <v>77</v>
      </c>
      <c r="B136" s="267"/>
      <c r="C136" s="268"/>
      <c r="D136" s="133">
        <f>D134/D89</f>
        <v>648.18896774193547</v>
      </c>
      <c r="E136" s="374">
        <f>E134/D89</f>
        <v>15.24753870967742</v>
      </c>
      <c r="F136" s="375">
        <f>F134/D89</f>
        <v>11.266209677419353</v>
      </c>
      <c r="G136" s="374">
        <f>G134/D89</f>
        <v>18.316648387096773</v>
      </c>
      <c r="H136" s="375">
        <f>H134/D89</f>
        <v>7.5535161290322579</v>
      </c>
      <c r="I136" s="261">
        <f>I134/D89</f>
        <v>74.538283870967746</v>
      </c>
      <c r="J136" s="328">
        <f>J134/D89</f>
        <v>198.98041935483872</v>
      </c>
      <c r="K136" s="328">
        <f>K134/D89</f>
        <v>0.3429245161290323</v>
      </c>
      <c r="L136" s="97"/>
      <c r="M136" s="97"/>
      <c r="N136" s="100"/>
      <c r="P136" s="387"/>
      <c r="Q136" s="388"/>
      <c r="R136" s="388"/>
      <c r="S136" s="388"/>
      <c r="T136" s="388"/>
      <c r="U136" s="389"/>
      <c r="V136" s="389"/>
    </row>
    <row r="137" spans="1:23" ht="21" customHeight="1">
      <c r="A137" s="269"/>
      <c r="B137" s="270"/>
      <c r="C137" s="271"/>
      <c r="D137" s="127"/>
      <c r="E137" s="384">
        <f>E136+F136</f>
        <v>26.513748387096772</v>
      </c>
      <c r="F137" s="385"/>
      <c r="G137" s="384">
        <f>G136+H136</f>
        <v>25.87016451612903</v>
      </c>
      <c r="H137" s="385"/>
      <c r="I137" s="262"/>
      <c r="J137" s="328"/>
      <c r="K137" s="328"/>
      <c r="L137" s="98"/>
      <c r="M137" s="98"/>
      <c r="N137" s="101"/>
      <c r="P137" s="390"/>
      <c r="Q137" s="388"/>
      <c r="R137" s="388"/>
      <c r="S137" s="391"/>
      <c r="T137" s="391"/>
      <c r="U137" s="388"/>
      <c r="V137" s="388"/>
    </row>
    <row r="138" spans="1:23" ht="21" customHeight="1">
      <c r="A138" s="304" t="s">
        <v>80</v>
      </c>
      <c r="B138" s="305"/>
      <c r="C138" s="306"/>
      <c r="D138" s="178" t="s">
        <v>29</v>
      </c>
      <c r="E138" s="182" t="s">
        <v>24</v>
      </c>
      <c r="F138" s="182"/>
      <c r="G138" s="182" t="s">
        <v>25</v>
      </c>
      <c r="H138" s="182"/>
      <c r="I138" s="386" t="s">
        <v>26</v>
      </c>
      <c r="J138" s="173">
        <v>500</v>
      </c>
      <c r="K138" s="173">
        <v>0.5</v>
      </c>
      <c r="L138" s="98"/>
      <c r="M138" s="98"/>
      <c r="N138" s="101"/>
      <c r="O138" s="379"/>
      <c r="P138" s="387"/>
      <c r="Q138" s="387"/>
      <c r="R138" s="387"/>
      <c r="S138" s="387"/>
      <c r="T138" s="387"/>
      <c r="U138" s="387"/>
      <c r="V138" s="387"/>
    </row>
    <row r="139" spans="1:23" ht="21" customHeight="1">
      <c r="A139" s="242" t="s">
        <v>78</v>
      </c>
      <c r="B139" s="272"/>
      <c r="C139" s="243"/>
      <c r="D139" s="49"/>
      <c r="E139" s="273">
        <f>E137*4.1</f>
        <v>108.70636838709676</v>
      </c>
      <c r="F139" s="274"/>
      <c r="G139" s="273">
        <f>G137*9</f>
        <v>232.83148064516126</v>
      </c>
      <c r="H139" s="274"/>
      <c r="I139" s="85">
        <f>I136*4.1</f>
        <v>305.60696387096772</v>
      </c>
      <c r="J139" s="254"/>
      <c r="K139" s="254"/>
      <c r="L139" s="98"/>
      <c r="M139" s="98"/>
      <c r="N139" s="101"/>
      <c r="O139" s="379"/>
      <c r="P139" s="392"/>
      <c r="Q139" s="393"/>
      <c r="R139" s="393"/>
      <c r="S139" s="393"/>
      <c r="T139" s="387"/>
      <c r="U139" s="387"/>
      <c r="V139" s="387"/>
    </row>
    <row r="140" spans="1:23" ht="21" customHeight="1">
      <c r="A140" s="275" t="s">
        <v>87</v>
      </c>
      <c r="B140" s="276"/>
      <c r="C140" s="242" t="s">
        <v>59</v>
      </c>
      <c r="D140" s="243"/>
      <c r="E140" s="188">
        <f>E139*100/D136</f>
        <v>16.77078349015903</v>
      </c>
      <c r="F140" s="189"/>
      <c r="G140" s="188">
        <f>G139*100/D136</f>
        <v>35.920309081511377</v>
      </c>
      <c r="H140" s="189"/>
      <c r="I140" s="115">
        <f>I139*100/D136</f>
        <v>47.147819398345497</v>
      </c>
      <c r="J140" s="255"/>
      <c r="K140" s="255"/>
      <c r="L140" s="98"/>
      <c r="M140" s="98"/>
      <c r="N140" s="101"/>
      <c r="O140" s="379"/>
      <c r="P140" s="387"/>
      <c r="Q140" s="387"/>
      <c r="R140" s="387"/>
      <c r="S140" s="387"/>
      <c r="T140" s="387"/>
      <c r="U140" s="387"/>
      <c r="V140" s="387"/>
    </row>
    <row r="141" spans="1:23" ht="21" customHeight="1">
      <c r="A141" s="277"/>
      <c r="B141" s="278"/>
      <c r="C141" s="242" t="s">
        <v>79</v>
      </c>
      <c r="D141" s="243"/>
      <c r="E141" s="242" t="s">
        <v>82</v>
      </c>
      <c r="F141" s="243"/>
      <c r="G141" s="242" t="s">
        <v>85</v>
      </c>
      <c r="H141" s="243"/>
      <c r="I141" s="178" t="s">
        <v>86</v>
      </c>
      <c r="J141" s="256"/>
      <c r="K141" s="256"/>
      <c r="L141" s="99"/>
      <c r="M141" s="99"/>
      <c r="N141" s="102"/>
      <c r="O141" s="379"/>
      <c r="P141" s="132"/>
    </row>
    <row r="142" spans="1:23" ht="21" customHeight="1">
      <c r="A142" s="90"/>
      <c r="B142" s="90"/>
      <c r="C142" s="90"/>
      <c r="D142" s="90"/>
      <c r="E142" s="90"/>
      <c r="F142" s="90"/>
      <c r="G142" s="90"/>
      <c r="H142" s="90"/>
      <c r="I142" s="90"/>
      <c r="J142" s="90"/>
      <c r="K142" s="90"/>
      <c r="L142" s="94"/>
      <c r="M142" s="94"/>
      <c r="N142" s="95"/>
      <c r="O142" s="379"/>
    </row>
    <row r="143" spans="1:23" ht="21" customHeight="1">
      <c r="A143" s="183" t="s">
        <v>114</v>
      </c>
      <c r="B143" s="183"/>
      <c r="C143" s="183"/>
      <c r="D143" s="183"/>
      <c r="E143" s="183"/>
      <c r="F143" s="183"/>
      <c r="G143" s="183"/>
      <c r="H143" s="183"/>
      <c r="I143" s="183"/>
      <c r="J143" s="183"/>
      <c r="K143" s="183"/>
      <c r="L143" s="183"/>
      <c r="M143" s="183"/>
      <c r="N143" s="183"/>
      <c r="O143" s="379"/>
    </row>
    <row r="144" spans="1:23" ht="21" customHeight="1">
      <c r="A144" s="117" t="s">
        <v>115</v>
      </c>
      <c r="B144" s="184" t="s">
        <v>116</v>
      </c>
      <c r="C144" s="184"/>
      <c r="D144" s="184"/>
      <c r="E144" s="184"/>
      <c r="F144" s="184"/>
      <c r="G144" s="184"/>
      <c r="H144" s="184"/>
      <c r="I144" s="184"/>
      <c r="J144" s="184"/>
      <c r="K144" s="184"/>
      <c r="L144" s="184"/>
      <c r="M144" s="184"/>
      <c r="N144" s="184"/>
      <c r="O144" s="379"/>
    </row>
    <row r="145" spans="1:15" ht="21" customHeight="1">
      <c r="A145" s="118"/>
      <c r="B145" s="185" t="s">
        <v>223</v>
      </c>
      <c r="C145" s="185"/>
      <c r="D145" s="185"/>
      <c r="E145" s="185"/>
      <c r="F145" s="185"/>
      <c r="G145" s="185"/>
      <c r="H145" s="185"/>
      <c r="I145" s="185"/>
      <c r="J145" s="185"/>
      <c r="K145" s="185"/>
      <c r="L145" s="185"/>
      <c r="M145" s="185"/>
      <c r="N145" s="185"/>
      <c r="O145" s="379"/>
    </row>
    <row r="146" spans="1:15" ht="21" customHeight="1">
      <c r="A146" s="118"/>
      <c r="B146" s="185" t="s">
        <v>224</v>
      </c>
      <c r="C146" s="185"/>
      <c r="D146" s="185"/>
      <c r="E146" s="185"/>
      <c r="F146" s="185"/>
      <c r="G146" s="185"/>
      <c r="H146" s="185"/>
      <c r="I146" s="185"/>
      <c r="J146" s="185"/>
      <c r="K146" s="185"/>
      <c r="L146" s="185"/>
      <c r="M146" s="185"/>
      <c r="N146" s="185"/>
      <c r="O146" s="379"/>
    </row>
    <row r="147" spans="1:15" ht="21" customHeight="1">
      <c r="A147" s="118"/>
      <c r="B147" s="185" t="s">
        <v>225</v>
      </c>
      <c r="C147" s="185"/>
      <c r="D147" s="185"/>
      <c r="E147" s="185"/>
      <c r="F147" s="185"/>
      <c r="G147" s="185"/>
      <c r="H147" s="185"/>
      <c r="I147" s="185"/>
      <c r="J147" s="185"/>
      <c r="K147" s="185"/>
      <c r="L147" s="185"/>
      <c r="M147" s="185"/>
      <c r="N147" s="185"/>
      <c r="O147" s="379"/>
    </row>
    <row r="148" spans="1:15" ht="21" customHeight="1">
      <c r="A148" s="90"/>
      <c r="B148" s="186" t="s">
        <v>129</v>
      </c>
      <c r="C148" s="186"/>
      <c r="D148" s="186"/>
      <c r="E148" s="186"/>
      <c r="F148" s="186"/>
      <c r="G148" s="186"/>
      <c r="H148" s="186"/>
      <c r="I148" s="186"/>
      <c r="J148" s="186"/>
      <c r="K148" s="186"/>
      <c r="L148" s="186"/>
      <c r="M148" s="186"/>
      <c r="N148" s="186"/>
      <c r="O148" s="379"/>
    </row>
    <row r="149" spans="1:15" ht="21" customHeight="1">
      <c r="A149" s="90"/>
      <c r="B149" s="90"/>
      <c r="C149" s="90"/>
      <c r="D149" s="90"/>
      <c r="E149" s="90"/>
      <c r="F149" s="90"/>
      <c r="G149" s="90"/>
      <c r="H149" s="90"/>
      <c r="I149" s="90"/>
      <c r="J149" s="90"/>
      <c r="K149" s="90"/>
      <c r="L149" s="94"/>
      <c r="M149" s="94"/>
      <c r="N149" s="95"/>
      <c r="O149" s="379"/>
    </row>
    <row r="150" spans="1:15" ht="21" customHeight="1">
      <c r="A150" s="187" t="s">
        <v>62</v>
      </c>
      <c r="B150" s="187"/>
      <c r="C150" s="187"/>
      <c r="D150" s="187"/>
      <c r="E150" s="380"/>
      <c r="F150" s="380"/>
      <c r="G150" s="380"/>
      <c r="H150" s="380"/>
      <c r="I150" s="380"/>
      <c r="J150" s="381" t="s">
        <v>33</v>
      </c>
      <c r="K150" s="381"/>
      <c r="L150" s="381"/>
      <c r="M150" s="381"/>
      <c r="N150" s="381"/>
      <c r="O150" s="379"/>
    </row>
    <row r="151" spans="1:15" ht="21" customHeight="1">
      <c r="A151" s="175"/>
      <c r="B151" s="175"/>
      <c r="C151" s="175"/>
      <c r="D151" s="380"/>
      <c r="E151" s="380"/>
      <c r="F151" s="380"/>
      <c r="G151" s="380"/>
      <c r="H151" s="382"/>
      <c r="I151" s="382"/>
      <c r="J151" s="382"/>
      <c r="K151" s="382"/>
      <c r="L151" s="382"/>
      <c r="M151" s="382"/>
      <c r="N151" s="382"/>
      <c r="O151" s="379"/>
    </row>
    <row r="152" spans="1:15" ht="21" customHeight="1">
      <c r="A152" s="175"/>
      <c r="B152" s="175"/>
      <c r="C152" s="175"/>
      <c r="D152" s="380"/>
      <c r="E152" s="380"/>
      <c r="F152" s="380"/>
      <c r="G152" s="380"/>
      <c r="H152" s="382"/>
      <c r="I152" s="382"/>
      <c r="J152" s="382"/>
      <c r="K152" s="382"/>
      <c r="L152" s="382"/>
      <c r="M152" s="382"/>
      <c r="N152" s="382"/>
      <c r="O152" s="379"/>
    </row>
    <row r="153" spans="1:15" ht="21" customHeight="1">
      <c r="A153" s="175"/>
      <c r="B153" s="175"/>
      <c r="C153" s="175"/>
      <c r="D153" s="380"/>
      <c r="E153" s="380"/>
      <c r="F153" s="380"/>
      <c r="G153" s="380"/>
      <c r="H153" s="382"/>
      <c r="I153" s="382"/>
      <c r="J153" s="383" t="s">
        <v>124</v>
      </c>
      <c r="K153" s="383"/>
      <c r="L153" s="383"/>
      <c r="M153" s="383"/>
      <c r="N153" s="383"/>
      <c r="O153" s="379"/>
    </row>
    <row r="154" spans="1:15" ht="21" customHeight="1">
      <c r="A154" s="179" t="s">
        <v>91</v>
      </c>
      <c r="B154" s="179"/>
      <c r="C154" s="179"/>
      <c r="D154" s="179"/>
      <c r="E154" s="380"/>
      <c r="F154" s="380"/>
      <c r="G154" s="380"/>
      <c r="H154" s="382"/>
      <c r="I154" s="382"/>
      <c r="O154" s="379"/>
    </row>
    <row r="156" spans="1:15" ht="21" customHeight="1">
      <c r="J156" s="383" t="s">
        <v>127</v>
      </c>
      <c r="K156" s="383"/>
      <c r="L156" s="383"/>
      <c r="M156" s="383"/>
      <c r="N156" s="383"/>
    </row>
  </sheetData>
  <mergeCells count="201">
    <mergeCell ref="J153:N153"/>
    <mergeCell ref="B145:N145"/>
    <mergeCell ref="B146:N146"/>
    <mergeCell ref="G128:G129"/>
    <mergeCell ref="H128:H129"/>
    <mergeCell ref="G126:H127"/>
    <mergeCell ref="I126:I129"/>
    <mergeCell ref="J126:J129"/>
    <mergeCell ref="G141:H141"/>
    <mergeCell ref="N126:N129"/>
    <mergeCell ref="A139:C139"/>
    <mergeCell ref="E139:F139"/>
    <mergeCell ref="G139:H139"/>
    <mergeCell ref="J139:J141"/>
    <mergeCell ref="K139:K141"/>
    <mergeCell ref="A140:B141"/>
    <mergeCell ref="A136:C137"/>
    <mergeCell ref="A138:C138"/>
    <mergeCell ref="I136:I137"/>
    <mergeCell ref="A126:A129"/>
    <mergeCell ref="B126:B129"/>
    <mergeCell ref="C126:C129"/>
    <mergeCell ref="D126:D129"/>
    <mergeCell ref="E126:F127"/>
    <mergeCell ref="A108:B108"/>
    <mergeCell ref="M120:M121"/>
    <mergeCell ref="N120:N121"/>
    <mergeCell ref="A150:D150"/>
    <mergeCell ref="J150:N150"/>
    <mergeCell ref="A132:B133"/>
    <mergeCell ref="A122:B123"/>
    <mergeCell ref="M130:M131"/>
    <mergeCell ref="K126:K129"/>
    <mergeCell ref="A124:B124"/>
    <mergeCell ref="E128:E129"/>
    <mergeCell ref="F128:F129"/>
    <mergeCell ref="L126:L129"/>
    <mergeCell ref="M126:M129"/>
    <mergeCell ref="E137:F137"/>
    <mergeCell ref="G137:H137"/>
    <mergeCell ref="E138:F138"/>
    <mergeCell ref="G138:H138"/>
    <mergeCell ref="E135:F135"/>
    <mergeCell ref="G135:H135"/>
    <mergeCell ref="K50:K51"/>
    <mergeCell ref="J52:J53"/>
    <mergeCell ref="K52:K53"/>
    <mergeCell ref="A52:C53"/>
    <mergeCell ref="A54:C54"/>
    <mergeCell ref="E53:F53"/>
    <mergeCell ref="A154:D154"/>
    <mergeCell ref="J156:N156"/>
    <mergeCell ref="C140:D140"/>
    <mergeCell ref="N134:N135"/>
    <mergeCell ref="B147:N147"/>
    <mergeCell ref="B148:N148"/>
    <mergeCell ref="E141:F141"/>
    <mergeCell ref="A134:B135"/>
    <mergeCell ref="C134:C135"/>
    <mergeCell ref="D134:D135"/>
    <mergeCell ref="I134:I135"/>
    <mergeCell ref="A143:N143"/>
    <mergeCell ref="B144:N144"/>
    <mergeCell ref="E140:F140"/>
    <mergeCell ref="G140:H140"/>
    <mergeCell ref="C141:D141"/>
    <mergeCell ref="N130:N131"/>
    <mergeCell ref="A106:B107"/>
    <mergeCell ref="E4:I7"/>
    <mergeCell ref="J4:N7"/>
    <mergeCell ref="A5:D5"/>
    <mergeCell ref="F1:N1"/>
    <mergeCell ref="D50:D51"/>
    <mergeCell ref="M46:M47"/>
    <mergeCell ref="M25:M26"/>
    <mergeCell ref="A13:N13"/>
    <mergeCell ref="A42:A45"/>
    <mergeCell ref="B42:B45"/>
    <mergeCell ref="C42:C45"/>
    <mergeCell ref="N46:N47"/>
    <mergeCell ref="A48:B49"/>
    <mergeCell ref="N25:N26"/>
    <mergeCell ref="D42:D45"/>
    <mergeCell ref="E42:F43"/>
    <mergeCell ref="G42:H43"/>
    <mergeCell ref="K42:K45"/>
    <mergeCell ref="A9:A12"/>
    <mergeCell ref="B9:B12"/>
    <mergeCell ref="C9:C12"/>
    <mergeCell ref="D9:D12"/>
    <mergeCell ref="E9:F10"/>
    <mergeCell ref="J50:J51"/>
    <mergeCell ref="G9:H10"/>
    <mergeCell ref="I9:I12"/>
    <mergeCell ref="L9:L12"/>
    <mergeCell ref="N9:N12"/>
    <mergeCell ref="E11:E12"/>
    <mergeCell ref="F11:F12"/>
    <mergeCell ref="G11:G12"/>
    <mergeCell ref="H11:H12"/>
    <mergeCell ref="M9:M12"/>
    <mergeCell ref="A3:D3"/>
    <mergeCell ref="E3:N3"/>
    <mergeCell ref="G44:G45"/>
    <mergeCell ref="A8:C8"/>
    <mergeCell ref="J9:J12"/>
    <mergeCell ref="K9:K12"/>
    <mergeCell ref="A4:D4"/>
    <mergeCell ref="A84:D85"/>
    <mergeCell ref="E85:I85"/>
    <mergeCell ref="J85:N85"/>
    <mergeCell ref="J66:N66"/>
    <mergeCell ref="A50:B51"/>
    <mergeCell ref="A6:D6"/>
    <mergeCell ref="A7:D7"/>
    <mergeCell ref="A55:C55"/>
    <mergeCell ref="E55:F55"/>
    <mergeCell ref="F82:N82"/>
    <mergeCell ref="A56:B57"/>
    <mergeCell ref="A66:D66"/>
    <mergeCell ref="H44:H45"/>
    <mergeCell ref="I50:I51"/>
    <mergeCell ref="E51:F51"/>
    <mergeCell ref="I52:I53"/>
    <mergeCell ref="L42:L45"/>
    <mergeCell ref="A27:B28"/>
    <mergeCell ref="A29:B29"/>
    <mergeCell ref="G54:H54"/>
    <mergeCell ref="A59:N59"/>
    <mergeCell ref="U52:V52"/>
    <mergeCell ref="U53:V53"/>
    <mergeCell ref="L50:L57"/>
    <mergeCell ref="M50:M57"/>
    <mergeCell ref="N50:N57"/>
    <mergeCell ref="J55:J57"/>
    <mergeCell ref="G51:H51"/>
    <mergeCell ref="N42:N45"/>
    <mergeCell ref="K55:K57"/>
    <mergeCell ref="C56:D56"/>
    <mergeCell ref="E56:F56"/>
    <mergeCell ref="E54:F54"/>
    <mergeCell ref="I42:I45"/>
    <mergeCell ref="J42:J45"/>
    <mergeCell ref="E44:E45"/>
    <mergeCell ref="F44:F45"/>
    <mergeCell ref="M42:M45"/>
    <mergeCell ref="C50:C51"/>
    <mergeCell ref="G53:H53"/>
    <mergeCell ref="G56:H56"/>
    <mergeCell ref="Q52:R52"/>
    <mergeCell ref="S52:T52"/>
    <mergeCell ref="Q53:R53"/>
    <mergeCell ref="S53:T53"/>
    <mergeCell ref="E92:E93"/>
    <mergeCell ref="A90:A93"/>
    <mergeCell ref="B90:B93"/>
    <mergeCell ref="C90:C93"/>
    <mergeCell ref="D90:D93"/>
    <mergeCell ref="J69:N69"/>
    <mergeCell ref="E86:I88"/>
    <mergeCell ref="J86:N88"/>
    <mergeCell ref="A87:D87"/>
    <mergeCell ref="A88:D88"/>
    <mergeCell ref="A70:D70"/>
    <mergeCell ref="J72:N72"/>
    <mergeCell ref="A86:D86"/>
    <mergeCell ref="L90:L93"/>
    <mergeCell ref="B60:N60"/>
    <mergeCell ref="B61:N61"/>
    <mergeCell ref="B62:N62"/>
    <mergeCell ref="B63:N63"/>
    <mergeCell ref="B64:N64"/>
    <mergeCell ref="A89:C89"/>
    <mergeCell ref="M104:M105"/>
    <mergeCell ref="N104:N105"/>
    <mergeCell ref="G55:H55"/>
    <mergeCell ref="F92:F93"/>
    <mergeCell ref="G92:G93"/>
    <mergeCell ref="J90:J93"/>
    <mergeCell ref="K90:K93"/>
    <mergeCell ref="M90:M93"/>
    <mergeCell ref="G90:H91"/>
    <mergeCell ref="I90:I93"/>
    <mergeCell ref="H92:H93"/>
    <mergeCell ref="N90:N93"/>
    <mergeCell ref="E90:F91"/>
    <mergeCell ref="E84:N84"/>
    <mergeCell ref="A94:N94"/>
    <mergeCell ref="C57:D57"/>
    <mergeCell ref="E57:F57"/>
    <mergeCell ref="G57:H57"/>
    <mergeCell ref="U136:V136"/>
    <mergeCell ref="J136:J137"/>
    <mergeCell ref="K136:K137"/>
    <mergeCell ref="J134:J135"/>
    <mergeCell ref="K134:K135"/>
    <mergeCell ref="U137:V137"/>
    <mergeCell ref="Q136:R136"/>
    <mergeCell ref="S136:T136"/>
    <mergeCell ref="Q137:R137"/>
    <mergeCell ref="S137:T137"/>
  </mergeCells>
  <pageMargins left="0.5" right="7.4999999999999997E-2" top="0.4375" bottom="0.36458333333333331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T2-T3</vt:lpstr>
      <vt:lpstr>T3-T3</vt:lpstr>
      <vt:lpstr>T4-T3</vt:lpstr>
      <vt:lpstr>T5-T3</vt:lpstr>
      <vt:lpstr>T6-T3</vt:lpstr>
      <vt:lpstr>T7-T3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HTC</dc:creator>
  <cp:lastModifiedBy>IEC</cp:lastModifiedBy>
  <cp:lastPrinted>2026-03-06T03:42:41Z</cp:lastPrinted>
  <dcterms:created xsi:type="dcterms:W3CDTF">2015-10-28T22:11:29Z</dcterms:created>
  <dcterms:modified xsi:type="dcterms:W3CDTF">2026-03-07T13:19:38Z</dcterms:modified>
</cp:coreProperties>
</file>