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5192" windowHeight="8700"/>
  </bookViews>
  <sheets>
    <sheet name="T2-T2" sheetId="20" r:id="rId1"/>
    <sheet name="T3-T2" sheetId="15" r:id="rId2"/>
    <sheet name="T4-T2" sheetId="16" r:id="rId3"/>
    <sheet name="T5-T2" sheetId="17" r:id="rId4"/>
  </sheets>
  <calcPr calcId="124519"/>
</workbook>
</file>

<file path=xl/calcChain.xml><?xml version="1.0" encoding="utf-8"?>
<calcChain xmlns="http://schemas.openxmlformats.org/spreadsheetml/2006/main">
  <c r="N127" i="17"/>
  <c r="N132" s="1"/>
  <c r="K127"/>
  <c r="J127"/>
  <c r="H127"/>
  <c r="F127"/>
  <c r="C127"/>
  <c r="D127" s="1"/>
  <c r="D132" s="1"/>
  <c r="D133" s="1"/>
  <c r="D135" s="1"/>
  <c r="N120"/>
  <c r="C120"/>
  <c r="H120" s="1"/>
  <c r="N119"/>
  <c r="E119"/>
  <c r="D119"/>
  <c r="C119"/>
  <c r="G119" s="1"/>
  <c r="N118"/>
  <c r="K118"/>
  <c r="J118"/>
  <c r="I118"/>
  <c r="F118"/>
  <c r="D118"/>
  <c r="C118"/>
  <c r="H118" s="1"/>
  <c r="N117"/>
  <c r="K117"/>
  <c r="J117"/>
  <c r="I117"/>
  <c r="E117"/>
  <c r="D117"/>
  <c r="C117"/>
  <c r="G117" s="1"/>
  <c r="N116"/>
  <c r="J116"/>
  <c r="D116"/>
  <c r="C116"/>
  <c r="E116" s="1"/>
  <c r="N115"/>
  <c r="I115"/>
  <c r="D115"/>
  <c r="C115"/>
  <c r="F115" s="1"/>
  <c r="N114"/>
  <c r="C114"/>
  <c r="D114" s="1"/>
  <c r="N113"/>
  <c r="N122" s="1"/>
  <c r="D113"/>
  <c r="C113"/>
  <c r="G113" s="1"/>
  <c r="N112"/>
  <c r="K112"/>
  <c r="J112"/>
  <c r="E112"/>
  <c r="D112"/>
  <c r="C112"/>
  <c r="N105"/>
  <c r="K105"/>
  <c r="J105"/>
  <c r="H105"/>
  <c r="F105"/>
  <c r="C105"/>
  <c r="D105" s="1"/>
  <c r="N104"/>
  <c r="K104"/>
  <c r="J104"/>
  <c r="H104"/>
  <c r="F104"/>
  <c r="C104"/>
  <c r="D104" s="1"/>
  <c r="N103"/>
  <c r="K103"/>
  <c r="J103"/>
  <c r="H103"/>
  <c r="F103"/>
  <c r="C103"/>
  <c r="D103" s="1"/>
  <c r="N102"/>
  <c r="I102"/>
  <c r="H102"/>
  <c r="D102"/>
  <c r="C102"/>
  <c r="F102" s="1"/>
  <c r="N101"/>
  <c r="G101"/>
  <c r="C101"/>
  <c r="D101" s="1"/>
  <c r="N100"/>
  <c r="K100"/>
  <c r="J100"/>
  <c r="G100"/>
  <c r="E100"/>
  <c r="D100"/>
  <c r="C100"/>
  <c r="N99"/>
  <c r="D99"/>
  <c r="C99"/>
  <c r="J99" s="1"/>
  <c r="N98"/>
  <c r="K98"/>
  <c r="J98"/>
  <c r="C98"/>
  <c r="I98" s="1"/>
  <c r="N97"/>
  <c r="K97"/>
  <c r="I97"/>
  <c r="H97"/>
  <c r="C97"/>
  <c r="F97" s="1"/>
  <c r="N96"/>
  <c r="C96"/>
  <c r="D96" s="1"/>
  <c r="N95"/>
  <c r="N107" s="1"/>
  <c r="D95"/>
  <c r="C95"/>
  <c r="K95" s="1"/>
  <c r="N39"/>
  <c r="I39"/>
  <c r="H39"/>
  <c r="D39"/>
  <c r="C39"/>
  <c r="F39" s="1"/>
  <c r="N38"/>
  <c r="D38"/>
  <c r="C38"/>
  <c r="E38" s="1"/>
  <c r="N37"/>
  <c r="K37"/>
  <c r="D37"/>
  <c r="C37"/>
  <c r="I37" s="1"/>
  <c r="N36"/>
  <c r="I36"/>
  <c r="H36"/>
  <c r="C36"/>
  <c r="F36" s="1"/>
  <c r="N35"/>
  <c r="K35"/>
  <c r="I35"/>
  <c r="H35"/>
  <c r="C35"/>
  <c r="F35" s="1"/>
  <c r="N34"/>
  <c r="K34"/>
  <c r="I34"/>
  <c r="H34"/>
  <c r="C34"/>
  <c r="F34" s="1"/>
  <c r="N33"/>
  <c r="N45" s="1"/>
  <c r="C33"/>
  <c r="D33" s="1"/>
  <c r="N32"/>
  <c r="D32"/>
  <c r="C32"/>
  <c r="K32" s="1"/>
  <c r="N25"/>
  <c r="K25"/>
  <c r="J25"/>
  <c r="I25"/>
  <c r="F25"/>
  <c r="D25"/>
  <c r="C25"/>
  <c r="H25" s="1"/>
  <c r="N24"/>
  <c r="K24"/>
  <c r="J24"/>
  <c r="I24"/>
  <c r="F24"/>
  <c r="D24"/>
  <c r="C24"/>
  <c r="H24" s="1"/>
  <c r="N23"/>
  <c r="K23"/>
  <c r="J23"/>
  <c r="I23"/>
  <c r="F23"/>
  <c r="D23"/>
  <c r="C23"/>
  <c r="H23" s="1"/>
  <c r="N22"/>
  <c r="H22"/>
  <c r="C22"/>
  <c r="D22" s="1"/>
  <c r="N21"/>
  <c r="K21"/>
  <c r="J21"/>
  <c r="G21"/>
  <c r="E21"/>
  <c r="D21"/>
  <c r="C21"/>
  <c r="N20"/>
  <c r="D20"/>
  <c r="C20"/>
  <c r="J20" s="1"/>
  <c r="N19"/>
  <c r="C19"/>
  <c r="G19" s="1"/>
  <c r="N18"/>
  <c r="J18"/>
  <c r="I18"/>
  <c r="C18"/>
  <c r="D18" s="1"/>
  <c r="N17"/>
  <c r="K17"/>
  <c r="J17"/>
  <c r="H17"/>
  <c r="F17"/>
  <c r="C17"/>
  <c r="D17" s="1"/>
  <c r="N16"/>
  <c r="H16"/>
  <c r="D16"/>
  <c r="C16"/>
  <c r="N15"/>
  <c r="N27" s="1"/>
  <c r="N49" s="1"/>
  <c r="G15"/>
  <c r="C15"/>
  <c r="D15" s="1"/>
  <c r="N14"/>
  <c r="K14"/>
  <c r="J14"/>
  <c r="D14"/>
  <c r="C14"/>
  <c r="E14" s="1"/>
  <c r="N133" i="16"/>
  <c r="N128"/>
  <c r="K128"/>
  <c r="D128"/>
  <c r="D133" s="1"/>
  <c r="D134" s="1"/>
  <c r="D136" s="1"/>
  <c r="C128"/>
  <c r="I128" s="1"/>
  <c r="N121"/>
  <c r="K121"/>
  <c r="J121"/>
  <c r="I121"/>
  <c r="F121"/>
  <c r="D121"/>
  <c r="C121"/>
  <c r="H121" s="1"/>
  <c r="N120"/>
  <c r="K120"/>
  <c r="J120"/>
  <c r="I120"/>
  <c r="F120"/>
  <c r="D120"/>
  <c r="C120"/>
  <c r="H120" s="1"/>
  <c r="N119"/>
  <c r="J119"/>
  <c r="I119"/>
  <c r="D119"/>
  <c r="C119"/>
  <c r="E119" s="1"/>
  <c r="N118"/>
  <c r="I118"/>
  <c r="H118"/>
  <c r="F118"/>
  <c r="D118"/>
  <c r="C118"/>
  <c r="N117"/>
  <c r="D117"/>
  <c r="C117"/>
  <c r="J117" s="1"/>
  <c r="N116"/>
  <c r="K116"/>
  <c r="D116"/>
  <c r="C116"/>
  <c r="I116" s="1"/>
  <c r="N115"/>
  <c r="K115"/>
  <c r="D115"/>
  <c r="C115"/>
  <c r="I115" s="1"/>
  <c r="N114"/>
  <c r="G114"/>
  <c r="D114"/>
  <c r="C114"/>
  <c r="N113"/>
  <c r="J113"/>
  <c r="C113"/>
  <c r="D113" s="1"/>
  <c r="N112"/>
  <c r="N123" s="1"/>
  <c r="D112"/>
  <c r="D123" s="1"/>
  <c r="D124" s="1"/>
  <c r="D126" s="1"/>
  <c r="C112"/>
  <c r="K112" s="1"/>
  <c r="N105"/>
  <c r="K105"/>
  <c r="J105"/>
  <c r="I105"/>
  <c r="F105"/>
  <c r="D105"/>
  <c r="C105"/>
  <c r="H105" s="1"/>
  <c r="N104"/>
  <c r="H104"/>
  <c r="C104"/>
  <c r="D104" s="1"/>
  <c r="N103"/>
  <c r="K103"/>
  <c r="J103"/>
  <c r="G103"/>
  <c r="E103"/>
  <c r="D103"/>
  <c r="C103"/>
  <c r="N102"/>
  <c r="N107" s="1"/>
  <c r="N137" s="1"/>
  <c r="D102"/>
  <c r="C102"/>
  <c r="J102" s="1"/>
  <c r="N101"/>
  <c r="K101"/>
  <c r="D101"/>
  <c r="C101"/>
  <c r="I101" s="1"/>
  <c r="N100"/>
  <c r="K100"/>
  <c r="D100"/>
  <c r="I100" s="1"/>
  <c r="C100"/>
  <c r="J100" s="1"/>
  <c r="N99"/>
  <c r="K99"/>
  <c r="D99"/>
  <c r="C99"/>
  <c r="I99" s="1"/>
  <c r="N98"/>
  <c r="H98"/>
  <c r="D98"/>
  <c r="C98"/>
  <c r="N97"/>
  <c r="J97"/>
  <c r="I97"/>
  <c r="F97"/>
  <c r="D97"/>
  <c r="C97"/>
  <c r="H97" s="1"/>
  <c r="N96"/>
  <c r="J96"/>
  <c r="C96"/>
  <c r="D96" s="1"/>
  <c r="N41"/>
  <c r="K41"/>
  <c r="J41"/>
  <c r="H41"/>
  <c r="F41"/>
  <c r="C41"/>
  <c r="D41" s="1"/>
  <c r="N40"/>
  <c r="I40"/>
  <c r="D40"/>
  <c r="C40"/>
  <c r="F40" s="1"/>
  <c r="N39"/>
  <c r="I39"/>
  <c r="D39"/>
  <c r="C39"/>
  <c r="F39" s="1"/>
  <c r="N38"/>
  <c r="I38"/>
  <c r="D38"/>
  <c r="C38"/>
  <c r="F38" s="1"/>
  <c r="N37"/>
  <c r="G37"/>
  <c r="C37"/>
  <c r="D37" s="1"/>
  <c r="N36"/>
  <c r="H36"/>
  <c r="D36"/>
  <c r="C36"/>
  <c r="N35"/>
  <c r="C35"/>
  <c r="D35" s="1"/>
  <c r="N34"/>
  <c r="N47" s="1"/>
  <c r="D34"/>
  <c r="C34"/>
  <c r="K34" s="1"/>
  <c r="N27"/>
  <c r="H27"/>
  <c r="C27"/>
  <c r="D27" s="1"/>
  <c r="N26"/>
  <c r="H26"/>
  <c r="C26"/>
  <c r="K26" s="1"/>
  <c r="N25"/>
  <c r="K25"/>
  <c r="J25"/>
  <c r="I25"/>
  <c r="F25"/>
  <c r="D25"/>
  <c r="C25"/>
  <c r="N24"/>
  <c r="K24"/>
  <c r="J24"/>
  <c r="I24"/>
  <c r="E24"/>
  <c r="D24"/>
  <c r="C24"/>
  <c r="G24" s="1"/>
  <c r="N23"/>
  <c r="K23"/>
  <c r="J23"/>
  <c r="I23"/>
  <c r="E23"/>
  <c r="D23"/>
  <c r="C23"/>
  <c r="G23" s="1"/>
  <c r="N22"/>
  <c r="D22"/>
  <c r="C22"/>
  <c r="J22" s="1"/>
  <c r="N21"/>
  <c r="C21"/>
  <c r="G21" s="1"/>
  <c r="N20"/>
  <c r="C20"/>
  <c r="H20" s="1"/>
  <c r="N19"/>
  <c r="C19"/>
  <c r="H19" s="1"/>
  <c r="N18"/>
  <c r="N29" s="1"/>
  <c r="N51" s="1"/>
  <c r="D18"/>
  <c r="C18"/>
  <c r="G18" s="1"/>
  <c r="N17"/>
  <c r="I17"/>
  <c r="H17"/>
  <c r="D17"/>
  <c r="C17"/>
  <c r="F17" s="1"/>
  <c r="N16"/>
  <c r="K16"/>
  <c r="E16"/>
  <c r="D16"/>
  <c r="C16"/>
  <c r="J16" s="1"/>
  <c r="I112" i="15"/>
  <c r="I96"/>
  <c r="E139"/>
  <c r="N129"/>
  <c r="N124"/>
  <c r="K124"/>
  <c r="J124"/>
  <c r="I124"/>
  <c r="D124"/>
  <c r="D129" s="1"/>
  <c r="D130" s="1"/>
  <c r="D132" s="1"/>
  <c r="C124"/>
  <c r="F124" s="1"/>
  <c r="N117"/>
  <c r="J117"/>
  <c r="D117"/>
  <c r="C117"/>
  <c r="K117" s="1"/>
  <c r="N116"/>
  <c r="I116"/>
  <c r="D116"/>
  <c r="C116"/>
  <c r="J116" s="1"/>
  <c r="N115"/>
  <c r="I115"/>
  <c r="D115"/>
  <c r="C115"/>
  <c r="J115" s="1"/>
  <c r="N114"/>
  <c r="I114"/>
  <c r="D114"/>
  <c r="C114"/>
  <c r="J114" s="1"/>
  <c r="N113"/>
  <c r="I113"/>
  <c r="F113"/>
  <c r="D113"/>
  <c r="C113"/>
  <c r="H113" s="1"/>
  <c r="N112"/>
  <c r="K112"/>
  <c r="J112"/>
  <c r="F112"/>
  <c r="D112"/>
  <c r="C112"/>
  <c r="H112" s="1"/>
  <c r="N111"/>
  <c r="N119" s="1"/>
  <c r="C111"/>
  <c r="D111" s="1"/>
  <c r="N110"/>
  <c r="D110"/>
  <c r="C110"/>
  <c r="G110" s="1"/>
  <c r="N109"/>
  <c r="K109"/>
  <c r="E109"/>
  <c r="D109"/>
  <c r="C109"/>
  <c r="J109" s="1"/>
  <c r="N102"/>
  <c r="K102"/>
  <c r="J102"/>
  <c r="H102"/>
  <c r="F102"/>
  <c r="D102"/>
  <c r="C102"/>
  <c r="I102" s="1"/>
  <c r="N101"/>
  <c r="K101"/>
  <c r="J101"/>
  <c r="H101"/>
  <c r="F101"/>
  <c r="D101"/>
  <c r="C101"/>
  <c r="I101" s="1"/>
  <c r="N100"/>
  <c r="K100"/>
  <c r="J100"/>
  <c r="G100"/>
  <c r="E100"/>
  <c r="D100"/>
  <c r="C100"/>
  <c r="I100" s="1"/>
  <c r="N99"/>
  <c r="I99"/>
  <c r="D99"/>
  <c r="C99"/>
  <c r="F99" s="1"/>
  <c r="N98"/>
  <c r="C98"/>
  <c r="J98" s="1"/>
  <c r="N97"/>
  <c r="C97"/>
  <c r="I97" s="1"/>
  <c r="N96"/>
  <c r="C96"/>
  <c r="N95"/>
  <c r="H95"/>
  <c r="D95"/>
  <c r="C95"/>
  <c r="N94"/>
  <c r="C94"/>
  <c r="D94" s="1"/>
  <c r="N93"/>
  <c r="N104" s="1"/>
  <c r="N133" s="1"/>
  <c r="K93"/>
  <c r="D93"/>
  <c r="C93"/>
  <c r="E93" s="1"/>
  <c r="N39"/>
  <c r="K39"/>
  <c r="J39"/>
  <c r="I39"/>
  <c r="F39"/>
  <c r="D39"/>
  <c r="C39"/>
  <c r="H39" s="1"/>
  <c r="N38"/>
  <c r="K38"/>
  <c r="J38"/>
  <c r="D38"/>
  <c r="C38"/>
  <c r="E38" s="1"/>
  <c r="N37"/>
  <c r="K37"/>
  <c r="C37"/>
  <c r="D37" s="1"/>
  <c r="N36"/>
  <c r="H36"/>
  <c r="F36"/>
  <c r="D36"/>
  <c r="C36"/>
  <c r="I36" s="1"/>
  <c r="N35"/>
  <c r="K35"/>
  <c r="J35"/>
  <c r="H35"/>
  <c r="F35"/>
  <c r="D35"/>
  <c r="C35"/>
  <c r="I35" s="1"/>
  <c r="N34"/>
  <c r="K34"/>
  <c r="J34"/>
  <c r="H34"/>
  <c r="F34"/>
  <c r="D34"/>
  <c r="C34"/>
  <c r="I34" s="1"/>
  <c r="N33"/>
  <c r="G33"/>
  <c r="D33"/>
  <c r="C33"/>
  <c r="N32"/>
  <c r="N45" s="1"/>
  <c r="C32"/>
  <c r="D32" s="1"/>
  <c r="N27"/>
  <c r="N25"/>
  <c r="I25"/>
  <c r="D25"/>
  <c r="C25"/>
  <c r="J25" s="1"/>
  <c r="N24"/>
  <c r="I24"/>
  <c r="D24"/>
  <c r="C24"/>
  <c r="J24" s="1"/>
  <c r="N23"/>
  <c r="C23"/>
  <c r="J23" s="1"/>
  <c r="N22"/>
  <c r="C22"/>
  <c r="I22" s="1"/>
  <c r="N21"/>
  <c r="C21"/>
  <c r="I21" s="1"/>
  <c r="N20"/>
  <c r="I20"/>
  <c r="D20"/>
  <c r="C20"/>
  <c r="F20" s="1"/>
  <c r="N19"/>
  <c r="K19"/>
  <c r="J19"/>
  <c r="I19"/>
  <c r="D19"/>
  <c r="C19"/>
  <c r="E19" s="1"/>
  <c r="N18"/>
  <c r="K18"/>
  <c r="C18"/>
  <c r="D18" s="1"/>
  <c r="N17"/>
  <c r="J17"/>
  <c r="C17"/>
  <c r="D17" s="1"/>
  <c r="N16"/>
  <c r="D16"/>
  <c r="C16"/>
  <c r="H16" s="1"/>
  <c r="N15"/>
  <c r="C15"/>
  <c r="D15" s="1"/>
  <c r="N14"/>
  <c r="J14"/>
  <c r="E14"/>
  <c r="D14"/>
  <c r="C14"/>
  <c r="K14" s="1"/>
  <c r="N106" i="20"/>
  <c r="C106"/>
  <c r="D106" s="1"/>
  <c r="N20"/>
  <c r="C20"/>
  <c r="D20" s="1"/>
  <c r="C27"/>
  <c r="K27" s="1"/>
  <c r="N26"/>
  <c r="C26"/>
  <c r="D26" s="1"/>
  <c r="C111"/>
  <c r="I111" s="1"/>
  <c r="N108"/>
  <c r="C108"/>
  <c r="H108" s="1"/>
  <c r="N22"/>
  <c r="C22"/>
  <c r="H22" s="1"/>
  <c r="D27" i="17" l="1"/>
  <c r="F136"/>
  <c r="F138" s="1"/>
  <c r="N136"/>
  <c r="H49"/>
  <c r="H51" s="1"/>
  <c r="E19"/>
  <c r="E49" s="1"/>
  <c r="G20"/>
  <c r="J32"/>
  <c r="J49" s="1"/>
  <c r="J51" s="1"/>
  <c r="D34"/>
  <c r="D45" s="1"/>
  <c r="D46" s="1"/>
  <c r="D48" s="1"/>
  <c r="D35"/>
  <c r="D36"/>
  <c r="H37"/>
  <c r="G38"/>
  <c r="G49" s="1"/>
  <c r="K39"/>
  <c r="J95"/>
  <c r="D97"/>
  <c r="D107" s="1"/>
  <c r="D98"/>
  <c r="G99"/>
  <c r="K101"/>
  <c r="H114"/>
  <c r="H136" s="1"/>
  <c r="H138" s="1"/>
  <c r="K115"/>
  <c r="K136" s="1"/>
  <c r="K138" s="1"/>
  <c r="F120"/>
  <c r="J19"/>
  <c r="J37"/>
  <c r="I120"/>
  <c r="D19"/>
  <c r="E20"/>
  <c r="I22"/>
  <c r="E32"/>
  <c r="F37"/>
  <c r="J39"/>
  <c r="E95"/>
  <c r="E136" s="1"/>
  <c r="E99"/>
  <c r="J101"/>
  <c r="J115"/>
  <c r="K116"/>
  <c r="D120"/>
  <c r="D122" s="1"/>
  <c r="D123" s="1"/>
  <c r="D125" s="1"/>
  <c r="F22"/>
  <c r="F49" s="1"/>
  <c r="F51" s="1"/>
  <c r="G33"/>
  <c r="G96"/>
  <c r="G136" s="1"/>
  <c r="E101"/>
  <c r="H115"/>
  <c r="G116"/>
  <c r="I17"/>
  <c r="I49" s="1"/>
  <c r="I51" s="1"/>
  <c r="K18"/>
  <c r="K49" s="1"/>
  <c r="K51" s="1"/>
  <c r="J34"/>
  <c r="J35"/>
  <c r="J97"/>
  <c r="I103"/>
  <c r="I136" s="1"/>
  <c r="I138" s="1"/>
  <c r="I104"/>
  <c r="I105"/>
  <c r="I127"/>
  <c r="K19"/>
  <c r="K20"/>
  <c r="K99"/>
  <c r="D47" i="16"/>
  <c r="D48" s="1"/>
  <c r="D50" s="1"/>
  <c r="D107"/>
  <c r="K21"/>
  <c r="I20"/>
  <c r="K17"/>
  <c r="F20"/>
  <c r="G22"/>
  <c r="G51" s="1"/>
  <c r="J26"/>
  <c r="J34"/>
  <c r="K37"/>
  <c r="K39"/>
  <c r="H99"/>
  <c r="H137" s="1"/>
  <c r="H139" s="1"/>
  <c r="G101"/>
  <c r="G137" s="1"/>
  <c r="G102"/>
  <c r="J112"/>
  <c r="H115"/>
  <c r="G116"/>
  <c r="G117"/>
  <c r="H128"/>
  <c r="J20"/>
  <c r="J51" s="1"/>
  <c r="J53" s="1"/>
  <c r="K22"/>
  <c r="F19"/>
  <c r="E21"/>
  <c r="E51" s="1"/>
  <c r="K38"/>
  <c r="H100"/>
  <c r="J17"/>
  <c r="D19"/>
  <c r="I19" s="1"/>
  <c r="I51" s="1"/>
  <c r="I53" s="1"/>
  <c r="D20"/>
  <c r="D21"/>
  <c r="E22"/>
  <c r="I26"/>
  <c r="I27"/>
  <c r="E34"/>
  <c r="J37"/>
  <c r="J38"/>
  <c r="J39"/>
  <c r="K96"/>
  <c r="K97"/>
  <c r="F99"/>
  <c r="F137" s="1"/>
  <c r="F139" s="1"/>
  <c r="F100"/>
  <c r="E101"/>
  <c r="E102"/>
  <c r="I104"/>
  <c r="I137" s="1"/>
  <c r="I139" s="1"/>
  <c r="E112"/>
  <c r="K113"/>
  <c r="F115"/>
  <c r="E116"/>
  <c r="E117"/>
  <c r="K119"/>
  <c r="F128"/>
  <c r="F26"/>
  <c r="F51" s="1"/>
  <c r="F53" s="1"/>
  <c r="F27"/>
  <c r="G35"/>
  <c r="E37"/>
  <c r="H38"/>
  <c r="H51" s="1"/>
  <c r="H53" s="1"/>
  <c r="H39"/>
  <c r="H40"/>
  <c r="E96"/>
  <c r="F104"/>
  <c r="I113"/>
  <c r="K19"/>
  <c r="K20"/>
  <c r="D26"/>
  <c r="I41"/>
  <c r="J19"/>
  <c r="J21"/>
  <c r="J99"/>
  <c r="J137" s="1"/>
  <c r="J139" s="1"/>
  <c r="J101"/>
  <c r="K102"/>
  <c r="J115"/>
  <c r="J116"/>
  <c r="K117"/>
  <c r="J128"/>
  <c r="D45" i="15"/>
  <c r="D46" s="1"/>
  <c r="D48" s="1"/>
  <c r="N49"/>
  <c r="D119"/>
  <c r="D120" s="1"/>
  <c r="D122" s="1"/>
  <c r="H21"/>
  <c r="H22"/>
  <c r="I23"/>
  <c r="H96"/>
  <c r="G97"/>
  <c r="G98"/>
  <c r="F21"/>
  <c r="F22"/>
  <c r="E23"/>
  <c r="E49" s="1"/>
  <c r="G24"/>
  <c r="H25"/>
  <c r="G94"/>
  <c r="F96"/>
  <c r="F133" s="1"/>
  <c r="F135" s="1"/>
  <c r="E97"/>
  <c r="E133" s="1"/>
  <c r="E98"/>
  <c r="H99"/>
  <c r="H114"/>
  <c r="H133" s="1"/>
  <c r="H135" s="1"/>
  <c r="H115"/>
  <c r="H116"/>
  <c r="G117"/>
  <c r="K17"/>
  <c r="K49" s="1"/>
  <c r="K51" s="1"/>
  <c r="D21"/>
  <c r="D27" s="1"/>
  <c r="D22"/>
  <c r="D23"/>
  <c r="E24"/>
  <c r="F25"/>
  <c r="D96"/>
  <c r="D97"/>
  <c r="D98"/>
  <c r="D104" s="1"/>
  <c r="F114"/>
  <c r="F115"/>
  <c r="F116"/>
  <c r="E117"/>
  <c r="I17"/>
  <c r="I49" s="1"/>
  <c r="I51" s="1"/>
  <c r="J18"/>
  <c r="K32"/>
  <c r="J37"/>
  <c r="K111"/>
  <c r="H17"/>
  <c r="H49" s="1"/>
  <c r="H51" s="1"/>
  <c r="G18"/>
  <c r="K21"/>
  <c r="K22"/>
  <c r="J32"/>
  <c r="I37"/>
  <c r="K96"/>
  <c r="K133" s="1"/>
  <c r="K135" s="1"/>
  <c r="K97"/>
  <c r="J111"/>
  <c r="G15"/>
  <c r="F17"/>
  <c r="F49" s="1"/>
  <c r="F51" s="1"/>
  <c r="E18"/>
  <c r="G19"/>
  <c r="H20"/>
  <c r="J21"/>
  <c r="J49" s="1"/>
  <c r="J51" s="1"/>
  <c r="J22"/>
  <c r="K23"/>
  <c r="K24"/>
  <c r="K25"/>
  <c r="E32"/>
  <c r="E37"/>
  <c r="G38"/>
  <c r="J93"/>
  <c r="J133" s="1"/>
  <c r="J135" s="1"/>
  <c r="J96"/>
  <c r="J97"/>
  <c r="K98"/>
  <c r="I111"/>
  <c r="I133" s="1"/>
  <c r="I135" s="1"/>
  <c r="K114"/>
  <c r="K115"/>
  <c r="K116"/>
  <c r="H124"/>
  <c r="J111" i="20"/>
  <c r="K111"/>
  <c r="J106"/>
  <c r="D111"/>
  <c r="F111"/>
  <c r="I106"/>
  <c r="K106"/>
  <c r="K26"/>
  <c r="D27"/>
  <c r="I20"/>
  <c r="H27"/>
  <c r="K20"/>
  <c r="F27"/>
  <c r="J20"/>
  <c r="I27"/>
  <c r="J27"/>
  <c r="J26"/>
  <c r="I26"/>
  <c r="F26"/>
  <c r="F108"/>
  <c r="D108"/>
  <c r="K108"/>
  <c r="I108"/>
  <c r="J108"/>
  <c r="K22"/>
  <c r="J22"/>
  <c r="I22"/>
  <c r="F22"/>
  <c r="D22"/>
  <c r="D108" i="17" l="1"/>
  <c r="D110" s="1"/>
  <c r="D136"/>
  <c r="D138" s="1"/>
  <c r="I141"/>
  <c r="G51"/>
  <c r="G50"/>
  <c r="E51"/>
  <c r="E50"/>
  <c r="J136"/>
  <c r="J138" s="1"/>
  <c r="G138"/>
  <c r="G137"/>
  <c r="E137"/>
  <c r="E138"/>
  <c r="D28"/>
  <c r="D30" s="1"/>
  <c r="D49"/>
  <c r="D51" s="1"/>
  <c r="I54"/>
  <c r="I55" s="1"/>
  <c r="E52" i="16"/>
  <c r="E53"/>
  <c r="G53"/>
  <c r="G52"/>
  <c r="I142"/>
  <c r="I56"/>
  <c r="G139"/>
  <c r="G138"/>
  <c r="K137"/>
  <c r="K139" s="1"/>
  <c r="K51"/>
  <c r="K53" s="1"/>
  <c r="D29"/>
  <c r="D137"/>
  <c r="D139" s="1"/>
  <c r="D108"/>
  <c r="D110" s="1"/>
  <c r="E137"/>
  <c r="E134" i="15"/>
  <c r="E135"/>
  <c r="D133"/>
  <c r="D135" s="1"/>
  <c r="D105"/>
  <c r="D107" s="1"/>
  <c r="D49"/>
  <c r="D51" s="1"/>
  <c r="D28"/>
  <c r="D30" s="1"/>
  <c r="I138"/>
  <c r="E50"/>
  <c r="E51"/>
  <c r="I54"/>
  <c r="I55" s="1"/>
  <c r="G133"/>
  <c r="G49"/>
  <c r="N134" i="20"/>
  <c r="C134"/>
  <c r="F134" s="1"/>
  <c r="N112"/>
  <c r="C112"/>
  <c r="D112" s="1"/>
  <c r="N111"/>
  <c r="N43"/>
  <c r="C43"/>
  <c r="D43" s="1"/>
  <c r="G139" i="17" l="1"/>
  <c r="E139"/>
  <c r="G52"/>
  <c r="E52"/>
  <c r="I142"/>
  <c r="G140" i="16"/>
  <c r="E54"/>
  <c r="G54"/>
  <c r="D51"/>
  <c r="D53" s="1"/>
  <c r="D30"/>
  <c r="D32" s="1"/>
  <c r="I143"/>
  <c r="I57"/>
  <c r="E138"/>
  <c r="E139"/>
  <c r="E52" i="15"/>
  <c r="E136"/>
  <c r="G135"/>
  <c r="G134"/>
  <c r="G50"/>
  <c r="G51"/>
  <c r="I139"/>
  <c r="I134" i="20"/>
  <c r="I43"/>
  <c r="D134"/>
  <c r="J134"/>
  <c r="H134"/>
  <c r="K134"/>
  <c r="K112"/>
  <c r="J112"/>
  <c r="I112"/>
  <c r="H112"/>
  <c r="F112"/>
  <c r="J43"/>
  <c r="K43"/>
  <c r="H43"/>
  <c r="F43"/>
  <c r="E141" i="17" l="1"/>
  <c r="G141"/>
  <c r="G142" s="1"/>
  <c r="G54"/>
  <c r="G55" s="1"/>
  <c r="E54"/>
  <c r="G142" i="16"/>
  <c r="G143" s="1"/>
  <c r="E56"/>
  <c r="E140"/>
  <c r="G56"/>
  <c r="G57" s="1"/>
  <c r="G52" i="15"/>
  <c r="E54"/>
  <c r="E138"/>
  <c r="G136"/>
  <c r="N23" i="20"/>
  <c r="C23"/>
  <c r="E23" s="1"/>
  <c r="E142" i="17" l="1"/>
  <c r="E55"/>
  <c r="E57" i="16"/>
  <c r="E142"/>
  <c r="G138" i="15"/>
  <c r="G139" s="1"/>
  <c r="G54"/>
  <c r="G55" s="1"/>
  <c r="E55"/>
  <c r="K23" i="20"/>
  <c r="J23"/>
  <c r="D23"/>
  <c r="G23"/>
  <c r="E143" i="16" l="1"/>
  <c r="X140"/>
  <c r="N139" i="20"/>
  <c r="D139"/>
  <c r="D140" s="1"/>
  <c r="D142" s="1"/>
  <c r="N127"/>
  <c r="C127"/>
  <c r="J127" s="1"/>
  <c r="N126"/>
  <c r="C126"/>
  <c r="J126" s="1"/>
  <c r="N125"/>
  <c r="C125"/>
  <c r="J125" s="1"/>
  <c r="N124"/>
  <c r="C124"/>
  <c r="G124" s="1"/>
  <c r="N123"/>
  <c r="C123"/>
  <c r="H123" s="1"/>
  <c r="N122"/>
  <c r="C122"/>
  <c r="D122" s="1"/>
  <c r="N121"/>
  <c r="C121"/>
  <c r="I121" s="1"/>
  <c r="N120"/>
  <c r="C120"/>
  <c r="G120" s="1"/>
  <c r="N119"/>
  <c r="C119"/>
  <c r="J119" s="1"/>
  <c r="N110"/>
  <c r="C110"/>
  <c r="I110" s="1"/>
  <c r="N109"/>
  <c r="C109"/>
  <c r="E109" s="1"/>
  <c r="N107"/>
  <c r="C107"/>
  <c r="D107" s="1"/>
  <c r="N105"/>
  <c r="C105"/>
  <c r="I105" s="1"/>
  <c r="N104"/>
  <c r="C104"/>
  <c r="D104" s="1"/>
  <c r="N103"/>
  <c r="C103"/>
  <c r="D103" s="1"/>
  <c r="N102"/>
  <c r="C102"/>
  <c r="D102" s="1"/>
  <c r="N42"/>
  <c r="C42"/>
  <c r="D42" s="1"/>
  <c r="N41"/>
  <c r="C41"/>
  <c r="D41" s="1"/>
  <c r="N40"/>
  <c r="C40"/>
  <c r="N39"/>
  <c r="C39"/>
  <c r="H39" s="1"/>
  <c r="N38"/>
  <c r="C38"/>
  <c r="I38" s="1"/>
  <c r="N37"/>
  <c r="C37"/>
  <c r="H37" s="1"/>
  <c r="N36"/>
  <c r="C36"/>
  <c r="D36" s="1"/>
  <c r="N35"/>
  <c r="C35"/>
  <c r="D35" s="1"/>
  <c r="N28"/>
  <c r="C28"/>
  <c r="F28" s="1"/>
  <c r="N27"/>
  <c r="N25"/>
  <c r="C25"/>
  <c r="D25" s="1"/>
  <c r="N24"/>
  <c r="C24"/>
  <c r="E24" s="1"/>
  <c r="N21"/>
  <c r="C21"/>
  <c r="E21" s="1"/>
  <c r="N19"/>
  <c r="C19"/>
  <c r="I19" s="1"/>
  <c r="N18"/>
  <c r="C18"/>
  <c r="D18" s="1"/>
  <c r="N17"/>
  <c r="C17"/>
  <c r="D17" s="1"/>
  <c r="N16"/>
  <c r="C16"/>
  <c r="J16" s="1"/>
  <c r="E119" l="1"/>
  <c r="D40"/>
  <c r="E40"/>
  <c r="D19"/>
  <c r="H105"/>
  <c r="J38"/>
  <c r="J37"/>
  <c r="I37"/>
  <c r="D16"/>
  <c r="H19"/>
  <c r="K40"/>
  <c r="H121"/>
  <c r="K21"/>
  <c r="G125"/>
  <c r="J40"/>
  <c r="I39"/>
  <c r="F39"/>
  <c r="E125"/>
  <c r="G24"/>
  <c r="D125"/>
  <c r="H127"/>
  <c r="D24"/>
  <c r="F127"/>
  <c r="I127"/>
  <c r="J19"/>
  <c r="D39"/>
  <c r="F123"/>
  <c r="K35"/>
  <c r="D109"/>
  <c r="D123"/>
  <c r="F37"/>
  <c r="K41"/>
  <c r="D119"/>
  <c r="J24"/>
  <c r="D37"/>
  <c r="H38"/>
  <c r="J41"/>
  <c r="K102"/>
  <c r="H110"/>
  <c r="J102"/>
  <c r="D105"/>
  <c r="D121"/>
  <c r="F38"/>
  <c r="I41"/>
  <c r="F110"/>
  <c r="F126"/>
  <c r="E16"/>
  <c r="F19"/>
  <c r="D38"/>
  <c r="H41"/>
  <c r="E102"/>
  <c r="D110"/>
  <c r="D126"/>
  <c r="D28"/>
  <c r="D124"/>
  <c r="E124"/>
  <c r="D120"/>
  <c r="H104"/>
  <c r="I126"/>
  <c r="H126"/>
  <c r="D127"/>
  <c r="N129"/>
  <c r="N114"/>
  <c r="G40"/>
  <c r="K42"/>
  <c r="J42"/>
  <c r="I42"/>
  <c r="H42"/>
  <c r="N30"/>
  <c r="G17"/>
  <c r="J21"/>
  <c r="G21"/>
  <c r="D21"/>
  <c r="N49"/>
  <c r="K105"/>
  <c r="K107"/>
  <c r="I25"/>
  <c r="G35"/>
  <c r="J107"/>
  <c r="I122"/>
  <c r="K123"/>
  <c r="K25"/>
  <c r="J25"/>
  <c r="H25"/>
  <c r="I28"/>
  <c r="E35"/>
  <c r="F41"/>
  <c r="F42"/>
  <c r="G107"/>
  <c r="J109"/>
  <c r="H122"/>
  <c r="J123"/>
  <c r="K124"/>
  <c r="K121"/>
  <c r="J105"/>
  <c r="J121"/>
  <c r="K16"/>
  <c r="H18"/>
  <c r="K19"/>
  <c r="F25"/>
  <c r="H28"/>
  <c r="G36"/>
  <c r="K37"/>
  <c r="K38"/>
  <c r="G103"/>
  <c r="F105"/>
  <c r="E107"/>
  <c r="G109"/>
  <c r="K119"/>
  <c r="F121"/>
  <c r="F122"/>
  <c r="I123"/>
  <c r="J124"/>
  <c r="K125"/>
  <c r="K126"/>
  <c r="K127"/>
  <c r="D49" l="1"/>
  <c r="D50" s="1"/>
  <c r="D52" s="1"/>
  <c r="E143"/>
  <c r="E145" s="1"/>
  <c r="D114"/>
  <c r="D115" s="1"/>
  <c r="D117" s="1"/>
  <c r="E53"/>
  <c r="E55" s="1"/>
  <c r="I143"/>
  <c r="I145" s="1"/>
  <c r="D30"/>
  <c r="D31" s="1"/>
  <c r="D33" s="1"/>
  <c r="H53"/>
  <c r="H55" s="1"/>
  <c r="N53"/>
  <c r="J143"/>
  <c r="J145" s="1"/>
  <c r="D129"/>
  <c r="D130" s="1"/>
  <c r="D132" s="1"/>
  <c r="N143"/>
  <c r="K143"/>
  <c r="K145" s="1"/>
  <c r="G143"/>
  <c r="G145" s="1"/>
  <c r="J53"/>
  <c r="J55" s="1"/>
  <c r="I53"/>
  <c r="I55" s="1"/>
  <c r="K53"/>
  <c r="K55" s="1"/>
  <c r="F53"/>
  <c r="F55" s="1"/>
  <c r="H143"/>
  <c r="H145" s="1"/>
  <c r="G53"/>
  <c r="F143"/>
  <c r="F145" s="1"/>
  <c r="I148" l="1"/>
  <c r="D53"/>
  <c r="D55" s="1"/>
  <c r="D143"/>
  <c r="D145" s="1"/>
  <c r="G144"/>
  <c r="I58"/>
  <c r="E54"/>
  <c r="E56"/>
  <c r="E146"/>
  <c r="G146"/>
  <c r="G54"/>
  <c r="G55"/>
  <c r="E144"/>
  <c r="I149" l="1"/>
  <c r="I59"/>
  <c r="E58"/>
  <c r="G56"/>
  <c r="E148"/>
  <c r="G148"/>
  <c r="G149" s="1"/>
  <c r="E59" l="1"/>
  <c r="G58"/>
  <c r="G59" s="1"/>
  <c r="E149"/>
</calcChain>
</file>

<file path=xl/sharedStrings.xml><?xml version="1.0" encoding="utf-8"?>
<sst xmlns="http://schemas.openxmlformats.org/spreadsheetml/2006/main" count="894" uniqueCount="177">
  <si>
    <t>Số
TT</t>
  </si>
  <si>
    <t>Gạo tẻ</t>
  </si>
  <si>
    <t>Mắm</t>
  </si>
  <si>
    <t>Thịt gà</t>
  </si>
  <si>
    <t>Thịt bò</t>
  </si>
  <si>
    <t>Cà rốt</t>
  </si>
  <si>
    <t>Năng lượng bữa chính/trẻ</t>
  </si>
  <si>
    <t>Năng lượng bữa phụ/trẻ</t>
  </si>
  <si>
    <t>Lượng 
TP 
sạch</t>
  </si>
  <si>
    <t>Năng 
lượng
(Kcal)</t>
  </si>
  <si>
    <r>
      <t>P</t>
    </r>
    <r>
      <rPr>
        <sz val="11"/>
        <rFont val="Times New Roman"/>
        <family val="1"/>
      </rPr>
      <t>(ĐV)</t>
    </r>
  </si>
  <si>
    <t>Protein (g)</t>
  </si>
  <si>
    <r>
      <t>P</t>
    </r>
    <r>
      <rPr>
        <sz val="11"/>
        <rFont val="Times New Roman"/>
        <family val="1"/>
      </rPr>
      <t>(TV)</t>
    </r>
  </si>
  <si>
    <t>Lipid (g)</t>
  </si>
  <si>
    <r>
      <t>L</t>
    </r>
    <r>
      <rPr>
        <sz val="11"/>
        <rFont val="Times New Roman"/>
        <family val="1"/>
      </rPr>
      <t>(ĐV)</t>
    </r>
  </si>
  <si>
    <r>
      <t>L</t>
    </r>
    <r>
      <rPr>
        <sz val="11"/>
        <rFont val="Times New Roman"/>
        <family val="1"/>
      </rPr>
      <t>(TV)</t>
    </r>
  </si>
  <si>
    <t>Glucid
(g)</t>
  </si>
  <si>
    <t>Thực phẩm cần mua (g)</t>
  </si>
  <si>
    <t>Số tiền (đ)</t>
  </si>
  <si>
    <t>Tên 
thực phẩm</t>
  </si>
  <si>
    <t>Cà chua</t>
  </si>
  <si>
    <t>19.5-35.4</t>
  </si>
  <si>
    <t>17-28.2</t>
  </si>
  <si>
    <t>78-106.2</t>
  </si>
  <si>
    <t>19-31.7</t>
  </si>
  <si>
    <t>20-28.9</t>
  </si>
  <si>
    <t>68.8-79.4</t>
  </si>
  <si>
    <t>615-726</t>
  </si>
  <si>
    <t>600-651</t>
  </si>
  <si>
    <t>Đường kính</t>
  </si>
  <si>
    <t>BẢNG TÍNH KHẨU PHẦN ĂN CỦA TRẺ MẪU GIÁO</t>
  </si>
  <si>
    <t>BẢNG TÍNH KHẨU PHẦN ĂN CỦA TRẺ NHÀ TRẺ</t>
  </si>
  <si>
    <t>Ca</t>
  </si>
  <si>
    <t>B1</t>
  </si>
  <si>
    <t>Đơn giá (đ)</t>
  </si>
  <si>
    <t>Bữa chính</t>
  </si>
  <si>
    <t>NGƯỜI THỰC HIỆN</t>
  </si>
  <si>
    <t>% năng lượng bữa chính</t>
  </si>
  <si>
    <t>30-35%</t>
  </si>
  <si>
    <t>Bữa phụ</t>
  </si>
  <si>
    <t>% năng lượng bữa phụ</t>
  </si>
  <si>
    <t>15-20%</t>
  </si>
  <si>
    <t>Bữa trưa</t>
  </si>
  <si>
    <t>Năng lượng bữa trưa/trẻ</t>
  </si>
  <si>
    <t>% năng lượng bữa trưa</t>
  </si>
  <si>
    <t>Bữa chiều</t>
  </si>
  <si>
    <t>Năng lượng bữa chiều/trẻ</t>
  </si>
  <si>
    <t>% năng lượng bữa chiều</t>
  </si>
  <si>
    <t>25-30%</t>
  </si>
  <si>
    <t>5-10%</t>
  </si>
  <si>
    <t>% năng lượng 
bữa chính</t>
  </si>
  <si>
    <t>% năng lượng 
bữa phụ</t>
  </si>
  <si>
    <t>% năng lượng 
bữa trưa</t>
  </si>
  <si>
    <t>% năng lượng 
bữa chiều</t>
  </si>
  <si>
    <t>Đơn giá 
(đ)</t>
  </si>
  <si>
    <t>Thực phẩm cần mua
 (g)</t>
  </si>
  <si>
    <t>Đơn giá
(đ)</t>
  </si>
  <si>
    <t>Thực đạt</t>
  </si>
  <si>
    <r>
      <t>TRƯỜ</t>
    </r>
    <r>
      <rPr>
        <b/>
        <u/>
        <sz val="11"/>
        <rFont val="Times New Roman"/>
        <family val="1"/>
      </rPr>
      <t>NG MÂM NON MỸ</t>
    </r>
    <r>
      <rPr>
        <b/>
        <sz val="11"/>
        <rFont val="Times New Roman"/>
        <family val="1"/>
      </rPr>
      <t xml:space="preserve"> TIẾN</t>
    </r>
  </si>
  <si>
    <t>PHÓ HIỆU TRƯỞNG</t>
  </si>
  <si>
    <t>Hạt sen</t>
  </si>
  <si>
    <t>Trứng chim cút</t>
  </si>
  <si>
    <t>Trứng gà</t>
  </si>
  <si>
    <t>Thịt vịt</t>
  </si>
  <si>
    <t>Gạo nếp</t>
  </si>
  <si>
    <t xml:space="preserve">Thịt lợn nạc </t>
  </si>
  <si>
    <t>Bí đao</t>
  </si>
  <si>
    <t>Kcal (P:L:G)</t>
  </si>
  <si>
    <t>Tỷ lệ các chất  (%)</t>
  </si>
  <si>
    <t>Khuyến nghị</t>
  </si>
  <si>
    <t>13-20</t>
  </si>
  <si>
    <t>25-35</t>
  </si>
  <si>
    <t>52-60</t>
  </si>
  <si>
    <t>Khẩu phần 
cả ngày của 1 trẻ đạt (g)</t>
  </si>
  <si>
    <t>Khẩu phần khuyến nghị (g)</t>
  </si>
  <si>
    <t>Tỷ lệ các chất (%)</t>
  </si>
  <si>
    <t>30-40</t>
  </si>
  <si>
    <t>47-50</t>
  </si>
  <si>
    <t>Bí đỏ</t>
  </si>
  <si>
    <t>BỮA TRƯA</t>
  </si>
  <si>
    <t>BỮA CHIỀU</t>
  </si>
  <si>
    <t>Cơm tẻ</t>
  </si>
  <si>
    <t>Đặng Thị Phượng</t>
  </si>
  <si>
    <t>Thịt lợn nạc sốt cà chua</t>
  </si>
  <si>
    <t>Canh cà rốt, hạt sen nấu thịt gà</t>
  </si>
  <si>
    <t>Bí đao xào trứng gà</t>
  </si>
  <si>
    <t>Trứng chim cút sốt chua ngọt</t>
  </si>
  <si>
    <t>Canh bí đao, cà rốt nấu thịt lợn nạc</t>
  </si>
  <si>
    <t>Thịt lợn nạc rim trứng gà</t>
  </si>
  <si>
    <t>Sườn lợn</t>
  </si>
  <si>
    <t>BỮA PHỤ CHIỀU</t>
  </si>
  <si>
    <t xml:space="preserve">BỮA PHỤ </t>
  </si>
  <si>
    <t>BỮA CHÍNH TRƯA</t>
  </si>
  <si>
    <t>BỮA CHÍNH CHIỀU</t>
  </si>
  <si>
    <t xml:space="preserve">Cộng chung bữa chính </t>
  </si>
  <si>
    <t xml:space="preserve">Cộng chung bữa phụ </t>
  </si>
  <si>
    <t>Cộng chung 
xuất ăn</t>
  </si>
  <si>
    <t>Nhận xét: So với khẩu phần khuyến nghị</t>
  </si>
  <si>
    <t xml:space="preserve">                </t>
  </si>
  <si>
    <t>Số g các chất dinh dưỡng và tỷ lệ các chất dinh dưỡng (P:L:G) đạt trong khoảng quy định.</t>
  </si>
  <si>
    <t>Trần Thị Thu</t>
  </si>
  <si>
    <t xml:space="preserve">Cộng chung bữa trưa </t>
  </si>
  <si>
    <t xml:space="preserve">Cộng chung bữa chiều </t>
  </si>
  <si>
    <t>Cộng chung 
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</si>
  <si>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trẻ.</t>
    </r>
  </si>
  <si>
    <t xml:space="preserve">Cộng chung  bữa phụ </t>
  </si>
  <si>
    <r>
      <t>Cách khắc phục:</t>
    </r>
    <r>
      <rPr>
        <sz val="11"/>
        <rFont val="Times New Roman"/>
        <family val="1"/>
      </rPr>
      <t xml:space="preserve"> Duy trì số g lương thực thực phẩm trong khẩu phần ăn của trẻ.</t>
    </r>
  </si>
  <si>
    <t xml:space="preserve">Số xuất ăn: </t>
  </si>
  <si>
    <t>Bột canh, hạt nêm</t>
  </si>
  <si>
    <t>Số xuất ăn</t>
  </si>
  <si>
    <r>
      <t xml:space="preserve">Cách khắc phục: </t>
    </r>
    <r>
      <rPr>
        <sz val="11"/>
        <rFont val="Times New Roman"/>
        <family val="1"/>
      </rPr>
      <t>Duy trì số g lương thực thực phẩm trong khẩu phần ăn của trẻ</t>
    </r>
  </si>
  <si>
    <t>Trần Thị Minh Thu</t>
  </si>
  <si>
    <t>Thịt vịt sốt chua ngọt</t>
  </si>
  <si>
    <t>Số g các chất dinh dưỡng và tỷ lệ các chất dinh dưỡng (P:L:G) đạt trong khoảng khuyến nghị.</t>
  </si>
  <si>
    <t>Hành khô</t>
  </si>
  <si>
    <t>Cháo thịt vịt, bí đao</t>
  </si>
  <si>
    <t>Nước tương</t>
  </si>
  <si>
    <t>Cháo bí đỏ - sườn lợn</t>
  </si>
  <si>
    <t>Dầu cá Ranee</t>
  </si>
  <si>
    <t>Canh bí đỏ nấu sườn lợn</t>
  </si>
  <si>
    <t>Cháo thịt gà cà rốt, hạt sen</t>
  </si>
  <si>
    <t>Dầu Simply</t>
  </si>
  <si>
    <t>Tép gạo</t>
  </si>
  <si>
    <t>Mộc nhĩ</t>
  </si>
  <si>
    <t>Sữa bột Nuvi Grow</t>
  </si>
  <si>
    <t>Uống sữa Nuvi Grow</t>
  </si>
  <si>
    <t>Khuyến
 nghị</t>
  </si>
  <si>
    <t>Rau cải thìa</t>
  </si>
  <si>
    <t>Dứa</t>
  </si>
  <si>
    <t>Bí đao, cà rốt xào thịt lợn nạc</t>
  </si>
  <si>
    <t>Trứng chim cút, thịt lợn nạc sốt cà chua</t>
  </si>
  <si>
    <t>Canh củ cải, cà rốt nấu thịt vịt</t>
  </si>
  <si>
    <t>Củ cải</t>
  </si>
  <si>
    <t>Canh rau cải thìa nấu cua</t>
  </si>
  <si>
    <t>Thịt gà, thịt lợn om mộc nhĩ, nước tương</t>
  </si>
  <si>
    <t>Cua</t>
  </si>
  <si>
    <t>Ruốc cá quả</t>
  </si>
  <si>
    <t>Dứa xào thịt lợn</t>
  </si>
  <si>
    <t>Cá quả</t>
  </si>
  <si>
    <t>Tỷ lệ L động vật đạt 70%; so với khẩu phần khuyến nghị đảm bảo đạt</t>
  </si>
  <si>
    <t>Thịt bò sốt dứa, cà chua</t>
  </si>
  <si>
    <t>Chuối tiêu</t>
  </si>
  <si>
    <t>Xôi hạt sen, ruốc thịt lợn</t>
  </si>
  <si>
    <t>Su hào xào thịt gà</t>
  </si>
  <si>
    <t>Canh rau cải cúc nấu tép</t>
  </si>
  <si>
    <t>Rau cải cúc</t>
  </si>
  <si>
    <t>Canh rau bắp cải nấu thịt bò</t>
  </si>
  <si>
    <t>Bắp cải</t>
  </si>
  <si>
    <t>Canh bắp cải nấu thịt bò</t>
  </si>
  <si>
    <t>Tỷ lệ L động vật đạt 70.2%; so với khẩu phần khuyến nghị đảm bảo đạt</t>
  </si>
  <si>
    <t>Canh củ cải, cà rốt nấu thịt gà</t>
  </si>
  <si>
    <t>Tỷ lệ P động vật đạt 52%; so với khẩu phần khuyến tương nghị đảm bảo đạt</t>
  </si>
  <si>
    <t>Su hào</t>
  </si>
  <si>
    <t>Tỷ lệ P động vật đạt 50%; so với khẩu phần khuyến nghị tương đối đạt</t>
  </si>
  <si>
    <t>Tỷ lệ P động vật đạt 58.2%; so với khẩu phần khuyến nghị đảm bảo đạt</t>
  </si>
  <si>
    <t>Tỷ lệ P động vật đạt 57.8%; so với khẩu phần khuyến nghị đảm bảo đạt</t>
  </si>
  <si>
    <t>Tỷ lệ L động vật đạt 69.3.%; so với khẩu phần khuyến nghị đảm bảo đạt</t>
  </si>
  <si>
    <t>Tỷ lệ P động vật đạt 59%; so với khẩu phần khuyến nghị đảm bảo đạt</t>
  </si>
  <si>
    <t>Thứ hai, ngày 9 tháng 2 năm 2026</t>
  </si>
  <si>
    <t>Thứ ba, ngày 10 tháng 2 năm 2026</t>
  </si>
  <si>
    <t>Thứ tư, ngày 11 tháng 2 năm 2026</t>
  </si>
  <si>
    <t>Thứ năm, ngày 12 tháng 2 năm 2026</t>
  </si>
  <si>
    <t>Kcal đạt 706.35. So với khẩu phần khuyến nghị đảm bảo đạt</t>
  </si>
  <si>
    <t>Kcal đạt 630.15 So với khẩu phần khuyến nghị đảm bảo đạt</t>
  </si>
  <si>
    <t>Tỷ lệ P động vật đạt 54%; so với khẩu phần khuyến nghị đảm bảo đạt</t>
  </si>
  <si>
    <t>Tỷ lệ L động vật đạt 70,9%; so với khẩu phần khuyến nghị cao hơn 0,9%</t>
  </si>
  <si>
    <t>Kcal đạt 717.05 So với khẩu phần khuyến nghị đảm bảo đạt</t>
  </si>
  <si>
    <t>Tỷ lệ P động vật đạt 53.3%; so với khẩu phần khuyến tương đối đạt</t>
  </si>
  <si>
    <t>Tỷ lệ L động vật đạt 70,6%; so với khẩu phần khuyến nghị đảm bảo đạt</t>
  </si>
  <si>
    <t>Kcal đạt 648.37 So với khẩu phần khuyến nghị đảm bảo đạt</t>
  </si>
  <si>
    <t>Tỷ lệ L động vật đạt 70.6%; so với khẩu phần khuyến nghị đảm bảo đạt</t>
  </si>
  <si>
    <t>Kcal đạt 713.42. So với khẩu phần khuyến nghị đảm bảo đạt trong khoảng nhu cầu khuyến nghị</t>
  </si>
  <si>
    <t>Kcal đạt 622.75 So với khẩu phần khuyến nghị đảm bảo đạt</t>
  </si>
  <si>
    <t>Tỷ lệ P động vật đạt 66.1%; So với khẩu phần khuyến nghị cao hơn 6.1%</t>
  </si>
  <si>
    <t>Tỷ lệ L động vật đạt 69.8%; so với khẩu phần khuyến nghị đảm bảo đạt</t>
  </si>
  <si>
    <t>Kcal đạt 724.48 So với khẩu phần khuyến nghị đảm bảo đạt</t>
  </si>
  <si>
    <t>Kcal đạt 644.35. So với khẩu phần khuyến nghị đảm bảo đạt</t>
  </si>
</sst>
</file>

<file path=xl/styles.xml><?xml version="1.0" encoding="utf-8"?>
<styleSheet xmlns="http://schemas.openxmlformats.org/spreadsheetml/2006/main">
  <numFmts count="4">
    <numFmt numFmtId="164" formatCode="0.000"/>
    <numFmt numFmtId="165" formatCode="#.##0"/>
    <numFmt numFmtId="166" formatCode="#,##0.0"/>
    <numFmt numFmtId="167" formatCode="0.0"/>
  </numFmts>
  <fonts count="15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32">
    <xf numFmtId="0" fontId="0" fillId="0" borderId="0" xfId="0"/>
    <xf numFmtId="0" fontId="3" fillId="0" borderId="0" xfId="0" applyFont="1"/>
    <xf numFmtId="0" fontId="3" fillId="0" borderId="0" xfId="0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0" fontId="7" fillId="0" borderId="4" xfId="0" applyFont="1" applyFill="1" applyBorder="1"/>
    <xf numFmtId="4" fontId="6" fillId="0" borderId="2" xfId="0" applyNumberFormat="1" applyFont="1" applyBorder="1"/>
    <xf numFmtId="0" fontId="5" fillId="0" borderId="0" xfId="0" applyFont="1" applyAlignment="1"/>
    <xf numFmtId="0" fontId="7" fillId="0" borderId="4" xfId="0" applyFont="1" applyFill="1" applyBorder="1" applyAlignment="1">
      <alignment horizontal="center"/>
    </xf>
    <xf numFmtId="3" fontId="7" fillId="0" borderId="4" xfId="1" applyNumberFormat="1" applyFont="1" applyFill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/>
    <xf numFmtId="3" fontId="10" fillId="0" borderId="4" xfId="0" applyNumberFormat="1" applyFont="1" applyFill="1" applyBorder="1"/>
    <xf numFmtId="2" fontId="10" fillId="0" borderId="4" xfId="0" applyNumberFormat="1" applyFont="1" applyFill="1" applyBorder="1"/>
    <xf numFmtId="4" fontId="10" fillId="0" borderId="4" xfId="0" applyNumberFormat="1" applyFont="1" applyFill="1" applyBorder="1"/>
    <xf numFmtId="1" fontId="10" fillId="0" borderId="4" xfId="0" applyNumberFormat="1" applyFont="1" applyFill="1" applyBorder="1"/>
    <xf numFmtId="3" fontId="10" fillId="0" borderId="4" xfId="0" applyNumberFormat="1" applyFont="1" applyFill="1" applyBorder="1" applyAlignment="1"/>
    <xf numFmtId="4" fontId="10" fillId="0" borderId="5" xfId="0" applyNumberFormat="1" applyFont="1" applyFill="1" applyBorder="1"/>
    <xf numFmtId="1" fontId="6" fillId="0" borderId="3" xfId="0" applyNumberFormat="1" applyFont="1" applyBorder="1"/>
    <xf numFmtId="0" fontId="6" fillId="0" borderId="2" xfId="0" applyFont="1" applyBorder="1" applyAlignment="1">
      <alignment vertical="center"/>
    </xf>
    <xf numFmtId="167" fontId="10" fillId="0" borderId="4" xfId="0" applyNumberFormat="1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0" fontId="12" fillId="0" borderId="15" xfId="0" applyFont="1" applyFill="1" applyBorder="1" applyAlignment="1"/>
    <xf numFmtId="0" fontId="12" fillId="0" borderId="6" xfId="0" applyFont="1" applyFill="1" applyBorder="1" applyAlignment="1"/>
    <xf numFmtId="3" fontId="10" fillId="0" borderId="2" xfId="0" applyNumberFormat="1" applyFont="1" applyFill="1" applyBorder="1"/>
    <xf numFmtId="2" fontId="6" fillId="0" borderId="2" xfId="0" applyNumberFormat="1" applyFont="1" applyFill="1" applyBorder="1"/>
    <xf numFmtId="4" fontId="10" fillId="0" borderId="2" xfId="0" applyNumberFormat="1" applyFont="1" applyFill="1" applyBorder="1"/>
    <xf numFmtId="1" fontId="10" fillId="0" borderId="2" xfId="0" applyNumberFormat="1" applyFont="1" applyFill="1" applyBorder="1"/>
    <xf numFmtId="2" fontId="6" fillId="0" borderId="2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/>
    <xf numFmtId="1" fontId="6" fillId="0" borderId="2" xfId="0" applyNumberFormat="1" applyFont="1" applyFill="1" applyBorder="1"/>
    <xf numFmtId="0" fontId="10" fillId="0" borderId="2" xfId="0" applyFont="1" applyBorder="1"/>
    <xf numFmtId="0" fontId="6" fillId="0" borderId="2" xfId="0" applyFont="1" applyBorder="1"/>
    <xf numFmtId="1" fontId="6" fillId="0" borderId="2" xfId="0" applyNumberFormat="1" applyFont="1" applyBorder="1"/>
    <xf numFmtId="0" fontId="6" fillId="0" borderId="13" xfId="0" applyFont="1" applyBorder="1"/>
    <xf numFmtId="0" fontId="7" fillId="0" borderId="11" xfId="0" applyFont="1" applyFill="1" applyBorder="1" applyAlignment="1">
      <alignment horizontal="center"/>
    </xf>
    <xf numFmtId="3" fontId="7" fillId="0" borderId="11" xfId="1" applyNumberFormat="1" applyFont="1" applyFill="1" applyBorder="1" applyAlignment="1">
      <alignment horizontal="left"/>
    </xf>
    <xf numFmtId="3" fontId="10" fillId="0" borderId="11" xfId="0" applyNumberFormat="1" applyFont="1" applyFill="1" applyBorder="1"/>
    <xf numFmtId="2" fontId="10" fillId="0" borderId="11" xfId="0" applyNumberFormat="1" applyFont="1" applyFill="1" applyBorder="1"/>
    <xf numFmtId="4" fontId="10" fillId="0" borderId="11" xfId="0" applyNumberFormat="1" applyFont="1" applyFill="1" applyBorder="1"/>
    <xf numFmtId="1" fontId="10" fillId="0" borderId="11" xfId="0" applyNumberFormat="1" applyFont="1" applyFill="1" applyBorder="1"/>
    <xf numFmtId="167" fontId="10" fillId="0" borderId="11" xfId="0" applyNumberFormat="1" applyFont="1" applyFill="1" applyBorder="1"/>
    <xf numFmtId="3" fontId="10" fillId="0" borderId="11" xfId="0" applyNumberFormat="1" applyFont="1" applyFill="1" applyBorder="1" applyAlignment="1"/>
    <xf numFmtId="3" fontId="10" fillId="0" borderId="12" xfId="0" applyNumberFormat="1" applyFont="1" applyFill="1" applyBorder="1"/>
    <xf numFmtId="2" fontId="10" fillId="0" borderId="12" xfId="0" applyNumberFormat="1" applyFont="1" applyFill="1" applyBorder="1"/>
    <xf numFmtId="4" fontId="10" fillId="0" borderId="12" xfId="0" applyNumberFormat="1" applyFont="1" applyFill="1" applyBorder="1"/>
    <xf numFmtId="1" fontId="10" fillId="0" borderId="12" xfId="0" applyNumberFormat="1" applyFont="1" applyFill="1" applyBorder="1"/>
    <xf numFmtId="3" fontId="10" fillId="0" borderId="6" xfId="0" applyNumberFormat="1" applyFont="1" applyFill="1" applyBorder="1" applyAlignment="1"/>
    <xf numFmtId="1" fontId="6" fillId="0" borderId="2" xfId="0" applyNumberFormat="1" applyFont="1" applyFill="1" applyBorder="1" applyAlignment="1">
      <alignment horizontal="center"/>
    </xf>
    <xf numFmtId="3" fontId="10" fillId="0" borderId="12" xfId="0" applyNumberFormat="1" applyFont="1" applyFill="1" applyBorder="1" applyAlignment="1"/>
    <xf numFmtId="0" fontId="10" fillId="0" borderId="13" xfId="0" applyFont="1" applyBorder="1"/>
    <xf numFmtId="1" fontId="6" fillId="0" borderId="13" xfId="0" applyNumberFormat="1" applyFont="1" applyBorder="1"/>
    <xf numFmtId="0" fontId="10" fillId="0" borderId="12" xfId="0" applyFont="1" applyBorder="1"/>
    <xf numFmtId="0" fontId="6" fillId="0" borderId="12" xfId="0" applyFont="1" applyBorder="1"/>
    <xf numFmtId="1" fontId="6" fillId="0" borderId="12" xfId="0" applyNumberFormat="1" applyFont="1" applyBorder="1"/>
    <xf numFmtId="3" fontId="6" fillId="0" borderId="12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/>
    <xf numFmtId="164" fontId="10" fillId="0" borderId="11" xfId="0" applyNumberFormat="1" applyFont="1" applyFill="1" applyBorder="1"/>
    <xf numFmtId="3" fontId="6" fillId="0" borderId="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/>
    </xf>
    <xf numFmtId="164" fontId="13" fillId="0" borderId="5" xfId="0" applyNumberFormat="1" applyFont="1" applyFill="1" applyBorder="1"/>
    <xf numFmtId="164" fontId="13" fillId="0" borderId="4" xfId="0" applyNumberFormat="1" applyFont="1" applyFill="1" applyBorder="1"/>
    <xf numFmtId="2" fontId="13" fillId="0" borderId="4" xfId="0" applyNumberFormat="1" applyFont="1" applyFill="1" applyBorder="1"/>
    <xf numFmtId="3" fontId="13" fillId="0" borderId="4" xfId="1" applyNumberFormat="1" applyFont="1" applyFill="1" applyBorder="1" applyAlignment="1">
      <alignment horizontal="left"/>
    </xf>
    <xf numFmtId="3" fontId="3" fillId="0" borderId="4" xfId="1" applyNumberFormat="1" applyFont="1" applyFill="1" applyBorder="1" applyAlignment="1">
      <alignment horizontal="left"/>
    </xf>
    <xf numFmtId="2" fontId="6" fillId="0" borderId="2" xfId="0" applyNumberFormat="1" applyFont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/>
    </xf>
    <xf numFmtId="3" fontId="7" fillId="0" borderId="20" xfId="1" applyNumberFormat="1" applyFont="1" applyFill="1" applyBorder="1" applyAlignment="1">
      <alignment horizontal="left"/>
    </xf>
    <xf numFmtId="3" fontId="10" fillId="0" borderId="20" xfId="0" applyNumberFormat="1" applyFont="1" applyFill="1" applyBorder="1"/>
    <xf numFmtId="2" fontId="10" fillId="0" borderId="20" xfId="0" applyNumberFormat="1" applyFont="1" applyFill="1" applyBorder="1"/>
    <xf numFmtId="4" fontId="10" fillId="0" borderId="20" xfId="0" applyNumberFormat="1" applyFont="1" applyFill="1" applyBorder="1"/>
    <xf numFmtId="1" fontId="10" fillId="0" borderId="20" xfId="0" applyNumberFormat="1" applyFont="1" applyFill="1" applyBorder="1"/>
    <xf numFmtId="3" fontId="10" fillId="0" borderId="20" xfId="0" applyNumberFormat="1" applyFont="1" applyFill="1" applyBorder="1" applyAlignment="1"/>
    <xf numFmtId="2" fontId="3" fillId="0" borderId="0" xfId="0" applyNumberFormat="1" applyFont="1"/>
    <xf numFmtId="167" fontId="6" fillId="0" borderId="2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/>
    <xf numFmtId="3" fontId="13" fillId="0" borderId="11" xfId="0" applyNumberFormat="1" applyFont="1" applyFill="1" applyBorder="1" applyAlignment="1"/>
    <xf numFmtId="3" fontId="13" fillId="0" borderId="4" xfId="0" applyNumberFormat="1" applyFont="1" applyFill="1" applyBorder="1" applyAlignment="1"/>
    <xf numFmtId="2" fontId="11" fillId="0" borderId="2" xfId="0" applyNumberFormat="1" applyFont="1" applyFill="1" applyBorder="1"/>
    <xf numFmtId="4" fontId="11" fillId="0" borderId="2" xfId="0" applyNumberFormat="1" applyFont="1" applyBorder="1"/>
    <xf numFmtId="4" fontId="12" fillId="0" borderId="2" xfId="0" applyNumberFormat="1" applyFont="1" applyBorder="1"/>
    <xf numFmtId="2" fontId="6" fillId="2" borderId="3" xfId="0" applyNumberFormat="1" applyFont="1" applyFill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167" fontId="13" fillId="0" borderId="4" xfId="0" applyNumberFormat="1" applyFont="1" applyFill="1" applyBorder="1"/>
    <xf numFmtId="0" fontId="6" fillId="0" borderId="13" xfId="0" applyFont="1" applyFill="1" applyBorder="1" applyAlignment="1">
      <alignment vertical="center"/>
    </xf>
    <xf numFmtId="4" fontId="10" fillId="2" borderId="4" xfId="0" applyNumberFormat="1" applyFont="1" applyFill="1" applyBorder="1"/>
    <xf numFmtId="4" fontId="10" fillId="2" borderId="20" xfId="0" applyNumberFormat="1" applyFont="1" applyFill="1" applyBorder="1"/>
    <xf numFmtId="164" fontId="11" fillId="2" borderId="6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6" fillId="2" borderId="2" xfId="0" applyNumberFormat="1" applyFont="1" applyFill="1" applyBorder="1" applyAlignment="1"/>
    <xf numFmtId="167" fontId="10" fillId="2" borderId="11" xfId="0" applyNumberFormat="1" applyFont="1" applyFill="1" applyBorder="1"/>
    <xf numFmtId="167" fontId="10" fillId="2" borderId="4" xfId="0" applyNumberFormat="1" applyFont="1" applyFill="1" applyBorder="1"/>
    <xf numFmtId="1" fontId="10" fillId="2" borderId="4" xfId="0" applyNumberFormat="1" applyFont="1" applyFill="1" applyBorder="1"/>
    <xf numFmtId="3" fontId="10" fillId="2" borderId="4" xfId="0" applyNumberFormat="1" applyFont="1" applyFill="1" applyBorder="1" applyAlignment="1"/>
    <xf numFmtId="3" fontId="10" fillId="2" borderId="11" xfId="0" applyNumberFormat="1" applyFont="1" applyFill="1" applyBorder="1" applyAlignment="1"/>
    <xf numFmtId="3" fontId="10" fillId="0" borderId="4" xfId="1" applyNumberFormat="1" applyFont="1" applyFill="1" applyBorder="1" applyAlignment="1">
      <alignment horizontal="left"/>
    </xf>
    <xf numFmtId="0" fontId="2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/>
    <xf numFmtId="0" fontId="7" fillId="0" borderId="2" xfId="0" applyFont="1" applyFill="1" applyBorder="1" applyAlignment="1">
      <alignment horizontal="center"/>
    </xf>
    <xf numFmtId="2" fontId="10" fillId="0" borderId="2" xfId="0" applyNumberFormat="1" applyFont="1" applyFill="1" applyBorder="1"/>
    <xf numFmtId="4" fontId="13" fillId="0" borderId="2" xfId="0" applyNumberFormat="1" applyFont="1" applyFill="1" applyBorder="1"/>
    <xf numFmtId="3" fontId="10" fillId="0" borderId="2" xfId="0" applyNumberFormat="1" applyFont="1" applyFill="1" applyBorder="1" applyAlignment="1"/>
    <xf numFmtId="0" fontId="7" fillId="0" borderId="5" xfId="0" applyFont="1" applyFill="1" applyBorder="1"/>
    <xf numFmtId="4" fontId="13" fillId="0" borderId="5" xfId="0" applyNumberFormat="1" applyFont="1" applyFill="1" applyBorder="1"/>
    <xf numFmtId="0" fontId="7" fillId="0" borderId="2" xfId="0" applyFont="1" applyFill="1" applyBorder="1"/>
    <xf numFmtId="164" fontId="13" fillId="0" borderId="2" xfId="0" applyNumberFormat="1" applyFont="1" applyFill="1" applyBorder="1"/>
    <xf numFmtId="164" fontId="10" fillId="0" borderId="2" xfId="0" applyNumberFormat="1" applyFont="1" applyFill="1" applyBorder="1"/>
    <xf numFmtId="167" fontId="10" fillId="0" borderId="2" xfId="0" applyNumberFormat="1" applyFont="1" applyFill="1" applyBorder="1"/>
    <xf numFmtId="3" fontId="7" fillId="2" borderId="4" xfId="1" applyNumberFormat="1" applyFont="1" applyFill="1" applyBorder="1" applyAlignment="1">
      <alignment horizontal="left"/>
    </xf>
    <xf numFmtId="2" fontId="6" fillId="0" borderId="13" xfId="0" applyNumberFormat="1" applyFont="1" applyBorder="1" applyAlignment="1">
      <alignment vertical="center"/>
    </xf>
    <xf numFmtId="2" fontId="6" fillId="0" borderId="13" xfId="0" applyNumberFormat="1" applyFont="1" applyFill="1" applyBorder="1" applyAlignment="1">
      <alignment vertical="center"/>
    </xf>
    <xf numFmtId="2" fontId="6" fillId="2" borderId="13" xfId="0" applyNumberFormat="1" applyFont="1" applyFill="1" applyBorder="1" applyAlignment="1">
      <alignment vertical="center"/>
    </xf>
    <xf numFmtId="3" fontId="9" fillId="0" borderId="4" xfId="2" applyNumberFormat="1" applyFont="1" applyFill="1" applyBorder="1" applyAlignment="1">
      <alignment horizontal="left" vertical="center" wrapText="1"/>
    </xf>
    <xf numFmtId="3" fontId="9" fillId="0" borderId="2" xfId="2" applyNumberFormat="1" applyFont="1" applyFill="1" applyBorder="1" applyAlignment="1">
      <alignment horizontal="left" vertical="center" wrapText="1"/>
    </xf>
    <xf numFmtId="167" fontId="13" fillId="0" borderId="2" xfId="0" applyNumberFormat="1" applyFont="1" applyFill="1" applyBorder="1"/>
    <xf numFmtId="1" fontId="6" fillId="0" borderId="2" xfId="0" applyNumberFormat="1" applyFont="1" applyFill="1" applyBorder="1" applyAlignment="1">
      <alignment vertical="center"/>
    </xf>
    <xf numFmtId="3" fontId="3" fillId="0" borderId="0" xfId="0" applyNumberFormat="1" applyFont="1" applyFill="1"/>
    <xf numFmtId="3" fontId="13" fillId="0" borderId="2" xfId="0" applyNumberFormat="1" applyFont="1" applyFill="1" applyBorder="1" applyAlignment="1"/>
    <xf numFmtId="0" fontId="2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textRotation="45"/>
    </xf>
    <xf numFmtId="3" fontId="11" fillId="0" borderId="3" xfId="0" applyNumberFormat="1" applyFont="1" applyFill="1" applyBorder="1" applyAlignment="1">
      <alignment horizontal="center" vertical="center" textRotation="45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3" fontId="11" fillId="0" borderId="13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12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164" fontId="12" fillId="0" borderId="14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67" fontId="6" fillId="0" borderId="15" xfId="0" applyNumberFormat="1" applyFont="1" applyBorder="1" applyAlignment="1">
      <alignment horizontal="center" vertical="center"/>
    </xf>
    <xf numFmtId="167" fontId="6" fillId="0" borderId="6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3" fontId="6" fillId="0" borderId="13" xfId="0" applyNumberFormat="1" applyFont="1" applyFill="1" applyBorder="1" applyAlignment="1">
      <alignment horizontal="center" vertical="center" textRotation="45"/>
    </xf>
    <xf numFmtId="3" fontId="6" fillId="0" borderId="3" xfId="0" applyNumberFormat="1" applyFont="1" applyFill="1" applyBorder="1" applyAlignment="1">
      <alignment horizontal="center" vertical="center" textRotation="45"/>
    </xf>
    <xf numFmtId="164" fontId="12" fillId="0" borderId="13" xfId="0" applyNumberFormat="1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5" fontId="6" fillId="2" borderId="15" xfId="0" applyNumberFormat="1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2" fontId="11" fillId="0" borderId="1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/>
    </xf>
    <xf numFmtId="2" fontId="6" fillId="0" borderId="6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" fontId="10" fillId="2" borderId="11" xfId="0" applyNumberFormat="1" applyFont="1" applyFill="1" applyBorder="1"/>
    <xf numFmtId="4" fontId="3" fillId="0" borderId="0" xfId="0" applyNumberFormat="1" applyFont="1" applyFill="1" applyBorder="1"/>
    <xf numFmtId="1" fontId="3" fillId="0" borderId="0" xfId="0" applyNumberFormat="1" applyFont="1" applyFill="1" applyBorder="1"/>
    <xf numFmtId="167" fontId="3" fillId="0" borderId="0" xfId="0" applyNumberFormat="1" applyFont="1" applyFill="1" applyBorder="1"/>
    <xf numFmtId="1" fontId="10" fillId="0" borderId="5" xfId="0" applyNumberFormat="1" applyFont="1" applyFill="1" applyBorder="1"/>
    <xf numFmtId="1" fontId="10" fillId="2" borderId="5" xfId="0" applyNumberFormat="1" applyFont="1" applyFill="1" applyBorder="1"/>
    <xf numFmtId="3" fontId="9" fillId="0" borderId="2" xfId="0" applyNumberFormat="1" applyFont="1" applyFill="1" applyBorder="1" applyAlignment="1">
      <alignment horizontal="center" wrapText="1"/>
    </xf>
    <xf numFmtId="167" fontId="3" fillId="0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9" fillId="2" borderId="0" xfId="0" applyFont="1" applyFill="1" applyBorder="1"/>
    <xf numFmtId="2" fontId="3" fillId="2" borderId="0" xfId="0" applyNumberFormat="1" applyFont="1" applyFill="1" applyBorder="1"/>
    <xf numFmtId="2" fontId="3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" fontId="3" fillId="2" borderId="0" xfId="0" applyNumberFormat="1" applyFont="1" applyFill="1"/>
    <xf numFmtId="0" fontId="6" fillId="0" borderId="2" xfId="0" applyFont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/>
    </xf>
    <xf numFmtId="2" fontId="10" fillId="2" borderId="20" xfId="0" applyNumberFormat="1" applyFont="1" applyFill="1" applyBorder="1"/>
    <xf numFmtId="164" fontId="11" fillId="2" borderId="2" xfId="0" applyNumberFormat="1" applyFont="1" applyFill="1" applyBorder="1" applyAlignment="1"/>
    <xf numFmtId="0" fontId="5" fillId="2" borderId="0" xfId="0" applyFont="1" applyFill="1" applyAlignment="1">
      <alignment vertical="center"/>
    </xf>
    <xf numFmtId="2" fontId="10" fillId="2" borderId="4" xfId="0" applyNumberFormat="1" applyFont="1" applyFill="1" applyBorder="1"/>
  </cellXfs>
  <cellStyles count="3">
    <cellStyle name="Normal" xfId="0" builtinId="0"/>
    <cellStyle name="Normal_Sheet1" xfId="1"/>
    <cellStyle name="Normal_Sheet1_tinh an thang 7_tinh an thang 5 nam 201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5"/>
  <sheetViews>
    <sheetView tabSelected="1" view="pageLayout" workbookViewId="0">
      <selection activeCell="E6" sqref="E6:I9"/>
    </sheetView>
  </sheetViews>
  <sheetFormatPr defaultColWidth="9.109375" defaultRowHeight="20.399999999999999" customHeight="1"/>
  <cols>
    <col min="1" max="1" width="4" style="1" customWidth="1"/>
    <col min="2" max="2" width="12.6640625" style="1" customWidth="1"/>
    <col min="3" max="3" width="7" style="1" customWidth="1"/>
    <col min="4" max="4" width="7.44140625" style="1" customWidth="1"/>
    <col min="5" max="8" width="7.33203125" style="1" customWidth="1"/>
    <col min="9" max="9" width="7.6640625" style="1" customWidth="1"/>
    <col min="10" max="11" width="7.33203125" style="1" customWidth="1"/>
    <col min="12" max="12" width="6.44140625" style="1" customWidth="1"/>
    <col min="13" max="13" width="4.88671875" style="1" customWidth="1"/>
    <col min="14" max="14" width="11" style="1" customWidth="1"/>
    <col min="15" max="15" width="11.88671875" style="1" customWidth="1"/>
    <col min="16" max="16" width="9.109375" style="1"/>
    <col min="17" max="17" width="7" style="1" customWidth="1"/>
    <col min="18" max="18" width="9.6640625" style="1" customWidth="1"/>
    <col min="19" max="22" width="7" style="1" customWidth="1"/>
    <col min="23" max="16384" width="9.109375" style="1"/>
  </cols>
  <sheetData>
    <row r="1" spans="1:20" ht="20.399999999999999" customHeight="1">
      <c r="A1" s="10" t="s">
        <v>58</v>
      </c>
      <c r="B1" s="7"/>
      <c r="C1" s="7"/>
      <c r="D1" s="7"/>
      <c r="E1" s="7"/>
      <c r="F1" s="158" t="s">
        <v>30</v>
      </c>
      <c r="G1" s="158"/>
      <c r="H1" s="158"/>
      <c r="I1" s="158"/>
      <c r="J1" s="158"/>
      <c r="K1" s="158"/>
      <c r="L1" s="158"/>
      <c r="M1" s="158"/>
      <c r="N1" s="158"/>
      <c r="O1" s="300"/>
      <c r="P1" s="300"/>
      <c r="T1" s="2"/>
    </row>
    <row r="2" spans="1:20" ht="20.399999999999999" customHeight="1">
      <c r="A2" s="10"/>
      <c r="B2" s="7"/>
      <c r="C2" s="7"/>
      <c r="D2" s="7"/>
      <c r="E2" s="7"/>
      <c r="F2" s="139"/>
      <c r="G2" s="139"/>
      <c r="H2" s="139"/>
      <c r="I2" s="139"/>
      <c r="J2" s="139"/>
      <c r="K2" s="139"/>
      <c r="L2" s="139"/>
      <c r="M2" s="139"/>
      <c r="N2" s="139"/>
      <c r="O2" s="300"/>
      <c r="P2" s="300"/>
      <c r="T2" s="2"/>
    </row>
    <row r="3" spans="1:20" ht="20.399999999999999" customHeight="1">
      <c r="A3" s="7" t="s">
        <v>158</v>
      </c>
      <c r="B3" s="7"/>
      <c r="C3" s="7"/>
      <c r="D3" s="7"/>
      <c r="E3" s="7"/>
      <c r="F3" s="139"/>
      <c r="G3" s="139"/>
      <c r="H3" s="139"/>
      <c r="I3" s="139"/>
      <c r="J3" s="139"/>
      <c r="K3" s="139"/>
      <c r="L3" s="139"/>
      <c r="M3" s="139"/>
      <c r="N3" s="139"/>
      <c r="O3" s="300"/>
      <c r="P3" s="300"/>
      <c r="T3" s="2"/>
    </row>
    <row r="4" spans="1:20" ht="20.399999999999999" customHeight="1">
      <c r="A4" s="7"/>
      <c r="B4" s="7"/>
      <c r="C4" s="7"/>
      <c r="D4" s="7"/>
      <c r="E4" s="7"/>
      <c r="F4" s="139"/>
      <c r="G4" s="139"/>
      <c r="H4" s="139"/>
      <c r="I4" s="139"/>
      <c r="J4" s="139"/>
      <c r="K4" s="139"/>
      <c r="L4" s="139"/>
      <c r="M4" s="139"/>
      <c r="N4" s="139"/>
      <c r="O4" s="300"/>
      <c r="P4" s="300"/>
      <c r="T4" s="2"/>
    </row>
    <row r="5" spans="1:20" s="2" customFormat="1" ht="19.8" customHeight="1">
      <c r="A5" s="159" t="s">
        <v>92</v>
      </c>
      <c r="B5" s="159"/>
      <c r="C5" s="159"/>
      <c r="D5" s="159"/>
      <c r="E5" s="159" t="s">
        <v>90</v>
      </c>
      <c r="F5" s="159"/>
      <c r="G5" s="159"/>
      <c r="H5" s="159"/>
      <c r="I5" s="159"/>
      <c r="J5" s="159"/>
      <c r="K5" s="159"/>
      <c r="L5" s="159"/>
      <c r="M5" s="159"/>
      <c r="N5" s="159"/>
      <c r="O5" s="301"/>
    </row>
    <row r="6" spans="1:20" s="2" customFormat="1" ht="19.8" customHeight="1">
      <c r="A6" s="160" t="s">
        <v>81</v>
      </c>
      <c r="B6" s="160"/>
      <c r="C6" s="160"/>
      <c r="D6" s="160"/>
      <c r="E6" s="161" t="s">
        <v>125</v>
      </c>
      <c r="F6" s="161"/>
      <c r="G6" s="161"/>
      <c r="H6" s="161"/>
      <c r="I6" s="161"/>
      <c r="J6" s="162" t="s">
        <v>120</v>
      </c>
      <c r="K6" s="163"/>
      <c r="L6" s="163"/>
      <c r="M6" s="163"/>
      <c r="N6" s="164"/>
      <c r="O6" s="301"/>
    </row>
    <row r="7" spans="1:20" s="2" customFormat="1" ht="19.8" customHeight="1">
      <c r="A7" s="171" t="s">
        <v>140</v>
      </c>
      <c r="B7" s="171"/>
      <c r="C7" s="171"/>
      <c r="D7" s="171"/>
      <c r="E7" s="161"/>
      <c r="F7" s="161"/>
      <c r="G7" s="161"/>
      <c r="H7" s="161"/>
      <c r="I7" s="161"/>
      <c r="J7" s="165"/>
      <c r="K7" s="166"/>
      <c r="L7" s="166"/>
      <c r="M7" s="166"/>
      <c r="N7" s="167"/>
      <c r="O7" s="301"/>
    </row>
    <row r="8" spans="1:20" s="2" customFormat="1" ht="19.8" customHeight="1">
      <c r="A8" s="175" t="s">
        <v>143</v>
      </c>
      <c r="B8" s="176"/>
      <c r="C8" s="176"/>
      <c r="D8" s="177"/>
      <c r="E8" s="161"/>
      <c r="F8" s="161"/>
      <c r="G8" s="161"/>
      <c r="H8" s="161"/>
      <c r="I8" s="161"/>
      <c r="J8" s="165"/>
      <c r="K8" s="166"/>
      <c r="L8" s="166"/>
      <c r="M8" s="166"/>
      <c r="N8" s="167"/>
      <c r="O8" s="301"/>
    </row>
    <row r="9" spans="1:20" s="2" customFormat="1" ht="19.8" customHeight="1">
      <c r="A9" s="172" t="s">
        <v>144</v>
      </c>
      <c r="B9" s="172"/>
      <c r="C9" s="172"/>
      <c r="D9" s="172"/>
      <c r="E9" s="161"/>
      <c r="F9" s="161"/>
      <c r="G9" s="161"/>
      <c r="H9" s="161"/>
      <c r="I9" s="161"/>
      <c r="J9" s="168"/>
      <c r="K9" s="169"/>
      <c r="L9" s="169"/>
      <c r="M9" s="169"/>
      <c r="N9" s="170"/>
      <c r="O9" s="301"/>
    </row>
    <row r="10" spans="1:20" s="2" customFormat="1" ht="19.8" customHeight="1">
      <c r="A10" s="142" t="s">
        <v>109</v>
      </c>
      <c r="B10" s="143"/>
      <c r="C10" s="144"/>
      <c r="D10" s="97">
        <v>148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301"/>
    </row>
    <row r="11" spans="1:20" ht="19.8" customHeight="1">
      <c r="A11" s="145" t="s">
        <v>0</v>
      </c>
      <c r="B11" s="148" t="s">
        <v>19</v>
      </c>
      <c r="C11" s="151" t="s">
        <v>8</v>
      </c>
      <c r="D11" s="151" t="s">
        <v>9</v>
      </c>
      <c r="E11" s="154" t="s">
        <v>11</v>
      </c>
      <c r="F11" s="155"/>
      <c r="G11" s="154" t="s">
        <v>13</v>
      </c>
      <c r="H11" s="155"/>
      <c r="I11" s="173" t="s">
        <v>16</v>
      </c>
      <c r="J11" s="173" t="s">
        <v>32</v>
      </c>
      <c r="K11" s="173" t="s">
        <v>33</v>
      </c>
      <c r="L11" s="173" t="s">
        <v>17</v>
      </c>
      <c r="M11" s="173" t="s">
        <v>34</v>
      </c>
      <c r="N11" s="145" t="s">
        <v>18</v>
      </c>
      <c r="O11" s="302"/>
    </row>
    <row r="12" spans="1:20" ht="19.8" customHeight="1">
      <c r="A12" s="146"/>
      <c r="B12" s="149"/>
      <c r="C12" s="152"/>
      <c r="D12" s="152"/>
      <c r="E12" s="156"/>
      <c r="F12" s="157"/>
      <c r="G12" s="156"/>
      <c r="H12" s="157"/>
      <c r="I12" s="181"/>
      <c r="J12" s="181"/>
      <c r="K12" s="181"/>
      <c r="L12" s="181"/>
      <c r="M12" s="181"/>
      <c r="N12" s="146"/>
      <c r="O12" s="136"/>
    </row>
    <row r="13" spans="1:20" ht="19.8" customHeight="1">
      <c r="A13" s="146"/>
      <c r="B13" s="149"/>
      <c r="C13" s="152"/>
      <c r="D13" s="152"/>
      <c r="E13" s="173" t="s">
        <v>10</v>
      </c>
      <c r="F13" s="173" t="s">
        <v>12</v>
      </c>
      <c r="G13" s="173" t="s">
        <v>14</v>
      </c>
      <c r="H13" s="173" t="s">
        <v>15</v>
      </c>
      <c r="I13" s="181"/>
      <c r="J13" s="181"/>
      <c r="K13" s="181"/>
      <c r="L13" s="181"/>
      <c r="M13" s="181"/>
      <c r="N13" s="146"/>
      <c r="O13" s="136"/>
    </row>
    <row r="14" spans="1:20" ht="19.8" customHeight="1">
      <c r="A14" s="147"/>
      <c r="B14" s="150"/>
      <c r="C14" s="153"/>
      <c r="D14" s="153"/>
      <c r="E14" s="174"/>
      <c r="F14" s="174"/>
      <c r="G14" s="174"/>
      <c r="H14" s="174"/>
      <c r="I14" s="174"/>
      <c r="J14" s="174"/>
      <c r="K14" s="174"/>
      <c r="L14" s="174"/>
      <c r="M14" s="174"/>
      <c r="N14" s="147"/>
      <c r="O14" s="136"/>
    </row>
    <row r="15" spans="1:20" ht="19.2" customHeight="1">
      <c r="A15" s="178" t="s">
        <v>35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80"/>
      <c r="O15" s="136"/>
    </row>
    <row r="16" spans="1:20" s="2" customFormat="1" ht="19.2" customHeight="1">
      <c r="A16" s="37">
        <v>1</v>
      </c>
      <c r="B16" s="38" t="s">
        <v>2</v>
      </c>
      <c r="C16" s="39">
        <f>L16/100*100</f>
        <v>200</v>
      </c>
      <c r="D16" s="40">
        <f>C16/100*60</f>
        <v>120</v>
      </c>
      <c r="E16" s="41">
        <f>C16/100*15</f>
        <v>30</v>
      </c>
      <c r="F16" s="41"/>
      <c r="G16" s="41"/>
      <c r="H16" s="41"/>
      <c r="I16" s="41"/>
      <c r="J16" s="41">
        <f>C16/100*387</f>
        <v>774</v>
      </c>
      <c r="K16" s="41">
        <f>C16/100*0.09</f>
        <v>0.18</v>
      </c>
      <c r="L16" s="303">
        <v>200</v>
      </c>
      <c r="M16" s="43">
        <v>20</v>
      </c>
      <c r="N16" s="44">
        <f>L16*M16</f>
        <v>4000</v>
      </c>
      <c r="O16" s="304"/>
    </row>
    <row r="17" spans="1:20" s="2" customFormat="1" ht="19.2" customHeight="1">
      <c r="A17" s="8">
        <v>2</v>
      </c>
      <c r="B17" s="9" t="s">
        <v>118</v>
      </c>
      <c r="C17" s="12">
        <f>L17/100*100</f>
        <v>780</v>
      </c>
      <c r="D17" s="64">
        <f>C17/100*899</f>
        <v>7012.2</v>
      </c>
      <c r="E17" s="14"/>
      <c r="F17" s="14"/>
      <c r="G17" s="89">
        <f>C17/100*99.6</f>
        <v>776.87999999999988</v>
      </c>
      <c r="H17" s="14"/>
      <c r="I17" s="14"/>
      <c r="J17" s="14"/>
      <c r="K17" s="14"/>
      <c r="L17" s="109">
        <v>780</v>
      </c>
      <c r="M17" s="64">
        <v>68</v>
      </c>
      <c r="N17" s="91">
        <f t="shared" ref="N17:N28" si="0">L17*M17</f>
        <v>53040</v>
      </c>
      <c r="O17" s="305"/>
    </row>
    <row r="18" spans="1:20" s="2" customFormat="1" ht="19.2" customHeight="1">
      <c r="A18" s="8">
        <v>3</v>
      </c>
      <c r="B18" s="9" t="s">
        <v>121</v>
      </c>
      <c r="C18" s="12">
        <f>L18/100*100</f>
        <v>180</v>
      </c>
      <c r="D18" s="64">
        <f>C18/100*900</f>
        <v>1620</v>
      </c>
      <c r="E18" s="14"/>
      <c r="F18" s="14"/>
      <c r="G18" s="89"/>
      <c r="H18" s="14">
        <f>C18/100*100</f>
        <v>180</v>
      </c>
      <c r="I18" s="14"/>
      <c r="J18" s="14"/>
      <c r="K18" s="14"/>
      <c r="L18" s="109">
        <v>180</v>
      </c>
      <c r="M18" s="64">
        <v>63.5</v>
      </c>
      <c r="N18" s="91">
        <f t="shared" si="0"/>
        <v>11430</v>
      </c>
      <c r="O18" s="305"/>
    </row>
    <row r="19" spans="1:20" s="2" customFormat="1" ht="19.2" customHeight="1">
      <c r="A19" s="8">
        <v>4</v>
      </c>
      <c r="B19" s="5" t="s">
        <v>1</v>
      </c>
      <c r="C19" s="12">
        <f>L19/100*100</f>
        <v>14060</v>
      </c>
      <c r="D19" s="64">
        <f>C19/100*344</f>
        <v>48366.400000000001</v>
      </c>
      <c r="E19" s="14"/>
      <c r="F19" s="89">
        <f>C19/100*7.9</f>
        <v>1110.74</v>
      </c>
      <c r="G19" s="14"/>
      <c r="H19" s="14">
        <f>C19/100*1</f>
        <v>140.6</v>
      </c>
      <c r="I19" s="14">
        <f>C19/100*68.2</f>
        <v>9588.92</v>
      </c>
      <c r="J19" s="89">
        <f>C19/100*30</f>
        <v>4218</v>
      </c>
      <c r="K19" s="14">
        <f>C19/100*0.1</f>
        <v>14.06</v>
      </c>
      <c r="L19" s="109">
        <v>14060</v>
      </c>
      <c r="M19" s="20">
        <v>18</v>
      </c>
      <c r="N19" s="90">
        <f t="shared" si="0"/>
        <v>253080</v>
      </c>
      <c r="O19" s="304"/>
    </row>
    <row r="20" spans="1:20" s="2" customFormat="1" ht="19.2" customHeight="1">
      <c r="A20" s="8">
        <v>5</v>
      </c>
      <c r="B20" s="9" t="s">
        <v>29</v>
      </c>
      <c r="C20" s="12">
        <f>L20/100*100</f>
        <v>120</v>
      </c>
      <c r="D20" s="13">
        <f>C20/100*390</f>
        <v>468</v>
      </c>
      <c r="E20" s="14"/>
      <c r="F20" s="14"/>
      <c r="G20" s="14"/>
      <c r="H20" s="14"/>
      <c r="I20" s="14">
        <f>C20/100*97.4</f>
        <v>116.88</v>
      </c>
      <c r="J20" s="22">
        <f>C20/100*178</f>
        <v>213.6</v>
      </c>
      <c r="K20" s="22">
        <f>C20/100*0.05</f>
        <v>0.06</v>
      </c>
      <c r="L20" s="109">
        <v>120</v>
      </c>
      <c r="M20" s="20">
        <v>25</v>
      </c>
      <c r="N20" s="16">
        <f t="shared" si="0"/>
        <v>3000</v>
      </c>
      <c r="O20" s="306"/>
    </row>
    <row r="21" spans="1:20" s="2" customFormat="1" ht="19.2" customHeight="1">
      <c r="A21" s="8">
        <v>6</v>
      </c>
      <c r="B21" s="5" t="s">
        <v>4</v>
      </c>
      <c r="C21" s="12">
        <f>L21/100*98</f>
        <v>4547.2</v>
      </c>
      <c r="D21" s="13">
        <f>C21/100*118</f>
        <v>5365.6959999999999</v>
      </c>
      <c r="E21" s="89">
        <f>C21/100*28</f>
        <v>1273.2160000000001</v>
      </c>
      <c r="F21" s="14"/>
      <c r="G21" s="14">
        <f>C21/100*3.8</f>
        <v>172.7936</v>
      </c>
      <c r="H21" s="14"/>
      <c r="I21" s="14"/>
      <c r="J21" s="22">
        <f>C21/100*12</f>
        <v>545.66399999999999</v>
      </c>
      <c r="K21" s="22">
        <f>C21/100*0.1</f>
        <v>4.5472000000000001</v>
      </c>
      <c r="L21" s="109">
        <v>4640</v>
      </c>
      <c r="M21" s="15">
        <v>250</v>
      </c>
      <c r="N21" s="91">
        <f t="shared" si="0"/>
        <v>1160000</v>
      </c>
      <c r="O21" s="304"/>
      <c r="Q21" s="3"/>
      <c r="R21" s="3"/>
      <c r="S21" s="4"/>
    </row>
    <row r="22" spans="1:20" s="2" customFormat="1" ht="19.2" customHeight="1">
      <c r="A22" s="8">
        <v>7</v>
      </c>
      <c r="B22" s="5" t="s">
        <v>20</v>
      </c>
      <c r="C22" s="12">
        <f>L22/100*95</f>
        <v>712.5</v>
      </c>
      <c r="D22" s="13">
        <f>C22/100*20</f>
        <v>142.5</v>
      </c>
      <c r="E22" s="14"/>
      <c r="F22" s="14">
        <f>C22/100*0.6</f>
        <v>4.2749999999999995</v>
      </c>
      <c r="G22" s="14"/>
      <c r="H22" s="14">
        <f>C22/100*0.2</f>
        <v>1.425</v>
      </c>
      <c r="I22" s="14">
        <f>C22/100*4</f>
        <v>28.5</v>
      </c>
      <c r="J22" s="21">
        <f>C22/100*12</f>
        <v>85.5</v>
      </c>
      <c r="K22" s="21">
        <f>C22/100*0.04</f>
        <v>0.28500000000000003</v>
      </c>
      <c r="L22" s="308">
        <v>750</v>
      </c>
      <c r="M22" s="20">
        <v>30</v>
      </c>
      <c r="N22" s="16">
        <f t="shared" si="0"/>
        <v>22500</v>
      </c>
      <c r="O22" s="304"/>
      <c r="Q22" s="3"/>
      <c r="R22" s="3"/>
    </row>
    <row r="23" spans="1:20" s="2" customFormat="1" ht="19.2" customHeight="1">
      <c r="A23" s="8">
        <v>8</v>
      </c>
      <c r="B23" s="5" t="s">
        <v>3</v>
      </c>
      <c r="C23" s="12">
        <f>L23/100*48</f>
        <v>849.59999999999991</v>
      </c>
      <c r="D23" s="13">
        <f>C23/100*199</f>
        <v>1690.7039999999997</v>
      </c>
      <c r="E23" s="14">
        <f>C23/100*25.3</f>
        <v>214.94879999999998</v>
      </c>
      <c r="F23" s="14"/>
      <c r="G23" s="14">
        <f>C23/100*13.1</f>
        <v>111.29759999999997</v>
      </c>
      <c r="H23" s="14"/>
      <c r="I23" s="14"/>
      <c r="J23" s="22">
        <f>C23/100*12</f>
        <v>101.95199999999998</v>
      </c>
      <c r="K23" s="22">
        <f>C23/100*0.15</f>
        <v>1.2743999999999998</v>
      </c>
      <c r="L23" s="109">
        <v>1770</v>
      </c>
      <c r="M23" s="15">
        <v>84</v>
      </c>
      <c r="N23" s="16">
        <f t="shared" si="0"/>
        <v>148680</v>
      </c>
      <c r="O23" s="304"/>
      <c r="Q23" s="3"/>
      <c r="R23" s="3"/>
      <c r="S23" s="4"/>
    </row>
    <row r="24" spans="1:20" s="2" customFormat="1" ht="19.2" customHeight="1">
      <c r="A24" s="8">
        <v>9</v>
      </c>
      <c r="B24" s="9" t="s">
        <v>122</v>
      </c>
      <c r="C24" s="12">
        <f>L24/100*92</f>
        <v>1094.8</v>
      </c>
      <c r="D24" s="13">
        <f>C24/100*58</f>
        <v>634.98400000000004</v>
      </c>
      <c r="E24" s="14">
        <f>C24/100*11.7</f>
        <v>128.0916</v>
      </c>
      <c r="F24" s="14"/>
      <c r="G24" s="14">
        <f>C24/100*1.2</f>
        <v>13.137600000000001</v>
      </c>
      <c r="H24" s="14"/>
      <c r="I24" s="14"/>
      <c r="J24" s="63">
        <f>C24/100*910</f>
        <v>9962.68</v>
      </c>
      <c r="K24" s="22"/>
      <c r="L24" s="109">
        <v>1190</v>
      </c>
      <c r="M24" s="100">
        <v>155</v>
      </c>
      <c r="N24" s="16">
        <f t="shared" si="0"/>
        <v>184450</v>
      </c>
      <c r="O24" s="304"/>
    </row>
    <row r="25" spans="1:20" s="2" customFormat="1" ht="19.2" customHeight="1">
      <c r="A25" s="8">
        <v>10</v>
      </c>
      <c r="B25" s="5" t="s">
        <v>128</v>
      </c>
      <c r="C25" s="12">
        <f>L25/100*81</f>
        <v>1806.3</v>
      </c>
      <c r="D25" s="13">
        <f>C25/100*17</f>
        <v>307.07099999999997</v>
      </c>
      <c r="E25" s="17"/>
      <c r="F25" s="17">
        <f>C25/100*0.9</f>
        <v>16.256699999999999</v>
      </c>
      <c r="G25" s="17"/>
      <c r="H25" s="17">
        <f>C25/100*0.2</f>
        <v>3.6126</v>
      </c>
      <c r="I25" s="17">
        <f>C25/100*2.8</f>
        <v>50.576399999999992</v>
      </c>
      <c r="J25" s="14">
        <f>C25/100*28</f>
        <v>505.76399999999995</v>
      </c>
      <c r="K25" s="22">
        <f>C25/100*0.04</f>
        <v>0.72251999999999994</v>
      </c>
      <c r="L25" s="308">
        <v>2230</v>
      </c>
      <c r="M25" s="20">
        <v>20</v>
      </c>
      <c r="N25" s="16">
        <f t="shared" si="0"/>
        <v>44600</v>
      </c>
      <c r="O25" s="304"/>
      <c r="P25" s="3"/>
    </row>
    <row r="26" spans="1:20" s="2" customFormat="1" ht="19.2" customHeight="1">
      <c r="A26" s="8">
        <v>11</v>
      </c>
      <c r="B26" s="5" t="s">
        <v>145</v>
      </c>
      <c r="C26" s="12">
        <f>L26/100*65</f>
        <v>3373.5</v>
      </c>
      <c r="D26" s="13">
        <f>C26/100*14</f>
        <v>472.28999999999996</v>
      </c>
      <c r="E26" s="14"/>
      <c r="F26" s="14">
        <f>C26/100*1.6</f>
        <v>53.975999999999999</v>
      </c>
      <c r="G26" s="14"/>
      <c r="H26" s="14"/>
      <c r="I26" s="14">
        <f>C26/100*1.9</f>
        <v>64.096499999999992</v>
      </c>
      <c r="J26" s="89">
        <f>C26/100*63</f>
        <v>2125.3049999999998</v>
      </c>
      <c r="K26" s="14">
        <f>C26/100*0.01</f>
        <v>0.33734999999999998</v>
      </c>
      <c r="L26" s="109">
        <v>5190</v>
      </c>
      <c r="M26" s="20">
        <v>18</v>
      </c>
      <c r="N26" s="16">
        <f t="shared" si="0"/>
        <v>93420</v>
      </c>
      <c r="O26" s="304"/>
    </row>
    <row r="27" spans="1:20" s="2" customFormat="1" ht="19.2" customHeight="1">
      <c r="A27" s="8">
        <v>12</v>
      </c>
      <c r="B27" s="5" t="s">
        <v>152</v>
      </c>
      <c r="C27" s="12">
        <f>L27/100*78</f>
        <v>1755</v>
      </c>
      <c r="D27" s="13">
        <f>C27/100*37</f>
        <v>649.35</v>
      </c>
      <c r="E27" s="14"/>
      <c r="F27" s="14">
        <f>C27/100*2.8</f>
        <v>49.14</v>
      </c>
      <c r="G27" s="14"/>
      <c r="H27" s="14">
        <f>C27/100*0.1</f>
        <v>1.7550000000000001</v>
      </c>
      <c r="I27" s="14">
        <f>C27/100*6.2</f>
        <v>108.81</v>
      </c>
      <c r="J27" s="63">
        <f>C27/100*46</f>
        <v>807.30000000000007</v>
      </c>
      <c r="K27" s="22">
        <f>C27/100*0.06</f>
        <v>1.0529999999999999</v>
      </c>
      <c r="L27" s="109">
        <v>2250</v>
      </c>
      <c r="M27" s="15">
        <v>20</v>
      </c>
      <c r="N27" s="16">
        <f t="shared" si="0"/>
        <v>45000</v>
      </c>
      <c r="O27" s="304"/>
    </row>
    <row r="28" spans="1:20" s="2" customFormat="1" ht="19.2" customHeight="1">
      <c r="A28" s="8">
        <v>13</v>
      </c>
      <c r="B28" s="5" t="s">
        <v>114</v>
      </c>
      <c r="C28" s="12">
        <f>L28/100*100</f>
        <v>150</v>
      </c>
      <c r="D28" s="13">
        <f>C28/100*247</f>
        <v>370.5</v>
      </c>
      <c r="E28" s="17"/>
      <c r="F28" s="17">
        <f>C28/100*17.5</f>
        <v>26.25</v>
      </c>
      <c r="G28" s="17"/>
      <c r="H28" s="17">
        <f>C28/100*1.6</f>
        <v>2.4000000000000004</v>
      </c>
      <c r="I28" s="17">
        <f>C28/100*39.2</f>
        <v>58.800000000000004</v>
      </c>
      <c r="J28" s="21"/>
      <c r="K28" s="21"/>
      <c r="L28" s="308">
        <v>150</v>
      </c>
      <c r="M28" s="20">
        <v>50</v>
      </c>
      <c r="N28" s="16">
        <f t="shared" si="0"/>
        <v>7500</v>
      </c>
      <c r="O28" s="304"/>
      <c r="Q28" s="3"/>
      <c r="R28" s="3"/>
      <c r="S28" s="4"/>
      <c r="T28" s="3"/>
    </row>
    <row r="29" spans="1:20" s="2" customFormat="1" ht="19.2" customHeight="1">
      <c r="A29" s="8">
        <v>14</v>
      </c>
      <c r="B29" s="9" t="s">
        <v>108</v>
      </c>
      <c r="C29" s="12"/>
      <c r="D29" s="13"/>
      <c r="E29" s="14"/>
      <c r="F29" s="14"/>
      <c r="G29" s="14"/>
      <c r="H29" s="14"/>
      <c r="I29" s="14"/>
      <c r="J29" s="14"/>
      <c r="K29" s="14"/>
      <c r="L29" s="15"/>
      <c r="M29" s="15"/>
      <c r="N29" s="16">
        <v>11250</v>
      </c>
      <c r="O29" s="304"/>
    </row>
    <row r="30" spans="1:20" s="2" customFormat="1" ht="19.2" customHeight="1">
      <c r="A30" s="23" t="s">
        <v>94</v>
      </c>
      <c r="B30" s="24"/>
      <c r="C30" s="25"/>
      <c r="D30" s="92">
        <f>SUM(D16:D29)</f>
        <v>67219.694999999992</v>
      </c>
      <c r="E30" s="27"/>
      <c r="F30" s="27"/>
      <c r="G30" s="27"/>
      <c r="H30" s="27"/>
      <c r="I30" s="27"/>
      <c r="J30" s="27"/>
      <c r="K30" s="27"/>
      <c r="L30" s="28"/>
      <c r="M30" s="28"/>
      <c r="N30" s="182">
        <f>SUM(N16:N29)</f>
        <v>2041950</v>
      </c>
      <c r="O30" s="304"/>
    </row>
    <row r="31" spans="1:20" s="2" customFormat="1" ht="19.2" customHeight="1">
      <c r="A31" s="23" t="s">
        <v>6</v>
      </c>
      <c r="B31" s="24"/>
      <c r="C31" s="25"/>
      <c r="D31" s="26">
        <f>D30/D10</f>
        <v>454.1871283783783</v>
      </c>
      <c r="E31" s="27"/>
      <c r="F31" s="27"/>
      <c r="G31" s="27"/>
      <c r="H31" s="27"/>
      <c r="I31" s="27"/>
      <c r="J31" s="27"/>
      <c r="K31" s="27"/>
      <c r="L31" s="28"/>
      <c r="M31" s="28"/>
      <c r="N31" s="183"/>
      <c r="O31" s="304"/>
    </row>
    <row r="32" spans="1:20" s="2" customFormat="1" ht="19.2" customHeight="1">
      <c r="A32" s="184" t="s">
        <v>37</v>
      </c>
      <c r="B32" s="185"/>
      <c r="C32" s="309" t="s">
        <v>126</v>
      </c>
      <c r="D32" s="29" t="s">
        <v>38</v>
      </c>
      <c r="E32" s="27"/>
      <c r="F32" s="27"/>
      <c r="G32" s="27"/>
      <c r="H32" s="27"/>
      <c r="I32" s="27"/>
      <c r="J32" s="27"/>
      <c r="K32" s="27"/>
      <c r="L32" s="28"/>
      <c r="M32" s="28"/>
      <c r="N32" s="30"/>
      <c r="O32" s="304"/>
    </row>
    <row r="33" spans="1:20" s="2" customFormat="1" ht="19.2" customHeight="1">
      <c r="A33" s="186"/>
      <c r="B33" s="187"/>
      <c r="C33" s="61" t="s">
        <v>57</v>
      </c>
      <c r="D33" s="29">
        <f>D31*100/1320</f>
        <v>34.408115786240785</v>
      </c>
      <c r="E33" s="27"/>
      <c r="F33" s="27"/>
      <c r="G33" s="27"/>
      <c r="H33" s="27"/>
      <c r="I33" s="27"/>
      <c r="J33" s="27"/>
      <c r="K33" s="27"/>
      <c r="L33" s="28"/>
      <c r="M33" s="28"/>
      <c r="N33" s="30"/>
      <c r="O33" s="304"/>
    </row>
    <row r="34" spans="1:20" s="2" customFormat="1" ht="19.2" customHeight="1">
      <c r="A34" s="188" t="s">
        <v>39</v>
      </c>
      <c r="B34" s="188"/>
      <c r="C34" s="45"/>
      <c r="D34" s="46"/>
      <c r="E34" s="47"/>
      <c r="F34" s="47"/>
      <c r="G34" s="47"/>
      <c r="H34" s="47"/>
      <c r="I34" s="47"/>
      <c r="J34" s="47"/>
      <c r="K34" s="47"/>
      <c r="L34" s="48"/>
      <c r="M34" s="48"/>
      <c r="N34" s="49"/>
      <c r="O34" s="304"/>
    </row>
    <row r="35" spans="1:20" s="2" customFormat="1" ht="19.2" customHeight="1">
      <c r="A35" s="37">
        <v>1</v>
      </c>
      <c r="B35" s="38" t="s">
        <v>2</v>
      </c>
      <c r="C35" s="39">
        <f>L35/100*100</f>
        <v>180</v>
      </c>
      <c r="D35" s="40">
        <f>C35/100*60</f>
        <v>108</v>
      </c>
      <c r="E35" s="41">
        <f>C35/100*15</f>
        <v>27</v>
      </c>
      <c r="F35" s="41"/>
      <c r="G35" s="41">
        <f>C36/100*6.5</f>
        <v>57.85</v>
      </c>
      <c r="H35" s="41"/>
      <c r="I35" s="41"/>
      <c r="J35" s="41"/>
      <c r="K35" s="41">
        <f>C35/100*0.09</f>
        <v>0.16200000000000001</v>
      </c>
      <c r="L35" s="303">
        <v>180</v>
      </c>
      <c r="M35" s="43">
        <v>20</v>
      </c>
      <c r="N35" s="44">
        <f>L35*M35</f>
        <v>3600</v>
      </c>
      <c r="O35" s="304"/>
    </row>
    <row r="36" spans="1:20" s="2" customFormat="1" ht="19.2" customHeight="1">
      <c r="A36" s="8">
        <v>2</v>
      </c>
      <c r="B36" s="9" t="s">
        <v>118</v>
      </c>
      <c r="C36" s="12">
        <f>L36/100*100</f>
        <v>890</v>
      </c>
      <c r="D36" s="13">
        <f>C36/100*899</f>
        <v>8001.1</v>
      </c>
      <c r="E36" s="14"/>
      <c r="F36" s="14"/>
      <c r="G36" s="14">
        <f>C36/100*100</f>
        <v>890</v>
      </c>
      <c r="H36" s="14"/>
      <c r="I36" s="14"/>
      <c r="J36" s="22"/>
      <c r="K36" s="22"/>
      <c r="L36" s="109">
        <v>890</v>
      </c>
      <c r="M36" s="20">
        <v>68</v>
      </c>
      <c r="N36" s="16">
        <f t="shared" ref="N36:N41" si="1">L36*M36</f>
        <v>60520</v>
      </c>
      <c r="O36" s="304"/>
    </row>
    <row r="37" spans="1:20" s="2" customFormat="1" ht="19.2" customHeight="1">
      <c r="A37" s="8">
        <v>3</v>
      </c>
      <c r="B37" s="5" t="s">
        <v>64</v>
      </c>
      <c r="C37" s="12">
        <f>L37/100*100</f>
        <v>1480</v>
      </c>
      <c r="D37" s="13">
        <f>C37/100*344</f>
        <v>5091.2</v>
      </c>
      <c r="E37" s="14"/>
      <c r="F37" s="14">
        <f>C37/100*8.6</f>
        <v>127.28</v>
      </c>
      <c r="G37" s="14"/>
      <c r="H37" s="14">
        <f>C37/100*1.5</f>
        <v>22.200000000000003</v>
      </c>
      <c r="I37" s="14">
        <f>C37/100*74.5</f>
        <v>1102.6000000000001</v>
      </c>
      <c r="J37" s="14">
        <f>C37/100*32</f>
        <v>473.6</v>
      </c>
      <c r="K37" s="14">
        <f>C37/100*0.14</f>
        <v>2.0720000000000005</v>
      </c>
      <c r="L37" s="109">
        <v>1480</v>
      </c>
      <c r="M37" s="20">
        <v>30</v>
      </c>
      <c r="N37" s="16">
        <f t="shared" si="1"/>
        <v>44400</v>
      </c>
      <c r="O37" s="304"/>
      <c r="P37" s="310"/>
    </row>
    <row r="38" spans="1:20" s="2" customFormat="1" ht="19.2" customHeight="1">
      <c r="A38" s="8">
        <v>4</v>
      </c>
      <c r="B38" s="5" t="s">
        <v>1</v>
      </c>
      <c r="C38" s="12">
        <f>L38/100*100</f>
        <v>2220</v>
      </c>
      <c r="D38" s="13">
        <f>C38/100*344</f>
        <v>7636.8</v>
      </c>
      <c r="E38" s="14"/>
      <c r="F38" s="14">
        <f>C38/100*7.9</f>
        <v>175.38</v>
      </c>
      <c r="G38" s="14"/>
      <c r="H38" s="14">
        <f>C38/100*1</f>
        <v>22.2</v>
      </c>
      <c r="I38" s="89">
        <f>C38/100*68.2</f>
        <v>1514.04</v>
      </c>
      <c r="J38" s="22">
        <f>C38/100*30</f>
        <v>666</v>
      </c>
      <c r="K38" s="22">
        <f>C38/100*0.1</f>
        <v>2.2200000000000002</v>
      </c>
      <c r="L38" s="109">
        <v>2220</v>
      </c>
      <c r="M38" s="20">
        <v>18</v>
      </c>
      <c r="N38" s="16">
        <f t="shared" si="1"/>
        <v>39960</v>
      </c>
      <c r="O38" s="304"/>
    </row>
    <row r="39" spans="1:20" s="2" customFormat="1" ht="19.2" customHeight="1">
      <c r="A39" s="8">
        <v>5</v>
      </c>
      <c r="B39" s="5" t="s">
        <v>114</v>
      </c>
      <c r="C39" s="12">
        <f>L39/100*100</f>
        <v>90</v>
      </c>
      <c r="D39" s="13">
        <f>C39/100*247</f>
        <v>222.3</v>
      </c>
      <c r="E39" s="17"/>
      <c r="F39" s="17">
        <f>C39/100*17.5</f>
        <v>15.75</v>
      </c>
      <c r="G39" s="17"/>
      <c r="H39" s="17">
        <f>C39/100*1.6</f>
        <v>1.4400000000000002</v>
      </c>
      <c r="I39" s="17">
        <f>C39/100*39.2</f>
        <v>35.28</v>
      </c>
      <c r="J39" s="21"/>
      <c r="K39" s="21"/>
      <c r="L39" s="308">
        <v>90</v>
      </c>
      <c r="M39" s="20">
        <v>50</v>
      </c>
      <c r="N39" s="16">
        <f t="shared" si="1"/>
        <v>4500</v>
      </c>
      <c r="O39" s="304"/>
      <c r="Q39" s="3"/>
      <c r="R39" s="3"/>
      <c r="S39" s="4"/>
      <c r="T39" s="3"/>
    </row>
    <row r="40" spans="1:20" s="2" customFormat="1" ht="19.2" customHeight="1">
      <c r="A40" s="8">
        <v>6</v>
      </c>
      <c r="B40" s="5" t="s">
        <v>3</v>
      </c>
      <c r="C40" s="12">
        <f>L40/100*48</f>
        <v>1814.3999999999999</v>
      </c>
      <c r="D40" s="13">
        <f>C40/100*199</f>
        <v>3610.6559999999995</v>
      </c>
      <c r="E40" s="14">
        <f>C40/100*25.3</f>
        <v>459.04319999999996</v>
      </c>
      <c r="F40" s="14"/>
      <c r="G40" s="14">
        <f>C40/100*13.1</f>
        <v>237.68639999999996</v>
      </c>
      <c r="H40" s="14"/>
      <c r="I40" s="14"/>
      <c r="J40" s="22">
        <f>C40/100*12</f>
        <v>217.72799999999998</v>
      </c>
      <c r="K40" s="22">
        <f>C40/100*0.15</f>
        <v>2.7215999999999996</v>
      </c>
      <c r="L40" s="109">
        <v>3780</v>
      </c>
      <c r="M40" s="15">
        <v>84</v>
      </c>
      <c r="N40" s="91">
        <f t="shared" si="1"/>
        <v>317520</v>
      </c>
      <c r="O40" s="304"/>
      <c r="Q40" s="3"/>
      <c r="R40" s="3"/>
      <c r="S40" s="4"/>
    </row>
    <row r="41" spans="1:20" s="2" customFormat="1" ht="19.2" customHeight="1">
      <c r="A41" s="8">
        <v>7</v>
      </c>
      <c r="B41" s="5" t="s">
        <v>5</v>
      </c>
      <c r="C41" s="12">
        <f>L41/100*98.5</f>
        <v>2915.6000000000004</v>
      </c>
      <c r="D41" s="13">
        <f>C41/100*39</f>
        <v>1137.0840000000001</v>
      </c>
      <c r="E41" s="17"/>
      <c r="F41" s="17">
        <f>C41/100*1.5</f>
        <v>43.734000000000002</v>
      </c>
      <c r="G41" s="17"/>
      <c r="H41" s="17">
        <f>C41/100*0.2</f>
        <v>5.8312000000000008</v>
      </c>
      <c r="I41" s="17">
        <f>C41/100*7.8</f>
        <v>227.41680000000002</v>
      </c>
      <c r="J41" s="121">
        <f>C41/100*43</f>
        <v>1253.7080000000001</v>
      </c>
      <c r="K41" s="17">
        <f>C41/100*0.06</f>
        <v>1.74936</v>
      </c>
      <c r="L41" s="308">
        <v>2960</v>
      </c>
      <c r="M41" s="15">
        <v>17</v>
      </c>
      <c r="N41" s="16">
        <f t="shared" si="1"/>
        <v>50320</v>
      </c>
      <c r="O41" s="304"/>
      <c r="Q41" s="3"/>
      <c r="R41" s="3"/>
      <c r="S41" s="4"/>
    </row>
    <row r="42" spans="1:20" s="2" customFormat="1" ht="19.2" customHeight="1">
      <c r="A42" s="8">
        <v>8</v>
      </c>
      <c r="B42" s="5" t="s">
        <v>60</v>
      </c>
      <c r="C42" s="12">
        <f>L42/100*100</f>
        <v>150</v>
      </c>
      <c r="D42" s="13">
        <f>C42/100*334</f>
        <v>501</v>
      </c>
      <c r="E42" s="14"/>
      <c r="F42" s="14">
        <f>C42/100*20</f>
        <v>30</v>
      </c>
      <c r="G42" s="14"/>
      <c r="H42" s="14">
        <f>C42/100*2.4</f>
        <v>3.5999999999999996</v>
      </c>
      <c r="I42" s="14">
        <f>C42/100*58</f>
        <v>87</v>
      </c>
      <c r="J42" s="22">
        <f>C42/100*89</f>
        <v>133.5</v>
      </c>
      <c r="K42" s="22">
        <f>C42/100*0.64</f>
        <v>0.96</v>
      </c>
      <c r="L42" s="109">
        <v>150</v>
      </c>
      <c r="M42" s="100">
        <v>190</v>
      </c>
      <c r="N42" s="16">
        <f>L42*M42</f>
        <v>28500</v>
      </c>
      <c r="O42" s="304"/>
    </row>
    <row r="43" spans="1:20" s="2" customFormat="1" ht="19.2" customHeight="1">
      <c r="A43" s="8">
        <v>9</v>
      </c>
      <c r="B43" s="130" t="s">
        <v>124</v>
      </c>
      <c r="C43" s="12">
        <f>L43/100*100</f>
        <v>2520</v>
      </c>
      <c r="D43" s="64">
        <f>C43/100*437</f>
        <v>11012.4</v>
      </c>
      <c r="E43" s="17"/>
      <c r="F43" s="17">
        <f>C43/100*19.5</f>
        <v>491.4</v>
      </c>
      <c r="G43" s="17"/>
      <c r="H43" s="17">
        <f>C43/100*23.2</f>
        <v>584.64</v>
      </c>
      <c r="I43" s="17">
        <f>C43/100*46</f>
        <v>1159.2</v>
      </c>
      <c r="J43" s="89">
        <f>C43/100*680</f>
        <v>17136</v>
      </c>
      <c r="K43" s="14">
        <f>C43/100*0.55</f>
        <v>13.860000000000001</v>
      </c>
      <c r="L43" s="307">
        <v>2520</v>
      </c>
      <c r="M43" s="100">
        <v>260</v>
      </c>
      <c r="N43" s="16">
        <f t="shared" ref="N43" si="2">L43*M43</f>
        <v>655200</v>
      </c>
      <c r="O43" s="304"/>
      <c r="P43" s="3"/>
    </row>
    <row r="44" spans="1:20" s="2" customFormat="1" ht="19.2" customHeight="1">
      <c r="A44" s="75">
        <v>10</v>
      </c>
      <c r="B44" s="76" t="s">
        <v>108</v>
      </c>
      <c r="C44" s="77"/>
      <c r="D44" s="328"/>
      <c r="E44" s="103"/>
      <c r="F44" s="79"/>
      <c r="G44" s="79"/>
      <c r="H44" s="79"/>
      <c r="I44" s="79"/>
      <c r="J44" s="79"/>
      <c r="K44" s="79"/>
      <c r="L44" s="80"/>
      <c r="M44" s="80"/>
      <c r="N44" s="81">
        <v>9800</v>
      </c>
      <c r="O44" s="304"/>
    </row>
    <row r="45" spans="1:20" ht="20.399999999999999" customHeight="1">
      <c r="A45" s="145" t="s">
        <v>0</v>
      </c>
      <c r="B45" s="148" t="s">
        <v>19</v>
      </c>
      <c r="C45" s="151" t="s">
        <v>8</v>
      </c>
      <c r="D45" s="151" t="s">
        <v>9</v>
      </c>
      <c r="E45" s="154" t="s">
        <v>11</v>
      </c>
      <c r="F45" s="155"/>
      <c r="G45" s="154" t="s">
        <v>13</v>
      </c>
      <c r="H45" s="155"/>
      <c r="I45" s="173" t="s">
        <v>16</v>
      </c>
      <c r="J45" s="173" t="s">
        <v>32</v>
      </c>
      <c r="K45" s="173" t="s">
        <v>33</v>
      </c>
      <c r="L45" s="173" t="s">
        <v>17</v>
      </c>
      <c r="M45" s="173" t="s">
        <v>34</v>
      </c>
      <c r="N45" s="145" t="s">
        <v>18</v>
      </c>
      <c r="O45" s="302"/>
    </row>
    <row r="46" spans="1:20" ht="20.399999999999999" customHeight="1">
      <c r="A46" s="146"/>
      <c r="B46" s="149"/>
      <c r="C46" s="152"/>
      <c r="D46" s="152"/>
      <c r="E46" s="156"/>
      <c r="F46" s="157"/>
      <c r="G46" s="156"/>
      <c r="H46" s="157"/>
      <c r="I46" s="181"/>
      <c r="J46" s="181"/>
      <c r="K46" s="181"/>
      <c r="L46" s="181"/>
      <c r="M46" s="181"/>
      <c r="N46" s="146"/>
      <c r="O46" s="136"/>
    </row>
    <row r="47" spans="1:20" ht="20.399999999999999" customHeight="1">
      <c r="A47" s="146"/>
      <c r="B47" s="149"/>
      <c r="C47" s="152"/>
      <c r="D47" s="152"/>
      <c r="E47" s="173" t="s">
        <v>10</v>
      </c>
      <c r="F47" s="173" t="s">
        <v>12</v>
      </c>
      <c r="G47" s="173" t="s">
        <v>14</v>
      </c>
      <c r="H47" s="173" t="s">
        <v>15</v>
      </c>
      <c r="I47" s="181"/>
      <c r="J47" s="181"/>
      <c r="K47" s="181"/>
      <c r="L47" s="181"/>
      <c r="M47" s="181"/>
      <c r="N47" s="146"/>
      <c r="O47" s="136"/>
    </row>
    <row r="48" spans="1:20" ht="20.399999999999999" customHeight="1">
      <c r="A48" s="147"/>
      <c r="B48" s="150"/>
      <c r="C48" s="153"/>
      <c r="D48" s="153"/>
      <c r="E48" s="174"/>
      <c r="F48" s="174"/>
      <c r="G48" s="174"/>
      <c r="H48" s="174"/>
      <c r="I48" s="174"/>
      <c r="J48" s="174"/>
      <c r="K48" s="174"/>
      <c r="L48" s="174"/>
      <c r="M48" s="174"/>
      <c r="N48" s="147"/>
      <c r="O48" s="136"/>
    </row>
    <row r="49" spans="1:23" s="2" customFormat="1" ht="20.399999999999999" customHeight="1">
      <c r="A49" s="189" t="s">
        <v>95</v>
      </c>
      <c r="B49" s="189"/>
      <c r="C49" s="25"/>
      <c r="D49" s="92">
        <f>SUM(D35:D44)</f>
        <v>37320.539999999994</v>
      </c>
      <c r="E49" s="31"/>
      <c r="F49" s="31"/>
      <c r="G49" s="31"/>
      <c r="H49" s="31"/>
      <c r="I49" s="31"/>
      <c r="J49" s="31"/>
      <c r="K49" s="31"/>
      <c r="L49" s="32"/>
      <c r="M49" s="32"/>
      <c r="N49" s="190">
        <f>SUM(N35:N44)</f>
        <v>1214320</v>
      </c>
      <c r="O49" s="304"/>
    </row>
    <row r="50" spans="1:23" ht="20.399999999999999" customHeight="1">
      <c r="A50" s="189" t="s">
        <v>7</v>
      </c>
      <c r="B50" s="189"/>
      <c r="C50" s="33"/>
      <c r="D50" s="34">
        <f>D49/D10</f>
        <v>252.16581081081077</v>
      </c>
      <c r="E50" s="34"/>
      <c r="F50" s="34"/>
      <c r="G50" s="34"/>
      <c r="H50" s="34"/>
      <c r="I50" s="34"/>
      <c r="J50" s="34"/>
      <c r="K50" s="34"/>
      <c r="L50" s="35"/>
      <c r="M50" s="35"/>
      <c r="N50" s="191"/>
      <c r="O50" s="4"/>
      <c r="P50" s="2"/>
      <c r="Q50" s="2"/>
      <c r="R50" s="2"/>
      <c r="S50" s="2"/>
      <c r="T50" s="2"/>
      <c r="U50" s="2"/>
      <c r="V50" s="2"/>
      <c r="W50" s="2"/>
    </row>
    <row r="51" spans="1:23" ht="20.399999999999999" customHeight="1">
      <c r="A51" s="184" t="s">
        <v>40</v>
      </c>
      <c r="B51" s="185"/>
      <c r="C51" s="309" t="s">
        <v>126</v>
      </c>
      <c r="D51" s="29" t="s">
        <v>41</v>
      </c>
      <c r="E51" s="34"/>
      <c r="F51" s="34"/>
      <c r="G51" s="34"/>
      <c r="H51" s="34"/>
      <c r="I51" s="34"/>
      <c r="J51" s="36"/>
      <c r="K51" s="36"/>
      <c r="L51" s="35"/>
      <c r="M51" s="35"/>
      <c r="N51" s="141"/>
      <c r="O51" s="4"/>
      <c r="P51" s="2"/>
      <c r="Q51" s="2"/>
      <c r="R51" s="2"/>
      <c r="S51" s="2"/>
      <c r="T51" s="2"/>
      <c r="U51" s="2"/>
      <c r="V51" s="2"/>
      <c r="W51" s="2"/>
    </row>
    <row r="52" spans="1:23" ht="20.399999999999999" customHeight="1">
      <c r="A52" s="186"/>
      <c r="B52" s="187"/>
      <c r="C52" s="61" t="s">
        <v>57</v>
      </c>
      <c r="D52" s="29">
        <f>D50*100/1320</f>
        <v>19.103470515970514</v>
      </c>
      <c r="E52" s="34"/>
      <c r="F52" s="34"/>
      <c r="G52" s="34"/>
      <c r="H52" s="34"/>
      <c r="I52" s="34"/>
      <c r="J52" s="36"/>
      <c r="K52" s="36"/>
      <c r="L52" s="35"/>
      <c r="M52" s="35"/>
      <c r="N52" s="141"/>
      <c r="O52" s="4"/>
      <c r="P52" s="2"/>
      <c r="Q52" s="2"/>
      <c r="R52" s="2"/>
      <c r="S52" s="2"/>
      <c r="T52" s="2"/>
      <c r="U52" s="2"/>
      <c r="V52" s="2"/>
      <c r="W52" s="2"/>
    </row>
    <row r="53" spans="1:23" ht="20.399999999999999" customHeight="1">
      <c r="A53" s="192" t="s">
        <v>96</v>
      </c>
      <c r="B53" s="193"/>
      <c r="C53" s="196"/>
      <c r="D53" s="198">
        <f>D30+D49</f>
        <v>104540.23499999999</v>
      </c>
      <c r="E53" s="93">
        <f t="shared" ref="E53:K53" si="3">SUM(E16:E44)</f>
        <v>2132.2995999999998</v>
      </c>
      <c r="F53" s="93">
        <f t="shared" si="3"/>
        <v>2144.1817000000001</v>
      </c>
      <c r="G53" s="93">
        <f t="shared" si="3"/>
        <v>2259.6451999999995</v>
      </c>
      <c r="H53" s="6">
        <f t="shared" si="3"/>
        <v>969.7038</v>
      </c>
      <c r="I53" s="200">
        <f t="shared" si="3"/>
        <v>14142.119699999999</v>
      </c>
      <c r="J53" s="202">
        <f t="shared" si="3"/>
        <v>39220.300999999992</v>
      </c>
      <c r="K53" s="204">
        <f t="shared" si="3"/>
        <v>46.264429999999997</v>
      </c>
      <c r="L53" s="206"/>
      <c r="M53" s="206"/>
      <c r="N53" s="207">
        <f>N30+N49</f>
        <v>3256270</v>
      </c>
      <c r="P53" s="2"/>
      <c r="Q53" s="2"/>
      <c r="R53" s="2"/>
      <c r="S53" s="2"/>
      <c r="T53" s="2"/>
      <c r="U53" s="2"/>
      <c r="V53" s="2"/>
    </row>
    <row r="54" spans="1:23" ht="20.399999999999999" customHeight="1">
      <c r="A54" s="194"/>
      <c r="B54" s="195"/>
      <c r="C54" s="197"/>
      <c r="D54" s="199"/>
      <c r="E54" s="208">
        <f>E53+F53</f>
        <v>4276.4812999999995</v>
      </c>
      <c r="F54" s="209"/>
      <c r="G54" s="208">
        <f>G53+H53</f>
        <v>3229.3489999999993</v>
      </c>
      <c r="H54" s="209"/>
      <c r="I54" s="201"/>
      <c r="J54" s="203"/>
      <c r="K54" s="205"/>
      <c r="L54" s="206"/>
      <c r="M54" s="206"/>
      <c r="N54" s="207"/>
      <c r="U54" s="11"/>
      <c r="V54" s="11"/>
    </row>
    <row r="55" spans="1:23" ht="20.399999999999999" customHeight="1">
      <c r="A55" s="210" t="s">
        <v>73</v>
      </c>
      <c r="B55" s="211"/>
      <c r="C55" s="212"/>
      <c r="D55" s="99">
        <f>D53/D10</f>
        <v>706.3529391891891</v>
      </c>
      <c r="E55" s="106">
        <f>E53/D10</f>
        <v>14.407429729729728</v>
      </c>
      <c r="F55" s="105">
        <f>F53/D10</f>
        <v>14.487714189189189</v>
      </c>
      <c r="G55" s="106">
        <f>G53/D10</f>
        <v>15.26787297297297</v>
      </c>
      <c r="H55" s="105">
        <f>H53/D10</f>
        <v>6.5520527027027029</v>
      </c>
      <c r="I55" s="216">
        <f>I53/D10</f>
        <v>95.554862837837831</v>
      </c>
      <c r="J55" s="216">
        <f>J53/D10</f>
        <v>265.00203378378376</v>
      </c>
      <c r="K55" s="218">
        <f>K53/D10</f>
        <v>0.31259749999999997</v>
      </c>
      <c r="L55" s="206"/>
      <c r="M55" s="206"/>
      <c r="N55" s="207"/>
      <c r="U55" s="11"/>
      <c r="V55" s="11"/>
    </row>
    <row r="56" spans="1:23" ht="20.399999999999999" customHeight="1">
      <c r="A56" s="213"/>
      <c r="B56" s="214"/>
      <c r="C56" s="215"/>
      <c r="D56" s="96"/>
      <c r="E56" s="279">
        <f>E55+F55</f>
        <v>28.895143918918919</v>
      </c>
      <c r="F56" s="278"/>
      <c r="G56" s="279">
        <f>G55+H55</f>
        <v>21.819925675675673</v>
      </c>
      <c r="H56" s="278"/>
      <c r="I56" s="217"/>
      <c r="J56" s="217"/>
      <c r="K56" s="219"/>
      <c r="L56" s="206"/>
      <c r="M56" s="206"/>
      <c r="N56" s="207"/>
      <c r="P56" s="297"/>
      <c r="Q56" s="299"/>
      <c r="R56" s="299"/>
      <c r="S56" s="299"/>
      <c r="T56" s="299"/>
      <c r="U56" s="311"/>
      <c r="V56" s="311"/>
    </row>
    <row r="57" spans="1:23" ht="20.399999999999999" customHeight="1">
      <c r="A57" s="312" t="s">
        <v>74</v>
      </c>
      <c r="B57" s="313"/>
      <c r="C57" s="314"/>
      <c r="D57" s="315" t="s">
        <v>27</v>
      </c>
      <c r="E57" s="159" t="s">
        <v>21</v>
      </c>
      <c r="F57" s="159"/>
      <c r="G57" s="159" t="s">
        <v>22</v>
      </c>
      <c r="H57" s="159"/>
      <c r="I57" s="140" t="s">
        <v>23</v>
      </c>
      <c r="J57" s="316">
        <v>600</v>
      </c>
      <c r="K57" s="316">
        <v>0.74</v>
      </c>
      <c r="L57" s="206"/>
      <c r="M57" s="206"/>
      <c r="N57" s="207"/>
      <c r="O57" s="317"/>
      <c r="P57" s="318"/>
      <c r="Q57" s="299"/>
      <c r="R57" s="299"/>
      <c r="S57" s="299"/>
      <c r="T57" s="299"/>
      <c r="U57" s="299"/>
      <c r="V57" s="299"/>
    </row>
    <row r="58" spans="1:23" ht="20.399999999999999" customHeight="1">
      <c r="A58" s="223" t="s">
        <v>67</v>
      </c>
      <c r="B58" s="224"/>
      <c r="C58" s="225"/>
      <c r="D58" s="19"/>
      <c r="E58" s="226">
        <f>E56*4.1</f>
        <v>118.47009006756755</v>
      </c>
      <c r="F58" s="227"/>
      <c r="G58" s="226">
        <f>G56*9</f>
        <v>196.37933108108106</v>
      </c>
      <c r="H58" s="227"/>
      <c r="I58" s="67">
        <f>I55*4.1</f>
        <v>391.77493763513507</v>
      </c>
      <c r="J58" s="228"/>
      <c r="K58" s="228"/>
      <c r="L58" s="206"/>
      <c r="M58" s="206"/>
      <c r="N58" s="207"/>
      <c r="O58" s="317"/>
      <c r="P58" s="319"/>
      <c r="Q58" s="296"/>
      <c r="R58" s="296"/>
      <c r="S58" s="296"/>
      <c r="T58" s="297"/>
      <c r="U58" s="297"/>
      <c r="V58" s="297"/>
    </row>
    <row r="59" spans="1:23" ht="20.399999999999999" customHeight="1">
      <c r="A59" s="231" t="s">
        <v>68</v>
      </c>
      <c r="B59" s="232"/>
      <c r="C59" s="223" t="s">
        <v>57</v>
      </c>
      <c r="D59" s="225"/>
      <c r="E59" s="235">
        <f>E58*100/D55</f>
        <v>16.772081419177987</v>
      </c>
      <c r="F59" s="236"/>
      <c r="G59" s="235">
        <f>G58*100/D55</f>
        <v>27.801870734268011</v>
      </c>
      <c r="H59" s="236"/>
      <c r="I59" s="84">
        <f>I58*100/D55</f>
        <v>55.46447333890152</v>
      </c>
      <c r="J59" s="229"/>
      <c r="K59" s="229"/>
      <c r="L59" s="206"/>
      <c r="M59" s="206"/>
      <c r="N59" s="207"/>
      <c r="O59" s="317"/>
      <c r="P59" s="297"/>
      <c r="Q59" s="298"/>
      <c r="R59" s="297"/>
      <c r="S59" s="297"/>
      <c r="T59" s="297"/>
      <c r="U59" s="297"/>
      <c r="V59" s="297"/>
    </row>
    <row r="60" spans="1:23" ht="20.399999999999999" customHeight="1">
      <c r="A60" s="233"/>
      <c r="B60" s="234"/>
      <c r="C60" s="223" t="s">
        <v>69</v>
      </c>
      <c r="D60" s="225"/>
      <c r="E60" s="223" t="s">
        <v>70</v>
      </c>
      <c r="F60" s="225"/>
      <c r="G60" s="223" t="s">
        <v>71</v>
      </c>
      <c r="H60" s="225"/>
      <c r="I60" s="315" t="s">
        <v>72</v>
      </c>
      <c r="J60" s="230"/>
      <c r="K60" s="230"/>
      <c r="L60" s="206"/>
      <c r="M60" s="206"/>
      <c r="N60" s="207"/>
      <c r="O60" s="317"/>
      <c r="P60" s="82"/>
    </row>
    <row r="61" spans="1:23" ht="20.399999999999999" customHeight="1">
      <c r="A61" s="69"/>
      <c r="B61" s="70"/>
      <c r="C61" s="69"/>
      <c r="D61" s="69"/>
      <c r="E61" s="69"/>
      <c r="F61" s="69"/>
      <c r="G61" s="69"/>
      <c r="H61" s="69"/>
      <c r="I61" s="69"/>
      <c r="J61" s="69"/>
      <c r="K61" s="69"/>
      <c r="L61" s="71"/>
      <c r="M61" s="71"/>
      <c r="N61" s="72"/>
      <c r="O61" s="317"/>
      <c r="Q61" s="82"/>
    </row>
    <row r="62" spans="1:23" ht="20.399999999999999" customHeight="1">
      <c r="A62" s="220" t="s">
        <v>97</v>
      </c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317"/>
    </row>
    <row r="63" spans="1:23" ht="20.399999999999999" customHeight="1">
      <c r="A63" s="85" t="s">
        <v>98</v>
      </c>
      <c r="B63" s="221" t="s">
        <v>99</v>
      </c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317"/>
    </row>
    <row r="64" spans="1:23" ht="20.399999999999999" customHeight="1">
      <c r="A64" s="86"/>
      <c r="B64" s="222" t="s">
        <v>162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317"/>
    </row>
    <row r="65" spans="1:15" ht="20.399999999999999" customHeight="1">
      <c r="A65" s="86"/>
      <c r="B65" s="222" t="s">
        <v>153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317"/>
    </row>
    <row r="66" spans="1:15" ht="20.399999999999999" customHeight="1">
      <c r="A66" s="86"/>
      <c r="B66" s="222" t="s">
        <v>139</v>
      </c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317"/>
    </row>
    <row r="67" spans="1:15" ht="20.399999999999999" customHeight="1">
      <c r="A67" s="69"/>
      <c r="B67" s="237" t="s">
        <v>106</v>
      </c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317"/>
    </row>
    <row r="68" spans="1:15" ht="20.399999999999999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87"/>
      <c r="M68" s="87"/>
      <c r="N68" s="88"/>
      <c r="O68" s="317"/>
    </row>
    <row r="69" spans="1:15" ht="20.399999999999999" customHeight="1">
      <c r="A69" s="238" t="s">
        <v>59</v>
      </c>
      <c r="B69" s="238"/>
      <c r="C69" s="238"/>
      <c r="D69" s="238"/>
      <c r="E69" s="321"/>
      <c r="F69" s="321"/>
      <c r="G69" s="321"/>
      <c r="H69" s="321"/>
      <c r="I69" s="321"/>
      <c r="J69" s="322" t="s">
        <v>36</v>
      </c>
      <c r="K69" s="322"/>
      <c r="L69" s="322"/>
      <c r="M69" s="322"/>
      <c r="N69" s="322"/>
      <c r="O69" s="317"/>
    </row>
    <row r="70" spans="1:15" ht="20.399999999999999" customHeight="1">
      <c r="A70" s="136"/>
      <c r="B70" s="136"/>
      <c r="C70" s="136"/>
      <c r="D70" s="321"/>
      <c r="E70" s="321"/>
      <c r="F70" s="321"/>
      <c r="G70" s="321"/>
      <c r="H70" s="323"/>
      <c r="I70" s="323"/>
      <c r="J70" s="323"/>
      <c r="K70" s="323"/>
      <c r="L70" s="323"/>
      <c r="M70" s="323"/>
      <c r="N70" s="323"/>
      <c r="O70" s="317"/>
    </row>
    <row r="71" spans="1:15" ht="20.399999999999999" customHeight="1">
      <c r="A71" s="136"/>
      <c r="B71" s="136"/>
      <c r="C71" s="136"/>
      <c r="D71" s="321"/>
      <c r="E71" s="321"/>
      <c r="F71" s="321"/>
      <c r="G71" s="321"/>
      <c r="H71" s="323"/>
      <c r="I71" s="323"/>
      <c r="J71" s="323"/>
      <c r="K71" s="323"/>
      <c r="L71" s="323"/>
      <c r="M71" s="323"/>
      <c r="N71" s="323"/>
      <c r="O71" s="317"/>
    </row>
    <row r="72" spans="1:15" ht="20.399999999999999" customHeight="1">
      <c r="A72" s="136"/>
      <c r="B72" s="136"/>
      <c r="C72" s="136"/>
      <c r="D72" s="321"/>
      <c r="E72" s="321"/>
      <c r="F72" s="321"/>
      <c r="G72" s="321"/>
      <c r="H72" s="323"/>
      <c r="I72" s="323"/>
      <c r="J72" s="324" t="s">
        <v>100</v>
      </c>
      <c r="K72" s="324"/>
      <c r="L72" s="324"/>
      <c r="M72" s="324"/>
      <c r="N72" s="324"/>
      <c r="O72" s="317"/>
    </row>
    <row r="73" spans="1:15" ht="20.399999999999999" customHeight="1">
      <c r="A73" s="239" t="s">
        <v>82</v>
      </c>
      <c r="B73" s="239"/>
      <c r="C73" s="239"/>
      <c r="D73" s="239"/>
      <c r="E73" s="321"/>
      <c r="F73" s="321"/>
      <c r="G73" s="321"/>
      <c r="H73" s="323"/>
      <c r="I73" s="323"/>
      <c r="O73" s="317"/>
    </row>
    <row r="74" spans="1:15" ht="20.399999999999999" customHeight="1">
      <c r="A74" s="136"/>
      <c r="B74" s="136"/>
      <c r="C74" s="136"/>
      <c r="D74" s="321"/>
      <c r="E74" s="321"/>
      <c r="F74" s="321"/>
      <c r="G74" s="321"/>
      <c r="H74" s="323"/>
      <c r="I74" s="323"/>
      <c r="J74" s="323"/>
      <c r="K74" s="323"/>
      <c r="L74" s="323"/>
      <c r="M74" s="323"/>
      <c r="N74" s="323"/>
      <c r="O74" s="317"/>
    </row>
    <row r="75" spans="1:15" ht="20.399999999999999" customHeight="1">
      <c r="A75" s="136"/>
      <c r="B75" s="136"/>
      <c r="C75" s="136"/>
      <c r="D75" s="321"/>
      <c r="E75" s="321"/>
      <c r="F75" s="321"/>
      <c r="G75" s="321"/>
      <c r="H75" s="323"/>
      <c r="I75" s="323"/>
      <c r="J75" s="324" t="s">
        <v>111</v>
      </c>
      <c r="K75" s="324"/>
      <c r="L75" s="324"/>
      <c r="M75" s="324"/>
      <c r="N75" s="324"/>
      <c r="O75" s="317"/>
    </row>
    <row r="76" spans="1:15" ht="20.399999999999999" customHeight="1">
      <c r="A76" s="136"/>
      <c r="B76" s="136"/>
      <c r="C76" s="136"/>
      <c r="D76" s="321"/>
      <c r="E76" s="321"/>
      <c r="F76" s="321"/>
      <c r="G76" s="321"/>
      <c r="H76" s="323"/>
      <c r="I76" s="323"/>
      <c r="J76" s="323"/>
      <c r="K76" s="323"/>
      <c r="L76" s="323"/>
      <c r="M76" s="323"/>
      <c r="N76" s="323"/>
      <c r="O76" s="317"/>
    </row>
    <row r="77" spans="1:15" ht="20.399999999999999" customHeight="1">
      <c r="A77" s="136"/>
      <c r="B77" s="136"/>
      <c r="C77" s="136"/>
      <c r="D77" s="321"/>
      <c r="E77" s="321"/>
      <c r="F77" s="321"/>
      <c r="G77" s="321"/>
      <c r="H77" s="323"/>
      <c r="I77" s="323"/>
      <c r="J77" s="323"/>
      <c r="K77" s="323"/>
      <c r="L77" s="323"/>
      <c r="M77" s="323"/>
      <c r="N77" s="323"/>
      <c r="O77" s="317"/>
    </row>
    <row r="78" spans="1:15" ht="20.399999999999999" customHeight="1">
      <c r="A78" s="136"/>
      <c r="B78" s="136"/>
      <c r="C78" s="136"/>
      <c r="D78" s="321"/>
      <c r="E78" s="321"/>
      <c r="F78" s="321"/>
      <c r="G78" s="321"/>
      <c r="H78" s="323"/>
      <c r="I78" s="323"/>
      <c r="J78" s="323"/>
      <c r="K78" s="323"/>
      <c r="L78" s="323"/>
      <c r="M78" s="323"/>
      <c r="N78" s="323"/>
      <c r="O78" s="317"/>
    </row>
    <row r="79" spans="1:15" ht="20.399999999999999" customHeight="1">
      <c r="A79" s="136"/>
      <c r="B79" s="136"/>
      <c r="C79" s="136"/>
      <c r="D79" s="321"/>
      <c r="E79" s="321"/>
      <c r="F79" s="321"/>
      <c r="G79" s="321"/>
      <c r="H79" s="323"/>
      <c r="I79" s="323"/>
      <c r="J79" s="323"/>
      <c r="K79" s="323"/>
      <c r="L79" s="323"/>
      <c r="M79" s="323"/>
      <c r="N79" s="323"/>
      <c r="O79" s="317"/>
    </row>
    <row r="80" spans="1:15" ht="20.399999999999999" customHeight="1">
      <c r="A80" s="136"/>
      <c r="B80" s="136"/>
      <c r="C80" s="136"/>
      <c r="D80" s="321"/>
      <c r="E80" s="321"/>
      <c r="F80" s="321"/>
      <c r="G80" s="321"/>
      <c r="H80" s="323"/>
      <c r="I80" s="323"/>
      <c r="J80" s="323"/>
      <c r="K80" s="323"/>
      <c r="L80" s="323"/>
      <c r="M80" s="323"/>
      <c r="N80" s="323"/>
      <c r="O80" s="317"/>
    </row>
    <row r="81" spans="1:20" ht="20.399999999999999" customHeight="1">
      <c r="A81" s="136"/>
      <c r="B81" s="136"/>
      <c r="C81" s="136"/>
      <c r="D81" s="321"/>
      <c r="E81" s="321"/>
      <c r="F81" s="321"/>
      <c r="G81" s="321"/>
      <c r="H81" s="323"/>
      <c r="I81" s="323"/>
      <c r="J81" s="323"/>
      <c r="K81" s="323"/>
      <c r="L81" s="323"/>
      <c r="M81" s="323"/>
      <c r="N81" s="323"/>
      <c r="O81" s="317"/>
    </row>
    <row r="82" spans="1:20" ht="20.399999999999999" customHeight="1">
      <c r="A82" s="136"/>
      <c r="B82" s="136"/>
      <c r="C82" s="136"/>
      <c r="D82" s="321"/>
      <c r="E82" s="321"/>
      <c r="F82" s="321"/>
      <c r="G82" s="321"/>
      <c r="H82" s="323"/>
      <c r="I82" s="323"/>
      <c r="J82" s="323"/>
      <c r="K82" s="323"/>
      <c r="L82" s="323"/>
      <c r="M82" s="323"/>
      <c r="N82" s="323"/>
      <c r="O82" s="317"/>
    </row>
    <row r="83" spans="1:20" ht="20.399999999999999" customHeight="1">
      <c r="A83" s="136"/>
      <c r="B83" s="136"/>
      <c r="C83" s="136"/>
      <c r="D83" s="321"/>
      <c r="E83" s="321"/>
      <c r="F83" s="321"/>
      <c r="G83" s="321"/>
      <c r="H83" s="323"/>
      <c r="I83" s="323"/>
      <c r="J83" s="323"/>
      <c r="K83" s="323"/>
      <c r="L83" s="323"/>
      <c r="M83" s="323"/>
      <c r="N83" s="323"/>
      <c r="O83" s="317"/>
    </row>
    <row r="84" spans="1:20" ht="20.399999999999999" customHeight="1">
      <c r="A84" s="136"/>
      <c r="B84" s="136"/>
      <c r="C84" s="136"/>
      <c r="D84" s="321"/>
      <c r="E84" s="321"/>
      <c r="F84" s="321"/>
      <c r="G84" s="321"/>
      <c r="H84" s="323"/>
      <c r="I84" s="323"/>
      <c r="J84" s="323"/>
      <c r="K84" s="323"/>
      <c r="L84" s="323"/>
      <c r="M84" s="323"/>
      <c r="N84" s="323"/>
      <c r="O84" s="317"/>
    </row>
    <row r="85" spans="1:20" ht="20.399999999999999" customHeight="1">
      <c r="A85" s="136"/>
      <c r="B85" s="136"/>
      <c r="C85" s="136"/>
      <c r="D85" s="321"/>
      <c r="E85" s="321"/>
      <c r="F85" s="321"/>
      <c r="G85" s="321"/>
      <c r="H85" s="323"/>
      <c r="I85" s="323"/>
      <c r="J85" s="323"/>
      <c r="K85" s="323"/>
      <c r="L85" s="323"/>
      <c r="M85" s="323"/>
      <c r="N85" s="323"/>
      <c r="O85" s="317"/>
    </row>
    <row r="86" spans="1:20" ht="20.399999999999999" customHeight="1">
      <c r="A86" s="136"/>
      <c r="B86" s="136"/>
      <c r="C86" s="136"/>
      <c r="D86" s="321"/>
      <c r="E86" s="321"/>
      <c r="F86" s="321"/>
      <c r="G86" s="321"/>
      <c r="H86" s="323"/>
      <c r="I86" s="323"/>
      <c r="J86" s="323"/>
      <c r="K86" s="323"/>
      <c r="L86" s="323"/>
      <c r="M86" s="323"/>
      <c r="N86" s="323"/>
      <c r="O86" s="317"/>
    </row>
    <row r="87" spans="1:20" ht="20.399999999999999" customHeight="1">
      <c r="A87" s="10" t="s">
        <v>58</v>
      </c>
      <c r="B87" s="7"/>
      <c r="C87" s="7"/>
      <c r="D87" s="7"/>
      <c r="E87" s="7"/>
      <c r="F87" s="158" t="s">
        <v>31</v>
      </c>
      <c r="G87" s="158"/>
      <c r="H87" s="158"/>
      <c r="I87" s="158"/>
      <c r="J87" s="158"/>
      <c r="K87" s="158"/>
      <c r="L87" s="158"/>
      <c r="M87" s="158"/>
      <c r="N87" s="158"/>
      <c r="O87" s="300"/>
      <c r="P87" s="300"/>
      <c r="T87" s="2"/>
    </row>
    <row r="88" spans="1:20" ht="20.399999999999999" customHeight="1">
      <c r="A88" s="10"/>
      <c r="B88" s="7"/>
      <c r="C88" s="7"/>
      <c r="D88" s="7"/>
      <c r="E88" s="7"/>
      <c r="F88" s="139"/>
      <c r="G88" s="139"/>
      <c r="H88" s="139"/>
      <c r="I88" s="139"/>
      <c r="J88" s="139"/>
      <c r="K88" s="139"/>
      <c r="L88" s="139"/>
      <c r="M88" s="139"/>
      <c r="N88" s="139"/>
      <c r="O88" s="300"/>
      <c r="P88" s="300"/>
      <c r="T88" s="2"/>
    </row>
    <row r="89" spans="1:20" ht="20.399999999999999" customHeight="1">
      <c r="A89" s="7" t="s">
        <v>158</v>
      </c>
      <c r="B89" s="7"/>
      <c r="C89" s="7"/>
      <c r="D89" s="7"/>
      <c r="E89" s="7"/>
      <c r="F89" s="139"/>
      <c r="G89" s="139"/>
      <c r="H89" s="139"/>
      <c r="I89" s="139"/>
      <c r="J89" s="139"/>
      <c r="K89" s="139"/>
      <c r="L89" s="139"/>
      <c r="M89" s="139"/>
      <c r="N89" s="139"/>
      <c r="O89" s="300"/>
      <c r="P89" s="300"/>
      <c r="T89" s="2"/>
    </row>
    <row r="90" spans="1:20" ht="20.399999999999999" customHeight="1">
      <c r="A90" s="7"/>
      <c r="B90" s="7"/>
      <c r="C90" s="7"/>
      <c r="D90" s="7"/>
      <c r="E90" s="7"/>
      <c r="F90" s="139"/>
      <c r="G90" s="139"/>
      <c r="H90" s="139"/>
      <c r="I90" s="139"/>
      <c r="J90" s="139"/>
      <c r="K90" s="139"/>
      <c r="L90" s="139"/>
      <c r="M90" s="139"/>
      <c r="N90" s="139"/>
      <c r="O90" s="300"/>
      <c r="P90" s="300"/>
      <c r="T90" s="2"/>
    </row>
    <row r="91" spans="1:20" s="2" customFormat="1" ht="18" customHeight="1">
      <c r="A91" s="159" t="s">
        <v>92</v>
      </c>
      <c r="B91" s="159"/>
      <c r="C91" s="159"/>
      <c r="D91" s="159"/>
      <c r="E91" s="159" t="s">
        <v>80</v>
      </c>
      <c r="F91" s="159"/>
      <c r="G91" s="159"/>
      <c r="H91" s="159"/>
      <c r="I91" s="159"/>
      <c r="J91" s="159"/>
      <c r="K91" s="159"/>
      <c r="L91" s="159"/>
      <c r="M91" s="159"/>
      <c r="N91" s="159"/>
      <c r="O91" s="301"/>
    </row>
    <row r="92" spans="1:20" s="2" customFormat="1" ht="18" customHeight="1">
      <c r="A92" s="159"/>
      <c r="B92" s="159"/>
      <c r="C92" s="159"/>
      <c r="D92" s="159"/>
      <c r="E92" s="159" t="s">
        <v>91</v>
      </c>
      <c r="F92" s="159"/>
      <c r="G92" s="159"/>
      <c r="H92" s="159"/>
      <c r="I92" s="159"/>
      <c r="J92" s="159" t="s">
        <v>93</v>
      </c>
      <c r="K92" s="159"/>
      <c r="L92" s="159"/>
      <c r="M92" s="159"/>
      <c r="N92" s="159"/>
      <c r="O92" s="301"/>
    </row>
    <row r="93" spans="1:20" s="2" customFormat="1" ht="18" customHeight="1">
      <c r="A93" s="160" t="s">
        <v>81</v>
      </c>
      <c r="B93" s="160"/>
      <c r="C93" s="160"/>
      <c r="D93" s="160"/>
      <c r="E93" s="161" t="s">
        <v>125</v>
      </c>
      <c r="F93" s="161"/>
      <c r="G93" s="161"/>
      <c r="H93" s="161"/>
      <c r="I93" s="161"/>
      <c r="J93" s="240" t="s">
        <v>81</v>
      </c>
      <c r="K93" s="241"/>
      <c r="L93" s="241"/>
      <c r="M93" s="241"/>
      <c r="N93" s="242"/>
      <c r="O93" s="301"/>
    </row>
    <row r="94" spans="1:20" s="2" customFormat="1" ht="18" customHeight="1">
      <c r="A94" s="171" t="s">
        <v>140</v>
      </c>
      <c r="B94" s="171"/>
      <c r="C94" s="171"/>
      <c r="D94" s="171"/>
      <c r="E94" s="161"/>
      <c r="F94" s="161"/>
      <c r="G94" s="161"/>
      <c r="H94" s="161"/>
      <c r="I94" s="161"/>
      <c r="J94" s="175" t="s">
        <v>83</v>
      </c>
      <c r="K94" s="176"/>
      <c r="L94" s="176"/>
      <c r="M94" s="176"/>
      <c r="N94" s="177"/>
      <c r="O94" s="301"/>
    </row>
    <row r="95" spans="1:20" s="2" customFormat="1" ht="18" customHeight="1">
      <c r="A95" s="172" t="s">
        <v>144</v>
      </c>
      <c r="B95" s="172"/>
      <c r="C95" s="172"/>
      <c r="D95" s="172"/>
      <c r="E95" s="161"/>
      <c r="F95" s="161"/>
      <c r="G95" s="161"/>
      <c r="H95" s="161"/>
      <c r="I95" s="161"/>
      <c r="J95" s="243" t="s">
        <v>84</v>
      </c>
      <c r="K95" s="244"/>
      <c r="L95" s="244"/>
      <c r="M95" s="244"/>
      <c r="N95" s="245"/>
      <c r="O95" s="301"/>
    </row>
    <row r="96" spans="1:20" ht="18" customHeight="1">
      <c r="A96" s="142" t="s">
        <v>109</v>
      </c>
      <c r="B96" s="143"/>
      <c r="C96" s="144"/>
      <c r="D96" s="97">
        <v>43</v>
      </c>
      <c r="E96" s="7"/>
      <c r="F96" s="139"/>
      <c r="G96" s="139"/>
      <c r="H96" s="139"/>
      <c r="I96" s="139"/>
      <c r="J96" s="139"/>
      <c r="K96" s="139"/>
      <c r="L96" s="139"/>
      <c r="M96" s="139"/>
      <c r="N96" s="139"/>
      <c r="O96" s="300"/>
      <c r="P96" s="300"/>
      <c r="T96" s="2"/>
    </row>
    <row r="97" spans="1:20" ht="18" customHeight="1">
      <c r="A97" s="145" t="s">
        <v>0</v>
      </c>
      <c r="B97" s="148" t="s">
        <v>19</v>
      </c>
      <c r="C97" s="151" t="s">
        <v>8</v>
      </c>
      <c r="D97" s="151" t="s">
        <v>9</v>
      </c>
      <c r="E97" s="154" t="s">
        <v>11</v>
      </c>
      <c r="F97" s="155"/>
      <c r="G97" s="154" t="s">
        <v>13</v>
      </c>
      <c r="H97" s="155"/>
      <c r="I97" s="173" t="s">
        <v>16</v>
      </c>
      <c r="J97" s="173" t="s">
        <v>32</v>
      </c>
      <c r="K97" s="173" t="s">
        <v>33</v>
      </c>
      <c r="L97" s="173" t="s">
        <v>17</v>
      </c>
      <c r="M97" s="173" t="s">
        <v>34</v>
      </c>
      <c r="N97" s="145" t="s">
        <v>18</v>
      </c>
      <c r="O97" s="302"/>
    </row>
    <row r="98" spans="1:20" ht="18" customHeight="1">
      <c r="A98" s="146"/>
      <c r="B98" s="149"/>
      <c r="C98" s="152"/>
      <c r="D98" s="152"/>
      <c r="E98" s="156"/>
      <c r="F98" s="157"/>
      <c r="G98" s="156"/>
      <c r="H98" s="157"/>
      <c r="I98" s="181"/>
      <c r="J98" s="181"/>
      <c r="K98" s="181"/>
      <c r="L98" s="181"/>
      <c r="M98" s="181"/>
      <c r="N98" s="146"/>
      <c r="O98" s="136"/>
    </row>
    <row r="99" spans="1:20" ht="18" customHeight="1">
      <c r="A99" s="146"/>
      <c r="B99" s="149"/>
      <c r="C99" s="152"/>
      <c r="D99" s="152"/>
      <c r="E99" s="173" t="s">
        <v>10</v>
      </c>
      <c r="F99" s="173" t="s">
        <v>12</v>
      </c>
      <c r="G99" s="173" t="s">
        <v>14</v>
      </c>
      <c r="H99" s="173" t="s">
        <v>15</v>
      </c>
      <c r="I99" s="181"/>
      <c r="J99" s="181"/>
      <c r="K99" s="181"/>
      <c r="L99" s="181"/>
      <c r="M99" s="181"/>
      <c r="N99" s="146"/>
      <c r="O99" s="136"/>
    </row>
    <row r="100" spans="1:20" ht="18" customHeight="1">
      <c r="A100" s="147"/>
      <c r="B100" s="150"/>
      <c r="C100" s="153"/>
      <c r="D100" s="153"/>
      <c r="E100" s="174"/>
      <c r="F100" s="174"/>
      <c r="G100" s="174"/>
      <c r="H100" s="174"/>
      <c r="I100" s="174"/>
      <c r="J100" s="174"/>
      <c r="K100" s="174"/>
      <c r="L100" s="174"/>
      <c r="M100" s="174"/>
      <c r="N100" s="147"/>
      <c r="O100" s="136"/>
    </row>
    <row r="101" spans="1:20" ht="18" customHeight="1">
      <c r="A101" s="178" t="s">
        <v>42</v>
      </c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80"/>
      <c r="O101" s="136"/>
    </row>
    <row r="102" spans="1:20" s="2" customFormat="1" ht="18" customHeight="1">
      <c r="A102" s="8">
        <v>1</v>
      </c>
      <c r="B102" s="9" t="s">
        <v>2</v>
      </c>
      <c r="C102" s="12">
        <f>L102/100*100</f>
        <v>50</v>
      </c>
      <c r="D102" s="13">
        <f>C102/100*60</f>
        <v>30</v>
      </c>
      <c r="E102" s="14">
        <f>C102/100*15</f>
        <v>7.5</v>
      </c>
      <c r="F102" s="14"/>
      <c r="G102" s="14"/>
      <c r="H102" s="14"/>
      <c r="I102" s="14"/>
      <c r="J102" s="14">
        <f>C102/100*387</f>
        <v>193.5</v>
      </c>
      <c r="K102" s="14">
        <f>C102/100*0.09</f>
        <v>4.4999999999999998E-2</v>
      </c>
      <c r="L102" s="109">
        <v>50</v>
      </c>
      <c r="M102" s="20">
        <v>20</v>
      </c>
      <c r="N102" s="16">
        <f>L102*M102</f>
        <v>1000</v>
      </c>
      <c r="O102" s="304"/>
    </row>
    <row r="103" spans="1:20" s="2" customFormat="1" ht="18" customHeight="1">
      <c r="A103" s="8">
        <v>2</v>
      </c>
      <c r="B103" s="9" t="s">
        <v>118</v>
      </c>
      <c r="C103" s="12">
        <f>L103/100*100</f>
        <v>340</v>
      </c>
      <c r="D103" s="64">
        <f>C103/100*899</f>
        <v>3056.6</v>
      </c>
      <c r="E103" s="14"/>
      <c r="F103" s="14"/>
      <c r="G103" s="89">
        <f>C103/100*99.6</f>
        <v>338.64</v>
      </c>
      <c r="H103" s="14"/>
      <c r="I103" s="14"/>
      <c r="J103" s="14"/>
      <c r="K103" s="14"/>
      <c r="L103" s="109">
        <v>340</v>
      </c>
      <c r="M103" s="64">
        <v>68</v>
      </c>
      <c r="N103" s="91">
        <f t="shared" ref="N103:N112" si="4">L103*M103</f>
        <v>23120</v>
      </c>
      <c r="O103" s="305"/>
    </row>
    <row r="104" spans="1:20" s="2" customFormat="1" ht="18" customHeight="1">
      <c r="A104" s="8">
        <v>3</v>
      </c>
      <c r="B104" s="9" t="s">
        <v>121</v>
      </c>
      <c r="C104" s="12">
        <f>L104/100*100</f>
        <v>90</v>
      </c>
      <c r="D104" s="64">
        <f>C104/100*900</f>
        <v>810</v>
      </c>
      <c r="E104" s="14"/>
      <c r="F104" s="14"/>
      <c r="G104" s="89"/>
      <c r="H104" s="14">
        <f>C104/100*100</f>
        <v>90</v>
      </c>
      <c r="I104" s="14"/>
      <c r="J104" s="14"/>
      <c r="K104" s="14"/>
      <c r="L104" s="109">
        <v>90</v>
      </c>
      <c r="M104" s="64">
        <v>63.5</v>
      </c>
      <c r="N104" s="91">
        <f t="shared" si="4"/>
        <v>5715</v>
      </c>
      <c r="O104" s="305"/>
    </row>
    <row r="105" spans="1:20" s="2" customFormat="1" ht="18" customHeight="1">
      <c r="A105" s="8">
        <v>4</v>
      </c>
      <c r="B105" s="5" t="s">
        <v>1</v>
      </c>
      <c r="C105" s="12">
        <f>L105/100*100</f>
        <v>1848.9999999999998</v>
      </c>
      <c r="D105" s="13">
        <f>C105/100*344</f>
        <v>6360.5599999999995</v>
      </c>
      <c r="E105" s="14"/>
      <c r="F105" s="14">
        <f>C105/100*7.9</f>
        <v>146.071</v>
      </c>
      <c r="G105" s="14"/>
      <c r="H105" s="14">
        <f>C105/100*1</f>
        <v>18.489999999999998</v>
      </c>
      <c r="I105" s="14">
        <f>C105/100*73.9</f>
        <v>1366.4110000000001</v>
      </c>
      <c r="J105" s="14">
        <f>C105/100*30</f>
        <v>554.69999999999993</v>
      </c>
      <c r="K105" s="14">
        <f>C105/100*0.1</f>
        <v>1.849</v>
      </c>
      <c r="L105" s="109">
        <v>1849</v>
      </c>
      <c r="M105" s="20">
        <v>18</v>
      </c>
      <c r="N105" s="16">
        <f t="shared" si="4"/>
        <v>33282</v>
      </c>
      <c r="O105" s="304"/>
    </row>
    <row r="106" spans="1:20" s="2" customFormat="1" ht="19.2" customHeight="1">
      <c r="A106" s="8">
        <v>5</v>
      </c>
      <c r="B106" s="9" t="s">
        <v>29</v>
      </c>
      <c r="C106" s="12">
        <f>L106/100*100</f>
        <v>40</v>
      </c>
      <c r="D106" s="13">
        <f>C106/100*390</f>
        <v>156</v>
      </c>
      <c r="E106" s="14"/>
      <c r="F106" s="14"/>
      <c r="G106" s="14"/>
      <c r="H106" s="14"/>
      <c r="I106" s="14">
        <f>C106/100*97.4</f>
        <v>38.960000000000008</v>
      </c>
      <c r="J106" s="22">
        <f>C106/100*178</f>
        <v>71.2</v>
      </c>
      <c r="K106" s="22">
        <f>C106/100*0.05</f>
        <v>2.0000000000000004E-2</v>
      </c>
      <c r="L106" s="109">
        <v>40</v>
      </c>
      <c r="M106" s="20">
        <v>25</v>
      </c>
      <c r="N106" s="16">
        <f t="shared" si="4"/>
        <v>1000</v>
      </c>
      <c r="O106" s="306"/>
    </row>
    <row r="107" spans="1:20" s="2" customFormat="1" ht="18" customHeight="1">
      <c r="A107" s="8">
        <v>6</v>
      </c>
      <c r="B107" s="5" t="s">
        <v>4</v>
      </c>
      <c r="C107" s="12">
        <f>L107/100*98</f>
        <v>1058.4000000000001</v>
      </c>
      <c r="D107" s="13">
        <f>C107/100*118</f>
        <v>1248.9120000000003</v>
      </c>
      <c r="E107" s="14">
        <f>C107/100*21</f>
        <v>222.26400000000004</v>
      </c>
      <c r="F107" s="14"/>
      <c r="G107" s="14">
        <f>C107/100*3.8</f>
        <v>40.219200000000001</v>
      </c>
      <c r="H107" s="14"/>
      <c r="I107" s="14"/>
      <c r="J107" s="22">
        <f>C107/100*12</f>
        <v>127.00800000000001</v>
      </c>
      <c r="K107" s="22">
        <f>C107/100*0.1</f>
        <v>1.0584000000000002</v>
      </c>
      <c r="L107" s="109">
        <v>1080</v>
      </c>
      <c r="M107" s="15">
        <v>250</v>
      </c>
      <c r="N107" s="91">
        <f t="shared" si="4"/>
        <v>270000</v>
      </c>
      <c r="O107" s="304"/>
      <c r="Q107" s="3"/>
      <c r="R107" s="3"/>
      <c r="S107" s="4"/>
    </row>
    <row r="108" spans="1:20" s="2" customFormat="1" ht="18" customHeight="1">
      <c r="A108" s="8">
        <v>7</v>
      </c>
      <c r="B108" s="5" t="s">
        <v>20</v>
      </c>
      <c r="C108" s="12">
        <f>L108/100*95</f>
        <v>218.49999999999997</v>
      </c>
      <c r="D108" s="13">
        <f>C108/100*20</f>
        <v>43.699999999999989</v>
      </c>
      <c r="E108" s="14"/>
      <c r="F108" s="14">
        <f>C108/100*0.6</f>
        <v>1.3109999999999997</v>
      </c>
      <c r="G108" s="14"/>
      <c r="H108" s="14">
        <f>C108/100*0.2</f>
        <v>0.43699999999999994</v>
      </c>
      <c r="I108" s="14">
        <f>C108/100*4</f>
        <v>8.7399999999999984</v>
      </c>
      <c r="J108" s="21">
        <f>C108/100*12</f>
        <v>26.219999999999995</v>
      </c>
      <c r="K108" s="21">
        <f>C108/100*0.04</f>
        <v>8.7399999999999992E-2</v>
      </c>
      <c r="L108" s="308">
        <v>230</v>
      </c>
      <c r="M108" s="20">
        <v>30</v>
      </c>
      <c r="N108" s="16">
        <f t="shared" si="4"/>
        <v>6900</v>
      </c>
      <c r="O108" s="304"/>
      <c r="Q108" s="3"/>
      <c r="R108" s="3"/>
    </row>
    <row r="109" spans="1:20" s="2" customFormat="1" ht="18" customHeight="1">
      <c r="A109" s="8">
        <v>8</v>
      </c>
      <c r="B109" s="9" t="s">
        <v>122</v>
      </c>
      <c r="C109" s="12">
        <f>L109/100*92</f>
        <v>322</v>
      </c>
      <c r="D109" s="13">
        <f>C109/100*58</f>
        <v>186.76000000000002</v>
      </c>
      <c r="E109" s="14">
        <f>C109/100*11.7</f>
        <v>37.673999999999999</v>
      </c>
      <c r="F109" s="14"/>
      <c r="G109" s="14">
        <f>C109/100*1.2</f>
        <v>3.8639999999999999</v>
      </c>
      <c r="H109" s="14"/>
      <c r="I109" s="14"/>
      <c r="J109" s="63">
        <f>C109/100*910</f>
        <v>2930.2000000000003</v>
      </c>
      <c r="K109" s="22"/>
      <c r="L109" s="109">
        <v>350</v>
      </c>
      <c r="M109" s="100">
        <v>155</v>
      </c>
      <c r="N109" s="16">
        <f t="shared" si="4"/>
        <v>54250</v>
      </c>
      <c r="O109" s="304"/>
    </row>
    <row r="110" spans="1:20" s="2" customFormat="1" ht="18" customHeight="1">
      <c r="A110" s="8">
        <v>9</v>
      </c>
      <c r="B110" s="5" t="s">
        <v>114</v>
      </c>
      <c r="C110" s="12">
        <f>L110/100*100</f>
        <v>40</v>
      </c>
      <c r="D110" s="13">
        <f>C110/100*247</f>
        <v>98.800000000000011</v>
      </c>
      <c r="E110" s="17"/>
      <c r="F110" s="17">
        <f>C110/100*17.5</f>
        <v>7</v>
      </c>
      <c r="G110" s="17"/>
      <c r="H110" s="17">
        <f>C110/100*1.6</f>
        <v>0.64000000000000012</v>
      </c>
      <c r="I110" s="17">
        <f>C110/100*39.2</f>
        <v>15.680000000000001</v>
      </c>
      <c r="J110" s="21"/>
      <c r="K110" s="21"/>
      <c r="L110" s="308">
        <v>40</v>
      </c>
      <c r="M110" s="20">
        <v>50</v>
      </c>
      <c r="N110" s="16">
        <f t="shared" si="4"/>
        <v>2000</v>
      </c>
      <c r="O110" s="304"/>
      <c r="Q110" s="3"/>
      <c r="R110" s="3"/>
      <c r="S110" s="4"/>
      <c r="T110" s="3"/>
    </row>
    <row r="111" spans="1:20" s="2" customFormat="1" ht="18" customHeight="1">
      <c r="A111" s="8">
        <v>10</v>
      </c>
      <c r="B111" s="5" t="s">
        <v>145</v>
      </c>
      <c r="C111" s="12">
        <f>L111/100*65</f>
        <v>786.5</v>
      </c>
      <c r="D111" s="13">
        <f>C111/100*14</f>
        <v>110.11</v>
      </c>
      <c r="E111" s="14"/>
      <c r="F111" s="14">
        <f>C111/100*1.6</f>
        <v>12.584000000000001</v>
      </c>
      <c r="G111" s="14"/>
      <c r="H111" s="14"/>
      <c r="I111" s="14">
        <f>C111/100*1.9</f>
        <v>14.9435</v>
      </c>
      <c r="J111" s="14">
        <f>C111/100*63</f>
        <v>495.495</v>
      </c>
      <c r="K111" s="14">
        <f>C111/100*0.01</f>
        <v>7.8649999999999998E-2</v>
      </c>
      <c r="L111" s="109">
        <v>1210</v>
      </c>
      <c r="M111" s="20">
        <v>18</v>
      </c>
      <c r="N111" s="16">
        <f t="shared" si="4"/>
        <v>21780</v>
      </c>
      <c r="O111" s="304"/>
    </row>
    <row r="112" spans="1:20" s="2" customFormat="1" ht="18" customHeight="1">
      <c r="A112" s="8">
        <v>11</v>
      </c>
      <c r="B112" s="5" t="s">
        <v>128</v>
      </c>
      <c r="C112" s="12">
        <f>L112/100*81</f>
        <v>348.3</v>
      </c>
      <c r="D112" s="13">
        <f>C112/100*17</f>
        <v>59.210999999999999</v>
      </c>
      <c r="E112" s="17"/>
      <c r="F112" s="17">
        <f>C112/100*0.9</f>
        <v>3.1347</v>
      </c>
      <c r="G112" s="17"/>
      <c r="H112" s="17">
        <f>C112/100*0.2</f>
        <v>0.69660000000000011</v>
      </c>
      <c r="I112" s="17">
        <f>C112/100*2.8</f>
        <v>9.7523999999999997</v>
      </c>
      <c r="J112" s="14">
        <f>C112/100*28</f>
        <v>97.524000000000001</v>
      </c>
      <c r="K112" s="22">
        <f>C112/100*0.04</f>
        <v>0.13932</v>
      </c>
      <c r="L112" s="308">
        <v>430</v>
      </c>
      <c r="M112" s="20">
        <v>20</v>
      </c>
      <c r="N112" s="16">
        <f t="shared" si="4"/>
        <v>8600</v>
      </c>
      <c r="O112" s="304"/>
      <c r="P112" s="3"/>
    </row>
    <row r="113" spans="1:23" s="2" customFormat="1" ht="18" customHeight="1">
      <c r="A113" s="8">
        <v>12</v>
      </c>
      <c r="B113" s="9" t="s">
        <v>108</v>
      </c>
      <c r="C113" s="12"/>
      <c r="D113" s="331"/>
      <c r="E113" s="14"/>
      <c r="F113" s="14"/>
      <c r="G113" s="14"/>
      <c r="H113" s="14"/>
      <c r="I113" s="14"/>
      <c r="J113" s="14"/>
      <c r="K113" s="14"/>
      <c r="L113" s="15"/>
      <c r="M113" s="15"/>
      <c r="N113" s="16">
        <v>3000</v>
      </c>
      <c r="O113" s="304"/>
    </row>
    <row r="114" spans="1:23" s="2" customFormat="1" ht="18" customHeight="1">
      <c r="A114" s="23" t="s">
        <v>101</v>
      </c>
      <c r="B114" s="24"/>
      <c r="C114" s="25"/>
      <c r="D114" s="92">
        <f>SUM(D102:D113)</f>
        <v>12160.653</v>
      </c>
      <c r="E114" s="31"/>
      <c r="F114" s="31"/>
      <c r="G114" s="31"/>
      <c r="H114" s="31"/>
      <c r="I114" s="31"/>
      <c r="J114" s="31"/>
      <c r="K114" s="31"/>
      <c r="L114" s="32"/>
      <c r="M114" s="32"/>
      <c r="N114" s="190">
        <f>SUM(N102:N113)</f>
        <v>430647</v>
      </c>
      <c r="O114" s="304"/>
    </row>
    <row r="115" spans="1:23" ht="18" customHeight="1">
      <c r="A115" s="23" t="s">
        <v>43</v>
      </c>
      <c r="B115" s="24"/>
      <c r="C115" s="33"/>
      <c r="D115" s="34">
        <f>D114/D96</f>
        <v>282.80588372093024</v>
      </c>
      <c r="E115" s="34"/>
      <c r="F115" s="34"/>
      <c r="G115" s="34"/>
      <c r="H115" s="34"/>
      <c r="I115" s="34"/>
      <c r="J115" s="34"/>
      <c r="K115" s="34"/>
      <c r="L115" s="35"/>
      <c r="M115" s="35"/>
      <c r="N115" s="191"/>
      <c r="O115" s="325"/>
      <c r="P115" s="2"/>
      <c r="Q115" s="2"/>
      <c r="R115" s="2"/>
      <c r="S115" s="2"/>
      <c r="T115" s="2"/>
      <c r="U115" s="2"/>
      <c r="V115" s="2"/>
      <c r="W115" s="2"/>
    </row>
    <row r="116" spans="1:23" ht="18" customHeight="1">
      <c r="A116" s="184" t="s">
        <v>44</v>
      </c>
      <c r="B116" s="185"/>
      <c r="C116" s="309" t="s">
        <v>126</v>
      </c>
      <c r="D116" s="29" t="s">
        <v>38</v>
      </c>
      <c r="E116" s="34"/>
      <c r="F116" s="34"/>
      <c r="G116" s="34"/>
      <c r="H116" s="34"/>
      <c r="I116" s="34"/>
      <c r="J116" s="36"/>
      <c r="K116" s="36"/>
      <c r="L116" s="35"/>
      <c r="M116" s="35"/>
      <c r="N116" s="141"/>
      <c r="O116" s="4"/>
      <c r="P116" s="2"/>
      <c r="Q116" s="2"/>
      <c r="R116" s="2"/>
      <c r="S116" s="2"/>
      <c r="T116" s="2"/>
      <c r="U116" s="2"/>
      <c r="V116" s="2"/>
      <c r="W116" s="2"/>
    </row>
    <row r="117" spans="1:23" ht="18" customHeight="1">
      <c r="A117" s="186"/>
      <c r="B117" s="187"/>
      <c r="C117" s="61" t="s">
        <v>57</v>
      </c>
      <c r="D117" s="29">
        <f>D115*100/930</f>
        <v>30.409234808702177</v>
      </c>
      <c r="E117" s="34"/>
      <c r="F117" s="34"/>
      <c r="G117" s="34"/>
      <c r="H117" s="34"/>
      <c r="I117" s="34"/>
      <c r="J117" s="36"/>
      <c r="K117" s="36"/>
      <c r="L117" s="35"/>
      <c r="M117" s="35"/>
      <c r="N117" s="141"/>
      <c r="O117" s="4"/>
      <c r="P117" s="2"/>
      <c r="Q117" s="2"/>
      <c r="R117" s="2"/>
      <c r="S117" s="2"/>
      <c r="T117" s="2"/>
      <c r="U117" s="2"/>
      <c r="V117" s="2"/>
      <c r="W117" s="2"/>
    </row>
    <row r="118" spans="1:23" s="2" customFormat="1" ht="18" customHeight="1">
      <c r="A118" s="188" t="s">
        <v>45</v>
      </c>
      <c r="B118" s="188"/>
      <c r="C118" s="45"/>
      <c r="D118" s="46"/>
      <c r="E118" s="47"/>
      <c r="F118" s="47"/>
      <c r="G118" s="47"/>
      <c r="H118" s="47"/>
      <c r="I118" s="47"/>
      <c r="J118" s="47"/>
      <c r="K118" s="47"/>
      <c r="L118" s="48"/>
      <c r="M118" s="48"/>
      <c r="N118" s="51"/>
      <c r="O118" s="304"/>
    </row>
    <row r="119" spans="1:23" s="2" customFormat="1" ht="18" customHeight="1">
      <c r="A119" s="8">
        <v>1</v>
      </c>
      <c r="B119" s="9" t="s">
        <v>2</v>
      </c>
      <c r="C119" s="12">
        <f>L119/100*100</f>
        <v>50</v>
      </c>
      <c r="D119" s="13">
        <f>C119/100*60</f>
        <v>30</v>
      </c>
      <c r="E119" s="14">
        <f>C119/100*15</f>
        <v>7.5</v>
      </c>
      <c r="F119" s="14"/>
      <c r="G119" s="14"/>
      <c r="H119" s="14"/>
      <c r="I119" s="14"/>
      <c r="J119" s="14">
        <f>C119/100*387</f>
        <v>193.5</v>
      </c>
      <c r="K119" s="14">
        <f>C119/100*0.09</f>
        <v>4.4999999999999998E-2</v>
      </c>
      <c r="L119" s="109">
        <v>50</v>
      </c>
      <c r="M119" s="20">
        <v>20</v>
      </c>
      <c r="N119" s="16">
        <f>L119*M119</f>
        <v>1000</v>
      </c>
      <c r="O119" s="304"/>
    </row>
    <row r="120" spans="1:23" s="2" customFormat="1" ht="18" customHeight="1">
      <c r="A120" s="8">
        <v>2</v>
      </c>
      <c r="B120" s="9" t="s">
        <v>118</v>
      </c>
      <c r="C120" s="12">
        <f>L120/100*100</f>
        <v>229.99999999999997</v>
      </c>
      <c r="D120" s="64">
        <f>C120/100*899</f>
        <v>2067.6999999999998</v>
      </c>
      <c r="E120" s="14"/>
      <c r="F120" s="14"/>
      <c r="G120" s="89">
        <f>C120/100*99.6</f>
        <v>229.07999999999996</v>
      </c>
      <c r="H120" s="14"/>
      <c r="I120" s="14"/>
      <c r="J120" s="14"/>
      <c r="K120" s="14"/>
      <c r="L120" s="109">
        <v>230</v>
      </c>
      <c r="M120" s="64">
        <v>68</v>
      </c>
      <c r="N120" s="91">
        <f t="shared" ref="N120:N126" si="5">L120*M120</f>
        <v>15640</v>
      </c>
      <c r="O120" s="305"/>
    </row>
    <row r="121" spans="1:23" s="2" customFormat="1" ht="18" customHeight="1">
      <c r="A121" s="8">
        <v>3</v>
      </c>
      <c r="B121" s="5" t="s">
        <v>1</v>
      </c>
      <c r="C121" s="12">
        <f>L121/100*100</f>
        <v>1805.9999999999998</v>
      </c>
      <c r="D121" s="13">
        <f>C121/100*344</f>
        <v>6212.6399999999994</v>
      </c>
      <c r="E121" s="14"/>
      <c r="F121" s="14">
        <f>C121/100*7.9</f>
        <v>142.67400000000001</v>
      </c>
      <c r="G121" s="14"/>
      <c r="H121" s="14">
        <f>C121/100*1</f>
        <v>18.059999999999999</v>
      </c>
      <c r="I121" s="14">
        <f>C121/100*73.9</f>
        <v>1334.634</v>
      </c>
      <c r="J121" s="14">
        <f>C121/100*30</f>
        <v>541.79999999999995</v>
      </c>
      <c r="K121" s="14">
        <f>C121/100*0.1</f>
        <v>1.806</v>
      </c>
      <c r="L121" s="109">
        <v>1806</v>
      </c>
      <c r="M121" s="20">
        <v>18</v>
      </c>
      <c r="N121" s="16">
        <f t="shared" si="5"/>
        <v>32508</v>
      </c>
      <c r="O121" s="304"/>
    </row>
    <row r="122" spans="1:23" s="2" customFormat="1" ht="18" customHeight="1">
      <c r="A122" s="8">
        <v>4</v>
      </c>
      <c r="B122" s="5" t="s">
        <v>114</v>
      </c>
      <c r="C122" s="12">
        <f>L122/100*100</f>
        <v>40</v>
      </c>
      <c r="D122" s="13">
        <f>C122/100*247</f>
        <v>98.800000000000011</v>
      </c>
      <c r="E122" s="17"/>
      <c r="F122" s="17">
        <f>C122/100*17.5</f>
        <v>7</v>
      </c>
      <c r="G122" s="17"/>
      <c r="H122" s="17">
        <f>C122/100*1.6</f>
        <v>0.64000000000000012</v>
      </c>
      <c r="I122" s="17">
        <f>C122/100*39.2</f>
        <v>15.680000000000001</v>
      </c>
      <c r="J122" s="21"/>
      <c r="K122" s="21"/>
      <c r="L122" s="308">
        <v>40</v>
      </c>
      <c r="M122" s="20">
        <v>50</v>
      </c>
      <c r="N122" s="16">
        <f t="shared" si="5"/>
        <v>2000</v>
      </c>
      <c r="O122" s="304"/>
      <c r="Q122" s="3"/>
      <c r="R122" s="3"/>
      <c r="S122" s="4"/>
      <c r="T122" s="3"/>
    </row>
    <row r="123" spans="1:23" s="2" customFormat="1" ht="18" customHeight="1">
      <c r="A123" s="8">
        <v>5</v>
      </c>
      <c r="B123" s="5" t="s">
        <v>20</v>
      </c>
      <c r="C123" s="12">
        <f>L123/100*95</f>
        <v>617.5</v>
      </c>
      <c r="D123" s="13">
        <f>C123/100*20</f>
        <v>123.5</v>
      </c>
      <c r="E123" s="14"/>
      <c r="F123" s="14">
        <f>C123/100*0.6</f>
        <v>3.7049999999999996</v>
      </c>
      <c r="G123" s="14"/>
      <c r="H123" s="14">
        <f>C123/100*0.2</f>
        <v>1.2350000000000001</v>
      </c>
      <c r="I123" s="14">
        <f>C123/100*4</f>
        <v>24.7</v>
      </c>
      <c r="J123" s="21">
        <f>C123/100*12</f>
        <v>74.099999999999994</v>
      </c>
      <c r="K123" s="21">
        <f>C123/100*0.04</f>
        <v>0.247</v>
      </c>
      <c r="L123" s="308">
        <v>650</v>
      </c>
      <c r="M123" s="20">
        <v>30</v>
      </c>
      <c r="N123" s="16">
        <f t="shared" si="5"/>
        <v>19500</v>
      </c>
      <c r="O123" s="304"/>
      <c r="Q123" s="3"/>
      <c r="R123" s="3"/>
    </row>
    <row r="124" spans="1:23" s="2" customFormat="1" ht="18" customHeight="1">
      <c r="A124" s="8">
        <v>6</v>
      </c>
      <c r="B124" s="9" t="s">
        <v>65</v>
      </c>
      <c r="C124" s="12">
        <f>L124/100*98</f>
        <v>1264.2</v>
      </c>
      <c r="D124" s="13">
        <f>C124/100*139</f>
        <v>1757.2380000000003</v>
      </c>
      <c r="E124" s="14">
        <f>C124/100*19</f>
        <v>240.19800000000004</v>
      </c>
      <c r="F124" s="14"/>
      <c r="G124" s="14">
        <f>C124/100*7</f>
        <v>88.494000000000014</v>
      </c>
      <c r="H124" s="14"/>
      <c r="I124" s="14"/>
      <c r="J124" s="22">
        <f>C124/100*7</f>
        <v>88.494000000000014</v>
      </c>
      <c r="K124" s="22">
        <f>C124/100*0.9</f>
        <v>11.377800000000001</v>
      </c>
      <c r="L124" s="109">
        <v>1290</v>
      </c>
      <c r="M124" s="15">
        <v>137</v>
      </c>
      <c r="N124" s="16">
        <f t="shared" si="5"/>
        <v>176730</v>
      </c>
      <c r="O124" s="304"/>
    </row>
    <row r="125" spans="1:23" s="2" customFormat="1" ht="18" customHeight="1">
      <c r="A125" s="8">
        <v>7</v>
      </c>
      <c r="B125" s="5" t="s">
        <v>3</v>
      </c>
      <c r="C125" s="12">
        <f>L125/100*48</f>
        <v>288</v>
      </c>
      <c r="D125" s="13">
        <f>C125/100*199</f>
        <v>573.12</v>
      </c>
      <c r="E125" s="14">
        <f>C125/100*20.3</f>
        <v>58.463999999999999</v>
      </c>
      <c r="F125" s="14"/>
      <c r="G125" s="14">
        <f>C125/100*13.1</f>
        <v>37.727999999999994</v>
      </c>
      <c r="H125" s="14"/>
      <c r="I125" s="14"/>
      <c r="J125" s="22">
        <f>C125/100*12</f>
        <v>34.56</v>
      </c>
      <c r="K125" s="22">
        <f>C125/100*0.15</f>
        <v>0.432</v>
      </c>
      <c r="L125" s="109">
        <v>600</v>
      </c>
      <c r="M125" s="15">
        <v>84</v>
      </c>
      <c r="N125" s="16">
        <f t="shared" si="5"/>
        <v>50400</v>
      </c>
      <c r="O125" s="304"/>
      <c r="Q125" s="3"/>
      <c r="R125" s="3"/>
      <c r="S125" s="4"/>
    </row>
    <row r="126" spans="1:23" s="2" customFormat="1" ht="18" customHeight="1">
      <c r="A126" s="8">
        <v>8</v>
      </c>
      <c r="B126" s="5" t="s">
        <v>5</v>
      </c>
      <c r="C126" s="12">
        <f>L126/100*98.5</f>
        <v>985</v>
      </c>
      <c r="D126" s="13">
        <f>C126/100*39</f>
        <v>384.15</v>
      </c>
      <c r="E126" s="17"/>
      <c r="F126" s="17">
        <f>C126/100*1.5</f>
        <v>14.774999999999999</v>
      </c>
      <c r="G126" s="17"/>
      <c r="H126" s="17">
        <f>C126/100*0.2</f>
        <v>1.97</v>
      </c>
      <c r="I126" s="17">
        <f>C126/100*7.8</f>
        <v>76.83</v>
      </c>
      <c r="J126" s="17">
        <f>C126/100*43</f>
        <v>423.55</v>
      </c>
      <c r="K126" s="17">
        <f>C126/100*0.06</f>
        <v>0.59099999999999997</v>
      </c>
      <c r="L126" s="308">
        <v>1000</v>
      </c>
      <c r="M126" s="15">
        <v>17</v>
      </c>
      <c r="N126" s="16">
        <f t="shared" si="5"/>
        <v>17000</v>
      </c>
      <c r="O126" s="304"/>
      <c r="Q126" s="3"/>
      <c r="R126" s="3"/>
      <c r="S126" s="4"/>
    </row>
    <row r="127" spans="1:23" s="2" customFormat="1" ht="18" customHeight="1">
      <c r="A127" s="8">
        <v>9</v>
      </c>
      <c r="B127" s="5" t="s">
        <v>60</v>
      </c>
      <c r="C127" s="12">
        <f>L127/100*100</f>
        <v>40</v>
      </c>
      <c r="D127" s="13">
        <f>C127/100*334</f>
        <v>133.6</v>
      </c>
      <c r="E127" s="14"/>
      <c r="F127" s="14">
        <f>C127/100*20</f>
        <v>8</v>
      </c>
      <c r="G127" s="14"/>
      <c r="H127" s="14">
        <f>C127/100*2.4</f>
        <v>0.96</v>
      </c>
      <c r="I127" s="14">
        <f>C127/100*58</f>
        <v>23.200000000000003</v>
      </c>
      <c r="J127" s="22">
        <f>C127/100*89</f>
        <v>35.6</v>
      </c>
      <c r="K127" s="22">
        <f>C127/100*0.64</f>
        <v>0.25600000000000001</v>
      </c>
      <c r="L127" s="109">
        <v>40</v>
      </c>
      <c r="M127" s="100">
        <v>190</v>
      </c>
      <c r="N127" s="16">
        <f>L127*M127</f>
        <v>7600</v>
      </c>
      <c r="O127" s="304"/>
    </row>
    <row r="128" spans="1:23" s="2" customFormat="1" ht="18" customHeight="1">
      <c r="A128" s="8">
        <v>10</v>
      </c>
      <c r="B128" s="9" t="s">
        <v>108</v>
      </c>
      <c r="C128" s="12"/>
      <c r="D128" s="13"/>
      <c r="E128" s="102"/>
      <c r="F128" s="102"/>
      <c r="G128" s="102"/>
      <c r="H128" s="14"/>
      <c r="I128" s="14"/>
      <c r="J128" s="14"/>
      <c r="K128" s="14"/>
      <c r="L128" s="15"/>
      <c r="M128" s="15"/>
      <c r="N128" s="16">
        <v>3000</v>
      </c>
      <c r="O128" s="304"/>
    </row>
    <row r="129" spans="1:23" s="2" customFormat="1" ht="18" customHeight="1">
      <c r="A129" s="23" t="s">
        <v>102</v>
      </c>
      <c r="B129" s="24"/>
      <c r="C129" s="25"/>
      <c r="D129" s="92">
        <f>SUM(D119:D128)</f>
        <v>11380.748000000001</v>
      </c>
      <c r="E129" s="31"/>
      <c r="F129" s="31"/>
      <c r="G129" s="31"/>
      <c r="H129" s="31"/>
      <c r="I129" s="31"/>
      <c r="J129" s="31"/>
      <c r="K129" s="31"/>
      <c r="L129" s="32"/>
      <c r="M129" s="32"/>
      <c r="N129" s="190">
        <f>SUM(N119:N128)</f>
        <v>325378</v>
      </c>
      <c r="O129" s="304"/>
    </row>
    <row r="130" spans="1:23" ht="18" customHeight="1">
      <c r="A130" s="23" t="s">
        <v>46</v>
      </c>
      <c r="B130" s="24"/>
      <c r="C130" s="52"/>
      <c r="D130" s="36">
        <f>D129/D96</f>
        <v>264.66855813953492</v>
      </c>
      <c r="E130" s="36"/>
      <c r="F130" s="36"/>
      <c r="G130" s="36"/>
      <c r="H130" s="36"/>
      <c r="I130" s="36"/>
      <c r="J130" s="36"/>
      <c r="K130" s="36"/>
      <c r="L130" s="53"/>
      <c r="M130" s="35"/>
      <c r="N130" s="191"/>
      <c r="O130" s="4"/>
      <c r="P130" s="2"/>
      <c r="Q130" s="2"/>
      <c r="R130" s="2"/>
      <c r="S130" s="2"/>
      <c r="T130" s="2"/>
      <c r="U130" s="2"/>
      <c r="V130" s="2"/>
      <c r="W130" s="2"/>
    </row>
    <row r="131" spans="1:23" ht="18" customHeight="1">
      <c r="A131" s="184" t="s">
        <v>47</v>
      </c>
      <c r="B131" s="185"/>
      <c r="C131" s="309" t="s">
        <v>126</v>
      </c>
      <c r="D131" s="29" t="s">
        <v>48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41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18" customHeight="1">
      <c r="A132" s="186"/>
      <c r="B132" s="187"/>
      <c r="C132" s="61" t="s">
        <v>57</v>
      </c>
      <c r="D132" s="50">
        <f>D130*100/930</f>
        <v>28.458984746186548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41"/>
      <c r="O132" s="4"/>
      <c r="P132" s="2"/>
      <c r="Q132" s="2"/>
      <c r="R132" s="134"/>
      <c r="S132" s="2"/>
      <c r="T132" s="2"/>
      <c r="U132" s="2"/>
      <c r="V132" s="2"/>
      <c r="W132" s="2"/>
    </row>
    <row r="133" spans="1:23" ht="18" customHeight="1">
      <c r="A133" s="188" t="s">
        <v>39</v>
      </c>
      <c r="B133" s="188"/>
      <c r="C133" s="54"/>
      <c r="D133" s="55"/>
      <c r="E133" s="55"/>
      <c r="F133" s="55"/>
      <c r="G133" s="55"/>
      <c r="H133" s="55"/>
      <c r="I133" s="55"/>
      <c r="J133" s="55"/>
      <c r="K133" s="55"/>
      <c r="L133" s="56"/>
      <c r="M133" s="56"/>
      <c r="N133" s="57"/>
      <c r="O133" s="4"/>
      <c r="P133" s="2"/>
      <c r="Q133" s="2"/>
      <c r="R133" s="2"/>
      <c r="S133" s="2"/>
      <c r="T133" s="2"/>
      <c r="U133" s="2"/>
      <c r="V133" s="2"/>
      <c r="W133" s="2"/>
    </row>
    <row r="134" spans="1:23" s="2" customFormat="1" ht="18" customHeight="1">
      <c r="A134" s="116">
        <v>1</v>
      </c>
      <c r="B134" s="131" t="s">
        <v>124</v>
      </c>
      <c r="C134" s="25">
        <f>L134/100*100</f>
        <v>730</v>
      </c>
      <c r="D134" s="117">
        <f>C134/100*487</f>
        <v>3555.1</v>
      </c>
      <c r="E134" s="27"/>
      <c r="F134" s="27">
        <f>C134/100*19.5</f>
        <v>142.35</v>
      </c>
      <c r="G134" s="27"/>
      <c r="H134" s="27">
        <f>C134/100*23.2</f>
        <v>169.35999999999999</v>
      </c>
      <c r="I134" s="27">
        <f>C134/100*46</f>
        <v>335.8</v>
      </c>
      <c r="J134" s="118">
        <f>C134/100*680</f>
        <v>4964</v>
      </c>
      <c r="K134" s="27">
        <f>C134/100*0.55</f>
        <v>4.0150000000000006</v>
      </c>
      <c r="L134" s="28">
        <v>730</v>
      </c>
      <c r="M134" s="132">
        <v>260</v>
      </c>
      <c r="N134" s="119">
        <f t="shared" ref="N134" si="6">L134*M134</f>
        <v>189800</v>
      </c>
      <c r="O134" s="304"/>
      <c r="P134" s="3"/>
    </row>
    <row r="135" spans="1:23" ht="20.399999999999999" customHeight="1">
      <c r="A135" s="145" t="s">
        <v>0</v>
      </c>
      <c r="B135" s="148" t="s">
        <v>19</v>
      </c>
      <c r="C135" s="151" t="s">
        <v>8</v>
      </c>
      <c r="D135" s="151" t="s">
        <v>9</v>
      </c>
      <c r="E135" s="154" t="s">
        <v>11</v>
      </c>
      <c r="F135" s="155"/>
      <c r="G135" s="154" t="s">
        <v>13</v>
      </c>
      <c r="H135" s="155"/>
      <c r="I135" s="173" t="s">
        <v>16</v>
      </c>
      <c r="J135" s="173" t="s">
        <v>32</v>
      </c>
      <c r="K135" s="173" t="s">
        <v>33</v>
      </c>
      <c r="L135" s="173" t="s">
        <v>17</v>
      </c>
      <c r="M135" s="173" t="s">
        <v>34</v>
      </c>
      <c r="N135" s="145" t="s">
        <v>18</v>
      </c>
      <c r="O135" s="302"/>
    </row>
    <row r="136" spans="1:23" ht="20.399999999999999" customHeight="1">
      <c r="A136" s="146"/>
      <c r="B136" s="149"/>
      <c r="C136" s="152"/>
      <c r="D136" s="152"/>
      <c r="E136" s="156"/>
      <c r="F136" s="157"/>
      <c r="G136" s="156"/>
      <c r="H136" s="157"/>
      <c r="I136" s="181"/>
      <c r="J136" s="181"/>
      <c r="K136" s="181"/>
      <c r="L136" s="181"/>
      <c r="M136" s="181"/>
      <c r="N136" s="146"/>
      <c r="O136" s="136"/>
    </row>
    <row r="137" spans="1:23" ht="20.399999999999999" customHeight="1">
      <c r="A137" s="146"/>
      <c r="B137" s="149"/>
      <c r="C137" s="152"/>
      <c r="D137" s="152"/>
      <c r="E137" s="173" t="s">
        <v>10</v>
      </c>
      <c r="F137" s="173" t="s">
        <v>12</v>
      </c>
      <c r="G137" s="173" t="s">
        <v>14</v>
      </c>
      <c r="H137" s="173" t="s">
        <v>15</v>
      </c>
      <c r="I137" s="181"/>
      <c r="J137" s="181"/>
      <c r="K137" s="181"/>
      <c r="L137" s="181"/>
      <c r="M137" s="181"/>
      <c r="N137" s="146"/>
      <c r="O137" s="136"/>
    </row>
    <row r="138" spans="1:23" ht="20.399999999999999" customHeight="1">
      <c r="A138" s="147"/>
      <c r="B138" s="150"/>
      <c r="C138" s="153"/>
      <c r="D138" s="153"/>
      <c r="E138" s="174"/>
      <c r="F138" s="174"/>
      <c r="G138" s="174"/>
      <c r="H138" s="174"/>
      <c r="I138" s="174"/>
      <c r="J138" s="174"/>
      <c r="K138" s="174"/>
      <c r="L138" s="174"/>
      <c r="M138" s="174"/>
      <c r="N138" s="147"/>
      <c r="O138" s="136"/>
    </row>
    <row r="139" spans="1:23" s="2" customFormat="1" ht="20.399999999999999" customHeight="1">
      <c r="A139" s="189" t="s">
        <v>95</v>
      </c>
      <c r="B139" s="189"/>
      <c r="C139" s="25"/>
      <c r="D139" s="26">
        <f>SUM(D133:D134)</f>
        <v>3555.1</v>
      </c>
      <c r="E139" s="31"/>
      <c r="F139" s="31"/>
      <c r="G139" s="31"/>
      <c r="H139" s="31"/>
      <c r="I139" s="31"/>
      <c r="J139" s="31"/>
      <c r="K139" s="31"/>
      <c r="L139" s="32"/>
      <c r="M139" s="58"/>
      <c r="N139" s="190">
        <f>SUM(N133:N134)</f>
        <v>189800</v>
      </c>
      <c r="O139" s="304"/>
    </row>
    <row r="140" spans="1:23" ht="20.399999999999999" customHeight="1">
      <c r="A140" s="189" t="s">
        <v>7</v>
      </c>
      <c r="B140" s="189"/>
      <c r="C140" s="33"/>
      <c r="D140" s="34">
        <f>D139/D96</f>
        <v>82.676744186046506</v>
      </c>
      <c r="E140" s="34"/>
      <c r="F140" s="34"/>
      <c r="G140" s="34"/>
      <c r="H140" s="34"/>
      <c r="I140" s="34"/>
      <c r="J140" s="34"/>
      <c r="K140" s="34"/>
      <c r="L140" s="35"/>
      <c r="M140" s="18"/>
      <c r="N140" s="191"/>
      <c r="O140" s="4"/>
      <c r="P140" s="2"/>
      <c r="Q140" s="2"/>
      <c r="R140" s="2"/>
      <c r="S140" s="2"/>
      <c r="T140" s="2"/>
      <c r="U140" s="2"/>
      <c r="V140" s="2"/>
      <c r="W140" s="2"/>
    </row>
    <row r="141" spans="1:23" ht="20.399999999999999" customHeight="1">
      <c r="A141" s="184" t="s">
        <v>40</v>
      </c>
      <c r="B141" s="185"/>
      <c r="C141" s="309" t="s">
        <v>126</v>
      </c>
      <c r="D141" s="29" t="s">
        <v>49</v>
      </c>
      <c r="E141" s="34"/>
      <c r="F141" s="34"/>
      <c r="G141" s="34"/>
      <c r="H141" s="34"/>
      <c r="I141" s="34"/>
      <c r="J141" s="36"/>
      <c r="K141" s="36"/>
      <c r="L141" s="35"/>
      <c r="M141" s="35"/>
      <c r="N141" s="141"/>
      <c r="O141" s="4"/>
      <c r="P141" s="2"/>
      <c r="Q141" s="2"/>
      <c r="R141" s="2"/>
      <c r="S141" s="2"/>
      <c r="T141" s="2"/>
      <c r="U141" s="2"/>
      <c r="V141" s="2"/>
      <c r="W141" s="2"/>
    </row>
    <row r="142" spans="1:23" ht="20.399999999999999" customHeight="1">
      <c r="A142" s="186"/>
      <c r="B142" s="187"/>
      <c r="C142" s="61" t="s">
        <v>57</v>
      </c>
      <c r="D142" s="29">
        <f>D140*100/930</f>
        <v>8.8899724931232811</v>
      </c>
      <c r="E142" s="34"/>
      <c r="F142" s="34"/>
      <c r="G142" s="34"/>
      <c r="H142" s="34"/>
      <c r="I142" s="34"/>
      <c r="J142" s="36"/>
      <c r="K142" s="36"/>
      <c r="L142" s="35"/>
      <c r="M142" s="35"/>
      <c r="N142" s="141"/>
      <c r="O142" s="4"/>
      <c r="P142" s="2"/>
      <c r="Q142" s="2"/>
      <c r="R142" s="2"/>
      <c r="S142" s="2"/>
      <c r="T142" s="2"/>
      <c r="U142" s="2"/>
      <c r="V142" s="2"/>
      <c r="W142" s="2"/>
    </row>
    <row r="143" spans="1:23" ht="20.399999999999999" customHeight="1">
      <c r="A143" s="192" t="s">
        <v>96</v>
      </c>
      <c r="B143" s="193"/>
      <c r="C143" s="196"/>
      <c r="D143" s="255">
        <f>D114+D129+D139</f>
        <v>27096.501</v>
      </c>
      <c r="E143" s="6">
        <f>SUM(E102:E141)</f>
        <v>573.60000000000014</v>
      </c>
      <c r="F143" s="6">
        <f t="shared" ref="F143:H143" si="7">SUM(F102:F141)</f>
        <v>488.60469999999998</v>
      </c>
      <c r="G143" s="6">
        <f t="shared" si="7"/>
        <v>738.02519999999993</v>
      </c>
      <c r="H143" s="6">
        <f t="shared" si="7"/>
        <v>302.48860000000002</v>
      </c>
      <c r="I143" s="204">
        <f>SUM(I102:I141)</f>
        <v>3265.3308999999999</v>
      </c>
      <c r="J143" s="202">
        <f>SUM(J102:J134)</f>
        <v>10851.451000000001</v>
      </c>
      <c r="K143" s="204">
        <f>SUM(K102:K134)</f>
        <v>22.047570000000004</v>
      </c>
      <c r="L143" s="206"/>
      <c r="M143" s="206"/>
      <c r="N143" s="257">
        <f>N114+N129+N139</f>
        <v>945825</v>
      </c>
      <c r="U143" s="11"/>
      <c r="V143" s="11"/>
    </row>
    <row r="144" spans="1:23" ht="20.399999999999999" customHeight="1">
      <c r="A144" s="194"/>
      <c r="B144" s="195"/>
      <c r="C144" s="197"/>
      <c r="D144" s="256"/>
      <c r="E144" s="208">
        <f>E143+F143</f>
        <v>1062.2047000000002</v>
      </c>
      <c r="F144" s="209"/>
      <c r="G144" s="208">
        <f>G143+H143</f>
        <v>1040.5137999999999</v>
      </c>
      <c r="H144" s="209"/>
      <c r="I144" s="205"/>
      <c r="J144" s="203"/>
      <c r="K144" s="205"/>
      <c r="L144" s="206"/>
      <c r="M144" s="206"/>
      <c r="N144" s="257"/>
      <c r="U144" s="11"/>
      <c r="V144" s="11"/>
    </row>
    <row r="145" spans="1:22" ht="20.399999999999999" customHeight="1">
      <c r="A145" s="246" t="s">
        <v>73</v>
      </c>
      <c r="B145" s="247"/>
      <c r="C145" s="248"/>
      <c r="D145" s="99">
        <f>D143/D96</f>
        <v>630.15118604651161</v>
      </c>
      <c r="E145" s="106">
        <f>E143/D96</f>
        <v>13.339534883720933</v>
      </c>
      <c r="F145" s="105">
        <f>F143/D96</f>
        <v>11.3629</v>
      </c>
      <c r="G145" s="106">
        <f>G143/D96</f>
        <v>17.163376744186046</v>
      </c>
      <c r="H145" s="105">
        <f>H143/D96</f>
        <v>7.034618604651163</v>
      </c>
      <c r="I145" s="218">
        <f>I143/D96</f>
        <v>75.937927906976739</v>
      </c>
      <c r="J145" s="252">
        <f>J143/D96</f>
        <v>252.35932558139538</v>
      </c>
      <c r="K145" s="254">
        <f>K143/D96</f>
        <v>0.51273418604651166</v>
      </c>
      <c r="L145" s="206"/>
      <c r="M145" s="206"/>
      <c r="N145" s="257"/>
      <c r="P145" s="297"/>
      <c r="Q145" s="299"/>
      <c r="R145" s="299"/>
      <c r="S145" s="299"/>
      <c r="T145" s="299"/>
      <c r="U145" s="311"/>
      <c r="V145" s="311"/>
    </row>
    <row r="146" spans="1:22" ht="20.399999999999999" customHeight="1">
      <c r="A146" s="249"/>
      <c r="B146" s="250"/>
      <c r="C146" s="251"/>
      <c r="D146" s="96"/>
      <c r="E146" s="279">
        <f>E145+F145</f>
        <v>24.702434883720933</v>
      </c>
      <c r="F146" s="278"/>
      <c r="G146" s="279">
        <f>G145+H145</f>
        <v>24.19799534883721</v>
      </c>
      <c r="H146" s="278"/>
      <c r="I146" s="219"/>
      <c r="J146" s="253"/>
      <c r="K146" s="219"/>
      <c r="L146" s="206"/>
      <c r="M146" s="206"/>
      <c r="N146" s="257"/>
      <c r="P146" s="318"/>
      <c r="Q146" s="299"/>
      <c r="R146" s="299"/>
      <c r="S146" s="327"/>
      <c r="T146" s="327"/>
      <c r="U146" s="299"/>
      <c r="V146" s="299"/>
    </row>
    <row r="147" spans="1:22" ht="20.399999999999999" customHeight="1">
      <c r="A147" s="312" t="s">
        <v>74</v>
      </c>
      <c r="B147" s="313"/>
      <c r="C147" s="314"/>
      <c r="D147" s="315" t="s">
        <v>28</v>
      </c>
      <c r="E147" s="326" t="s">
        <v>24</v>
      </c>
      <c r="F147" s="326"/>
      <c r="G147" s="326" t="s">
        <v>25</v>
      </c>
      <c r="H147" s="326"/>
      <c r="I147" s="315" t="s">
        <v>26</v>
      </c>
      <c r="J147" s="137">
        <v>500</v>
      </c>
      <c r="K147" s="137">
        <v>0.59</v>
      </c>
      <c r="L147" s="206"/>
      <c r="M147" s="206"/>
      <c r="N147" s="257"/>
      <c r="O147" s="317"/>
      <c r="P147" s="297"/>
      <c r="Q147" s="297"/>
      <c r="R147" s="297"/>
      <c r="S147" s="297"/>
      <c r="T147" s="297"/>
      <c r="U147" s="297"/>
      <c r="V147" s="297"/>
    </row>
    <row r="148" spans="1:22" ht="20.399999999999999" customHeight="1">
      <c r="A148" s="223" t="s">
        <v>67</v>
      </c>
      <c r="B148" s="224"/>
      <c r="C148" s="225"/>
      <c r="D148" s="19"/>
      <c r="E148" s="226">
        <f>E146*4.1</f>
        <v>101.27998302325582</v>
      </c>
      <c r="F148" s="227"/>
      <c r="G148" s="226">
        <f>G146*9</f>
        <v>217.78195813953488</v>
      </c>
      <c r="H148" s="227"/>
      <c r="I148" s="67">
        <f>I145*4.1</f>
        <v>311.34550441860461</v>
      </c>
      <c r="J148" s="228"/>
      <c r="K148" s="228"/>
      <c r="L148" s="206"/>
      <c r="M148" s="206"/>
      <c r="N148" s="257"/>
      <c r="O148" s="317"/>
      <c r="P148" s="319"/>
      <c r="Q148" s="296"/>
      <c r="R148" s="296"/>
      <c r="S148" s="296"/>
      <c r="T148" s="297"/>
      <c r="U148" s="297"/>
      <c r="V148" s="297"/>
    </row>
    <row r="149" spans="1:22" ht="20.399999999999999" customHeight="1">
      <c r="A149" s="231" t="s">
        <v>75</v>
      </c>
      <c r="B149" s="232"/>
      <c r="C149" s="223" t="s">
        <v>57</v>
      </c>
      <c r="D149" s="225"/>
      <c r="E149" s="235">
        <f>E148*100/D145</f>
        <v>16.072330778058763</v>
      </c>
      <c r="F149" s="236"/>
      <c r="G149" s="235">
        <f>G148*100/D145</f>
        <v>34.5602710844474</v>
      </c>
      <c r="H149" s="236"/>
      <c r="I149" s="84">
        <f>I148*100/D145</f>
        <v>49.408064495116911</v>
      </c>
      <c r="J149" s="229"/>
      <c r="K149" s="229"/>
      <c r="L149" s="206"/>
      <c r="M149" s="206"/>
      <c r="N149" s="257"/>
      <c r="O149" s="317"/>
      <c r="P149" s="297"/>
      <c r="Q149" s="298"/>
      <c r="R149" s="297"/>
      <c r="S149" s="297"/>
      <c r="T149" s="297"/>
      <c r="U149" s="297"/>
      <c r="V149" s="297"/>
    </row>
    <row r="150" spans="1:22" ht="20.399999999999999" customHeight="1">
      <c r="A150" s="233"/>
      <c r="B150" s="234"/>
      <c r="C150" s="223" t="s">
        <v>69</v>
      </c>
      <c r="D150" s="225"/>
      <c r="E150" s="223" t="s">
        <v>70</v>
      </c>
      <c r="F150" s="225"/>
      <c r="G150" s="223" t="s">
        <v>76</v>
      </c>
      <c r="H150" s="225"/>
      <c r="I150" s="315" t="s">
        <v>77</v>
      </c>
      <c r="J150" s="230"/>
      <c r="K150" s="230"/>
      <c r="L150" s="206"/>
      <c r="M150" s="206"/>
      <c r="N150" s="257"/>
      <c r="O150" s="317"/>
      <c r="P150" s="82"/>
    </row>
    <row r="151" spans="1:22" ht="20.399999999999999" customHeight="1">
      <c r="A151" s="69"/>
      <c r="B151" s="70"/>
      <c r="C151" s="69"/>
      <c r="D151" s="69"/>
      <c r="E151" s="69"/>
      <c r="F151" s="69"/>
      <c r="G151" s="69"/>
      <c r="H151" s="69"/>
      <c r="I151" s="69"/>
      <c r="J151" s="69"/>
      <c r="K151" s="69"/>
      <c r="L151" s="71"/>
      <c r="M151" s="71"/>
      <c r="N151" s="72"/>
      <c r="O151" s="317"/>
      <c r="P151" s="82"/>
    </row>
    <row r="152" spans="1:22" ht="20.399999999999999" customHeight="1">
      <c r="A152" s="220" t="s">
        <v>97</v>
      </c>
      <c r="B152" s="220"/>
      <c r="C152" s="220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0"/>
      <c r="O152" s="317"/>
    </row>
    <row r="153" spans="1:22" ht="20.399999999999999" customHeight="1">
      <c r="A153" s="85" t="s">
        <v>98</v>
      </c>
      <c r="B153" s="221" t="s">
        <v>99</v>
      </c>
      <c r="C153" s="221"/>
      <c r="D153" s="221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317"/>
    </row>
    <row r="154" spans="1:22" ht="20.399999999999999" customHeight="1">
      <c r="A154" s="86"/>
      <c r="B154" s="222" t="s">
        <v>163</v>
      </c>
      <c r="C154" s="222"/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317"/>
    </row>
    <row r="155" spans="1:22" ht="20.399999999999999" customHeight="1">
      <c r="A155" s="86"/>
      <c r="B155" s="222" t="s">
        <v>164</v>
      </c>
      <c r="C155" s="222"/>
      <c r="D155" s="222"/>
      <c r="E155" s="222"/>
      <c r="F155" s="222"/>
      <c r="G155" s="222"/>
      <c r="H155" s="222"/>
      <c r="I155" s="222"/>
      <c r="J155" s="222"/>
      <c r="K155" s="222"/>
      <c r="L155" s="222"/>
      <c r="M155" s="222"/>
      <c r="N155" s="222"/>
      <c r="O155" s="317"/>
    </row>
    <row r="156" spans="1:22" ht="20.399999999999999" customHeight="1">
      <c r="A156" s="86"/>
      <c r="B156" s="222" t="s">
        <v>165</v>
      </c>
      <c r="C156" s="222"/>
      <c r="D156" s="222"/>
      <c r="E156" s="222"/>
      <c r="F156" s="222"/>
      <c r="G156" s="222"/>
      <c r="H156" s="222"/>
      <c r="I156" s="222"/>
      <c r="J156" s="222"/>
      <c r="K156" s="222"/>
      <c r="L156" s="222"/>
      <c r="M156" s="222"/>
      <c r="N156" s="222"/>
      <c r="O156" s="317"/>
    </row>
    <row r="157" spans="1:22" ht="20.399999999999999" customHeight="1">
      <c r="A157" s="69"/>
      <c r="B157" s="237" t="s">
        <v>104</v>
      </c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317"/>
    </row>
    <row r="158" spans="1:22" ht="20.399999999999999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87"/>
      <c r="M158" s="87"/>
      <c r="N158" s="88"/>
      <c r="O158" s="317"/>
    </row>
    <row r="159" spans="1:22" ht="20.399999999999999" customHeight="1">
      <c r="A159" s="238" t="s">
        <v>59</v>
      </c>
      <c r="B159" s="238"/>
      <c r="C159" s="238"/>
      <c r="D159" s="238"/>
      <c r="E159" s="321"/>
      <c r="F159" s="321"/>
      <c r="G159" s="321"/>
      <c r="H159" s="321"/>
      <c r="I159" s="321"/>
      <c r="J159" s="322" t="s">
        <v>36</v>
      </c>
      <c r="K159" s="322"/>
      <c r="L159" s="322"/>
      <c r="M159" s="322"/>
      <c r="N159" s="322"/>
      <c r="O159" s="317"/>
    </row>
    <row r="160" spans="1:22" ht="20.399999999999999" customHeight="1">
      <c r="A160" s="136"/>
      <c r="B160" s="136"/>
      <c r="C160" s="136"/>
      <c r="D160" s="321"/>
      <c r="E160" s="321"/>
      <c r="F160" s="321"/>
      <c r="G160" s="321"/>
      <c r="H160" s="323"/>
      <c r="I160" s="323"/>
      <c r="J160" s="323"/>
      <c r="K160" s="323"/>
      <c r="L160" s="323"/>
      <c r="M160" s="323"/>
      <c r="N160" s="323"/>
      <c r="O160" s="317"/>
    </row>
    <row r="161" spans="1:15" ht="20.399999999999999" customHeight="1">
      <c r="A161" s="136"/>
      <c r="B161" s="136"/>
      <c r="C161" s="136"/>
      <c r="D161" s="321"/>
      <c r="E161" s="321"/>
      <c r="F161" s="321"/>
      <c r="G161" s="321"/>
      <c r="H161" s="323"/>
      <c r="I161" s="323"/>
      <c r="J161" s="323"/>
      <c r="K161" s="323"/>
      <c r="L161" s="323"/>
      <c r="M161" s="323"/>
      <c r="N161" s="323"/>
      <c r="O161" s="317"/>
    </row>
    <row r="162" spans="1:15" ht="20.399999999999999" customHeight="1">
      <c r="A162" s="136"/>
      <c r="B162" s="136"/>
      <c r="C162" s="136"/>
      <c r="D162" s="321"/>
      <c r="E162" s="321"/>
      <c r="F162" s="321"/>
      <c r="G162" s="321"/>
      <c r="H162" s="323"/>
      <c r="I162" s="323"/>
      <c r="J162" s="324" t="s">
        <v>100</v>
      </c>
      <c r="K162" s="324"/>
      <c r="L162" s="324"/>
      <c r="M162" s="324"/>
      <c r="N162" s="324"/>
      <c r="O162" s="317"/>
    </row>
    <row r="163" spans="1:15" ht="20.399999999999999" customHeight="1">
      <c r="A163" s="239" t="s">
        <v>82</v>
      </c>
      <c r="B163" s="239"/>
      <c r="C163" s="239"/>
      <c r="D163" s="239"/>
      <c r="E163" s="321"/>
      <c r="F163" s="321"/>
      <c r="G163" s="321"/>
      <c r="H163" s="323"/>
      <c r="I163" s="323"/>
      <c r="O163" s="317"/>
    </row>
    <row r="164" spans="1:15" ht="20.399999999999999" customHeight="1">
      <c r="J164" s="323"/>
      <c r="K164" s="323"/>
      <c r="L164" s="323"/>
      <c r="M164" s="323"/>
      <c r="N164" s="323"/>
    </row>
    <row r="165" spans="1:15" ht="20.399999999999999" customHeight="1">
      <c r="J165" s="324" t="s">
        <v>111</v>
      </c>
      <c r="K165" s="324"/>
      <c r="L165" s="324"/>
      <c r="M165" s="324"/>
      <c r="N165" s="324"/>
    </row>
  </sheetData>
  <mergeCells count="204">
    <mergeCell ref="A159:D159"/>
    <mergeCell ref="J159:N159"/>
    <mergeCell ref="J162:N162"/>
    <mergeCell ref="A163:D163"/>
    <mergeCell ref="J165:N165"/>
    <mergeCell ref="A152:N152"/>
    <mergeCell ref="B153:N153"/>
    <mergeCell ref="B154:N154"/>
    <mergeCell ref="B155:N155"/>
    <mergeCell ref="B156:N156"/>
    <mergeCell ref="B157:N157"/>
    <mergeCell ref="A149:B150"/>
    <mergeCell ref="C149:D149"/>
    <mergeCell ref="E149:F149"/>
    <mergeCell ref="G149:H149"/>
    <mergeCell ref="C150:D150"/>
    <mergeCell ref="E150:F150"/>
    <mergeCell ref="G150:H150"/>
    <mergeCell ref="E147:F147"/>
    <mergeCell ref="G147:H147"/>
    <mergeCell ref="A148:C148"/>
    <mergeCell ref="E148:F148"/>
    <mergeCell ref="G148:H148"/>
    <mergeCell ref="Q145:R145"/>
    <mergeCell ref="S145:T145"/>
    <mergeCell ref="U145:V145"/>
    <mergeCell ref="E146:F146"/>
    <mergeCell ref="G146:H146"/>
    <mergeCell ref="Q146:R146"/>
    <mergeCell ref="S146:T146"/>
    <mergeCell ref="U146:V146"/>
    <mergeCell ref="L143:L150"/>
    <mergeCell ref="M143:M150"/>
    <mergeCell ref="N143:N150"/>
    <mergeCell ref="E144:F144"/>
    <mergeCell ref="G144:H144"/>
    <mergeCell ref="K148:K150"/>
    <mergeCell ref="J148:J150"/>
    <mergeCell ref="A145:C146"/>
    <mergeCell ref="I145:I146"/>
    <mergeCell ref="J145:J146"/>
    <mergeCell ref="K145:K146"/>
    <mergeCell ref="A147:C147"/>
    <mergeCell ref="A139:B139"/>
    <mergeCell ref="N139:N140"/>
    <mergeCell ref="A140:B140"/>
    <mergeCell ref="A141:B142"/>
    <mergeCell ref="A143:B144"/>
    <mergeCell ref="C143:C144"/>
    <mergeCell ref="D143:D144"/>
    <mergeCell ref="I143:I144"/>
    <mergeCell ref="J143:J144"/>
    <mergeCell ref="K143:K144"/>
    <mergeCell ref="I135:I138"/>
    <mergeCell ref="J135:J138"/>
    <mergeCell ref="K135:K138"/>
    <mergeCell ref="L135:L138"/>
    <mergeCell ref="M135:M138"/>
    <mergeCell ref="N135:N138"/>
    <mergeCell ref="A135:A138"/>
    <mergeCell ref="B135:B138"/>
    <mergeCell ref="C135:C138"/>
    <mergeCell ref="D135:D138"/>
    <mergeCell ref="E135:F136"/>
    <mergeCell ref="G135:H136"/>
    <mergeCell ref="E137:E138"/>
    <mergeCell ref="F137:F138"/>
    <mergeCell ref="G137:G138"/>
    <mergeCell ref="H137:H138"/>
    <mergeCell ref="N114:N115"/>
    <mergeCell ref="A116:B117"/>
    <mergeCell ref="A118:B118"/>
    <mergeCell ref="N129:N130"/>
    <mergeCell ref="A131:B132"/>
    <mergeCell ref="A133:B133"/>
    <mergeCell ref="N97:N100"/>
    <mergeCell ref="E99:E100"/>
    <mergeCell ref="F99:F100"/>
    <mergeCell ref="G99:G100"/>
    <mergeCell ref="H99:H100"/>
    <mergeCell ref="A101:N101"/>
    <mergeCell ref="G97:H98"/>
    <mergeCell ref="I97:I100"/>
    <mergeCell ref="J97:J100"/>
    <mergeCell ref="K97:K100"/>
    <mergeCell ref="L97:L100"/>
    <mergeCell ref="M97:M100"/>
    <mergeCell ref="A96:C96"/>
    <mergeCell ref="A97:A100"/>
    <mergeCell ref="B97:B100"/>
    <mergeCell ref="C97:C100"/>
    <mergeCell ref="D97:D100"/>
    <mergeCell ref="E97:F98"/>
    <mergeCell ref="A93:D93"/>
    <mergeCell ref="E93:I95"/>
    <mergeCell ref="J93:N93"/>
    <mergeCell ref="A94:D94"/>
    <mergeCell ref="J94:N94"/>
    <mergeCell ref="A95:D95"/>
    <mergeCell ref="J95:N95"/>
    <mergeCell ref="J75:N75"/>
    <mergeCell ref="F87:N87"/>
    <mergeCell ref="A91:D92"/>
    <mergeCell ref="E91:N91"/>
    <mergeCell ref="E92:I92"/>
    <mergeCell ref="J92:N92"/>
    <mergeCell ref="B66:N66"/>
    <mergeCell ref="B67:N67"/>
    <mergeCell ref="A69:D69"/>
    <mergeCell ref="J69:N69"/>
    <mergeCell ref="J72:N72"/>
    <mergeCell ref="A73:D73"/>
    <mergeCell ref="A62:N62"/>
    <mergeCell ref="B63:N63"/>
    <mergeCell ref="B64:N64"/>
    <mergeCell ref="B65:N65"/>
    <mergeCell ref="A58:C58"/>
    <mergeCell ref="E58:F58"/>
    <mergeCell ref="G58:H58"/>
    <mergeCell ref="J58:J60"/>
    <mergeCell ref="K58:K60"/>
    <mergeCell ref="A59:B60"/>
    <mergeCell ref="C59:D59"/>
    <mergeCell ref="E59:F59"/>
    <mergeCell ref="G59:H59"/>
    <mergeCell ref="C60:D60"/>
    <mergeCell ref="S56:T56"/>
    <mergeCell ref="U56:V56"/>
    <mergeCell ref="A57:C57"/>
    <mergeCell ref="E57:F57"/>
    <mergeCell ref="G57:H57"/>
    <mergeCell ref="Q57:R57"/>
    <mergeCell ref="S57:T57"/>
    <mergeCell ref="U57:V57"/>
    <mergeCell ref="L53:L60"/>
    <mergeCell ref="M53:M60"/>
    <mergeCell ref="N53:N60"/>
    <mergeCell ref="E54:F54"/>
    <mergeCell ref="G54:H54"/>
    <mergeCell ref="A55:C56"/>
    <mergeCell ref="I55:I56"/>
    <mergeCell ref="J55:J56"/>
    <mergeCell ref="K55:K56"/>
    <mergeCell ref="E56:F56"/>
    <mergeCell ref="E60:F60"/>
    <mergeCell ref="G60:H60"/>
    <mergeCell ref="A51:B52"/>
    <mergeCell ref="A53:B54"/>
    <mergeCell ref="C53:C54"/>
    <mergeCell ref="D53:D54"/>
    <mergeCell ref="I53:I54"/>
    <mergeCell ref="J53:J54"/>
    <mergeCell ref="K53:K54"/>
    <mergeCell ref="G56:H56"/>
    <mergeCell ref="Q56:R56"/>
    <mergeCell ref="K45:K48"/>
    <mergeCell ref="L45:L48"/>
    <mergeCell ref="M45:M48"/>
    <mergeCell ref="N45:N48"/>
    <mergeCell ref="E47:E48"/>
    <mergeCell ref="F47:F48"/>
    <mergeCell ref="G47:G48"/>
    <mergeCell ref="H47:H48"/>
    <mergeCell ref="A49:B49"/>
    <mergeCell ref="N49:N50"/>
    <mergeCell ref="A50:B50"/>
    <mergeCell ref="A34:B34"/>
    <mergeCell ref="A45:A48"/>
    <mergeCell ref="B45:B48"/>
    <mergeCell ref="C45:C48"/>
    <mergeCell ref="D45:D48"/>
    <mergeCell ref="E45:F46"/>
    <mergeCell ref="G45:H46"/>
    <mergeCell ref="I45:I48"/>
    <mergeCell ref="J45:J48"/>
    <mergeCell ref="A15:N15"/>
    <mergeCell ref="G11:H12"/>
    <mergeCell ref="I11:I14"/>
    <mergeCell ref="J11:J14"/>
    <mergeCell ref="K11:K14"/>
    <mergeCell ref="L11:L14"/>
    <mergeCell ref="M11:M14"/>
    <mergeCell ref="N30:N31"/>
    <mergeCell ref="A32:B33"/>
    <mergeCell ref="A10:C10"/>
    <mergeCell ref="A11:A14"/>
    <mergeCell ref="B11:B14"/>
    <mergeCell ref="C11:C14"/>
    <mergeCell ref="D11:D14"/>
    <mergeCell ref="E11:F12"/>
    <mergeCell ref="F1:N1"/>
    <mergeCell ref="A5:D5"/>
    <mergeCell ref="E5:N5"/>
    <mergeCell ref="A6:D6"/>
    <mergeCell ref="E6:I9"/>
    <mergeCell ref="J6:N9"/>
    <mergeCell ref="A7:D7"/>
    <mergeCell ref="A9:D9"/>
    <mergeCell ref="N11:N14"/>
    <mergeCell ref="E13:E14"/>
    <mergeCell ref="F13:F14"/>
    <mergeCell ref="G13:G14"/>
    <mergeCell ref="H13:H14"/>
    <mergeCell ref="A8:D8"/>
  </mergeCells>
  <pageMargins left="0.26666666666666666" right="0.22500000000000001" top="0.46666666666666667" bottom="0.42499999999999999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55"/>
  <sheetViews>
    <sheetView view="pageLayout" workbookViewId="0">
      <selection activeCell="E4" sqref="E4:I7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5546875" style="1" customWidth="1"/>
    <col min="4" max="4" width="7.21875" style="1" customWidth="1"/>
    <col min="5" max="8" width="7" style="1" customWidth="1"/>
    <col min="9" max="9" width="7.88671875" style="1" customWidth="1"/>
    <col min="10" max="11" width="7.109375" style="1" customWidth="1"/>
    <col min="12" max="12" width="6.44140625" style="1" customWidth="1"/>
    <col min="13" max="13" width="5.88671875" style="1" customWidth="1"/>
    <col min="14" max="14" width="6.88671875" style="1" customWidth="1"/>
    <col min="15" max="15" width="11.88671875" style="1" customWidth="1"/>
    <col min="16" max="16" width="9.109375" style="1"/>
    <col min="17" max="22" width="8.33203125" style="1" customWidth="1"/>
    <col min="23" max="16384" width="9.109375" style="1"/>
  </cols>
  <sheetData>
    <row r="1" spans="1:20" ht="22.8" customHeight="1">
      <c r="A1" s="10" t="s">
        <v>58</v>
      </c>
      <c r="B1" s="7"/>
      <c r="C1" s="7"/>
      <c r="D1" s="7"/>
      <c r="E1" s="7"/>
      <c r="F1" s="158" t="s">
        <v>30</v>
      </c>
      <c r="G1" s="158"/>
      <c r="H1" s="158"/>
      <c r="I1" s="158"/>
      <c r="J1" s="158"/>
      <c r="K1" s="158"/>
      <c r="L1" s="158"/>
      <c r="M1" s="158"/>
      <c r="N1" s="158"/>
      <c r="O1" s="300"/>
      <c r="P1" s="300"/>
      <c r="T1" s="2"/>
    </row>
    <row r="2" spans="1:20" ht="22.8" customHeight="1">
      <c r="A2" s="7" t="s">
        <v>159</v>
      </c>
      <c r="B2" s="7"/>
      <c r="C2" s="7"/>
      <c r="D2" s="7"/>
      <c r="E2" s="7"/>
      <c r="F2" s="139"/>
      <c r="G2" s="139"/>
      <c r="H2" s="139"/>
      <c r="I2" s="139"/>
      <c r="J2" s="139"/>
      <c r="K2" s="139"/>
      <c r="L2" s="139"/>
      <c r="M2" s="139"/>
      <c r="N2" s="139"/>
      <c r="O2" s="300"/>
      <c r="P2" s="300"/>
      <c r="T2" s="2"/>
    </row>
    <row r="3" spans="1:20" s="2" customFormat="1" ht="21" customHeight="1">
      <c r="A3" s="159" t="s">
        <v>92</v>
      </c>
      <c r="B3" s="159"/>
      <c r="C3" s="159"/>
      <c r="D3" s="159"/>
      <c r="E3" s="159" t="s">
        <v>90</v>
      </c>
      <c r="F3" s="159"/>
      <c r="G3" s="159"/>
      <c r="H3" s="159"/>
      <c r="I3" s="159"/>
      <c r="J3" s="159"/>
      <c r="K3" s="159"/>
      <c r="L3" s="159"/>
      <c r="M3" s="159"/>
      <c r="N3" s="159"/>
      <c r="O3" s="301"/>
    </row>
    <row r="4" spans="1:20" s="2" customFormat="1" ht="21" customHeight="1">
      <c r="A4" s="160" t="s">
        <v>81</v>
      </c>
      <c r="B4" s="160"/>
      <c r="C4" s="160"/>
      <c r="D4" s="160"/>
      <c r="E4" s="161" t="s">
        <v>125</v>
      </c>
      <c r="F4" s="161"/>
      <c r="G4" s="161"/>
      <c r="H4" s="161"/>
      <c r="I4" s="161"/>
      <c r="J4" s="162" t="s">
        <v>115</v>
      </c>
      <c r="K4" s="163"/>
      <c r="L4" s="163"/>
      <c r="M4" s="163"/>
      <c r="N4" s="164"/>
      <c r="O4" s="301"/>
    </row>
    <row r="5" spans="1:20" s="2" customFormat="1" ht="21" customHeight="1">
      <c r="A5" s="265" t="s">
        <v>130</v>
      </c>
      <c r="B5" s="265"/>
      <c r="C5" s="265"/>
      <c r="D5" s="265"/>
      <c r="E5" s="161"/>
      <c r="F5" s="161"/>
      <c r="G5" s="161"/>
      <c r="H5" s="161"/>
      <c r="I5" s="161"/>
      <c r="J5" s="165"/>
      <c r="K5" s="166"/>
      <c r="L5" s="166"/>
      <c r="M5" s="166"/>
      <c r="N5" s="167"/>
      <c r="O5" s="301"/>
    </row>
    <row r="6" spans="1:20" s="2" customFormat="1" ht="21" customHeight="1">
      <c r="A6" s="270" t="s">
        <v>129</v>
      </c>
      <c r="B6" s="271"/>
      <c r="C6" s="271"/>
      <c r="D6" s="272"/>
      <c r="E6" s="161"/>
      <c r="F6" s="161"/>
      <c r="G6" s="161"/>
      <c r="H6" s="161"/>
      <c r="I6" s="161"/>
      <c r="J6" s="165"/>
      <c r="K6" s="166"/>
      <c r="L6" s="166"/>
      <c r="M6" s="166"/>
      <c r="N6" s="167"/>
      <c r="O6" s="301"/>
    </row>
    <row r="7" spans="1:20" s="2" customFormat="1" ht="21" customHeight="1">
      <c r="A7" s="172" t="s">
        <v>146</v>
      </c>
      <c r="B7" s="172"/>
      <c r="C7" s="172"/>
      <c r="D7" s="172"/>
      <c r="E7" s="161"/>
      <c r="F7" s="161"/>
      <c r="G7" s="161"/>
      <c r="H7" s="161"/>
      <c r="I7" s="161"/>
      <c r="J7" s="168"/>
      <c r="K7" s="169"/>
      <c r="L7" s="169"/>
      <c r="M7" s="169"/>
      <c r="N7" s="170"/>
      <c r="O7" s="301"/>
    </row>
    <row r="8" spans="1:20" s="2" customFormat="1" ht="21" customHeight="1">
      <c r="A8" s="266" t="s">
        <v>107</v>
      </c>
      <c r="B8" s="266"/>
      <c r="C8" s="264">
        <v>186</v>
      </c>
      <c r="D8" s="264"/>
      <c r="E8" s="68"/>
      <c r="F8" s="68"/>
      <c r="G8" s="68"/>
      <c r="H8" s="68"/>
      <c r="I8" s="68"/>
      <c r="J8" s="68"/>
      <c r="K8" s="68"/>
      <c r="L8" s="68"/>
      <c r="M8" s="68"/>
      <c r="N8" s="138"/>
      <c r="O8" s="301"/>
    </row>
    <row r="9" spans="1:20" ht="21" customHeight="1">
      <c r="A9" s="145" t="s">
        <v>0</v>
      </c>
      <c r="B9" s="148" t="s">
        <v>19</v>
      </c>
      <c r="C9" s="151" t="s">
        <v>8</v>
      </c>
      <c r="D9" s="151" t="s">
        <v>9</v>
      </c>
      <c r="E9" s="154" t="s">
        <v>11</v>
      </c>
      <c r="F9" s="155"/>
      <c r="G9" s="154" t="s">
        <v>13</v>
      </c>
      <c r="H9" s="155"/>
      <c r="I9" s="173" t="s">
        <v>16</v>
      </c>
      <c r="J9" s="173" t="s">
        <v>32</v>
      </c>
      <c r="K9" s="173" t="s">
        <v>33</v>
      </c>
      <c r="L9" s="173" t="s">
        <v>17</v>
      </c>
      <c r="M9" s="173" t="s">
        <v>34</v>
      </c>
      <c r="N9" s="145" t="s">
        <v>18</v>
      </c>
      <c r="O9" s="302"/>
    </row>
    <row r="10" spans="1:20" ht="21" customHeight="1">
      <c r="A10" s="146"/>
      <c r="B10" s="149"/>
      <c r="C10" s="152"/>
      <c r="D10" s="152"/>
      <c r="E10" s="156"/>
      <c r="F10" s="157"/>
      <c r="G10" s="156"/>
      <c r="H10" s="157"/>
      <c r="I10" s="181"/>
      <c r="J10" s="181"/>
      <c r="K10" s="181"/>
      <c r="L10" s="181"/>
      <c r="M10" s="181"/>
      <c r="N10" s="146"/>
      <c r="O10" s="136"/>
    </row>
    <row r="11" spans="1:20" ht="21" customHeight="1">
      <c r="A11" s="146"/>
      <c r="B11" s="149"/>
      <c r="C11" s="152"/>
      <c r="D11" s="152"/>
      <c r="E11" s="173" t="s">
        <v>10</v>
      </c>
      <c r="F11" s="173" t="s">
        <v>12</v>
      </c>
      <c r="G11" s="173" t="s">
        <v>14</v>
      </c>
      <c r="H11" s="173" t="s">
        <v>15</v>
      </c>
      <c r="I11" s="181"/>
      <c r="J11" s="181"/>
      <c r="K11" s="181"/>
      <c r="L11" s="181"/>
      <c r="M11" s="181"/>
      <c r="N11" s="146"/>
      <c r="O11" s="136"/>
    </row>
    <row r="12" spans="1:20" ht="21" customHeight="1">
      <c r="A12" s="147"/>
      <c r="B12" s="150"/>
      <c r="C12" s="153"/>
      <c r="D12" s="153"/>
      <c r="E12" s="174"/>
      <c r="F12" s="174"/>
      <c r="G12" s="174"/>
      <c r="H12" s="174"/>
      <c r="I12" s="174"/>
      <c r="J12" s="174"/>
      <c r="K12" s="174"/>
      <c r="L12" s="174"/>
      <c r="M12" s="174"/>
      <c r="N12" s="147"/>
      <c r="O12" s="136"/>
    </row>
    <row r="13" spans="1:20" ht="20.399999999999999" customHeight="1">
      <c r="A13" s="178" t="s">
        <v>35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80"/>
      <c r="O13" s="136"/>
    </row>
    <row r="14" spans="1:20" s="2" customFormat="1" ht="20.399999999999999" customHeight="1">
      <c r="A14" s="8">
        <v>1</v>
      </c>
      <c r="B14" s="9" t="s">
        <v>2</v>
      </c>
      <c r="C14" s="12">
        <f>L14/100*100</f>
        <v>250</v>
      </c>
      <c r="D14" s="13">
        <f>C14/100*60</f>
        <v>150</v>
      </c>
      <c r="E14" s="14">
        <f>C14/100*15</f>
        <v>37.5</v>
      </c>
      <c r="F14" s="14"/>
      <c r="G14" s="14"/>
      <c r="H14" s="14"/>
      <c r="I14" s="14"/>
      <c r="J14" s="63">
        <f>C14/100*387</f>
        <v>967.5</v>
      </c>
      <c r="K14" s="22">
        <f>C14/100*0.09</f>
        <v>0.22499999999999998</v>
      </c>
      <c r="L14" s="15">
        <v>250</v>
      </c>
      <c r="M14" s="20">
        <v>20</v>
      </c>
      <c r="N14" s="16">
        <f>L14*M14</f>
        <v>5000</v>
      </c>
      <c r="O14" s="304"/>
    </row>
    <row r="15" spans="1:20" s="2" customFormat="1" ht="20.399999999999999" customHeight="1">
      <c r="A15" s="8">
        <v>2</v>
      </c>
      <c r="B15" s="9" t="s">
        <v>118</v>
      </c>
      <c r="C15" s="12">
        <f>L15/100*100</f>
        <v>390</v>
      </c>
      <c r="D15" s="13">
        <f>C15/100*899</f>
        <v>3506.1</v>
      </c>
      <c r="E15" s="14"/>
      <c r="F15" s="14"/>
      <c r="G15" s="14">
        <f>C15/100*100</f>
        <v>390</v>
      </c>
      <c r="H15" s="14"/>
      <c r="I15" s="14"/>
      <c r="J15" s="14"/>
      <c r="K15" s="14"/>
      <c r="L15" s="15">
        <v>390</v>
      </c>
      <c r="M15" s="64">
        <v>68</v>
      </c>
      <c r="N15" s="16">
        <f t="shared" ref="N15:N25" si="0">L15*M15</f>
        <v>26520</v>
      </c>
      <c r="O15" s="305"/>
    </row>
    <row r="16" spans="1:20" s="2" customFormat="1" ht="20.399999999999999" customHeight="1">
      <c r="A16" s="8">
        <v>3</v>
      </c>
      <c r="B16" s="9" t="s">
        <v>121</v>
      </c>
      <c r="C16" s="12">
        <f>L16/100*100</f>
        <v>170</v>
      </c>
      <c r="D16" s="64">
        <f>C16/100*900</f>
        <v>1530</v>
      </c>
      <c r="E16" s="14"/>
      <c r="F16" s="14"/>
      <c r="G16" s="89"/>
      <c r="H16" s="14">
        <f>C16/100*100</f>
        <v>170</v>
      </c>
      <c r="I16" s="14"/>
      <c r="J16" s="14"/>
      <c r="K16" s="14"/>
      <c r="L16" s="109">
        <v>170</v>
      </c>
      <c r="M16" s="64">
        <v>63.5</v>
      </c>
      <c r="N16" s="91">
        <f t="shared" si="0"/>
        <v>10795</v>
      </c>
      <c r="O16" s="305"/>
    </row>
    <row r="17" spans="1:20" s="2" customFormat="1" ht="20.399999999999999" customHeight="1">
      <c r="A17" s="8">
        <v>4</v>
      </c>
      <c r="B17" s="5" t="s">
        <v>1</v>
      </c>
      <c r="C17" s="12">
        <f>L17/100*100</f>
        <v>17670</v>
      </c>
      <c r="D17" s="64">
        <f>C17/100*337</f>
        <v>59547.899999999994</v>
      </c>
      <c r="E17" s="14"/>
      <c r="F17" s="89">
        <f>C17/100*7.9</f>
        <v>1395.93</v>
      </c>
      <c r="G17" s="14"/>
      <c r="H17" s="14">
        <f>C17/100*1</f>
        <v>176.7</v>
      </c>
      <c r="I17" s="89">
        <f>C17/100*71.9</f>
        <v>12704.73</v>
      </c>
      <c r="J17" s="63">
        <f>C17/100*30</f>
        <v>5301</v>
      </c>
      <c r="K17" s="22">
        <f>C17/100*0.1</f>
        <v>17.669999999999998</v>
      </c>
      <c r="L17" s="15">
        <v>17670</v>
      </c>
      <c r="M17" s="20">
        <v>18</v>
      </c>
      <c r="N17" s="91">
        <f t="shared" si="0"/>
        <v>318060</v>
      </c>
      <c r="O17" s="304"/>
    </row>
    <row r="18" spans="1:20" s="2" customFormat="1" ht="20.399999999999999" customHeight="1">
      <c r="A18" s="8">
        <v>5</v>
      </c>
      <c r="B18" s="9" t="s">
        <v>65</v>
      </c>
      <c r="C18" s="12">
        <f>L18/100*98</f>
        <v>4743.2</v>
      </c>
      <c r="D18" s="13">
        <f>C18/100*139</f>
        <v>6593.0479999999989</v>
      </c>
      <c r="E18" s="14">
        <f>C18/100*19</f>
        <v>901.20799999999986</v>
      </c>
      <c r="F18" s="14"/>
      <c r="G18" s="14">
        <f>C18/100*7</f>
        <v>332.02399999999994</v>
      </c>
      <c r="H18" s="14"/>
      <c r="I18" s="14"/>
      <c r="J18" s="63">
        <f>C18/100*7</f>
        <v>332.02399999999994</v>
      </c>
      <c r="K18" s="22">
        <f>C18/100*0.9</f>
        <v>42.688799999999993</v>
      </c>
      <c r="L18" s="15">
        <v>4840</v>
      </c>
      <c r="M18" s="15">
        <v>137</v>
      </c>
      <c r="N18" s="91">
        <f t="shared" si="0"/>
        <v>663080</v>
      </c>
      <c r="O18" s="304"/>
    </row>
    <row r="19" spans="1:20" s="2" customFormat="1" ht="20.399999999999999" customHeight="1">
      <c r="A19" s="8">
        <v>6</v>
      </c>
      <c r="B19" s="5" t="s">
        <v>4</v>
      </c>
      <c r="C19" s="12">
        <f>L19/100*98</f>
        <v>2273.6</v>
      </c>
      <c r="D19" s="13">
        <f>C19/100*118</f>
        <v>2682.848</v>
      </c>
      <c r="E19" s="14">
        <f>C19/100*21</f>
        <v>477.45600000000002</v>
      </c>
      <c r="F19" s="14"/>
      <c r="G19" s="14">
        <f>C19/100*3.8</f>
        <v>86.396799999999999</v>
      </c>
      <c r="H19" s="14"/>
      <c r="I19" s="14">
        <f>C19/100*2.5</f>
        <v>56.84</v>
      </c>
      <c r="J19" s="62">
        <f>C19/100*12</f>
        <v>272.83199999999999</v>
      </c>
      <c r="K19" s="21">
        <f>C19/100*0.1</f>
        <v>2.2736000000000001</v>
      </c>
      <c r="L19" s="307">
        <v>2320</v>
      </c>
      <c r="M19" s="43">
        <v>250</v>
      </c>
      <c r="N19" s="91">
        <f t="shared" si="0"/>
        <v>580000</v>
      </c>
      <c r="O19" s="306"/>
      <c r="Q19" s="3"/>
      <c r="R19" s="3"/>
    </row>
    <row r="20" spans="1:20" s="2" customFormat="1" ht="20.399999999999999" customHeight="1">
      <c r="A20" s="8">
        <v>7</v>
      </c>
      <c r="B20" s="5" t="s">
        <v>114</v>
      </c>
      <c r="C20" s="12">
        <f>L20/100*100</f>
        <v>190</v>
      </c>
      <c r="D20" s="13">
        <f>C20/100*247</f>
        <v>469.29999999999995</v>
      </c>
      <c r="E20" s="17"/>
      <c r="F20" s="17">
        <f>C20/100*17.5</f>
        <v>33.25</v>
      </c>
      <c r="G20" s="17"/>
      <c r="H20" s="17">
        <f>C20/100*1.6</f>
        <v>3.04</v>
      </c>
      <c r="I20" s="17">
        <f>C20/100*39.2</f>
        <v>74.48</v>
      </c>
      <c r="J20" s="21"/>
      <c r="K20" s="21"/>
      <c r="L20" s="307">
        <v>190</v>
      </c>
      <c r="M20" s="20">
        <v>50</v>
      </c>
      <c r="N20" s="16">
        <f t="shared" si="0"/>
        <v>9500</v>
      </c>
      <c r="O20" s="304"/>
      <c r="Q20" s="3"/>
      <c r="R20" s="3"/>
      <c r="S20" s="4"/>
      <c r="T20" s="3"/>
    </row>
    <row r="21" spans="1:20" s="2" customFormat="1" ht="20.399999999999999" customHeight="1">
      <c r="A21" s="8">
        <v>8</v>
      </c>
      <c r="B21" s="5" t="s">
        <v>20</v>
      </c>
      <c r="C21" s="12">
        <f>L21/100*95</f>
        <v>1767.0000000000002</v>
      </c>
      <c r="D21" s="13">
        <f>C21/100*20</f>
        <v>353.40000000000003</v>
      </c>
      <c r="E21" s="14"/>
      <c r="F21" s="14">
        <f>C21/100*0.6</f>
        <v>10.602</v>
      </c>
      <c r="G21" s="14"/>
      <c r="H21" s="14">
        <f>C21/100*0.2</f>
        <v>3.5340000000000007</v>
      </c>
      <c r="I21" s="14">
        <f>C21/100*4</f>
        <v>70.680000000000007</v>
      </c>
      <c r="J21" s="62">
        <f>C21/100*12</f>
        <v>212.04000000000002</v>
      </c>
      <c r="K21" s="21">
        <f>C21/100*0.04</f>
        <v>0.70680000000000009</v>
      </c>
      <c r="L21" s="308">
        <v>1860</v>
      </c>
      <c r="M21" s="15">
        <v>30</v>
      </c>
      <c r="N21" s="16">
        <f t="shared" si="0"/>
        <v>55800</v>
      </c>
      <c r="O21" s="304"/>
    </row>
    <row r="22" spans="1:20" s="2" customFormat="1" ht="20.399999999999999" customHeight="1">
      <c r="A22" s="8">
        <v>9</v>
      </c>
      <c r="B22" s="5" t="s">
        <v>5</v>
      </c>
      <c r="C22" s="12">
        <f>L22/100*98.5</f>
        <v>748.59999999999991</v>
      </c>
      <c r="D22" s="13">
        <f>C22/100*39</f>
        <v>291.95399999999995</v>
      </c>
      <c r="E22" s="17"/>
      <c r="F22" s="17">
        <f>C22/100*1.5</f>
        <v>11.228999999999999</v>
      </c>
      <c r="G22" s="17"/>
      <c r="H22" s="17">
        <f>C22/100*0.2</f>
        <v>1.4971999999999999</v>
      </c>
      <c r="I22" s="17">
        <f>C22/100*7.8</f>
        <v>58.390799999999992</v>
      </c>
      <c r="J22" s="17">
        <f>C22/100*43</f>
        <v>321.89799999999997</v>
      </c>
      <c r="K22" s="17">
        <f>C22/100*0.06</f>
        <v>0.44915999999999989</v>
      </c>
      <c r="L22" s="308">
        <v>760</v>
      </c>
      <c r="M22" s="15">
        <v>17</v>
      </c>
      <c r="N22" s="16">
        <f t="shared" si="0"/>
        <v>12920</v>
      </c>
      <c r="O22" s="304"/>
      <c r="Q22" s="3"/>
      <c r="R22" s="3"/>
      <c r="S22" s="4"/>
    </row>
    <row r="23" spans="1:20" s="2" customFormat="1" ht="20.399999999999999" customHeight="1">
      <c r="A23" s="8">
        <v>10</v>
      </c>
      <c r="B23" s="5" t="s">
        <v>66</v>
      </c>
      <c r="C23" s="12">
        <f>L23/100*75</f>
        <v>1395</v>
      </c>
      <c r="D23" s="13">
        <f>C23/100*12</f>
        <v>167.39999999999998</v>
      </c>
      <c r="E23" s="14">
        <f>C23/100*0.6</f>
        <v>8.3699999999999992</v>
      </c>
      <c r="F23" s="14"/>
      <c r="G23" s="14"/>
      <c r="H23" s="14"/>
      <c r="I23" s="14">
        <f>C23/100*2.4</f>
        <v>33.479999999999997</v>
      </c>
      <c r="J23" s="63">
        <f>C23/100*26</f>
        <v>362.7</v>
      </c>
      <c r="K23" s="22">
        <f>C23/100*0.02</f>
        <v>0.27899999999999997</v>
      </c>
      <c r="L23" s="109">
        <v>1860</v>
      </c>
      <c r="M23" s="15">
        <v>30</v>
      </c>
      <c r="N23" s="16">
        <f t="shared" si="0"/>
        <v>55800</v>
      </c>
      <c r="O23" s="304"/>
    </row>
    <row r="24" spans="1:20" s="2" customFormat="1" ht="20.399999999999999" customHeight="1">
      <c r="A24" s="8">
        <v>11</v>
      </c>
      <c r="B24" s="66" t="s">
        <v>61</v>
      </c>
      <c r="C24" s="12">
        <f>L24/100*89</f>
        <v>5802.8</v>
      </c>
      <c r="D24" s="13">
        <f>C24/100*154</f>
        <v>8936.3119999999999</v>
      </c>
      <c r="E24" s="14">
        <f>C24/100*13.1</f>
        <v>760.16679999999997</v>
      </c>
      <c r="F24" s="14"/>
      <c r="G24" s="14">
        <f>C24/100*11.1</f>
        <v>644.11079999999993</v>
      </c>
      <c r="H24" s="14"/>
      <c r="I24" s="14">
        <f>C24/100*0.4</f>
        <v>23.211200000000002</v>
      </c>
      <c r="J24" s="63">
        <f>C24/100*64</f>
        <v>3713.7919999999999</v>
      </c>
      <c r="K24" s="22">
        <f>C24/100*0.13</f>
        <v>7.5436399999999999</v>
      </c>
      <c r="L24" s="15">
        <v>6520</v>
      </c>
      <c r="M24" s="42">
        <v>82</v>
      </c>
      <c r="N24" s="90">
        <f t="shared" si="0"/>
        <v>534640</v>
      </c>
      <c r="O24" s="304"/>
    </row>
    <row r="25" spans="1:20" s="2" customFormat="1" ht="20.399999999999999" customHeight="1">
      <c r="A25" s="8">
        <v>12</v>
      </c>
      <c r="B25" s="5" t="s">
        <v>147</v>
      </c>
      <c r="C25" s="12">
        <f>L25/100*90</f>
        <v>5868</v>
      </c>
      <c r="D25" s="13">
        <f>C25/100*29</f>
        <v>1701.72</v>
      </c>
      <c r="E25" s="17"/>
      <c r="F25" s="17">
        <f>C25/100*1.8</f>
        <v>105.624</v>
      </c>
      <c r="G25" s="17"/>
      <c r="H25" s="17">
        <f>C25/100*0.1</f>
        <v>5.8680000000000003</v>
      </c>
      <c r="I25" s="17">
        <f>C25/100*5.3</f>
        <v>311.00399999999996</v>
      </c>
      <c r="J25" s="62">
        <f>C25/100*48</f>
        <v>2816.64</v>
      </c>
      <c r="K25" s="21">
        <f>C25/100*0.05</f>
        <v>2.9340000000000002</v>
      </c>
      <c r="L25" s="307">
        <v>6520</v>
      </c>
      <c r="M25" s="15">
        <v>13</v>
      </c>
      <c r="N25" s="16">
        <f t="shared" si="0"/>
        <v>84760</v>
      </c>
      <c r="O25" s="304"/>
      <c r="Q25" s="3"/>
      <c r="R25" s="3"/>
      <c r="S25" s="4"/>
    </row>
    <row r="26" spans="1:20" s="2" customFormat="1" ht="20.399999999999999" customHeight="1">
      <c r="A26" s="8">
        <v>13</v>
      </c>
      <c r="B26" s="9" t="s">
        <v>108</v>
      </c>
      <c r="C26" s="12"/>
      <c r="D26" s="331"/>
      <c r="E26" s="14"/>
      <c r="F26" s="14"/>
      <c r="G26" s="14"/>
      <c r="H26" s="14"/>
      <c r="I26" s="14"/>
      <c r="J26" s="22"/>
      <c r="K26" s="22"/>
      <c r="L26" s="15"/>
      <c r="M26" s="15"/>
      <c r="N26" s="16">
        <v>14250</v>
      </c>
      <c r="O26" s="304"/>
    </row>
    <row r="27" spans="1:20" s="2" customFormat="1" ht="20.399999999999999" customHeight="1">
      <c r="A27" s="23" t="s">
        <v>94</v>
      </c>
      <c r="B27" s="24"/>
      <c r="C27" s="25"/>
      <c r="D27" s="92">
        <f>SUM(D14:D26)</f>
        <v>85929.981999999989</v>
      </c>
      <c r="E27" s="27"/>
      <c r="F27" s="27"/>
      <c r="G27" s="27"/>
      <c r="H27" s="27"/>
      <c r="I27" s="27"/>
      <c r="J27" s="27"/>
      <c r="K27" s="27"/>
      <c r="L27" s="28"/>
      <c r="M27" s="28"/>
      <c r="N27" s="267">
        <f>SUM(N14:N26)</f>
        <v>2371125</v>
      </c>
      <c r="O27" s="304"/>
    </row>
    <row r="28" spans="1:20" s="2" customFormat="1" ht="20.399999999999999" customHeight="1">
      <c r="A28" s="23" t="s">
        <v>6</v>
      </c>
      <c r="B28" s="24"/>
      <c r="C28" s="25"/>
      <c r="D28" s="26">
        <f>D27/C8</f>
        <v>461.98915053763437</v>
      </c>
      <c r="E28" s="27"/>
      <c r="F28" s="27"/>
      <c r="G28" s="27"/>
      <c r="H28" s="27"/>
      <c r="I28" s="27"/>
      <c r="J28" s="27"/>
      <c r="K28" s="27"/>
      <c r="L28" s="28"/>
      <c r="M28" s="28"/>
      <c r="N28" s="268"/>
      <c r="O28" s="304"/>
    </row>
    <row r="29" spans="1:20" s="2" customFormat="1" ht="20.399999999999999" customHeight="1">
      <c r="A29" s="184" t="s">
        <v>37</v>
      </c>
      <c r="B29" s="185"/>
      <c r="C29" s="309" t="s">
        <v>126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304"/>
    </row>
    <row r="30" spans="1:20" s="2" customFormat="1" ht="20.399999999999999" customHeight="1">
      <c r="A30" s="186"/>
      <c r="B30" s="187"/>
      <c r="C30" s="61" t="s">
        <v>57</v>
      </c>
      <c r="D30" s="29">
        <f>D28*100/1320</f>
        <v>34.999178071032908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04"/>
    </row>
    <row r="31" spans="1:20" s="2" customFormat="1" ht="20.399999999999999" customHeight="1">
      <c r="A31" s="188" t="s">
        <v>39</v>
      </c>
      <c r="B31" s="188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304"/>
    </row>
    <row r="32" spans="1:20" s="2" customFormat="1" ht="20.399999999999999" customHeight="1">
      <c r="A32" s="8">
        <v>1</v>
      </c>
      <c r="B32" s="9" t="s">
        <v>2</v>
      </c>
      <c r="C32" s="12">
        <f>L32/100*100</f>
        <v>229.99999999999997</v>
      </c>
      <c r="D32" s="13">
        <f>C32/100*60</f>
        <v>138</v>
      </c>
      <c r="E32" s="14">
        <f>C32/100*15</f>
        <v>34.5</v>
      </c>
      <c r="F32" s="14"/>
      <c r="G32" s="14"/>
      <c r="H32" s="14"/>
      <c r="I32" s="14"/>
      <c r="J32" s="63">
        <f>C32/100*387</f>
        <v>890.09999999999991</v>
      </c>
      <c r="K32" s="22">
        <f>C32/100*0.09</f>
        <v>0.20699999999999999</v>
      </c>
      <c r="L32" s="109">
        <v>230</v>
      </c>
      <c r="M32" s="20">
        <v>20</v>
      </c>
      <c r="N32" s="16">
        <f>L32*M32</f>
        <v>4600</v>
      </c>
      <c r="O32" s="304"/>
    </row>
    <row r="33" spans="1:23" s="2" customFormat="1" ht="20.399999999999999" customHeight="1">
      <c r="A33" s="8">
        <v>2</v>
      </c>
      <c r="B33" s="9" t="s">
        <v>118</v>
      </c>
      <c r="C33" s="12">
        <f>L33/100*100</f>
        <v>459.99999999999994</v>
      </c>
      <c r="D33" s="13">
        <f>C33/100*899</f>
        <v>4135.3999999999996</v>
      </c>
      <c r="E33" s="14"/>
      <c r="F33" s="14"/>
      <c r="G33" s="14">
        <f>C33/100*100</f>
        <v>459.99999999999994</v>
      </c>
      <c r="H33" s="14"/>
      <c r="I33" s="14"/>
      <c r="J33" s="14"/>
      <c r="K33" s="14"/>
      <c r="L33" s="15">
        <v>460</v>
      </c>
      <c r="M33" s="64">
        <v>68</v>
      </c>
      <c r="N33" s="16">
        <f t="shared" ref="N33:N39" si="1">L33*M33</f>
        <v>31280</v>
      </c>
      <c r="O33" s="305"/>
    </row>
    <row r="34" spans="1:23" s="2" customFormat="1" ht="20.399999999999999" customHeight="1">
      <c r="A34" s="8">
        <v>3</v>
      </c>
      <c r="B34" s="5" t="s">
        <v>64</v>
      </c>
      <c r="C34" s="12">
        <f>L34/100*100</f>
        <v>1860.0000000000002</v>
      </c>
      <c r="D34" s="13">
        <f>C34/100*344</f>
        <v>6398.4000000000005</v>
      </c>
      <c r="E34" s="14"/>
      <c r="F34" s="14">
        <f>C34/100*8.6</f>
        <v>159.96</v>
      </c>
      <c r="G34" s="14"/>
      <c r="H34" s="14">
        <f>C34/100*1.5</f>
        <v>27.900000000000002</v>
      </c>
      <c r="I34" s="14">
        <f>C34/100*74.5</f>
        <v>1385.7</v>
      </c>
      <c r="J34" s="14">
        <f>C34/100*32</f>
        <v>595.20000000000005</v>
      </c>
      <c r="K34" s="14">
        <f>C34/100*0.14</f>
        <v>2.6040000000000005</v>
      </c>
      <c r="L34" s="109">
        <v>1860</v>
      </c>
      <c r="M34" s="20">
        <v>30</v>
      </c>
      <c r="N34" s="16">
        <f t="shared" si="1"/>
        <v>55800</v>
      </c>
      <c r="O34" s="304"/>
      <c r="P34" s="310"/>
    </row>
    <row r="35" spans="1:23" s="2" customFormat="1" ht="20.399999999999999" customHeight="1">
      <c r="A35" s="8">
        <v>4</v>
      </c>
      <c r="B35" s="5" t="s">
        <v>1</v>
      </c>
      <c r="C35" s="12">
        <f>L35/100*100</f>
        <v>2790</v>
      </c>
      <c r="D35" s="13">
        <f>C35/100*337</f>
        <v>9402.2999999999993</v>
      </c>
      <c r="E35" s="14"/>
      <c r="F35" s="14">
        <f>C35/100*7.9</f>
        <v>220.41</v>
      </c>
      <c r="G35" s="14"/>
      <c r="H35" s="14">
        <f>C35/100*1</f>
        <v>27.9</v>
      </c>
      <c r="I35" s="89">
        <f>C35/100*71.9</f>
        <v>2006.01</v>
      </c>
      <c r="J35" s="63">
        <f>C35/100*30</f>
        <v>837</v>
      </c>
      <c r="K35" s="22">
        <f>C35/100*0.1</f>
        <v>2.79</v>
      </c>
      <c r="L35" s="109">
        <v>2790</v>
      </c>
      <c r="M35" s="20">
        <v>18</v>
      </c>
      <c r="N35" s="16">
        <f t="shared" si="1"/>
        <v>50220</v>
      </c>
      <c r="O35" s="304"/>
    </row>
    <row r="36" spans="1:23" s="2" customFormat="1" ht="20.399999999999999" customHeight="1">
      <c r="A36" s="8">
        <v>5</v>
      </c>
      <c r="B36" s="5" t="s">
        <v>114</v>
      </c>
      <c r="C36" s="12">
        <f>L36/100*100</f>
        <v>110.00000000000001</v>
      </c>
      <c r="D36" s="13">
        <f>C36/100*247</f>
        <v>271.70000000000005</v>
      </c>
      <c r="E36" s="17"/>
      <c r="F36" s="17">
        <f>C36/100*17.5</f>
        <v>19.25</v>
      </c>
      <c r="G36" s="17"/>
      <c r="H36" s="17">
        <f>C36/100*1.6</f>
        <v>1.7600000000000002</v>
      </c>
      <c r="I36" s="17">
        <f>C36/100*39.2</f>
        <v>43.120000000000005</v>
      </c>
      <c r="J36" s="21"/>
      <c r="K36" s="21"/>
      <c r="L36" s="307">
        <v>110</v>
      </c>
      <c r="M36" s="20">
        <v>50</v>
      </c>
      <c r="N36" s="16">
        <f t="shared" si="1"/>
        <v>5500</v>
      </c>
      <c r="O36" s="304"/>
      <c r="Q36" s="3"/>
      <c r="R36" s="3"/>
      <c r="S36" s="4"/>
      <c r="T36" s="3"/>
    </row>
    <row r="37" spans="1:23" s="2" customFormat="1" ht="20.399999999999999" customHeight="1">
      <c r="A37" s="8">
        <v>6</v>
      </c>
      <c r="B37" s="5" t="s">
        <v>66</v>
      </c>
      <c r="C37" s="12">
        <f>L37/100*75</f>
        <v>2790</v>
      </c>
      <c r="D37" s="13">
        <f>C37/100*12</f>
        <v>334.79999999999995</v>
      </c>
      <c r="E37" s="14">
        <f>C37/100*0.6</f>
        <v>16.739999999999998</v>
      </c>
      <c r="F37" s="14"/>
      <c r="G37" s="14"/>
      <c r="H37" s="14"/>
      <c r="I37" s="14">
        <f>C37/100*2.4</f>
        <v>66.959999999999994</v>
      </c>
      <c r="J37" s="63">
        <f>C37/100*26</f>
        <v>725.4</v>
      </c>
      <c r="K37" s="22">
        <f>C37/100*0.02</f>
        <v>0.55799999999999994</v>
      </c>
      <c r="L37" s="109">
        <v>3720</v>
      </c>
      <c r="M37" s="15">
        <v>30</v>
      </c>
      <c r="N37" s="91">
        <f t="shared" si="1"/>
        <v>111600</v>
      </c>
      <c r="O37" s="304"/>
    </row>
    <row r="38" spans="1:23" s="2" customFormat="1" ht="20.399999999999999" customHeight="1">
      <c r="A38" s="8">
        <v>7</v>
      </c>
      <c r="B38" s="9" t="s">
        <v>63</v>
      </c>
      <c r="C38" s="12">
        <f>L38/100*40</f>
        <v>3968</v>
      </c>
      <c r="D38" s="64">
        <f>C38/100*276</f>
        <v>10951.68</v>
      </c>
      <c r="E38" s="14">
        <f>C38/100*17.8</f>
        <v>706.30399999999997</v>
      </c>
      <c r="F38" s="14"/>
      <c r="G38" s="14">
        <f>C38/100*21.8</f>
        <v>865.024</v>
      </c>
      <c r="H38" s="14"/>
      <c r="I38" s="14"/>
      <c r="J38" s="63">
        <f>C38/100*13</f>
        <v>515.84</v>
      </c>
      <c r="K38" s="22">
        <f>C38/100*0.07</f>
        <v>2.7776000000000001</v>
      </c>
      <c r="L38" s="109">
        <v>9920</v>
      </c>
      <c r="M38" s="20">
        <v>63</v>
      </c>
      <c r="N38" s="91">
        <f t="shared" si="1"/>
        <v>624960</v>
      </c>
      <c r="O38" s="304"/>
    </row>
    <row r="39" spans="1:23" s="2" customFormat="1" ht="20.399999999999999" customHeight="1">
      <c r="A39" s="8">
        <v>8</v>
      </c>
      <c r="B39" s="130" t="s">
        <v>124</v>
      </c>
      <c r="C39" s="12">
        <f>L39/100*100</f>
        <v>3170</v>
      </c>
      <c r="D39" s="64">
        <f>C39/100*487</f>
        <v>15437.9</v>
      </c>
      <c r="E39" s="17"/>
      <c r="F39" s="17">
        <f>C39/100*19.5</f>
        <v>618.15</v>
      </c>
      <c r="G39" s="17"/>
      <c r="H39" s="17">
        <f>C39/100*23.2</f>
        <v>735.43999999999994</v>
      </c>
      <c r="I39" s="17">
        <f>C39/100*46</f>
        <v>1458.2</v>
      </c>
      <c r="J39" s="89">
        <f>C39/100*680</f>
        <v>21556</v>
      </c>
      <c r="K39" s="14">
        <f>C39/100*0.55</f>
        <v>17.435000000000002</v>
      </c>
      <c r="L39" s="307">
        <v>3170</v>
      </c>
      <c r="M39" s="100">
        <v>260</v>
      </c>
      <c r="N39" s="91">
        <f t="shared" si="1"/>
        <v>824200</v>
      </c>
      <c r="O39" s="304"/>
      <c r="P39" s="3"/>
    </row>
    <row r="40" spans="1:23" s="2" customFormat="1" ht="20.399999999999999" customHeight="1">
      <c r="A40" s="75">
        <v>9</v>
      </c>
      <c r="B40" s="76" t="s">
        <v>108</v>
      </c>
      <c r="C40" s="77"/>
      <c r="D40" s="78"/>
      <c r="E40" s="79"/>
      <c r="F40" s="79"/>
      <c r="G40" s="103"/>
      <c r="H40" s="103"/>
      <c r="I40" s="79"/>
      <c r="J40" s="79"/>
      <c r="K40" s="79"/>
      <c r="L40" s="80"/>
      <c r="M40" s="80"/>
      <c r="N40" s="81">
        <v>12050</v>
      </c>
      <c r="O40" s="304"/>
    </row>
    <row r="41" spans="1:23" ht="22.2" customHeight="1">
      <c r="A41" s="145" t="s">
        <v>0</v>
      </c>
      <c r="B41" s="148" t="s">
        <v>19</v>
      </c>
      <c r="C41" s="151" t="s">
        <v>8</v>
      </c>
      <c r="D41" s="151" t="s">
        <v>9</v>
      </c>
      <c r="E41" s="154" t="s">
        <v>11</v>
      </c>
      <c r="F41" s="155"/>
      <c r="G41" s="154" t="s">
        <v>13</v>
      </c>
      <c r="H41" s="155"/>
      <c r="I41" s="173" t="s">
        <v>16</v>
      </c>
      <c r="J41" s="173" t="s">
        <v>32</v>
      </c>
      <c r="K41" s="173" t="s">
        <v>33</v>
      </c>
      <c r="L41" s="173" t="s">
        <v>17</v>
      </c>
      <c r="M41" s="173" t="s">
        <v>34</v>
      </c>
      <c r="N41" s="145" t="s">
        <v>18</v>
      </c>
      <c r="O41" s="302"/>
    </row>
    <row r="42" spans="1:23" ht="22.2" customHeight="1">
      <c r="A42" s="146"/>
      <c r="B42" s="149"/>
      <c r="C42" s="152"/>
      <c r="D42" s="152"/>
      <c r="E42" s="156"/>
      <c r="F42" s="157"/>
      <c r="G42" s="156"/>
      <c r="H42" s="157"/>
      <c r="I42" s="181"/>
      <c r="J42" s="181"/>
      <c r="K42" s="181"/>
      <c r="L42" s="181"/>
      <c r="M42" s="181"/>
      <c r="N42" s="146"/>
      <c r="O42" s="136"/>
    </row>
    <row r="43" spans="1:23" ht="22.2" customHeight="1">
      <c r="A43" s="146"/>
      <c r="B43" s="149"/>
      <c r="C43" s="152"/>
      <c r="D43" s="152"/>
      <c r="E43" s="173" t="s">
        <v>10</v>
      </c>
      <c r="F43" s="173" t="s">
        <v>12</v>
      </c>
      <c r="G43" s="173" t="s">
        <v>14</v>
      </c>
      <c r="H43" s="173" t="s">
        <v>15</v>
      </c>
      <c r="I43" s="181"/>
      <c r="J43" s="181"/>
      <c r="K43" s="181"/>
      <c r="L43" s="181"/>
      <c r="M43" s="181"/>
      <c r="N43" s="146"/>
      <c r="O43" s="136"/>
    </row>
    <row r="44" spans="1:23" ht="22.2" customHeight="1">
      <c r="A44" s="147"/>
      <c r="B44" s="150"/>
      <c r="C44" s="153"/>
      <c r="D44" s="153"/>
      <c r="E44" s="174"/>
      <c r="F44" s="174"/>
      <c r="G44" s="174"/>
      <c r="H44" s="174"/>
      <c r="I44" s="174"/>
      <c r="J44" s="174"/>
      <c r="K44" s="174"/>
      <c r="L44" s="174"/>
      <c r="M44" s="174"/>
      <c r="N44" s="147"/>
      <c r="O44" s="136"/>
    </row>
    <row r="45" spans="1:23" s="2" customFormat="1" ht="21" customHeight="1">
      <c r="A45" s="189" t="s">
        <v>95</v>
      </c>
      <c r="B45" s="189"/>
      <c r="C45" s="25"/>
      <c r="D45" s="92">
        <f>SUM(D32:D40)</f>
        <v>47070.18</v>
      </c>
      <c r="E45" s="31"/>
      <c r="F45" s="31"/>
      <c r="G45" s="31"/>
      <c r="H45" s="31"/>
      <c r="I45" s="31"/>
      <c r="J45" s="31"/>
      <c r="K45" s="31"/>
      <c r="L45" s="32"/>
      <c r="M45" s="32"/>
      <c r="N45" s="182">
        <f>SUM(N32:N40)</f>
        <v>1720210</v>
      </c>
      <c r="O45" s="304"/>
    </row>
    <row r="46" spans="1:23" ht="21" customHeight="1">
      <c r="A46" s="189" t="s">
        <v>7</v>
      </c>
      <c r="B46" s="189"/>
      <c r="C46" s="33"/>
      <c r="D46" s="34">
        <f>D45/C8</f>
        <v>253.06548387096774</v>
      </c>
      <c r="E46" s="34"/>
      <c r="F46" s="34"/>
      <c r="G46" s="34"/>
      <c r="H46" s="34"/>
      <c r="I46" s="34"/>
      <c r="J46" s="34"/>
      <c r="K46" s="34"/>
      <c r="L46" s="35"/>
      <c r="M46" s="35"/>
      <c r="N46" s="183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184" t="s">
        <v>40</v>
      </c>
      <c r="B47" s="185"/>
      <c r="C47" s="309" t="s">
        <v>126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41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186"/>
      <c r="B48" s="187"/>
      <c r="C48" s="61" t="s">
        <v>57</v>
      </c>
      <c r="D48" s="29">
        <f>D46*100/1320</f>
        <v>19.171627565982405</v>
      </c>
      <c r="E48" s="34"/>
      <c r="F48" s="34"/>
      <c r="G48" s="34"/>
      <c r="H48" s="34"/>
      <c r="I48" s="34"/>
      <c r="J48" s="36"/>
      <c r="K48" s="36"/>
      <c r="L48" s="35"/>
      <c r="M48" s="35"/>
      <c r="N48" s="141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192" t="s">
        <v>103</v>
      </c>
      <c r="B49" s="193"/>
      <c r="C49" s="196"/>
      <c r="D49" s="198">
        <f>D27+D45</f>
        <v>133000.16199999998</v>
      </c>
      <c r="E49" s="94">
        <f>SUM(E14:E40)</f>
        <v>2942.2447999999995</v>
      </c>
      <c r="F49" s="94">
        <f t="shared" ref="F49:H49" si="2">SUM(F14:F40)</f>
        <v>2574.4050000000002</v>
      </c>
      <c r="G49" s="94">
        <f t="shared" si="2"/>
        <v>2777.5555999999997</v>
      </c>
      <c r="H49" s="93">
        <f t="shared" si="2"/>
        <v>1153.6391999999998</v>
      </c>
      <c r="I49" s="200">
        <f>SUM(I14:I40)</f>
        <v>18292.805999999997</v>
      </c>
      <c r="J49" s="202">
        <f>SUM(J14:J40)</f>
        <v>39419.966</v>
      </c>
      <c r="K49" s="204">
        <f>SUM(K14:K40)</f>
        <v>101.14160000000001</v>
      </c>
      <c r="L49" s="206"/>
      <c r="M49" s="206"/>
      <c r="N49" s="207">
        <f>N27+N45</f>
        <v>4091335</v>
      </c>
      <c r="P49" s="2"/>
      <c r="Q49" s="2"/>
      <c r="R49" s="2"/>
      <c r="S49" s="2"/>
      <c r="T49" s="2"/>
      <c r="U49" s="2"/>
      <c r="V49" s="2"/>
    </row>
    <row r="50" spans="1:22" ht="21" customHeight="1">
      <c r="A50" s="194"/>
      <c r="B50" s="195"/>
      <c r="C50" s="197"/>
      <c r="D50" s="199"/>
      <c r="E50" s="208">
        <f>E49+F49</f>
        <v>5516.6497999999992</v>
      </c>
      <c r="F50" s="209"/>
      <c r="G50" s="208">
        <f>G49+H49</f>
        <v>3931.1947999999993</v>
      </c>
      <c r="H50" s="209"/>
      <c r="I50" s="201"/>
      <c r="J50" s="203"/>
      <c r="K50" s="205"/>
      <c r="L50" s="206"/>
      <c r="M50" s="206"/>
      <c r="N50" s="207"/>
      <c r="U50" s="11"/>
      <c r="V50" s="11"/>
    </row>
    <row r="51" spans="1:22" ht="21" customHeight="1">
      <c r="A51" s="210" t="s">
        <v>73</v>
      </c>
      <c r="B51" s="211"/>
      <c r="C51" s="212"/>
      <c r="D51" s="99">
        <f>D49/C8</f>
        <v>715.05463440860206</v>
      </c>
      <c r="E51" s="329">
        <f>E49/C8</f>
        <v>15.818520430107524</v>
      </c>
      <c r="F51" s="104">
        <f>F49/C8</f>
        <v>13.840887096774194</v>
      </c>
      <c r="G51" s="329">
        <f>G49/C8</f>
        <v>14.933094623655911</v>
      </c>
      <c r="H51" s="105">
        <f>H49/C8</f>
        <v>6.20236129032258</v>
      </c>
      <c r="I51" s="216">
        <f>I49/C8</f>
        <v>98.348419354838697</v>
      </c>
      <c r="J51" s="269">
        <f>J49/C8</f>
        <v>211.93530107526882</v>
      </c>
      <c r="K51" s="218">
        <f>K49/C8</f>
        <v>0.54377204301075277</v>
      </c>
      <c r="L51" s="206"/>
      <c r="M51" s="206"/>
      <c r="N51" s="207"/>
      <c r="U51" s="11"/>
      <c r="V51" s="11"/>
    </row>
    <row r="52" spans="1:22" ht="21" customHeight="1">
      <c r="A52" s="213"/>
      <c r="B52" s="214"/>
      <c r="C52" s="215"/>
      <c r="D52" s="96"/>
      <c r="E52" s="279">
        <f>E51+F51</f>
        <v>29.659407526881719</v>
      </c>
      <c r="F52" s="278"/>
      <c r="G52" s="279">
        <f>G51+H51</f>
        <v>21.13545591397849</v>
      </c>
      <c r="H52" s="278"/>
      <c r="I52" s="217"/>
      <c r="J52" s="253"/>
      <c r="K52" s="219"/>
      <c r="L52" s="206"/>
      <c r="M52" s="206"/>
      <c r="N52" s="207"/>
      <c r="P52" s="297"/>
      <c r="Q52" s="299"/>
      <c r="R52" s="299"/>
      <c r="S52" s="299"/>
      <c r="T52" s="299"/>
      <c r="U52" s="311"/>
      <c r="V52" s="311"/>
    </row>
    <row r="53" spans="1:22" ht="21" customHeight="1">
      <c r="A53" s="312" t="s">
        <v>74</v>
      </c>
      <c r="B53" s="313"/>
      <c r="C53" s="314"/>
      <c r="D53" s="315" t="s">
        <v>27</v>
      </c>
      <c r="E53" s="159" t="s">
        <v>21</v>
      </c>
      <c r="F53" s="159"/>
      <c r="G53" s="159" t="s">
        <v>22</v>
      </c>
      <c r="H53" s="159"/>
      <c r="I53" s="140" t="s">
        <v>23</v>
      </c>
      <c r="J53" s="316">
        <v>600</v>
      </c>
      <c r="K53" s="316">
        <v>0.74</v>
      </c>
      <c r="L53" s="206"/>
      <c r="M53" s="206"/>
      <c r="N53" s="207"/>
      <c r="O53" s="317"/>
      <c r="P53" s="318"/>
      <c r="Q53" s="299"/>
      <c r="R53" s="299"/>
      <c r="S53" s="299"/>
      <c r="T53" s="299"/>
      <c r="U53" s="299"/>
      <c r="V53" s="299"/>
    </row>
    <row r="54" spans="1:22" ht="21" customHeight="1">
      <c r="A54" s="223" t="s">
        <v>67</v>
      </c>
      <c r="B54" s="224"/>
      <c r="C54" s="225"/>
      <c r="D54" s="19"/>
      <c r="E54" s="226">
        <f>E52*4.1</f>
        <v>121.60357086021503</v>
      </c>
      <c r="F54" s="227"/>
      <c r="G54" s="226">
        <f>G52*9</f>
        <v>190.21910322580641</v>
      </c>
      <c r="H54" s="227"/>
      <c r="I54" s="67">
        <f>I51*4.1</f>
        <v>403.22851935483862</v>
      </c>
      <c r="J54" s="228"/>
      <c r="K54" s="228"/>
      <c r="L54" s="206"/>
      <c r="M54" s="206"/>
      <c r="N54" s="207"/>
      <c r="O54" s="317"/>
      <c r="P54" s="319"/>
      <c r="Q54" s="296"/>
      <c r="R54" s="296"/>
      <c r="S54" s="296"/>
      <c r="T54" s="297"/>
      <c r="U54" s="297"/>
      <c r="V54" s="297"/>
    </row>
    <row r="55" spans="1:22" ht="21" customHeight="1">
      <c r="A55" s="231" t="s">
        <v>68</v>
      </c>
      <c r="B55" s="232"/>
      <c r="C55" s="223" t="s">
        <v>57</v>
      </c>
      <c r="D55" s="225"/>
      <c r="E55" s="258">
        <f>E54*100/D51</f>
        <v>17.006192954862716</v>
      </c>
      <c r="F55" s="259"/>
      <c r="G55" s="258">
        <f>G54*100/D51</f>
        <v>26.60203767270599</v>
      </c>
      <c r="H55" s="259"/>
      <c r="I55" s="83">
        <f>I54*100/D51</f>
        <v>56.391288154972322</v>
      </c>
      <c r="J55" s="229"/>
      <c r="K55" s="229"/>
      <c r="L55" s="206"/>
      <c r="M55" s="206"/>
      <c r="N55" s="207"/>
      <c r="O55" s="320"/>
      <c r="P55" s="297"/>
      <c r="Q55" s="298"/>
      <c r="R55" s="297"/>
      <c r="S55" s="297"/>
      <c r="T55" s="297"/>
      <c r="U55" s="297"/>
      <c r="V55" s="297"/>
    </row>
    <row r="56" spans="1:22" ht="21" customHeight="1">
      <c r="A56" s="233"/>
      <c r="B56" s="234"/>
      <c r="C56" s="223" t="s">
        <v>69</v>
      </c>
      <c r="D56" s="225"/>
      <c r="E56" s="223" t="s">
        <v>70</v>
      </c>
      <c r="F56" s="225"/>
      <c r="G56" s="223" t="s">
        <v>71</v>
      </c>
      <c r="H56" s="225"/>
      <c r="I56" s="315" t="s">
        <v>72</v>
      </c>
      <c r="J56" s="230"/>
      <c r="K56" s="230"/>
      <c r="L56" s="206"/>
      <c r="M56" s="206"/>
      <c r="N56" s="207"/>
      <c r="O56" s="317"/>
      <c r="P56" s="82"/>
    </row>
    <row r="57" spans="1:22" ht="21" customHeight="1">
      <c r="A57" s="69"/>
      <c r="B57" s="70"/>
      <c r="C57" s="69"/>
      <c r="D57" s="69"/>
      <c r="E57" s="69"/>
      <c r="F57" s="69"/>
      <c r="G57" s="69"/>
      <c r="H57" s="69"/>
      <c r="I57" s="69"/>
      <c r="J57" s="69"/>
      <c r="K57" s="69"/>
      <c r="L57" s="71"/>
      <c r="M57" s="71"/>
      <c r="N57" s="72"/>
      <c r="O57" s="317"/>
    </row>
    <row r="58" spans="1:22" ht="21" customHeight="1">
      <c r="A58" s="220" t="s">
        <v>97</v>
      </c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317"/>
    </row>
    <row r="59" spans="1:22" ht="21" customHeight="1">
      <c r="A59" s="85" t="s">
        <v>98</v>
      </c>
      <c r="B59" s="221" t="s">
        <v>99</v>
      </c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317"/>
    </row>
    <row r="60" spans="1:22" ht="21" customHeight="1">
      <c r="A60" s="86"/>
      <c r="B60" s="222" t="s">
        <v>166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317"/>
    </row>
    <row r="61" spans="1:22" ht="21" customHeight="1">
      <c r="A61" s="86"/>
      <c r="B61" s="222" t="s">
        <v>167</v>
      </c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317"/>
    </row>
    <row r="62" spans="1:22" ht="21" customHeight="1">
      <c r="A62" s="86"/>
      <c r="B62" s="222" t="s">
        <v>168</v>
      </c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317"/>
    </row>
    <row r="63" spans="1:22" ht="21" customHeight="1">
      <c r="A63" s="69"/>
      <c r="B63" s="237" t="s">
        <v>104</v>
      </c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317"/>
    </row>
    <row r="64" spans="1:22" ht="21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87"/>
      <c r="M64" s="87"/>
      <c r="N64" s="88"/>
      <c r="O64" s="317"/>
    </row>
    <row r="65" spans="1:20" ht="21" customHeight="1">
      <c r="A65" s="238" t="s">
        <v>59</v>
      </c>
      <c r="B65" s="238"/>
      <c r="C65" s="238"/>
      <c r="D65" s="238"/>
      <c r="E65" s="321"/>
      <c r="F65" s="321"/>
      <c r="G65" s="321"/>
      <c r="H65" s="321"/>
      <c r="I65" s="321"/>
      <c r="J65" s="322" t="s">
        <v>36</v>
      </c>
      <c r="K65" s="322"/>
      <c r="L65" s="322"/>
      <c r="M65" s="322"/>
      <c r="N65" s="322"/>
      <c r="O65" s="317"/>
    </row>
    <row r="66" spans="1:20" ht="21" customHeight="1">
      <c r="A66" s="136"/>
      <c r="B66" s="136"/>
      <c r="C66" s="136"/>
      <c r="D66" s="321"/>
      <c r="E66" s="321"/>
      <c r="F66" s="321"/>
      <c r="G66" s="321"/>
      <c r="H66" s="323"/>
      <c r="I66" s="323"/>
      <c r="J66" s="323"/>
      <c r="K66" s="323"/>
      <c r="L66" s="323"/>
      <c r="M66" s="323"/>
      <c r="N66" s="323"/>
      <c r="O66" s="317"/>
    </row>
    <row r="67" spans="1:20" ht="21" customHeight="1">
      <c r="A67" s="136"/>
      <c r="B67" s="136"/>
      <c r="C67" s="136"/>
      <c r="D67" s="321"/>
      <c r="E67" s="321"/>
      <c r="F67" s="321"/>
      <c r="G67" s="321"/>
      <c r="H67" s="323"/>
      <c r="I67" s="323"/>
      <c r="J67" s="323"/>
      <c r="K67" s="323"/>
      <c r="L67" s="323"/>
      <c r="M67" s="323"/>
      <c r="N67" s="323"/>
      <c r="O67" s="317"/>
    </row>
    <row r="68" spans="1:20" ht="21" customHeight="1">
      <c r="A68" s="136"/>
      <c r="B68" s="136"/>
      <c r="C68" s="136"/>
      <c r="D68" s="321"/>
      <c r="E68" s="321"/>
      <c r="F68" s="321"/>
      <c r="G68" s="321"/>
      <c r="H68" s="323"/>
      <c r="I68" s="323"/>
      <c r="J68" s="324" t="s">
        <v>100</v>
      </c>
      <c r="K68" s="324"/>
      <c r="L68" s="324"/>
      <c r="M68" s="324"/>
      <c r="N68" s="324"/>
      <c r="O68" s="317"/>
    </row>
    <row r="69" spans="1:20" ht="21" customHeight="1">
      <c r="A69" s="239" t="s">
        <v>82</v>
      </c>
      <c r="B69" s="239"/>
      <c r="C69" s="239"/>
      <c r="D69" s="239"/>
      <c r="E69" s="321"/>
      <c r="F69" s="321"/>
      <c r="G69" s="321"/>
      <c r="H69" s="323"/>
      <c r="I69" s="323"/>
      <c r="O69" s="317"/>
    </row>
    <row r="70" spans="1:20" ht="21" customHeight="1">
      <c r="A70" s="136"/>
      <c r="B70" s="136"/>
      <c r="C70" s="136"/>
      <c r="D70" s="321"/>
      <c r="E70" s="321"/>
      <c r="F70" s="321"/>
      <c r="G70" s="321"/>
      <c r="H70" s="323"/>
      <c r="I70" s="323"/>
      <c r="J70" s="323"/>
      <c r="K70" s="323"/>
      <c r="L70" s="323"/>
      <c r="M70" s="323"/>
      <c r="N70" s="323"/>
      <c r="O70" s="317"/>
    </row>
    <row r="71" spans="1:20" ht="21" customHeight="1">
      <c r="A71" s="136"/>
      <c r="B71" s="136"/>
      <c r="C71" s="136"/>
      <c r="D71" s="321"/>
      <c r="E71" s="321"/>
      <c r="F71" s="321"/>
      <c r="G71" s="321"/>
      <c r="H71" s="323"/>
      <c r="I71" s="323"/>
      <c r="J71" s="324" t="s">
        <v>111</v>
      </c>
      <c r="K71" s="324"/>
      <c r="L71" s="324"/>
      <c r="M71" s="324"/>
      <c r="N71" s="324"/>
      <c r="O71" s="317"/>
    </row>
    <row r="72" spans="1:20" ht="21" customHeight="1">
      <c r="A72" s="136"/>
      <c r="B72" s="136"/>
      <c r="C72" s="136"/>
      <c r="D72" s="321"/>
      <c r="E72" s="321"/>
      <c r="F72" s="321"/>
      <c r="G72" s="321"/>
      <c r="H72" s="323"/>
      <c r="I72" s="323"/>
      <c r="J72" s="323"/>
      <c r="K72" s="323"/>
      <c r="L72" s="323"/>
      <c r="M72" s="323"/>
      <c r="N72" s="323"/>
      <c r="O72" s="317"/>
    </row>
    <row r="73" spans="1:20" ht="21" customHeight="1">
      <c r="A73" s="136"/>
      <c r="B73" s="136"/>
      <c r="C73" s="136"/>
      <c r="D73" s="321"/>
      <c r="E73" s="321"/>
      <c r="F73" s="321"/>
      <c r="G73" s="321"/>
      <c r="H73" s="323"/>
      <c r="I73" s="323"/>
      <c r="J73" s="323"/>
      <c r="K73" s="323"/>
      <c r="L73" s="323"/>
      <c r="M73" s="323"/>
      <c r="N73" s="323"/>
      <c r="O73" s="317"/>
    </row>
    <row r="74" spans="1:20" ht="21" customHeight="1">
      <c r="A74" s="136"/>
      <c r="B74" s="136"/>
      <c r="C74" s="136"/>
      <c r="D74" s="321"/>
      <c r="E74" s="321"/>
      <c r="F74" s="321"/>
      <c r="G74" s="321"/>
      <c r="H74" s="323"/>
      <c r="I74" s="323"/>
      <c r="J74" s="323"/>
      <c r="K74" s="323"/>
      <c r="L74" s="323"/>
      <c r="M74" s="323"/>
      <c r="N74" s="323"/>
      <c r="O74" s="317"/>
    </row>
    <row r="75" spans="1:20" ht="21" customHeight="1">
      <c r="A75" s="136"/>
      <c r="B75" s="136"/>
      <c r="C75" s="136"/>
      <c r="D75" s="321"/>
      <c r="E75" s="321"/>
      <c r="F75" s="321"/>
      <c r="G75" s="321"/>
      <c r="H75" s="323"/>
      <c r="I75" s="323"/>
      <c r="J75" s="323"/>
      <c r="K75" s="323"/>
      <c r="L75" s="323"/>
      <c r="M75" s="323"/>
      <c r="N75" s="323"/>
      <c r="O75" s="317"/>
    </row>
    <row r="76" spans="1:20" ht="21" customHeight="1">
      <c r="A76" s="136"/>
      <c r="B76" s="136"/>
      <c r="C76" s="136"/>
      <c r="D76" s="321"/>
      <c r="E76" s="321"/>
      <c r="F76" s="321"/>
      <c r="G76" s="321"/>
      <c r="H76" s="323"/>
      <c r="I76" s="323"/>
      <c r="J76" s="323"/>
      <c r="K76" s="323"/>
      <c r="L76" s="323"/>
      <c r="M76" s="323"/>
      <c r="N76" s="323"/>
      <c r="O76" s="317"/>
    </row>
    <row r="77" spans="1:20" ht="21" customHeight="1">
      <c r="A77" s="136"/>
      <c r="B77" s="136"/>
      <c r="C77" s="136"/>
      <c r="D77" s="321"/>
      <c r="E77" s="321"/>
      <c r="F77" s="321"/>
      <c r="G77" s="321"/>
      <c r="H77" s="323"/>
      <c r="I77" s="323"/>
      <c r="J77" s="323"/>
      <c r="K77" s="323"/>
      <c r="L77" s="323"/>
      <c r="M77" s="323"/>
      <c r="N77" s="323"/>
      <c r="O77" s="317"/>
    </row>
    <row r="78" spans="1:20" ht="21" customHeight="1">
      <c r="A78" s="136"/>
      <c r="B78" s="136"/>
      <c r="C78" s="136"/>
      <c r="D78" s="321"/>
      <c r="E78" s="321"/>
      <c r="F78" s="321"/>
      <c r="G78" s="321"/>
      <c r="H78" s="323"/>
      <c r="I78" s="323"/>
      <c r="J78" s="323"/>
      <c r="K78" s="323"/>
      <c r="L78" s="323"/>
      <c r="M78" s="323"/>
      <c r="N78" s="323"/>
      <c r="O78" s="317"/>
    </row>
    <row r="79" spans="1:20" ht="21" customHeight="1">
      <c r="A79" s="136"/>
      <c r="B79" s="136"/>
      <c r="C79" s="136"/>
      <c r="D79" s="321"/>
      <c r="E79" s="321"/>
      <c r="F79" s="321"/>
      <c r="G79" s="321"/>
      <c r="H79" s="323"/>
      <c r="I79" s="323"/>
      <c r="J79" s="323"/>
      <c r="K79" s="323"/>
      <c r="L79" s="323"/>
      <c r="M79" s="323"/>
      <c r="N79" s="323"/>
      <c r="O79" s="317"/>
    </row>
    <row r="80" spans="1:20" ht="19.2" customHeight="1">
      <c r="A80" s="10" t="s">
        <v>58</v>
      </c>
      <c r="B80" s="7"/>
      <c r="C80" s="7"/>
      <c r="D80" s="7"/>
      <c r="E80" s="7"/>
      <c r="F80" s="158" t="s">
        <v>31</v>
      </c>
      <c r="G80" s="158"/>
      <c r="H80" s="158"/>
      <c r="I80" s="158"/>
      <c r="J80" s="158"/>
      <c r="K80" s="158"/>
      <c r="L80" s="158"/>
      <c r="M80" s="158"/>
      <c r="N80" s="158"/>
      <c r="O80" s="300"/>
      <c r="P80" s="300"/>
      <c r="T80" s="2"/>
    </row>
    <row r="81" spans="1:20" ht="19.2" customHeight="1">
      <c r="A81" s="7" t="s">
        <v>159</v>
      </c>
      <c r="B81" s="7"/>
      <c r="C81" s="7"/>
      <c r="D81" s="7"/>
      <c r="E81" s="7"/>
      <c r="F81" s="139"/>
      <c r="G81" s="139"/>
      <c r="H81" s="139"/>
      <c r="I81" s="139"/>
      <c r="J81" s="139"/>
      <c r="K81" s="139"/>
      <c r="L81" s="139"/>
      <c r="M81" s="139"/>
      <c r="N81" s="139"/>
      <c r="O81" s="300"/>
      <c r="P81" s="300"/>
      <c r="T81" s="2"/>
    </row>
    <row r="82" spans="1:20" s="2" customFormat="1" ht="19.2" customHeight="1">
      <c r="A82" s="159" t="s">
        <v>92</v>
      </c>
      <c r="B82" s="159"/>
      <c r="C82" s="159"/>
      <c r="D82" s="159"/>
      <c r="E82" s="159" t="s">
        <v>80</v>
      </c>
      <c r="F82" s="159"/>
      <c r="G82" s="159"/>
      <c r="H82" s="159"/>
      <c r="I82" s="159"/>
      <c r="J82" s="159"/>
      <c r="K82" s="159"/>
      <c r="L82" s="159"/>
      <c r="M82" s="159"/>
      <c r="N82" s="159"/>
      <c r="O82" s="301"/>
    </row>
    <row r="83" spans="1:20" s="2" customFormat="1" ht="19.2" customHeight="1">
      <c r="A83" s="159"/>
      <c r="B83" s="159"/>
      <c r="C83" s="159"/>
      <c r="D83" s="159"/>
      <c r="E83" s="159" t="s">
        <v>91</v>
      </c>
      <c r="F83" s="159"/>
      <c r="G83" s="159"/>
      <c r="H83" s="159"/>
      <c r="I83" s="159"/>
      <c r="J83" s="159" t="s">
        <v>93</v>
      </c>
      <c r="K83" s="159"/>
      <c r="L83" s="159"/>
      <c r="M83" s="159"/>
      <c r="N83" s="159"/>
      <c r="O83" s="301"/>
    </row>
    <row r="84" spans="1:20" s="2" customFormat="1" ht="19.2" customHeight="1">
      <c r="A84" s="160" t="s">
        <v>81</v>
      </c>
      <c r="B84" s="160"/>
      <c r="C84" s="160"/>
      <c r="D84" s="160"/>
      <c r="E84" s="161" t="s">
        <v>125</v>
      </c>
      <c r="F84" s="161"/>
      <c r="G84" s="161"/>
      <c r="H84" s="161"/>
      <c r="I84" s="161"/>
      <c r="J84" s="240" t="s">
        <v>81</v>
      </c>
      <c r="K84" s="241"/>
      <c r="L84" s="241"/>
      <c r="M84" s="241"/>
      <c r="N84" s="242"/>
      <c r="O84" s="301"/>
    </row>
    <row r="85" spans="1:20" s="2" customFormat="1" ht="19.2" customHeight="1">
      <c r="A85" s="265" t="s">
        <v>130</v>
      </c>
      <c r="B85" s="265"/>
      <c r="C85" s="265"/>
      <c r="D85" s="265"/>
      <c r="E85" s="161"/>
      <c r="F85" s="161"/>
      <c r="G85" s="161"/>
      <c r="H85" s="161"/>
      <c r="I85" s="161"/>
      <c r="J85" s="175" t="s">
        <v>112</v>
      </c>
      <c r="K85" s="176"/>
      <c r="L85" s="176"/>
      <c r="M85" s="176"/>
      <c r="N85" s="177"/>
      <c r="O85" s="301"/>
    </row>
    <row r="86" spans="1:20" s="2" customFormat="1" ht="19.2" customHeight="1">
      <c r="A86" s="172" t="s">
        <v>148</v>
      </c>
      <c r="B86" s="172"/>
      <c r="C86" s="172"/>
      <c r="D86" s="172"/>
      <c r="E86" s="161"/>
      <c r="F86" s="161"/>
      <c r="G86" s="161"/>
      <c r="H86" s="161"/>
      <c r="I86" s="161"/>
      <c r="J86" s="243" t="s">
        <v>131</v>
      </c>
      <c r="K86" s="244"/>
      <c r="L86" s="244"/>
      <c r="M86" s="244"/>
      <c r="N86" s="245"/>
      <c r="O86" s="301"/>
    </row>
    <row r="87" spans="1:20" ht="19.2" customHeight="1">
      <c r="A87" s="266" t="s">
        <v>107</v>
      </c>
      <c r="B87" s="266"/>
      <c r="C87" s="264">
        <v>48</v>
      </c>
      <c r="D87" s="264"/>
      <c r="E87" s="7"/>
      <c r="F87" s="139"/>
      <c r="G87" s="139"/>
      <c r="H87" s="139"/>
      <c r="I87" s="139"/>
      <c r="J87" s="139"/>
      <c r="K87" s="139"/>
      <c r="L87" s="139"/>
      <c r="M87" s="139"/>
      <c r="N87" s="139"/>
      <c r="O87" s="300"/>
      <c r="P87" s="300"/>
      <c r="T87" s="2"/>
    </row>
    <row r="88" spans="1:20" ht="19.2" customHeight="1">
      <c r="A88" s="145" t="s">
        <v>0</v>
      </c>
      <c r="B88" s="148" t="s">
        <v>19</v>
      </c>
      <c r="C88" s="151" t="s">
        <v>8</v>
      </c>
      <c r="D88" s="151" t="s">
        <v>9</v>
      </c>
      <c r="E88" s="260" t="s">
        <v>11</v>
      </c>
      <c r="F88" s="261"/>
      <c r="G88" s="260" t="s">
        <v>13</v>
      </c>
      <c r="H88" s="261"/>
      <c r="I88" s="173" t="s">
        <v>16</v>
      </c>
      <c r="J88" s="173" t="s">
        <v>32</v>
      </c>
      <c r="K88" s="173" t="s">
        <v>33</v>
      </c>
      <c r="L88" s="173" t="s">
        <v>17</v>
      </c>
      <c r="M88" s="173" t="s">
        <v>34</v>
      </c>
      <c r="N88" s="145" t="s">
        <v>18</v>
      </c>
      <c r="O88" s="302"/>
    </row>
    <row r="89" spans="1:20" ht="19.2" customHeight="1">
      <c r="A89" s="146"/>
      <c r="B89" s="149"/>
      <c r="C89" s="152"/>
      <c r="D89" s="152"/>
      <c r="E89" s="262"/>
      <c r="F89" s="263"/>
      <c r="G89" s="262"/>
      <c r="H89" s="263"/>
      <c r="I89" s="181"/>
      <c r="J89" s="181"/>
      <c r="K89" s="181"/>
      <c r="L89" s="181"/>
      <c r="M89" s="181"/>
      <c r="N89" s="146"/>
      <c r="O89" s="136"/>
    </row>
    <row r="90" spans="1:20" ht="19.2" customHeight="1">
      <c r="A90" s="146"/>
      <c r="B90" s="149"/>
      <c r="C90" s="152"/>
      <c r="D90" s="152"/>
      <c r="E90" s="173" t="s">
        <v>10</v>
      </c>
      <c r="F90" s="173" t="s">
        <v>12</v>
      </c>
      <c r="G90" s="173" t="s">
        <v>14</v>
      </c>
      <c r="H90" s="173" t="s">
        <v>15</v>
      </c>
      <c r="I90" s="181"/>
      <c r="J90" s="181"/>
      <c r="K90" s="181"/>
      <c r="L90" s="181"/>
      <c r="M90" s="181"/>
      <c r="N90" s="146"/>
      <c r="O90" s="136"/>
    </row>
    <row r="91" spans="1:20" ht="19.2" customHeight="1">
      <c r="A91" s="147"/>
      <c r="B91" s="150"/>
      <c r="C91" s="153"/>
      <c r="D91" s="153"/>
      <c r="E91" s="174"/>
      <c r="F91" s="174"/>
      <c r="G91" s="174"/>
      <c r="H91" s="174"/>
      <c r="I91" s="174"/>
      <c r="J91" s="174"/>
      <c r="K91" s="174"/>
      <c r="L91" s="174"/>
      <c r="M91" s="174"/>
      <c r="N91" s="147"/>
      <c r="O91" s="136"/>
    </row>
    <row r="92" spans="1:20" ht="18" customHeight="1">
      <c r="A92" s="178" t="s">
        <v>42</v>
      </c>
      <c r="B92" s="179"/>
      <c r="C92" s="179"/>
      <c r="D92" s="179"/>
      <c r="E92" s="179"/>
      <c r="F92" s="179"/>
      <c r="G92" s="179"/>
      <c r="H92" s="179"/>
      <c r="I92" s="179"/>
      <c r="J92" s="179"/>
      <c r="K92" s="179"/>
      <c r="L92" s="179"/>
      <c r="M92" s="179"/>
      <c r="N92" s="180"/>
      <c r="O92" s="136"/>
    </row>
    <row r="93" spans="1:20" s="2" customFormat="1" ht="18" customHeight="1">
      <c r="A93" s="8">
        <v>1</v>
      </c>
      <c r="B93" s="9" t="s">
        <v>2</v>
      </c>
      <c r="C93" s="12">
        <f>L93/100*100</f>
        <v>60</v>
      </c>
      <c r="D93" s="13">
        <f>C93/100*60</f>
        <v>36</v>
      </c>
      <c r="E93" s="14">
        <f>C93/100*15</f>
        <v>9</v>
      </c>
      <c r="F93" s="14"/>
      <c r="G93" s="14"/>
      <c r="H93" s="14"/>
      <c r="I93" s="14"/>
      <c r="J93" s="63">
        <f>C93/100*387</f>
        <v>232.2</v>
      </c>
      <c r="K93" s="22">
        <f>C93/100*0.09</f>
        <v>5.3999999999999999E-2</v>
      </c>
      <c r="L93" s="109">
        <v>60</v>
      </c>
      <c r="M93" s="20">
        <v>20</v>
      </c>
      <c r="N93" s="16">
        <f>L93*M93</f>
        <v>1200</v>
      </c>
      <c r="O93" s="304"/>
    </row>
    <row r="94" spans="1:20" s="2" customFormat="1" ht="18" customHeight="1">
      <c r="A94" s="8">
        <v>2</v>
      </c>
      <c r="B94" s="9" t="s">
        <v>118</v>
      </c>
      <c r="C94" s="12">
        <f>L94/100*100</f>
        <v>130</v>
      </c>
      <c r="D94" s="13">
        <f>C94/100*899</f>
        <v>1168.7</v>
      </c>
      <c r="E94" s="14"/>
      <c r="F94" s="14"/>
      <c r="G94" s="14">
        <f>C94/100*100</f>
        <v>130</v>
      </c>
      <c r="H94" s="14"/>
      <c r="I94" s="14"/>
      <c r="J94" s="14"/>
      <c r="K94" s="14"/>
      <c r="L94" s="109">
        <v>130</v>
      </c>
      <c r="M94" s="64">
        <v>68</v>
      </c>
      <c r="N94" s="16">
        <f t="shared" ref="N94:N102" si="3">L94*M94</f>
        <v>8840</v>
      </c>
      <c r="O94" s="305"/>
    </row>
    <row r="95" spans="1:20" s="2" customFormat="1" ht="18" customHeight="1">
      <c r="A95" s="8">
        <v>3</v>
      </c>
      <c r="B95" s="9" t="s">
        <v>121</v>
      </c>
      <c r="C95" s="12">
        <f>L95/100*100</f>
        <v>110.00000000000001</v>
      </c>
      <c r="D95" s="64">
        <f>C95/100*900</f>
        <v>990.00000000000011</v>
      </c>
      <c r="E95" s="14"/>
      <c r="F95" s="14"/>
      <c r="G95" s="89"/>
      <c r="H95" s="14">
        <f>C95/100*100</f>
        <v>110.00000000000001</v>
      </c>
      <c r="I95" s="14"/>
      <c r="J95" s="14"/>
      <c r="K95" s="14"/>
      <c r="L95" s="109">
        <v>110</v>
      </c>
      <c r="M95" s="64">
        <v>63.5</v>
      </c>
      <c r="N95" s="91">
        <f t="shared" si="3"/>
        <v>6985</v>
      </c>
      <c r="O95" s="305"/>
    </row>
    <row r="96" spans="1:20" s="2" customFormat="1" ht="18" customHeight="1">
      <c r="A96" s="8">
        <v>4</v>
      </c>
      <c r="B96" s="5" t="s">
        <v>1</v>
      </c>
      <c r="C96" s="12">
        <f>L96/100*100</f>
        <v>2064</v>
      </c>
      <c r="D96" s="13">
        <f>C96/100*344</f>
        <v>7100.16</v>
      </c>
      <c r="E96" s="14"/>
      <c r="F96" s="14">
        <f>C96/100*7.9</f>
        <v>163.05600000000001</v>
      </c>
      <c r="G96" s="14"/>
      <c r="H96" s="14">
        <f>C96/100*1</f>
        <v>20.64</v>
      </c>
      <c r="I96" s="14">
        <f>C96/100*74.2</f>
        <v>1531.4880000000001</v>
      </c>
      <c r="J96" s="63">
        <f>C96/100*30</f>
        <v>619.20000000000005</v>
      </c>
      <c r="K96" s="22">
        <f>C96/100*0.1</f>
        <v>2.0640000000000001</v>
      </c>
      <c r="L96" s="109">
        <v>2064</v>
      </c>
      <c r="M96" s="20">
        <v>18</v>
      </c>
      <c r="N96" s="16">
        <f t="shared" si="3"/>
        <v>37152</v>
      </c>
      <c r="O96" s="304"/>
    </row>
    <row r="97" spans="1:23" s="2" customFormat="1" ht="18" customHeight="1">
      <c r="A97" s="8">
        <v>5</v>
      </c>
      <c r="B97" s="5" t="s">
        <v>4</v>
      </c>
      <c r="C97" s="12">
        <f>L97/100*98</f>
        <v>597.79999999999995</v>
      </c>
      <c r="D97" s="13">
        <f>C97/100*118</f>
        <v>705.404</v>
      </c>
      <c r="E97" s="14">
        <f>C97/100*21</f>
        <v>125.538</v>
      </c>
      <c r="F97" s="14"/>
      <c r="G97" s="14">
        <f>C97/100*3.8</f>
        <v>22.716399999999997</v>
      </c>
      <c r="H97" s="14"/>
      <c r="I97" s="14">
        <f>C97/100*2.5</f>
        <v>14.945</v>
      </c>
      <c r="J97" s="21">
        <f>C97/100*12</f>
        <v>71.73599999999999</v>
      </c>
      <c r="K97" s="21">
        <f>C97/100*0.1</f>
        <v>0.5978</v>
      </c>
      <c r="L97" s="308">
        <v>610</v>
      </c>
      <c r="M97" s="43">
        <v>250</v>
      </c>
      <c r="N97" s="91">
        <f t="shared" si="3"/>
        <v>152500</v>
      </c>
      <c r="O97" s="306"/>
      <c r="Q97" s="3"/>
      <c r="R97" s="3"/>
    </row>
    <row r="98" spans="1:23" s="2" customFormat="1" ht="18" customHeight="1">
      <c r="A98" s="8">
        <v>6</v>
      </c>
      <c r="B98" s="9" t="s">
        <v>65</v>
      </c>
      <c r="C98" s="12">
        <f>L98/100*98</f>
        <v>597.79999999999995</v>
      </c>
      <c r="D98" s="13">
        <f>C98/100*139</f>
        <v>830.94200000000001</v>
      </c>
      <c r="E98" s="14">
        <f>C98/100*19</f>
        <v>113.58199999999999</v>
      </c>
      <c r="F98" s="14"/>
      <c r="G98" s="14">
        <f>C98/100*7</f>
        <v>41.845999999999997</v>
      </c>
      <c r="H98" s="14"/>
      <c r="I98" s="14"/>
      <c r="J98" s="22">
        <f>C98/100*7</f>
        <v>41.845999999999997</v>
      </c>
      <c r="K98" s="22">
        <f>C98/100*0.9</f>
        <v>5.3802000000000003</v>
      </c>
      <c r="L98" s="109">
        <v>610</v>
      </c>
      <c r="M98" s="15">
        <v>137</v>
      </c>
      <c r="N98" s="91">
        <f t="shared" si="3"/>
        <v>83570</v>
      </c>
      <c r="O98" s="304"/>
    </row>
    <row r="99" spans="1:23" s="2" customFormat="1" ht="18" customHeight="1">
      <c r="A99" s="8">
        <v>7</v>
      </c>
      <c r="B99" s="5" t="s">
        <v>114</v>
      </c>
      <c r="C99" s="12">
        <f>L99/100*100</f>
        <v>40</v>
      </c>
      <c r="D99" s="13">
        <f>C99/100*247</f>
        <v>98.800000000000011</v>
      </c>
      <c r="E99" s="17"/>
      <c r="F99" s="17">
        <f>C99/100*17.5</f>
        <v>7</v>
      </c>
      <c r="G99" s="17"/>
      <c r="H99" s="17">
        <f>C99/100*1.6</f>
        <v>0.64000000000000012</v>
      </c>
      <c r="I99" s="17">
        <f>C99/100*39.2</f>
        <v>15.680000000000001</v>
      </c>
      <c r="J99" s="21"/>
      <c r="K99" s="21"/>
      <c r="L99" s="308">
        <v>40</v>
      </c>
      <c r="M99" s="20">
        <v>50</v>
      </c>
      <c r="N99" s="16">
        <f t="shared" si="3"/>
        <v>2000</v>
      </c>
      <c r="O99" s="304"/>
      <c r="Q99" s="3"/>
      <c r="R99" s="3"/>
      <c r="S99" s="4"/>
      <c r="T99" s="3"/>
    </row>
    <row r="100" spans="1:23" s="2" customFormat="1" ht="18" customHeight="1">
      <c r="A100" s="8">
        <v>8</v>
      </c>
      <c r="B100" s="66" t="s">
        <v>61</v>
      </c>
      <c r="C100" s="12">
        <f>L100/100*89</f>
        <v>1495.2</v>
      </c>
      <c r="D100" s="13">
        <f>C100/100*154</f>
        <v>2302.6080000000002</v>
      </c>
      <c r="E100" s="14">
        <f>C100/100*13.1</f>
        <v>195.87119999999999</v>
      </c>
      <c r="F100" s="14"/>
      <c r="G100" s="14">
        <f>C100/100*11.1</f>
        <v>165.96719999999999</v>
      </c>
      <c r="H100" s="14"/>
      <c r="I100" s="14">
        <f>C100/100*0.4</f>
        <v>5.9808000000000003</v>
      </c>
      <c r="J100" s="63">
        <f>C100/100*64</f>
        <v>956.928</v>
      </c>
      <c r="K100" s="22">
        <f>C100/100*0.13</f>
        <v>1.9437600000000002</v>
      </c>
      <c r="L100" s="109">
        <v>1680</v>
      </c>
      <c r="M100" s="42">
        <v>82</v>
      </c>
      <c r="N100" s="90">
        <f t="shared" si="3"/>
        <v>137760</v>
      </c>
      <c r="O100" s="304"/>
    </row>
    <row r="101" spans="1:23" s="2" customFormat="1" ht="18" customHeight="1">
      <c r="A101" s="8">
        <v>9</v>
      </c>
      <c r="B101" s="5" t="s">
        <v>20</v>
      </c>
      <c r="C101" s="12">
        <f>L101/100*95</f>
        <v>684</v>
      </c>
      <c r="D101" s="13">
        <f>C101/100*20</f>
        <v>136.80000000000001</v>
      </c>
      <c r="E101" s="14"/>
      <c r="F101" s="14">
        <f>C101/100*0.6</f>
        <v>4.1040000000000001</v>
      </c>
      <c r="G101" s="14"/>
      <c r="H101" s="14">
        <f>C101/100*0.2</f>
        <v>1.3680000000000001</v>
      </c>
      <c r="I101" s="14">
        <f>C101/100*4</f>
        <v>27.36</v>
      </c>
      <c r="J101" s="21">
        <f>C101/100*12</f>
        <v>82.08</v>
      </c>
      <c r="K101" s="21">
        <f>C101/100*0.04</f>
        <v>0.27360000000000001</v>
      </c>
      <c r="L101" s="308">
        <v>720</v>
      </c>
      <c r="M101" s="15">
        <v>30</v>
      </c>
      <c r="N101" s="16">
        <f t="shared" si="3"/>
        <v>21600</v>
      </c>
      <c r="O101" s="304"/>
    </row>
    <row r="102" spans="1:23" s="2" customFormat="1" ht="20.399999999999999" customHeight="1">
      <c r="A102" s="8">
        <v>10</v>
      </c>
      <c r="B102" s="5" t="s">
        <v>147</v>
      </c>
      <c r="C102" s="12">
        <f>L102/100*90</f>
        <v>1206</v>
      </c>
      <c r="D102" s="13">
        <f>C102/100*29</f>
        <v>349.74</v>
      </c>
      <c r="E102" s="17"/>
      <c r="F102" s="17">
        <f>C102/100*1.8</f>
        <v>21.708000000000002</v>
      </c>
      <c r="G102" s="17"/>
      <c r="H102" s="17">
        <f>C102/100*0.1</f>
        <v>1.2060000000000002</v>
      </c>
      <c r="I102" s="17">
        <f>C102/100*5.3</f>
        <v>63.917999999999999</v>
      </c>
      <c r="J102" s="62">
        <f>C102/100*48</f>
        <v>578.88</v>
      </c>
      <c r="K102" s="21">
        <f>C102/100*0.05</f>
        <v>0.60300000000000009</v>
      </c>
      <c r="L102" s="307">
        <v>1340</v>
      </c>
      <c r="M102" s="15">
        <v>13</v>
      </c>
      <c r="N102" s="16">
        <f t="shared" si="3"/>
        <v>17420</v>
      </c>
      <c r="O102" s="304"/>
      <c r="Q102" s="3"/>
      <c r="R102" s="3"/>
      <c r="S102" s="4"/>
    </row>
    <row r="103" spans="1:23" s="2" customFormat="1" ht="18" customHeight="1">
      <c r="A103" s="8">
        <v>11</v>
      </c>
      <c r="B103" s="9" t="s">
        <v>108</v>
      </c>
      <c r="C103" s="12"/>
      <c r="D103" s="331"/>
      <c r="E103" s="14"/>
      <c r="F103" s="14"/>
      <c r="G103" s="14"/>
      <c r="H103" s="14"/>
      <c r="I103" s="14"/>
      <c r="J103" s="14"/>
      <c r="K103" s="14"/>
      <c r="L103" s="15"/>
      <c r="M103" s="15"/>
      <c r="N103" s="16">
        <v>3000</v>
      </c>
      <c r="O103" s="304"/>
    </row>
    <row r="104" spans="1:23" s="2" customFormat="1" ht="18" customHeight="1">
      <c r="A104" s="23" t="s">
        <v>101</v>
      </c>
      <c r="B104" s="24"/>
      <c r="C104" s="25"/>
      <c r="D104" s="92">
        <f>SUM(D93:D103)</f>
        <v>13719.154</v>
      </c>
      <c r="E104" s="31"/>
      <c r="F104" s="31"/>
      <c r="G104" s="31"/>
      <c r="H104" s="31"/>
      <c r="I104" s="31"/>
      <c r="J104" s="31"/>
      <c r="K104" s="31"/>
      <c r="L104" s="32"/>
      <c r="M104" s="32"/>
      <c r="N104" s="190">
        <f>SUM(N93:N103)</f>
        <v>472027</v>
      </c>
      <c r="O104" s="304"/>
    </row>
    <row r="105" spans="1:23" ht="18" customHeight="1">
      <c r="A105" s="23" t="s">
        <v>43</v>
      </c>
      <c r="B105" s="24"/>
      <c r="C105" s="33"/>
      <c r="D105" s="34">
        <f>D104/C87</f>
        <v>285.81570833333336</v>
      </c>
      <c r="E105" s="34"/>
      <c r="F105" s="34"/>
      <c r="G105" s="34"/>
      <c r="H105" s="34"/>
      <c r="I105" s="34"/>
      <c r="J105" s="34"/>
      <c r="K105" s="34"/>
      <c r="L105" s="35"/>
      <c r="M105" s="35"/>
      <c r="N105" s="191"/>
      <c r="O105" s="325"/>
      <c r="P105" s="2"/>
      <c r="Q105" s="2"/>
      <c r="R105" s="2"/>
      <c r="S105" s="2"/>
      <c r="T105" s="2"/>
      <c r="U105" s="2"/>
      <c r="V105" s="2"/>
      <c r="W105" s="2"/>
    </row>
    <row r="106" spans="1:23" ht="18" customHeight="1">
      <c r="A106" s="184" t="s">
        <v>44</v>
      </c>
      <c r="B106" s="185"/>
      <c r="C106" s="309" t="s">
        <v>126</v>
      </c>
      <c r="D106" s="29" t="s">
        <v>38</v>
      </c>
      <c r="E106" s="34"/>
      <c r="F106" s="34"/>
      <c r="G106" s="34"/>
      <c r="H106" s="34"/>
      <c r="I106" s="34"/>
      <c r="J106" s="36"/>
      <c r="K106" s="36"/>
      <c r="L106" s="35"/>
      <c r="M106" s="35"/>
      <c r="N106" s="141"/>
      <c r="O106" s="4"/>
      <c r="P106" s="2"/>
      <c r="Q106" s="2"/>
      <c r="R106" s="2"/>
      <c r="S106" s="2"/>
      <c r="T106" s="2"/>
      <c r="U106" s="2"/>
      <c r="V106" s="2"/>
      <c r="W106" s="2"/>
    </row>
    <row r="107" spans="1:23" ht="18" customHeight="1">
      <c r="A107" s="186"/>
      <c r="B107" s="187"/>
      <c r="C107" s="61" t="s">
        <v>57</v>
      </c>
      <c r="D107" s="29">
        <f>D105*100/930</f>
        <v>30.732871863799286</v>
      </c>
      <c r="E107" s="34"/>
      <c r="F107" s="34"/>
      <c r="G107" s="34"/>
      <c r="H107" s="34"/>
      <c r="I107" s="34"/>
      <c r="J107" s="36"/>
      <c r="K107" s="36"/>
      <c r="L107" s="35"/>
      <c r="M107" s="35"/>
      <c r="N107" s="141"/>
      <c r="O107" s="4"/>
      <c r="P107" s="2"/>
      <c r="Q107" s="2"/>
      <c r="R107" s="2"/>
      <c r="S107" s="2"/>
      <c r="T107" s="2"/>
      <c r="U107" s="2"/>
      <c r="V107" s="2"/>
      <c r="W107" s="2"/>
    </row>
    <row r="108" spans="1:23" s="2" customFormat="1" ht="18" customHeight="1">
      <c r="A108" s="188" t="s">
        <v>45</v>
      </c>
      <c r="B108" s="188"/>
      <c r="C108" s="45"/>
      <c r="D108" s="46"/>
      <c r="E108" s="47"/>
      <c r="F108" s="47"/>
      <c r="G108" s="47"/>
      <c r="H108" s="47"/>
      <c r="I108" s="47"/>
      <c r="J108" s="47"/>
      <c r="K108" s="47"/>
      <c r="L108" s="48"/>
      <c r="M108" s="48"/>
      <c r="N108" s="51"/>
      <c r="O108" s="304"/>
    </row>
    <row r="109" spans="1:23" s="2" customFormat="1" ht="18" customHeight="1">
      <c r="A109" s="8">
        <v>1</v>
      </c>
      <c r="B109" s="9" t="s">
        <v>2</v>
      </c>
      <c r="C109" s="12">
        <f>L109/100*100</f>
        <v>60</v>
      </c>
      <c r="D109" s="13">
        <f>C109/100*60</f>
        <v>36</v>
      </c>
      <c r="E109" s="14">
        <f>C109/100*15</f>
        <v>9</v>
      </c>
      <c r="F109" s="14"/>
      <c r="G109" s="14"/>
      <c r="H109" s="14"/>
      <c r="I109" s="14"/>
      <c r="J109" s="63">
        <f>C109/100*387</f>
        <v>232.2</v>
      </c>
      <c r="K109" s="22">
        <f>C109/100*0.09</f>
        <v>5.3999999999999999E-2</v>
      </c>
      <c r="L109" s="109">
        <v>60</v>
      </c>
      <c r="M109" s="20">
        <v>20</v>
      </c>
      <c r="N109" s="16">
        <f>L109*M109</f>
        <v>1200</v>
      </c>
      <c r="O109" s="304"/>
    </row>
    <row r="110" spans="1:23" s="2" customFormat="1" ht="18" customHeight="1">
      <c r="A110" s="8">
        <v>2</v>
      </c>
      <c r="B110" s="9" t="s">
        <v>118</v>
      </c>
      <c r="C110" s="12">
        <f>L110/100*100</f>
        <v>100</v>
      </c>
      <c r="D110" s="13">
        <f>C110/100*899</f>
        <v>899</v>
      </c>
      <c r="E110" s="14"/>
      <c r="F110" s="14"/>
      <c r="G110" s="14">
        <f>C110/100*100</f>
        <v>100</v>
      </c>
      <c r="H110" s="14"/>
      <c r="I110" s="14"/>
      <c r="J110" s="14"/>
      <c r="K110" s="14"/>
      <c r="L110" s="15">
        <v>100</v>
      </c>
      <c r="M110" s="64">
        <v>68</v>
      </c>
      <c r="N110" s="16">
        <f t="shared" ref="N110:N117" si="4">L110*M110</f>
        <v>6800</v>
      </c>
      <c r="O110" s="305"/>
    </row>
    <row r="111" spans="1:23" s="2" customFormat="1" ht="18" customHeight="1">
      <c r="A111" s="8">
        <v>3</v>
      </c>
      <c r="B111" s="9" t="s">
        <v>29</v>
      </c>
      <c r="C111" s="12">
        <f>L111/100*100</f>
        <v>40</v>
      </c>
      <c r="D111" s="13">
        <f>C111/100*390</f>
        <v>156</v>
      </c>
      <c r="E111" s="14"/>
      <c r="F111" s="14"/>
      <c r="G111" s="14"/>
      <c r="H111" s="14"/>
      <c r="I111" s="14">
        <f>C111/100*97.4</f>
        <v>38.960000000000008</v>
      </c>
      <c r="J111" s="22">
        <f>C111/100*178</f>
        <v>71.2</v>
      </c>
      <c r="K111" s="22">
        <f>C111/100*0.05</f>
        <v>2.0000000000000004E-2</v>
      </c>
      <c r="L111" s="109">
        <v>40</v>
      </c>
      <c r="M111" s="20">
        <v>25</v>
      </c>
      <c r="N111" s="16">
        <f t="shared" si="4"/>
        <v>1000</v>
      </c>
      <c r="O111" s="306"/>
    </row>
    <row r="112" spans="1:23" s="2" customFormat="1" ht="18" customHeight="1">
      <c r="A112" s="8">
        <v>4</v>
      </c>
      <c r="B112" s="5" t="s">
        <v>1</v>
      </c>
      <c r="C112" s="12">
        <f>L112/100*100</f>
        <v>2016</v>
      </c>
      <c r="D112" s="13">
        <f>C112/100*344</f>
        <v>6935.04</v>
      </c>
      <c r="E112" s="14"/>
      <c r="F112" s="14">
        <f>C112/100*7.9</f>
        <v>159.26400000000001</v>
      </c>
      <c r="G112" s="14"/>
      <c r="H112" s="14">
        <f>C112/100*1</f>
        <v>20.16</v>
      </c>
      <c r="I112" s="14">
        <f>C112/100*74.2</f>
        <v>1495.8720000000001</v>
      </c>
      <c r="J112" s="63">
        <f>C112/100*30</f>
        <v>604.79999999999995</v>
      </c>
      <c r="K112" s="22">
        <f>C112/100*0.1</f>
        <v>2.016</v>
      </c>
      <c r="L112" s="109">
        <v>2016</v>
      </c>
      <c r="M112" s="20">
        <v>18</v>
      </c>
      <c r="N112" s="16">
        <f t="shared" si="4"/>
        <v>36288</v>
      </c>
      <c r="O112" s="304"/>
    </row>
    <row r="113" spans="1:23" s="2" customFormat="1" ht="18" customHeight="1">
      <c r="A113" s="8">
        <v>5</v>
      </c>
      <c r="B113" s="5" t="s">
        <v>114</v>
      </c>
      <c r="C113" s="12">
        <f>L113/100*100</f>
        <v>40</v>
      </c>
      <c r="D113" s="13">
        <f>C113/100*247</f>
        <v>98.800000000000011</v>
      </c>
      <c r="E113" s="17"/>
      <c r="F113" s="17">
        <f>C113/100*17.5</f>
        <v>7</v>
      </c>
      <c r="G113" s="17"/>
      <c r="H113" s="17">
        <f>C113/100*1.6</f>
        <v>0.64000000000000012</v>
      </c>
      <c r="I113" s="17">
        <f>C113/100*39.2</f>
        <v>15.680000000000001</v>
      </c>
      <c r="J113" s="21"/>
      <c r="K113" s="21"/>
      <c r="L113" s="308">
        <v>40</v>
      </c>
      <c r="M113" s="20">
        <v>50</v>
      </c>
      <c r="N113" s="16">
        <f t="shared" si="4"/>
        <v>2000</v>
      </c>
      <c r="O113" s="304"/>
      <c r="Q113" s="3"/>
      <c r="R113" s="3"/>
      <c r="S113" s="4"/>
      <c r="T113" s="3"/>
    </row>
    <row r="114" spans="1:23" s="2" customFormat="1" ht="18" customHeight="1">
      <c r="A114" s="8">
        <v>7</v>
      </c>
      <c r="B114" s="5" t="s">
        <v>20</v>
      </c>
      <c r="C114" s="12">
        <f>L114/100*95</f>
        <v>684</v>
      </c>
      <c r="D114" s="13">
        <f>C114/100*20</f>
        <v>136.80000000000001</v>
      </c>
      <c r="E114" s="14"/>
      <c r="F114" s="14">
        <f>C114/100*0.6</f>
        <v>4.1040000000000001</v>
      </c>
      <c r="G114" s="14"/>
      <c r="H114" s="14">
        <f>C114/100*0.2</f>
        <v>1.3680000000000001</v>
      </c>
      <c r="I114" s="14">
        <f>C114/100*4</f>
        <v>27.36</v>
      </c>
      <c r="J114" s="21">
        <f>C114/100*12</f>
        <v>82.08</v>
      </c>
      <c r="K114" s="21">
        <f>C114/100*0.04</f>
        <v>0.27360000000000001</v>
      </c>
      <c r="L114" s="308">
        <v>720</v>
      </c>
      <c r="M114" s="15">
        <v>30</v>
      </c>
      <c r="N114" s="16">
        <f t="shared" si="4"/>
        <v>21600</v>
      </c>
      <c r="O114" s="304"/>
    </row>
    <row r="115" spans="1:23" s="2" customFormat="1" ht="18" customHeight="1">
      <c r="A115" s="8">
        <v>9</v>
      </c>
      <c r="B115" s="5" t="s">
        <v>5</v>
      </c>
      <c r="C115" s="12">
        <f>L115/100*98.5</f>
        <v>472.79999999999995</v>
      </c>
      <c r="D115" s="13">
        <f>C115/100*39</f>
        <v>184.392</v>
      </c>
      <c r="E115" s="17"/>
      <c r="F115" s="17">
        <f>C115/100*1.5</f>
        <v>7.0919999999999996</v>
      </c>
      <c r="G115" s="17"/>
      <c r="H115" s="17">
        <f>C115/100*0.2</f>
        <v>0.9456</v>
      </c>
      <c r="I115" s="17">
        <f>C115/100*7.8</f>
        <v>36.878399999999999</v>
      </c>
      <c r="J115" s="17">
        <f>C115/100*43</f>
        <v>203.304</v>
      </c>
      <c r="K115" s="17">
        <f>C115/100*0.06</f>
        <v>0.28367999999999999</v>
      </c>
      <c r="L115" s="308">
        <v>480</v>
      </c>
      <c r="M115" s="15">
        <v>17</v>
      </c>
      <c r="N115" s="16">
        <f t="shared" si="4"/>
        <v>8160</v>
      </c>
      <c r="O115" s="304"/>
      <c r="Q115" s="3"/>
      <c r="R115" s="3"/>
      <c r="S115" s="4"/>
    </row>
    <row r="116" spans="1:23" s="2" customFormat="1" ht="18" customHeight="1">
      <c r="A116" s="8">
        <v>9</v>
      </c>
      <c r="B116" s="5" t="s">
        <v>132</v>
      </c>
      <c r="C116" s="12">
        <f>L116/100*87</f>
        <v>922.19999999999993</v>
      </c>
      <c r="D116" s="13">
        <f>C116/100*21</f>
        <v>193.66199999999998</v>
      </c>
      <c r="E116" s="17"/>
      <c r="F116" s="17">
        <f>C116/100*1.5</f>
        <v>13.832999999999998</v>
      </c>
      <c r="G116" s="17"/>
      <c r="H116" s="17">
        <f>C116/100*0.1</f>
        <v>0.92220000000000002</v>
      </c>
      <c r="I116" s="17">
        <f>C116/100*3.6</f>
        <v>33.199199999999998</v>
      </c>
      <c r="J116" s="17">
        <f>C116/100*40</f>
        <v>368.88</v>
      </c>
      <c r="K116" s="17">
        <f>C116/100*0.06</f>
        <v>0.55331999999999992</v>
      </c>
      <c r="L116" s="308">
        <v>1060</v>
      </c>
      <c r="M116" s="15">
        <v>18</v>
      </c>
      <c r="N116" s="16">
        <f t="shared" si="4"/>
        <v>19080</v>
      </c>
      <c r="O116" s="304"/>
      <c r="Q116" s="3"/>
      <c r="R116" s="3"/>
      <c r="S116" s="4"/>
    </row>
    <row r="117" spans="1:23" s="2" customFormat="1" ht="18" customHeight="1">
      <c r="A117" s="8">
        <v>8</v>
      </c>
      <c r="B117" s="9" t="s">
        <v>63</v>
      </c>
      <c r="C117" s="12">
        <f>L117/100*40</f>
        <v>1728</v>
      </c>
      <c r="D117" s="13">
        <f>C117/100*276</f>
        <v>4769.2800000000007</v>
      </c>
      <c r="E117" s="14">
        <f>C117/100*17.8</f>
        <v>307.58400000000006</v>
      </c>
      <c r="F117" s="14"/>
      <c r="G117" s="14">
        <f>C117/100*21.8</f>
        <v>376.70400000000006</v>
      </c>
      <c r="H117" s="14"/>
      <c r="I117" s="14"/>
      <c r="J117" s="63">
        <f>C117/100*13</f>
        <v>224.64000000000001</v>
      </c>
      <c r="K117" s="22">
        <f>C117/100*0.07</f>
        <v>1.2096000000000002</v>
      </c>
      <c r="L117" s="109">
        <v>4320</v>
      </c>
      <c r="M117" s="20">
        <v>63</v>
      </c>
      <c r="N117" s="91">
        <f t="shared" si="4"/>
        <v>272160</v>
      </c>
      <c r="O117" s="304"/>
    </row>
    <row r="118" spans="1:23" s="2" customFormat="1" ht="18" customHeight="1">
      <c r="A118" s="8">
        <v>9</v>
      </c>
      <c r="B118" s="9" t="s">
        <v>108</v>
      </c>
      <c r="C118" s="12"/>
      <c r="D118" s="13"/>
      <c r="E118" s="14"/>
      <c r="F118" s="14"/>
      <c r="G118" s="102"/>
      <c r="H118" s="102"/>
      <c r="I118" s="14"/>
      <c r="J118" s="14"/>
      <c r="K118" s="14"/>
      <c r="L118" s="15"/>
      <c r="M118" s="15"/>
      <c r="N118" s="16">
        <v>3000</v>
      </c>
      <c r="O118" s="304"/>
    </row>
    <row r="119" spans="1:23" s="2" customFormat="1" ht="18" customHeight="1">
      <c r="A119" s="23" t="s">
        <v>102</v>
      </c>
      <c r="B119" s="24"/>
      <c r="C119" s="25"/>
      <c r="D119" s="92">
        <f>SUM(D109:D118)</f>
        <v>13408.974</v>
      </c>
      <c r="E119" s="31"/>
      <c r="F119" s="31"/>
      <c r="G119" s="31"/>
      <c r="H119" s="31"/>
      <c r="I119" s="31"/>
      <c r="J119" s="31"/>
      <c r="K119" s="31"/>
      <c r="L119" s="32"/>
      <c r="M119" s="32"/>
      <c r="N119" s="190">
        <f>SUM(N109:N118)</f>
        <v>371288</v>
      </c>
      <c r="O119" s="304"/>
    </row>
    <row r="120" spans="1:23" ht="18" customHeight="1">
      <c r="A120" s="23" t="s">
        <v>46</v>
      </c>
      <c r="B120" s="24"/>
      <c r="C120" s="52"/>
      <c r="D120" s="36">
        <f>D119/C87</f>
        <v>279.35362500000002</v>
      </c>
      <c r="E120" s="36"/>
      <c r="F120" s="36"/>
      <c r="G120" s="36"/>
      <c r="H120" s="36"/>
      <c r="I120" s="36"/>
      <c r="J120" s="36"/>
      <c r="K120" s="36"/>
      <c r="L120" s="53"/>
      <c r="M120" s="35"/>
      <c r="N120" s="191"/>
      <c r="O120" s="325"/>
      <c r="P120" s="2"/>
      <c r="Q120" s="2"/>
      <c r="R120" s="2"/>
      <c r="S120" s="2"/>
      <c r="T120" s="2"/>
      <c r="U120" s="2"/>
      <c r="V120" s="2"/>
      <c r="W120" s="2"/>
    </row>
    <row r="121" spans="1:23" ht="18" customHeight="1">
      <c r="A121" s="184" t="s">
        <v>47</v>
      </c>
      <c r="B121" s="185"/>
      <c r="C121" s="309" t="s">
        <v>126</v>
      </c>
      <c r="D121" s="29" t="s">
        <v>48</v>
      </c>
      <c r="E121" s="34"/>
      <c r="F121" s="34"/>
      <c r="G121" s="34"/>
      <c r="H121" s="34"/>
      <c r="I121" s="34"/>
      <c r="J121" s="36"/>
      <c r="K121" s="36"/>
      <c r="L121" s="35"/>
      <c r="M121" s="35"/>
      <c r="N121" s="141"/>
      <c r="O121" s="325"/>
      <c r="P121" s="2"/>
      <c r="Q121" s="2"/>
      <c r="R121" s="2"/>
      <c r="S121" s="2"/>
      <c r="T121" s="2"/>
      <c r="U121" s="2"/>
      <c r="V121" s="2"/>
      <c r="W121" s="2"/>
    </row>
    <row r="122" spans="1:23" ht="18" customHeight="1">
      <c r="A122" s="186"/>
      <c r="B122" s="187"/>
      <c r="C122" s="61" t="s">
        <v>57</v>
      </c>
      <c r="D122" s="29">
        <f>D120*100/930</f>
        <v>30.038024193548392</v>
      </c>
      <c r="E122" s="34"/>
      <c r="F122" s="34"/>
      <c r="G122" s="34"/>
      <c r="H122" s="34"/>
      <c r="I122" s="34"/>
      <c r="J122" s="36"/>
      <c r="K122" s="36"/>
      <c r="L122" s="35"/>
      <c r="M122" s="35"/>
      <c r="N122" s="141"/>
      <c r="O122" s="325"/>
      <c r="P122" s="2"/>
      <c r="Q122" s="2"/>
      <c r="R122" s="2"/>
      <c r="S122" s="134"/>
      <c r="T122" s="2"/>
      <c r="U122" s="2"/>
      <c r="V122" s="2"/>
      <c r="W122" s="2"/>
    </row>
    <row r="123" spans="1:23" ht="18" customHeight="1">
      <c r="A123" s="188" t="s">
        <v>39</v>
      </c>
      <c r="B123" s="188"/>
      <c r="C123" s="54"/>
      <c r="D123" s="55"/>
      <c r="E123" s="55"/>
      <c r="F123" s="55"/>
      <c r="G123" s="55"/>
      <c r="H123" s="55"/>
      <c r="I123" s="55"/>
      <c r="J123" s="55"/>
      <c r="K123" s="55"/>
      <c r="L123" s="56"/>
      <c r="M123" s="56"/>
      <c r="N123" s="57"/>
      <c r="O123" s="325"/>
      <c r="P123" s="2"/>
      <c r="Q123" s="2"/>
      <c r="R123" s="2"/>
      <c r="S123" s="2"/>
      <c r="T123" s="2"/>
      <c r="U123" s="2"/>
      <c r="V123" s="2"/>
      <c r="W123" s="2"/>
    </row>
    <row r="124" spans="1:23" s="2" customFormat="1" ht="18" customHeight="1">
      <c r="A124" s="116">
        <v>1</v>
      </c>
      <c r="B124" s="131" t="s">
        <v>124</v>
      </c>
      <c r="C124" s="25">
        <f>L124/100*100</f>
        <v>819.99999999999989</v>
      </c>
      <c r="D124" s="117">
        <f>C124/100*487</f>
        <v>3993.3999999999996</v>
      </c>
      <c r="E124" s="27"/>
      <c r="F124" s="27">
        <f>C124/100*19.5</f>
        <v>159.89999999999998</v>
      </c>
      <c r="G124" s="27"/>
      <c r="H124" s="27">
        <f>C124/100*23.2</f>
        <v>190.23999999999998</v>
      </c>
      <c r="I124" s="27">
        <f>C124/100*46</f>
        <v>377.2</v>
      </c>
      <c r="J124" s="118">
        <f>C124/100*680</f>
        <v>5575.9999999999991</v>
      </c>
      <c r="K124" s="27">
        <f>C124/100*0.55</f>
        <v>4.51</v>
      </c>
      <c r="L124" s="28">
        <v>820</v>
      </c>
      <c r="M124" s="132">
        <v>260</v>
      </c>
      <c r="N124" s="135">
        <f t="shared" ref="N124" si="5">L124*M124</f>
        <v>213200</v>
      </c>
      <c r="O124" s="304"/>
      <c r="P124" s="3"/>
    </row>
    <row r="125" spans="1:23" ht="19.8" customHeight="1">
      <c r="A125" s="145" t="s">
        <v>0</v>
      </c>
      <c r="B125" s="148" t="s">
        <v>19</v>
      </c>
      <c r="C125" s="151" t="s">
        <v>8</v>
      </c>
      <c r="D125" s="151" t="s">
        <v>9</v>
      </c>
      <c r="E125" s="260" t="s">
        <v>11</v>
      </c>
      <c r="F125" s="261"/>
      <c r="G125" s="260" t="s">
        <v>13</v>
      </c>
      <c r="H125" s="261"/>
      <c r="I125" s="173" t="s">
        <v>16</v>
      </c>
      <c r="J125" s="173" t="s">
        <v>32</v>
      </c>
      <c r="K125" s="173" t="s">
        <v>33</v>
      </c>
      <c r="L125" s="173" t="s">
        <v>17</v>
      </c>
      <c r="M125" s="173" t="s">
        <v>34</v>
      </c>
      <c r="N125" s="145" t="s">
        <v>18</v>
      </c>
      <c r="O125" s="302"/>
    </row>
    <row r="126" spans="1:23" ht="19.8" customHeight="1">
      <c r="A126" s="146"/>
      <c r="B126" s="149"/>
      <c r="C126" s="152"/>
      <c r="D126" s="152"/>
      <c r="E126" s="262"/>
      <c r="F126" s="263"/>
      <c r="G126" s="262"/>
      <c r="H126" s="263"/>
      <c r="I126" s="181"/>
      <c r="J126" s="181"/>
      <c r="K126" s="181"/>
      <c r="L126" s="181"/>
      <c r="M126" s="181"/>
      <c r="N126" s="146"/>
      <c r="O126" s="136"/>
    </row>
    <row r="127" spans="1:23" ht="21" customHeight="1">
      <c r="A127" s="146"/>
      <c r="B127" s="149"/>
      <c r="C127" s="152"/>
      <c r="D127" s="152"/>
      <c r="E127" s="173" t="s">
        <v>10</v>
      </c>
      <c r="F127" s="173" t="s">
        <v>12</v>
      </c>
      <c r="G127" s="173" t="s">
        <v>14</v>
      </c>
      <c r="H127" s="173" t="s">
        <v>15</v>
      </c>
      <c r="I127" s="181"/>
      <c r="J127" s="181"/>
      <c r="K127" s="181"/>
      <c r="L127" s="181"/>
      <c r="M127" s="181"/>
      <c r="N127" s="146"/>
      <c r="O127" s="136"/>
    </row>
    <row r="128" spans="1:23" ht="21" customHeight="1">
      <c r="A128" s="147"/>
      <c r="B128" s="150"/>
      <c r="C128" s="153"/>
      <c r="D128" s="153"/>
      <c r="E128" s="174"/>
      <c r="F128" s="174"/>
      <c r="G128" s="174"/>
      <c r="H128" s="174"/>
      <c r="I128" s="174"/>
      <c r="J128" s="174"/>
      <c r="K128" s="174"/>
      <c r="L128" s="174"/>
      <c r="M128" s="174"/>
      <c r="N128" s="147"/>
      <c r="O128" s="136"/>
    </row>
    <row r="129" spans="1:23" s="2" customFormat="1" ht="21" customHeight="1">
      <c r="A129" s="189" t="s">
        <v>95</v>
      </c>
      <c r="B129" s="189"/>
      <c r="C129" s="25"/>
      <c r="D129" s="26">
        <f>SUM(D123:D124)</f>
        <v>3993.3999999999996</v>
      </c>
      <c r="E129" s="31"/>
      <c r="F129" s="31"/>
      <c r="G129" s="31"/>
      <c r="H129" s="31"/>
      <c r="I129" s="31"/>
      <c r="J129" s="31"/>
      <c r="K129" s="31"/>
      <c r="L129" s="32"/>
      <c r="M129" s="58"/>
      <c r="N129" s="190">
        <f>SUM(N123:N124)</f>
        <v>213200</v>
      </c>
      <c r="O129" s="304"/>
    </row>
    <row r="130" spans="1:23" ht="21" customHeight="1">
      <c r="A130" s="189" t="s">
        <v>7</v>
      </c>
      <c r="B130" s="189"/>
      <c r="C130" s="33"/>
      <c r="D130" s="34">
        <f>D129/C87</f>
        <v>83.195833333333326</v>
      </c>
      <c r="E130" s="34"/>
      <c r="F130" s="34"/>
      <c r="G130" s="34"/>
      <c r="H130" s="34"/>
      <c r="I130" s="34"/>
      <c r="J130" s="34"/>
      <c r="K130" s="34"/>
      <c r="L130" s="35"/>
      <c r="M130" s="18"/>
      <c r="N130" s="191"/>
      <c r="O130" s="325"/>
      <c r="P130" s="2"/>
      <c r="Q130" s="2"/>
      <c r="R130" s="2"/>
      <c r="S130" s="2"/>
      <c r="T130" s="2"/>
      <c r="U130" s="2"/>
      <c r="V130" s="2"/>
      <c r="W130" s="2"/>
    </row>
    <row r="131" spans="1:23" ht="21" customHeight="1">
      <c r="A131" s="184" t="s">
        <v>40</v>
      </c>
      <c r="B131" s="185"/>
      <c r="C131" s="309" t="s">
        <v>126</v>
      </c>
      <c r="D131" s="29" t="s">
        <v>49</v>
      </c>
      <c r="E131" s="34"/>
      <c r="F131" s="34"/>
      <c r="G131" s="34"/>
      <c r="H131" s="34"/>
      <c r="I131" s="34"/>
      <c r="J131" s="36"/>
      <c r="K131" s="36"/>
      <c r="L131" s="35"/>
      <c r="M131" s="35"/>
      <c r="N131" s="141"/>
      <c r="O131" s="4"/>
      <c r="P131" s="2"/>
      <c r="Q131" s="2"/>
      <c r="R131" s="2"/>
      <c r="S131" s="2"/>
      <c r="T131" s="2"/>
      <c r="U131" s="2"/>
      <c r="V131" s="2"/>
      <c r="W131" s="2"/>
    </row>
    <row r="132" spans="1:23" ht="21" customHeight="1">
      <c r="A132" s="186"/>
      <c r="B132" s="187"/>
      <c r="C132" s="61" t="s">
        <v>57</v>
      </c>
      <c r="D132" s="29">
        <f>D130*100/930</f>
        <v>8.9457885304659488</v>
      </c>
      <c r="E132" s="34"/>
      <c r="F132" s="34"/>
      <c r="G132" s="34"/>
      <c r="H132" s="34"/>
      <c r="I132" s="34"/>
      <c r="J132" s="36"/>
      <c r="K132" s="36"/>
      <c r="L132" s="35"/>
      <c r="M132" s="35"/>
      <c r="N132" s="141"/>
      <c r="O132" s="4"/>
      <c r="P132" s="2"/>
      <c r="Q132" s="2"/>
      <c r="R132" s="2"/>
      <c r="S132" s="2"/>
      <c r="T132" s="2"/>
      <c r="U132" s="2"/>
      <c r="V132" s="2"/>
      <c r="W132" s="2"/>
    </row>
    <row r="133" spans="1:23" ht="21" customHeight="1">
      <c r="A133" s="192" t="s">
        <v>96</v>
      </c>
      <c r="B133" s="193"/>
      <c r="C133" s="196"/>
      <c r="D133" s="255">
        <f>D104+D119+D129</f>
        <v>31121.527999999998</v>
      </c>
      <c r="E133" s="6">
        <f>SUM(E93:E131)</f>
        <v>760.5752</v>
      </c>
      <c r="F133" s="6">
        <f t="shared" ref="F133:H133" si="6">SUM(F93:F131)</f>
        <v>547.06100000000004</v>
      </c>
      <c r="G133" s="6">
        <f t="shared" si="6"/>
        <v>837.23360000000002</v>
      </c>
      <c r="H133" s="6">
        <f t="shared" si="6"/>
        <v>348.12979999999993</v>
      </c>
      <c r="I133" s="204">
        <f>SUM(I93:I131)</f>
        <v>3684.5214000000001</v>
      </c>
      <c r="J133" s="200">
        <f>SUM(J93:J124)</f>
        <v>9945.9739999999983</v>
      </c>
      <c r="K133" s="204">
        <f>SUM(K93:K124)</f>
        <v>19.836559999999999</v>
      </c>
      <c r="L133" s="206"/>
      <c r="M133" s="206"/>
      <c r="N133" s="207">
        <f>N104+N119+N129</f>
        <v>1056515</v>
      </c>
      <c r="U133" s="11"/>
      <c r="V133" s="11"/>
    </row>
    <row r="134" spans="1:23" ht="21" customHeight="1">
      <c r="A134" s="194"/>
      <c r="B134" s="195"/>
      <c r="C134" s="197"/>
      <c r="D134" s="256"/>
      <c r="E134" s="208">
        <f>E133+F133</f>
        <v>1307.6361999999999</v>
      </c>
      <c r="F134" s="209"/>
      <c r="G134" s="208">
        <f>G133+H133</f>
        <v>1185.3634</v>
      </c>
      <c r="H134" s="209"/>
      <c r="I134" s="205"/>
      <c r="J134" s="201"/>
      <c r="K134" s="205"/>
      <c r="L134" s="206"/>
      <c r="M134" s="206"/>
      <c r="N134" s="207"/>
      <c r="U134" s="11"/>
      <c r="V134" s="11"/>
    </row>
    <row r="135" spans="1:23" ht="21" customHeight="1">
      <c r="A135" s="246" t="s">
        <v>73</v>
      </c>
      <c r="B135" s="247"/>
      <c r="C135" s="248"/>
      <c r="D135" s="127">
        <f>D133/C87</f>
        <v>648.3651666666666</v>
      </c>
      <c r="E135" s="106">
        <f>E133/C87</f>
        <v>15.845316666666667</v>
      </c>
      <c r="F135" s="105">
        <f>F133/C87</f>
        <v>11.397104166666667</v>
      </c>
      <c r="G135" s="106">
        <f>G133/C87</f>
        <v>17.442366666666668</v>
      </c>
      <c r="H135" s="105">
        <f>H133/C87</f>
        <v>7.252704166666665</v>
      </c>
      <c r="I135" s="218">
        <f>I133/C87</f>
        <v>76.760862500000002</v>
      </c>
      <c r="J135" s="216">
        <f>J133/C87</f>
        <v>207.20779166666662</v>
      </c>
      <c r="K135" s="218">
        <f>K133/C87</f>
        <v>0.41326166666666664</v>
      </c>
      <c r="L135" s="206"/>
      <c r="M135" s="206"/>
      <c r="N135" s="207"/>
      <c r="P135" s="297"/>
      <c r="Q135" s="299"/>
      <c r="R135" s="299"/>
      <c r="S135" s="299"/>
      <c r="T135" s="299"/>
      <c r="U135" s="311"/>
      <c r="V135" s="311"/>
    </row>
    <row r="136" spans="1:23" ht="21" customHeight="1">
      <c r="A136" s="249"/>
      <c r="B136" s="250"/>
      <c r="C136" s="251"/>
      <c r="D136" s="96"/>
      <c r="E136" s="279">
        <f>E135+F135</f>
        <v>27.242420833333334</v>
      </c>
      <c r="F136" s="278"/>
      <c r="G136" s="279">
        <f>G135+H135</f>
        <v>24.695070833333332</v>
      </c>
      <c r="H136" s="278"/>
      <c r="I136" s="219"/>
      <c r="J136" s="217"/>
      <c r="K136" s="219"/>
      <c r="L136" s="206"/>
      <c r="M136" s="206"/>
      <c r="N136" s="207"/>
      <c r="P136" s="318"/>
      <c r="Q136" s="299"/>
      <c r="R136" s="299"/>
      <c r="S136" s="327"/>
      <c r="T136" s="327"/>
      <c r="U136" s="299"/>
      <c r="V136" s="299"/>
    </row>
    <row r="137" spans="1:23" ht="21" customHeight="1">
      <c r="A137" s="312" t="s">
        <v>74</v>
      </c>
      <c r="B137" s="313"/>
      <c r="C137" s="314"/>
      <c r="D137" s="315" t="s">
        <v>28</v>
      </c>
      <c r="E137" s="326" t="s">
        <v>24</v>
      </c>
      <c r="F137" s="326"/>
      <c r="G137" s="326" t="s">
        <v>25</v>
      </c>
      <c r="H137" s="326"/>
      <c r="I137" s="315" t="s">
        <v>26</v>
      </c>
      <c r="J137" s="137">
        <v>500</v>
      </c>
      <c r="K137" s="137">
        <v>0.59</v>
      </c>
      <c r="L137" s="206"/>
      <c r="M137" s="206"/>
      <c r="N137" s="207"/>
      <c r="O137" s="317"/>
      <c r="P137" s="297"/>
      <c r="Q137" s="297"/>
      <c r="R137" s="297"/>
      <c r="S137" s="297"/>
      <c r="T137" s="297"/>
      <c r="U137" s="297"/>
      <c r="V137" s="297"/>
    </row>
    <row r="138" spans="1:23" ht="21" customHeight="1">
      <c r="A138" s="223" t="s">
        <v>67</v>
      </c>
      <c r="B138" s="224"/>
      <c r="C138" s="225"/>
      <c r="D138" s="19"/>
      <c r="E138" s="226">
        <f>E136*4.1</f>
        <v>111.69392541666666</v>
      </c>
      <c r="F138" s="227"/>
      <c r="G138" s="226">
        <f>G136*9</f>
        <v>222.25563749999998</v>
      </c>
      <c r="H138" s="227"/>
      <c r="I138" s="67">
        <f>I135*4.1</f>
        <v>314.71953624999998</v>
      </c>
      <c r="J138" s="228"/>
      <c r="K138" s="228"/>
      <c r="L138" s="206"/>
      <c r="M138" s="206"/>
      <c r="N138" s="207"/>
      <c r="O138" s="317"/>
      <c r="P138" s="319"/>
      <c r="Q138" s="296"/>
      <c r="R138" s="296"/>
      <c r="S138" s="296"/>
      <c r="T138" s="297"/>
      <c r="U138" s="297"/>
      <c r="V138" s="297"/>
    </row>
    <row r="139" spans="1:23" ht="21" customHeight="1">
      <c r="A139" s="231" t="s">
        <v>75</v>
      </c>
      <c r="B139" s="232"/>
      <c r="C139" s="223" t="s">
        <v>57</v>
      </c>
      <c r="D139" s="225"/>
      <c r="E139" s="258">
        <f>E138*100/D135</f>
        <v>17.227008969482476</v>
      </c>
      <c r="F139" s="259"/>
      <c r="G139" s="258">
        <f>G138*100/D135</f>
        <v>34.279392065839438</v>
      </c>
      <c r="H139" s="259"/>
      <c r="I139" s="83">
        <f>I138*100/D135</f>
        <v>48.540475711860935</v>
      </c>
      <c r="J139" s="229"/>
      <c r="K139" s="229"/>
      <c r="L139" s="206"/>
      <c r="M139" s="206"/>
      <c r="N139" s="207"/>
      <c r="O139" s="317"/>
      <c r="P139" s="297"/>
      <c r="Q139" s="298"/>
      <c r="R139" s="297"/>
      <c r="S139" s="297"/>
      <c r="T139" s="297"/>
      <c r="U139" s="297"/>
      <c r="V139" s="297"/>
    </row>
    <row r="140" spans="1:23" ht="21" customHeight="1">
      <c r="A140" s="233"/>
      <c r="B140" s="234"/>
      <c r="C140" s="223" t="s">
        <v>69</v>
      </c>
      <c r="D140" s="225"/>
      <c r="E140" s="223" t="s">
        <v>70</v>
      </c>
      <c r="F140" s="225"/>
      <c r="G140" s="223" t="s">
        <v>76</v>
      </c>
      <c r="H140" s="225"/>
      <c r="I140" s="315" t="s">
        <v>77</v>
      </c>
      <c r="J140" s="230"/>
      <c r="K140" s="230"/>
      <c r="L140" s="206"/>
      <c r="M140" s="206"/>
      <c r="N140" s="207"/>
      <c r="O140" s="317"/>
      <c r="P140" s="82"/>
    </row>
    <row r="141" spans="1:23" ht="21" customHeight="1">
      <c r="A141" s="69"/>
      <c r="B141" s="70"/>
      <c r="C141" s="69"/>
      <c r="D141" s="69"/>
      <c r="E141" s="69"/>
      <c r="F141" s="69"/>
      <c r="G141" s="69"/>
      <c r="H141" s="69"/>
      <c r="I141" s="69"/>
      <c r="J141" s="69"/>
      <c r="K141" s="69"/>
      <c r="L141" s="71"/>
      <c r="M141" s="71"/>
      <c r="N141" s="72"/>
      <c r="O141" s="317"/>
    </row>
    <row r="142" spans="1:23" ht="21" customHeight="1">
      <c r="A142" s="220" t="s">
        <v>97</v>
      </c>
      <c r="B142" s="220"/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317"/>
    </row>
    <row r="143" spans="1:23" ht="21" customHeight="1">
      <c r="A143" s="85" t="s">
        <v>98</v>
      </c>
      <c r="B143" s="221" t="s">
        <v>99</v>
      </c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317"/>
    </row>
    <row r="144" spans="1:23" ht="21" customHeight="1">
      <c r="A144" s="86"/>
      <c r="B144" s="222" t="s">
        <v>169</v>
      </c>
      <c r="C144" s="222"/>
      <c r="D144" s="222"/>
      <c r="E144" s="222"/>
      <c r="F144" s="222"/>
      <c r="G144" s="222"/>
      <c r="H144" s="222"/>
      <c r="I144" s="222"/>
      <c r="J144" s="222"/>
      <c r="K144" s="222"/>
      <c r="L144" s="222"/>
      <c r="M144" s="222"/>
      <c r="N144" s="222"/>
      <c r="O144" s="317"/>
    </row>
    <row r="145" spans="1:15" ht="21" customHeight="1">
      <c r="A145" s="86"/>
      <c r="B145" s="222" t="s">
        <v>154</v>
      </c>
      <c r="C145" s="222"/>
      <c r="D145" s="222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317"/>
    </row>
    <row r="146" spans="1:15" ht="21" customHeight="1">
      <c r="A146" s="86"/>
      <c r="B146" s="222" t="s">
        <v>170</v>
      </c>
      <c r="C146" s="222"/>
      <c r="D146" s="222"/>
      <c r="E146" s="222"/>
      <c r="F146" s="222"/>
      <c r="G146" s="222"/>
      <c r="H146" s="222"/>
      <c r="I146" s="222"/>
      <c r="J146" s="222"/>
      <c r="K146" s="222"/>
      <c r="L146" s="222"/>
      <c r="M146" s="222"/>
      <c r="N146" s="222"/>
      <c r="O146" s="317"/>
    </row>
    <row r="147" spans="1:15" ht="21" customHeight="1">
      <c r="A147" s="69"/>
      <c r="B147" s="237" t="s">
        <v>104</v>
      </c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317"/>
    </row>
    <row r="148" spans="1:15" ht="21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87"/>
      <c r="M148" s="87"/>
      <c r="N148" s="88"/>
      <c r="O148" s="317"/>
    </row>
    <row r="149" spans="1:15" ht="21" customHeight="1">
      <c r="A149" s="238" t="s">
        <v>59</v>
      </c>
      <c r="B149" s="238"/>
      <c r="C149" s="238"/>
      <c r="D149" s="238"/>
      <c r="E149" s="321"/>
      <c r="F149" s="321"/>
      <c r="G149" s="321"/>
      <c r="H149" s="321"/>
      <c r="I149" s="321"/>
      <c r="J149" s="322" t="s">
        <v>36</v>
      </c>
      <c r="K149" s="322"/>
      <c r="L149" s="322"/>
      <c r="M149" s="322"/>
      <c r="N149" s="322"/>
      <c r="O149" s="317"/>
    </row>
    <row r="150" spans="1:15" ht="21" customHeight="1">
      <c r="A150" s="136"/>
      <c r="B150" s="136"/>
      <c r="C150" s="136"/>
      <c r="D150" s="321"/>
      <c r="E150" s="321"/>
      <c r="F150" s="321"/>
      <c r="G150" s="321"/>
      <c r="H150" s="323"/>
      <c r="I150" s="323"/>
      <c r="J150" s="323"/>
      <c r="K150" s="323"/>
      <c r="L150" s="323"/>
      <c r="M150" s="323"/>
      <c r="N150" s="323"/>
      <c r="O150" s="317"/>
    </row>
    <row r="151" spans="1:15" ht="21" customHeight="1">
      <c r="A151" s="136"/>
      <c r="B151" s="136"/>
      <c r="C151" s="136"/>
      <c r="D151" s="321"/>
      <c r="E151" s="321"/>
      <c r="F151" s="321"/>
      <c r="G151" s="321"/>
      <c r="H151" s="323"/>
      <c r="I151" s="323"/>
      <c r="J151" s="323"/>
      <c r="K151" s="323"/>
      <c r="L151" s="323"/>
      <c r="M151" s="323"/>
      <c r="N151" s="323"/>
      <c r="O151" s="317"/>
    </row>
    <row r="152" spans="1:15" ht="21" customHeight="1">
      <c r="A152" s="239" t="s">
        <v>82</v>
      </c>
      <c r="B152" s="239"/>
      <c r="C152" s="239"/>
      <c r="D152" s="239"/>
      <c r="E152" s="321"/>
      <c r="F152" s="321"/>
      <c r="G152" s="321"/>
      <c r="H152" s="323"/>
      <c r="I152" s="323"/>
      <c r="J152" s="324" t="s">
        <v>100</v>
      </c>
      <c r="K152" s="324"/>
      <c r="L152" s="324"/>
      <c r="M152" s="324"/>
      <c r="N152" s="324"/>
      <c r="O152" s="317"/>
    </row>
    <row r="155" spans="1:15" ht="21" customHeight="1">
      <c r="J155" s="324" t="s">
        <v>111</v>
      </c>
      <c r="K155" s="324"/>
      <c r="L155" s="324"/>
      <c r="M155" s="324"/>
      <c r="N155" s="324"/>
    </row>
  </sheetData>
  <mergeCells count="206">
    <mergeCell ref="A6:D6"/>
    <mergeCell ref="B147:N147"/>
    <mergeCell ref="A149:D149"/>
    <mergeCell ref="J149:N149"/>
    <mergeCell ref="N88:N91"/>
    <mergeCell ref="E90:E91"/>
    <mergeCell ref="F90:F91"/>
    <mergeCell ref="G90:G91"/>
    <mergeCell ref="E53:F53"/>
    <mergeCell ref="E88:F89"/>
    <mergeCell ref="I88:I91"/>
    <mergeCell ref="J84:N84"/>
    <mergeCell ref="J85:N85"/>
    <mergeCell ref="J86:N86"/>
    <mergeCell ref="A92:N92"/>
    <mergeCell ref="L88:L91"/>
    <mergeCell ref="E82:N82"/>
    <mergeCell ref="K133:K134"/>
    <mergeCell ref="J133:J134"/>
    <mergeCell ref="A131:B132"/>
    <mergeCell ref="A129:B129"/>
    <mergeCell ref="A58:N58"/>
    <mergeCell ref="B59:N59"/>
    <mergeCell ref="B60:N60"/>
    <mergeCell ref="N49:N56"/>
    <mergeCell ref="N45:N46"/>
    <mergeCell ref="A54:C54"/>
    <mergeCell ref="E54:F54"/>
    <mergeCell ref="G54:H54"/>
    <mergeCell ref="J54:J56"/>
    <mergeCell ref="K54:K56"/>
    <mergeCell ref="A55:B56"/>
    <mergeCell ref="C55:D55"/>
    <mergeCell ref="M9:M12"/>
    <mergeCell ref="J49:J50"/>
    <mergeCell ref="I9:I12"/>
    <mergeCell ref="E11:E12"/>
    <mergeCell ref="B9:B12"/>
    <mergeCell ref="J51:J52"/>
    <mergeCell ref="K51:K52"/>
    <mergeCell ref="I51:I52"/>
    <mergeCell ref="E52:F52"/>
    <mergeCell ref="G52:H52"/>
    <mergeCell ref="K49:K50"/>
    <mergeCell ref="M49:M56"/>
    <mergeCell ref="F1:N1"/>
    <mergeCell ref="F80:N80"/>
    <mergeCell ref="J41:J44"/>
    <mergeCell ref="A29:B30"/>
    <mergeCell ref="A31:B31"/>
    <mergeCell ref="A45:B45"/>
    <mergeCell ref="A47:B48"/>
    <mergeCell ref="A106:B107"/>
    <mergeCell ref="A108:B108"/>
    <mergeCell ref="K41:K44"/>
    <mergeCell ref="A86:D86"/>
    <mergeCell ref="A9:A12"/>
    <mergeCell ref="L9:L12"/>
    <mergeCell ref="N9:N12"/>
    <mergeCell ref="N104:N105"/>
    <mergeCell ref="A13:N13"/>
    <mergeCell ref="I49:I50"/>
    <mergeCell ref="E50:F50"/>
    <mergeCell ref="G50:H50"/>
    <mergeCell ref="A49:B50"/>
    <mergeCell ref="C49:C50"/>
    <mergeCell ref="D49:D50"/>
    <mergeCell ref="N27:N28"/>
    <mergeCell ref="A8:B8"/>
    <mergeCell ref="Q52:R52"/>
    <mergeCell ref="G88:H89"/>
    <mergeCell ref="J68:N68"/>
    <mergeCell ref="A3:D3"/>
    <mergeCell ref="E3:N3"/>
    <mergeCell ref="A4:D4"/>
    <mergeCell ref="E4:I7"/>
    <mergeCell ref="J4:N7"/>
    <mergeCell ref="A5:D5"/>
    <mergeCell ref="A7:D7"/>
    <mergeCell ref="C9:C12"/>
    <mergeCell ref="E41:F42"/>
    <mergeCell ref="G41:H42"/>
    <mergeCell ref="D9:D12"/>
    <mergeCell ref="M41:M44"/>
    <mergeCell ref="F11:F12"/>
    <mergeCell ref="G11:G12"/>
    <mergeCell ref="H11:H12"/>
    <mergeCell ref="E9:F10"/>
    <mergeCell ref="G9:H10"/>
    <mergeCell ref="I41:I44"/>
    <mergeCell ref="N41:N44"/>
    <mergeCell ref="E43:E44"/>
    <mergeCell ref="K9:K12"/>
    <mergeCell ref="C8:D8"/>
    <mergeCell ref="J9:J12"/>
    <mergeCell ref="U52:V52"/>
    <mergeCell ref="U53:V53"/>
    <mergeCell ref="S52:T52"/>
    <mergeCell ref="Q53:R53"/>
    <mergeCell ref="S53:T53"/>
    <mergeCell ref="A88:A91"/>
    <mergeCell ref="B88:B91"/>
    <mergeCell ref="C88:C91"/>
    <mergeCell ref="H90:H91"/>
    <mergeCell ref="J88:J91"/>
    <mergeCell ref="K88:K91"/>
    <mergeCell ref="M88:M91"/>
    <mergeCell ref="D88:D91"/>
    <mergeCell ref="E83:I83"/>
    <mergeCell ref="G56:H56"/>
    <mergeCell ref="A85:D85"/>
    <mergeCell ref="A51:C52"/>
    <mergeCell ref="E55:F55"/>
    <mergeCell ref="G55:H55"/>
    <mergeCell ref="C56:D56"/>
    <mergeCell ref="E56:F56"/>
    <mergeCell ref="A87:B87"/>
    <mergeCell ref="C87:D87"/>
    <mergeCell ref="L41:L44"/>
    <mergeCell ref="A53:C53"/>
    <mergeCell ref="A46:B46"/>
    <mergeCell ref="F43:F44"/>
    <mergeCell ref="G43:G44"/>
    <mergeCell ref="H43:H44"/>
    <mergeCell ref="L49:L56"/>
    <mergeCell ref="A82:D83"/>
    <mergeCell ref="E84:I86"/>
    <mergeCell ref="A41:A44"/>
    <mergeCell ref="B41:B44"/>
    <mergeCell ref="C41:C44"/>
    <mergeCell ref="D41:D44"/>
    <mergeCell ref="G53:H53"/>
    <mergeCell ref="B62:N62"/>
    <mergeCell ref="B63:N63"/>
    <mergeCell ref="A65:D65"/>
    <mergeCell ref="J65:N65"/>
    <mergeCell ref="A69:D69"/>
    <mergeCell ref="J71:N71"/>
    <mergeCell ref="J83:N83"/>
    <mergeCell ref="A84:D84"/>
    <mergeCell ref="B61:N61"/>
    <mergeCell ref="N119:N120"/>
    <mergeCell ref="A121:B122"/>
    <mergeCell ref="A123:B123"/>
    <mergeCell ref="A125:A128"/>
    <mergeCell ref="B125:B128"/>
    <mergeCell ref="C125:C128"/>
    <mergeCell ref="D125:D128"/>
    <mergeCell ref="E125:F126"/>
    <mergeCell ref="G125:H126"/>
    <mergeCell ref="I125:I128"/>
    <mergeCell ref="J125:J128"/>
    <mergeCell ref="K125:K128"/>
    <mergeCell ref="L125:L128"/>
    <mergeCell ref="M125:M128"/>
    <mergeCell ref="N125:N128"/>
    <mergeCell ref="E127:E128"/>
    <mergeCell ref="F127:F128"/>
    <mergeCell ref="G127:G128"/>
    <mergeCell ref="H127:H128"/>
    <mergeCell ref="B146:N146"/>
    <mergeCell ref="N129:N130"/>
    <mergeCell ref="A130:B130"/>
    <mergeCell ref="A133:B134"/>
    <mergeCell ref="C133:C134"/>
    <mergeCell ref="D133:D134"/>
    <mergeCell ref="L133:L140"/>
    <mergeCell ref="M133:M140"/>
    <mergeCell ref="N133:N140"/>
    <mergeCell ref="A135:C136"/>
    <mergeCell ref="I135:I136"/>
    <mergeCell ref="J135:J136"/>
    <mergeCell ref="K135:K136"/>
    <mergeCell ref="G136:H136"/>
    <mergeCell ref="E136:F136"/>
    <mergeCell ref="E137:F137"/>
    <mergeCell ref="G137:H137"/>
    <mergeCell ref="E138:F138"/>
    <mergeCell ref="G138:H138"/>
    <mergeCell ref="I133:I134"/>
    <mergeCell ref="E134:F134"/>
    <mergeCell ref="G134:H134"/>
    <mergeCell ref="J155:N155"/>
    <mergeCell ref="A152:D152"/>
    <mergeCell ref="J152:N152"/>
    <mergeCell ref="Q135:R135"/>
    <mergeCell ref="S135:T135"/>
    <mergeCell ref="U135:V135"/>
    <mergeCell ref="Q136:R136"/>
    <mergeCell ref="S136:T136"/>
    <mergeCell ref="U136:V136"/>
    <mergeCell ref="A137:C137"/>
    <mergeCell ref="A138:C138"/>
    <mergeCell ref="J138:J140"/>
    <mergeCell ref="K138:K140"/>
    <mergeCell ref="A139:B140"/>
    <mergeCell ref="C139:D139"/>
    <mergeCell ref="E139:F139"/>
    <mergeCell ref="G139:H139"/>
    <mergeCell ref="C140:D140"/>
    <mergeCell ref="E140:F140"/>
    <mergeCell ref="G140:H140"/>
    <mergeCell ref="B143:N143"/>
    <mergeCell ref="B144:N144"/>
    <mergeCell ref="B145:N145"/>
    <mergeCell ref="A142:N142"/>
  </mergeCells>
  <pageMargins left="0.23333333333333334" right="0.15625" top="0.42708333333333331" bottom="0.39583333333333331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159"/>
  <sheetViews>
    <sheetView view="pageLayout" workbookViewId="0">
      <selection activeCell="F127" sqref="F127"/>
    </sheetView>
  </sheetViews>
  <sheetFormatPr defaultColWidth="9.109375" defaultRowHeight="21" customHeight="1"/>
  <cols>
    <col min="1" max="1" width="4" style="1" customWidth="1"/>
    <col min="2" max="2" width="11" style="1" customWidth="1"/>
    <col min="3" max="3" width="7.109375" style="1" customWidth="1"/>
    <col min="4" max="4" width="7.33203125" style="1" customWidth="1"/>
    <col min="5" max="8" width="6.88671875" style="1" customWidth="1"/>
    <col min="9" max="10" width="7.5546875" style="1" customWidth="1"/>
    <col min="11" max="11" width="7.33203125" style="1" customWidth="1"/>
    <col min="12" max="12" width="6.33203125" style="1" customWidth="1"/>
    <col min="13" max="13" width="6.6640625" style="1" customWidth="1"/>
    <col min="14" max="14" width="8.44140625" style="1" customWidth="1"/>
    <col min="15" max="15" width="11.88671875" style="1" customWidth="1"/>
    <col min="16" max="16" width="9.109375" style="1"/>
    <col min="17" max="22" width="8.88671875" style="1" customWidth="1"/>
    <col min="23" max="16384" width="9.109375" style="1"/>
  </cols>
  <sheetData>
    <row r="1" spans="1:20" ht="19.2" customHeight="1">
      <c r="A1" s="10" t="s">
        <v>58</v>
      </c>
      <c r="B1" s="7"/>
      <c r="C1" s="7"/>
      <c r="D1" s="7"/>
      <c r="E1" s="7"/>
      <c r="F1" s="158" t="s">
        <v>30</v>
      </c>
      <c r="G1" s="158"/>
      <c r="H1" s="158"/>
      <c r="I1" s="158"/>
      <c r="J1" s="158"/>
      <c r="K1" s="158"/>
      <c r="L1" s="158"/>
      <c r="M1" s="158"/>
      <c r="N1" s="158"/>
      <c r="O1" s="300"/>
      <c r="P1" s="300"/>
      <c r="T1" s="2"/>
    </row>
    <row r="2" spans="1:20" ht="9.6" customHeight="1">
      <c r="A2" s="10"/>
      <c r="B2" s="7"/>
      <c r="C2" s="7"/>
      <c r="D2" s="7"/>
      <c r="E2" s="7"/>
      <c r="F2" s="139"/>
      <c r="G2" s="139"/>
      <c r="H2" s="139"/>
      <c r="I2" s="139"/>
      <c r="J2" s="139"/>
      <c r="K2" s="139"/>
      <c r="L2" s="139"/>
      <c r="M2" s="139"/>
      <c r="N2" s="139"/>
      <c r="O2" s="300"/>
      <c r="P2" s="300"/>
      <c r="T2" s="2"/>
    </row>
    <row r="3" spans="1:20" ht="19.2" customHeight="1">
      <c r="A3" s="7" t="s">
        <v>160</v>
      </c>
      <c r="B3" s="7"/>
      <c r="C3" s="7"/>
      <c r="D3" s="7"/>
      <c r="E3" s="7"/>
      <c r="F3" s="139"/>
      <c r="G3" s="139"/>
      <c r="H3" s="139"/>
      <c r="I3" s="139"/>
      <c r="J3" s="139"/>
      <c r="K3" s="139"/>
      <c r="L3" s="139"/>
      <c r="M3" s="139"/>
      <c r="N3" s="139"/>
      <c r="O3" s="300"/>
      <c r="P3" s="300"/>
      <c r="T3" s="2"/>
    </row>
    <row r="4" spans="1:20" ht="9.6" customHeight="1">
      <c r="A4" s="7"/>
      <c r="B4" s="7"/>
      <c r="C4" s="7"/>
      <c r="D4" s="7"/>
      <c r="E4" s="7"/>
      <c r="F4" s="139"/>
      <c r="G4" s="139"/>
      <c r="H4" s="139"/>
      <c r="I4" s="139"/>
      <c r="J4" s="139"/>
      <c r="K4" s="139"/>
      <c r="L4" s="139"/>
      <c r="M4" s="139"/>
      <c r="N4" s="139"/>
      <c r="O4" s="300"/>
      <c r="P4" s="300"/>
      <c r="T4" s="2"/>
    </row>
    <row r="5" spans="1:20" s="2" customFormat="1" ht="20.399999999999999" customHeight="1">
      <c r="A5" s="159" t="s">
        <v>79</v>
      </c>
      <c r="B5" s="159"/>
      <c r="C5" s="159"/>
      <c r="D5" s="159"/>
      <c r="E5" s="159" t="s">
        <v>90</v>
      </c>
      <c r="F5" s="159"/>
      <c r="G5" s="159"/>
      <c r="H5" s="159"/>
      <c r="I5" s="159"/>
      <c r="J5" s="159"/>
      <c r="K5" s="159"/>
      <c r="L5" s="159"/>
      <c r="M5" s="159"/>
      <c r="N5" s="159"/>
      <c r="O5" s="301"/>
    </row>
    <row r="6" spans="1:20" s="2" customFormat="1" ht="20.399999999999999" customHeight="1">
      <c r="A6" s="160" t="s">
        <v>81</v>
      </c>
      <c r="B6" s="160"/>
      <c r="C6" s="160"/>
      <c r="D6" s="160"/>
      <c r="E6" s="161" t="s">
        <v>141</v>
      </c>
      <c r="F6" s="161"/>
      <c r="G6" s="161"/>
      <c r="H6" s="161"/>
      <c r="I6" s="161"/>
      <c r="J6" s="162" t="s">
        <v>142</v>
      </c>
      <c r="K6" s="163"/>
      <c r="L6" s="163"/>
      <c r="M6" s="163"/>
      <c r="N6" s="164"/>
      <c r="O6" s="301"/>
    </row>
    <row r="7" spans="1:20" s="2" customFormat="1" ht="20.399999999999999" customHeight="1">
      <c r="A7" s="280" t="s">
        <v>134</v>
      </c>
      <c r="B7" s="281"/>
      <c r="C7" s="281"/>
      <c r="D7" s="282"/>
      <c r="E7" s="161"/>
      <c r="F7" s="161"/>
      <c r="G7" s="161"/>
      <c r="H7" s="161"/>
      <c r="I7" s="161"/>
      <c r="J7" s="165"/>
      <c r="K7" s="166"/>
      <c r="L7" s="166"/>
      <c r="M7" s="166"/>
      <c r="N7" s="167"/>
      <c r="O7" s="301"/>
    </row>
    <row r="8" spans="1:20" s="2" customFormat="1" ht="20.399999999999999" customHeight="1">
      <c r="A8" s="171" t="s">
        <v>85</v>
      </c>
      <c r="B8" s="171"/>
      <c r="C8" s="171"/>
      <c r="D8" s="171"/>
      <c r="E8" s="161"/>
      <c r="F8" s="161"/>
      <c r="G8" s="161"/>
      <c r="H8" s="161"/>
      <c r="I8" s="161"/>
      <c r="J8" s="165"/>
      <c r="K8" s="166"/>
      <c r="L8" s="166"/>
      <c r="M8" s="166"/>
      <c r="N8" s="167"/>
      <c r="O8" s="301"/>
    </row>
    <row r="9" spans="1:20" s="2" customFormat="1" ht="20.399999999999999" customHeight="1">
      <c r="A9" s="283" t="s">
        <v>133</v>
      </c>
      <c r="B9" s="283"/>
      <c r="C9" s="283"/>
      <c r="D9" s="283"/>
      <c r="E9" s="161"/>
      <c r="F9" s="161"/>
      <c r="G9" s="161"/>
      <c r="H9" s="161"/>
      <c r="I9" s="161"/>
      <c r="J9" s="168"/>
      <c r="K9" s="169"/>
      <c r="L9" s="169"/>
      <c r="M9" s="169"/>
      <c r="N9" s="170"/>
      <c r="O9" s="301"/>
    </row>
    <row r="10" spans="1:20" s="2" customFormat="1" ht="20.399999999999999" customHeight="1">
      <c r="A10" s="266" t="s">
        <v>107</v>
      </c>
      <c r="B10" s="266"/>
      <c r="C10" s="264">
        <v>180</v>
      </c>
      <c r="D10" s="264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301"/>
    </row>
    <row r="11" spans="1:20" ht="20.399999999999999" customHeight="1">
      <c r="A11" s="145" t="s">
        <v>0</v>
      </c>
      <c r="B11" s="148" t="s">
        <v>19</v>
      </c>
      <c r="C11" s="151" t="s">
        <v>8</v>
      </c>
      <c r="D11" s="151" t="s">
        <v>9</v>
      </c>
      <c r="E11" s="154" t="s">
        <v>11</v>
      </c>
      <c r="F11" s="155"/>
      <c r="G11" s="154" t="s">
        <v>13</v>
      </c>
      <c r="H11" s="155"/>
      <c r="I11" s="173" t="s">
        <v>16</v>
      </c>
      <c r="J11" s="173" t="s">
        <v>32</v>
      </c>
      <c r="K11" s="173" t="s">
        <v>33</v>
      </c>
      <c r="L11" s="173" t="s">
        <v>17</v>
      </c>
      <c r="M11" s="173" t="s">
        <v>54</v>
      </c>
      <c r="N11" s="145" t="s">
        <v>18</v>
      </c>
      <c r="O11" s="302"/>
    </row>
    <row r="12" spans="1:20" ht="20.399999999999999" customHeight="1">
      <c r="A12" s="146"/>
      <c r="B12" s="149"/>
      <c r="C12" s="152"/>
      <c r="D12" s="152"/>
      <c r="E12" s="156"/>
      <c r="F12" s="157"/>
      <c r="G12" s="156"/>
      <c r="H12" s="157"/>
      <c r="I12" s="181"/>
      <c r="J12" s="181"/>
      <c r="K12" s="181"/>
      <c r="L12" s="181"/>
      <c r="M12" s="181"/>
      <c r="N12" s="146"/>
      <c r="O12" s="136"/>
    </row>
    <row r="13" spans="1:20" ht="20.399999999999999" customHeight="1">
      <c r="A13" s="146"/>
      <c r="B13" s="149"/>
      <c r="C13" s="152"/>
      <c r="D13" s="152"/>
      <c r="E13" s="173" t="s">
        <v>10</v>
      </c>
      <c r="F13" s="173" t="s">
        <v>12</v>
      </c>
      <c r="G13" s="173" t="s">
        <v>14</v>
      </c>
      <c r="H13" s="173" t="s">
        <v>15</v>
      </c>
      <c r="I13" s="181"/>
      <c r="J13" s="181"/>
      <c r="K13" s="181"/>
      <c r="L13" s="181"/>
      <c r="M13" s="181"/>
      <c r="N13" s="146"/>
      <c r="O13" s="136"/>
    </row>
    <row r="14" spans="1:20" ht="20.399999999999999" customHeight="1">
      <c r="A14" s="147"/>
      <c r="B14" s="150"/>
      <c r="C14" s="153"/>
      <c r="D14" s="153"/>
      <c r="E14" s="174"/>
      <c r="F14" s="174"/>
      <c r="G14" s="174"/>
      <c r="H14" s="174"/>
      <c r="I14" s="174"/>
      <c r="J14" s="174"/>
      <c r="K14" s="174"/>
      <c r="L14" s="174"/>
      <c r="M14" s="174"/>
      <c r="N14" s="147"/>
      <c r="O14" s="136"/>
    </row>
    <row r="15" spans="1:20" ht="20.399999999999999" customHeight="1">
      <c r="A15" s="178" t="s">
        <v>35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80"/>
      <c r="O15" s="136"/>
    </row>
    <row r="16" spans="1:20" s="2" customFormat="1" ht="20.399999999999999" customHeight="1">
      <c r="A16" s="8">
        <v>1</v>
      </c>
      <c r="B16" s="9" t="s">
        <v>2</v>
      </c>
      <c r="C16" s="12">
        <f>L16/100*100</f>
        <v>90</v>
      </c>
      <c r="D16" s="13">
        <f>C16/100*60</f>
        <v>54</v>
      </c>
      <c r="E16" s="14">
        <f>C16/100*15</f>
        <v>13.5</v>
      </c>
      <c r="F16" s="14"/>
      <c r="G16" s="14"/>
      <c r="H16" s="14"/>
      <c r="I16" s="14"/>
      <c r="J16" s="22">
        <f>C16/100*387</f>
        <v>348.3</v>
      </c>
      <c r="K16" s="22">
        <f>C16/100*0.09</f>
        <v>8.1000000000000003E-2</v>
      </c>
      <c r="L16" s="109">
        <v>90</v>
      </c>
      <c r="M16" s="20">
        <v>20</v>
      </c>
      <c r="N16" s="16">
        <f>L16*M16</f>
        <v>1800</v>
      </c>
      <c r="O16" s="304"/>
    </row>
    <row r="17" spans="1:20" s="2" customFormat="1" ht="20.399999999999999" customHeight="1">
      <c r="A17" s="8">
        <v>2</v>
      </c>
      <c r="B17" s="9" t="s">
        <v>116</v>
      </c>
      <c r="C17" s="12">
        <f>L17/100*100</f>
        <v>1260</v>
      </c>
      <c r="D17" s="13">
        <f>C17/100*53</f>
        <v>667.8</v>
      </c>
      <c r="E17" s="14"/>
      <c r="F17" s="14">
        <f>C17/100*6.3</f>
        <v>79.38</v>
      </c>
      <c r="G17" s="14"/>
      <c r="H17" s="14">
        <f>C17/100*0.04</f>
        <v>0.504</v>
      </c>
      <c r="I17" s="14">
        <f>C17/100*6.8</f>
        <v>85.679999999999993</v>
      </c>
      <c r="J17" s="22">
        <f>C17/100*19</f>
        <v>239.4</v>
      </c>
      <c r="K17" s="22">
        <f>C17/100*0.03</f>
        <v>0.378</v>
      </c>
      <c r="L17" s="109">
        <v>1260</v>
      </c>
      <c r="M17" s="20">
        <v>42.5</v>
      </c>
      <c r="N17" s="16">
        <f t="shared" ref="N17:N27" si="0">L17*M17</f>
        <v>53550</v>
      </c>
      <c r="O17" s="306"/>
    </row>
    <row r="18" spans="1:20" s="2" customFormat="1" ht="20.399999999999999" customHeight="1">
      <c r="A18" s="8">
        <v>3</v>
      </c>
      <c r="B18" s="112" t="s">
        <v>118</v>
      </c>
      <c r="C18" s="12">
        <f>L18/100*100</f>
        <v>540</v>
      </c>
      <c r="D18" s="13">
        <f>C18/100*899</f>
        <v>4854.6000000000004</v>
      </c>
      <c r="E18" s="14"/>
      <c r="F18" s="14"/>
      <c r="G18" s="14">
        <f>C18/100*100</f>
        <v>540</v>
      </c>
      <c r="H18" s="14"/>
      <c r="I18" s="14"/>
      <c r="J18" s="14"/>
      <c r="K18" s="14"/>
      <c r="L18" s="15">
        <v>540</v>
      </c>
      <c r="M18" s="64">
        <v>68</v>
      </c>
      <c r="N18" s="16">
        <f t="shared" si="0"/>
        <v>36720</v>
      </c>
      <c r="O18" s="305"/>
    </row>
    <row r="19" spans="1:20" s="2" customFormat="1" ht="20.399999999999999" customHeight="1">
      <c r="A19" s="8">
        <v>4</v>
      </c>
      <c r="B19" s="9" t="s">
        <v>123</v>
      </c>
      <c r="C19" s="12">
        <f>L19/100*90</f>
        <v>162</v>
      </c>
      <c r="D19" s="13">
        <f>C19/100*281</f>
        <v>455.22</v>
      </c>
      <c r="E19" s="14"/>
      <c r="F19" s="14">
        <f>C19/100*9.5</f>
        <v>15.39</v>
      </c>
      <c r="G19" s="14"/>
      <c r="H19" s="14">
        <f>C19/100*0.2</f>
        <v>0.32400000000000007</v>
      </c>
      <c r="I19" s="14">
        <f>D19/100*58.5</f>
        <v>266.30369999999999</v>
      </c>
      <c r="J19" s="22">
        <f>C19/100*321</f>
        <v>520.02</v>
      </c>
      <c r="K19" s="22">
        <f>C19/100*0.14</f>
        <v>0.22680000000000003</v>
      </c>
      <c r="L19" s="109">
        <v>180</v>
      </c>
      <c r="M19" s="43">
        <v>120</v>
      </c>
      <c r="N19" s="16">
        <f t="shared" si="0"/>
        <v>21600</v>
      </c>
      <c r="O19" s="306"/>
    </row>
    <row r="20" spans="1:20" s="2" customFormat="1" ht="20.399999999999999" customHeight="1">
      <c r="A20" s="8">
        <v>5</v>
      </c>
      <c r="B20" s="5" t="s">
        <v>1</v>
      </c>
      <c r="C20" s="12">
        <f>L20/100*100</f>
        <v>17100</v>
      </c>
      <c r="D20" s="64">
        <f>C20/100*321</f>
        <v>54891</v>
      </c>
      <c r="E20" s="14"/>
      <c r="F20" s="89">
        <f>C20/100*7.9</f>
        <v>1350.9</v>
      </c>
      <c r="G20" s="14"/>
      <c r="H20" s="14">
        <f>C20/100*1</f>
        <v>171</v>
      </c>
      <c r="I20" s="89">
        <f>C20/100*67</f>
        <v>11457</v>
      </c>
      <c r="J20" s="63">
        <f>C20/100*30</f>
        <v>5130</v>
      </c>
      <c r="K20" s="22">
        <f>C20/100*0.1</f>
        <v>17.100000000000001</v>
      </c>
      <c r="L20" s="109">
        <v>17100</v>
      </c>
      <c r="M20" s="20">
        <v>18</v>
      </c>
      <c r="N20" s="16">
        <f t="shared" si="0"/>
        <v>307800</v>
      </c>
      <c r="O20" s="304"/>
    </row>
    <row r="21" spans="1:20" s="2" customFormat="1" ht="20.399999999999999" customHeight="1">
      <c r="A21" s="8">
        <v>6</v>
      </c>
      <c r="B21" s="5" t="s">
        <v>3</v>
      </c>
      <c r="C21" s="12">
        <f>L21/100*48</f>
        <v>3100.7999999999997</v>
      </c>
      <c r="D21" s="13">
        <f>C21/100*199</f>
        <v>6170.5919999999987</v>
      </c>
      <c r="E21" s="14">
        <f>C21/100*20.3</f>
        <v>629.46239999999989</v>
      </c>
      <c r="F21" s="14"/>
      <c r="G21" s="14">
        <f>C21/100*13.1</f>
        <v>406.20479999999992</v>
      </c>
      <c r="H21" s="14"/>
      <c r="I21" s="14"/>
      <c r="J21" s="22">
        <f>C21/100*12</f>
        <v>372.09599999999995</v>
      </c>
      <c r="K21" s="22">
        <f>C21/100*0.15</f>
        <v>4.6511999999999993</v>
      </c>
      <c r="L21" s="109">
        <v>6460</v>
      </c>
      <c r="M21" s="15">
        <v>84</v>
      </c>
      <c r="N21" s="16">
        <f t="shared" si="0"/>
        <v>542640</v>
      </c>
      <c r="O21" s="304"/>
      <c r="Q21" s="3"/>
      <c r="R21" s="3"/>
      <c r="S21" s="4"/>
    </row>
    <row r="22" spans="1:20" s="2" customFormat="1" ht="20.399999999999999" customHeight="1">
      <c r="A22" s="8">
        <v>7</v>
      </c>
      <c r="B22" s="9" t="s">
        <v>65</v>
      </c>
      <c r="C22" s="12">
        <f>L22/100*98</f>
        <v>6174</v>
      </c>
      <c r="D22" s="13">
        <f>C22/100*139</f>
        <v>8581.86</v>
      </c>
      <c r="E22" s="89">
        <f>C22/100*19</f>
        <v>1173.06</v>
      </c>
      <c r="F22" s="14"/>
      <c r="G22" s="14">
        <f>C22/100*7</f>
        <v>432.18</v>
      </c>
      <c r="H22" s="14"/>
      <c r="I22" s="14"/>
      <c r="J22" s="22">
        <f>C22/100*7</f>
        <v>432.18</v>
      </c>
      <c r="K22" s="22">
        <f>C22/100*0.9</f>
        <v>55.566000000000003</v>
      </c>
      <c r="L22" s="109">
        <v>6300</v>
      </c>
      <c r="M22" s="15">
        <v>137</v>
      </c>
      <c r="N22" s="16">
        <f t="shared" si="0"/>
        <v>863100</v>
      </c>
      <c r="O22" s="304"/>
    </row>
    <row r="23" spans="1:20" s="2" customFormat="1" ht="20.399999999999999" customHeight="1">
      <c r="A23" s="8">
        <v>8</v>
      </c>
      <c r="B23" s="5" t="s">
        <v>62</v>
      </c>
      <c r="C23" s="12">
        <f>L23/100*86</f>
        <v>1548</v>
      </c>
      <c r="D23" s="13">
        <f>C23/100*166</f>
        <v>2569.6800000000003</v>
      </c>
      <c r="E23" s="14">
        <f>C23/100*14.8</f>
        <v>229.10400000000001</v>
      </c>
      <c r="F23" s="14"/>
      <c r="G23" s="14">
        <f>C23/100*11.6</f>
        <v>179.56800000000001</v>
      </c>
      <c r="H23" s="14"/>
      <c r="I23" s="14">
        <f>C23/100*0.5</f>
        <v>7.74</v>
      </c>
      <c r="J23" s="22">
        <f>C23/100*55</f>
        <v>851.4</v>
      </c>
      <c r="K23" s="22">
        <f>C23/100*0.16</f>
        <v>2.4768000000000003</v>
      </c>
      <c r="L23" s="109">
        <v>1800</v>
      </c>
      <c r="M23" s="20">
        <v>62</v>
      </c>
      <c r="N23" s="16">
        <f t="shared" si="0"/>
        <v>111600</v>
      </c>
      <c r="O23" s="304"/>
      <c r="Q23" s="3"/>
      <c r="R23" s="3"/>
      <c r="S23" s="4"/>
    </row>
    <row r="24" spans="1:20" s="2" customFormat="1" ht="20.399999999999999" customHeight="1">
      <c r="A24" s="8">
        <v>9</v>
      </c>
      <c r="B24" s="5" t="s">
        <v>135</v>
      </c>
      <c r="C24" s="12">
        <f>L24/100*31</f>
        <v>558</v>
      </c>
      <c r="D24" s="13">
        <f>C24/100*87</f>
        <v>485.46</v>
      </c>
      <c r="E24" s="14">
        <f>C24/100*12.3</f>
        <v>68.634</v>
      </c>
      <c r="F24" s="14"/>
      <c r="G24" s="14">
        <f>C24/100*3.3</f>
        <v>18.413999999999998</v>
      </c>
      <c r="H24" s="14"/>
      <c r="I24" s="14">
        <f>C24/100*2</f>
        <v>11.16</v>
      </c>
      <c r="J24" s="63">
        <f>C24/100*1120</f>
        <v>6249.6</v>
      </c>
      <c r="K24" s="22">
        <f>C24/100*0.01</f>
        <v>5.5800000000000002E-2</v>
      </c>
      <c r="L24" s="109">
        <v>1800</v>
      </c>
      <c r="M24" s="20">
        <v>160</v>
      </c>
      <c r="N24" s="91">
        <f t="shared" si="0"/>
        <v>288000</v>
      </c>
      <c r="O24" s="304"/>
      <c r="Q24" s="3"/>
      <c r="R24" s="3"/>
      <c r="S24" s="4"/>
    </row>
    <row r="25" spans="1:20" s="2" customFormat="1" ht="20.399999999999999" customHeight="1">
      <c r="A25" s="8">
        <v>10</v>
      </c>
      <c r="B25" s="5" t="s">
        <v>66</v>
      </c>
      <c r="C25" s="12">
        <f>L25/100*75</f>
        <v>2700</v>
      </c>
      <c r="D25" s="13">
        <f>C25/100*12</f>
        <v>324</v>
      </c>
      <c r="E25" s="17"/>
      <c r="F25" s="17">
        <f>C25/100*0.6</f>
        <v>16.2</v>
      </c>
      <c r="G25" s="17"/>
      <c r="H25" s="17"/>
      <c r="I25" s="17">
        <f>C25/100*2.4</f>
        <v>64.8</v>
      </c>
      <c r="J25" s="89">
        <f>C25/100*120</f>
        <v>3240</v>
      </c>
      <c r="K25" s="22">
        <f>C25/100*0.02</f>
        <v>0.54</v>
      </c>
      <c r="L25" s="308">
        <v>3600</v>
      </c>
      <c r="M25" s="20">
        <v>30</v>
      </c>
      <c r="N25" s="16">
        <f t="shared" si="0"/>
        <v>108000</v>
      </c>
      <c r="O25" s="304"/>
      <c r="P25" s="3"/>
    </row>
    <row r="26" spans="1:20" s="2" customFormat="1" ht="20.399999999999999" customHeight="1">
      <c r="A26" s="8">
        <v>11</v>
      </c>
      <c r="B26" s="5" t="s">
        <v>127</v>
      </c>
      <c r="C26" s="12">
        <f>L26/100*75</f>
        <v>4725</v>
      </c>
      <c r="D26" s="13">
        <f>C26/100*17</f>
        <v>803.25</v>
      </c>
      <c r="E26" s="14"/>
      <c r="F26" s="14">
        <f>C26/100*1.4</f>
        <v>66.149999999999991</v>
      </c>
      <c r="G26" s="14"/>
      <c r="H26" s="14">
        <f>C26/100*0.2</f>
        <v>9.4500000000000011</v>
      </c>
      <c r="I26" s="14">
        <f>C26/100*2.4</f>
        <v>113.39999999999999</v>
      </c>
      <c r="J26" s="89">
        <f>C26/100*50</f>
        <v>2362.5</v>
      </c>
      <c r="K26" s="14">
        <f>C26/100*0.09</f>
        <v>4.2524999999999995</v>
      </c>
      <c r="L26" s="109">
        <v>6300</v>
      </c>
      <c r="M26" s="20">
        <v>18</v>
      </c>
      <c r="N26" s="16">
        <f t="shared" si="0"/>
        <v>113400</v>
      </c>
      <c r="O26" s="304"/>
    </row>
    <row r="27" spans="1:20" s="2" customFormat="1" ht="20.399999999999999" customHeight="1">
      <c r="A27" s="8">
        <v>12</v>
      </c>
      <c r="B27" s="5" t="s">
        <v>114</v>
      </c>
      <c r="C27" s="12">
        <f>L27/100*100</f>
        <v>180</v>
      </c>
      <c r="D27" s="13">
        <f>C27/100*247</f>
        <v>444.6</v>
      </c>
      <c r="E27" s="17"/>
      <c r="F27" s="17">
        <f>C27/100*17.5</f>
        <v>31.5</v>
      </c>
      <c r="G27" s="17"/>
      <c r="H27" s="17">
        <f>C27/100*1.6</f>
        <v>2.8800000000000003</v>
      </c>
      <c r="I27" s="17">
        <f>C27/100*39.2</f>
        <v>70.56</v>
      </c>
      <c r="J27" s="21"/>
      <c r="K27" s="21"/>
      <c r="L27" s="307">
        <v>180</v>
      </c>
      <c r="M27" s="20">
        <v>50</v>
      </c>
      <c r="N27" s="16">
        <f t="shared" si="0"/>
        <v>9000</v>
      </c>
      <c r="O27" s="304"/>
      <c r="Q27" s="3"/>
      <c r="R27" s="3"/>
      <c r="S27" s="4"/>
      <c r="T27" s="3"/>
    </row>
    <row r="28" spans="1:20" s="2" customFormat="1" ht="20.399999999999999" customHeight="1">
      <c r="A28" s="8">
        <v>13</v>
      </c>
      <c r="B28" s="9" t="s">
        <v>108</v>
      </c>
      <c r="C28" s="12"/>
      <c r="D28" s="13"/>
      <c r="E28" s="14"/>
      <c r="F28" s="14"/>
      <c r="G28" s="14"/>
      <c r="H28" s="14"/>
      <c r="I28" s="14"/>
      <c r="J28" s="14"/>
      <c r="K28" s="14"/>
      <c r="L28" s="15"/>
      <c r="M28" s="15"/>
      <c r="N28" s="16">
        <v>13500</v>
      </c>
      <c r="O28" s="304"/>
    </row>
    <row r="29" spans="1:20" s="2" customFormat="1" ht="20.399999999999999" customHeight="1">
      <c r="A29" s="23" t="s">
        <v>94</v>
      </c>
      <c r="B29" s="24"/>
      <c r="C29" s="25"/>
      <c r="D29" s="92">
        <f>SUM(D16:D28)</f>
        <v>80302.06200000002</v>
      </c>
      <c r="E29" s="27"/>
      <c r="F29" s="27"/>
      <c r="G29" s="27"/>
      <c r="H29" s="27"/>
      <c r="I29" s="27"/>
      <c r="J29" s="27"/>
      <c r="K29" s="27"/>
      <c r="L29" s="28"/>
      <c r="M29" s="28"/>
      <c r="N29" s="267">
        <f>SUM(N16:N28)</f>
        <v>2470710</v>
      </c>
      <c r="O29" s="304"/>
    </row>
    <row r="30" spans="1:20" s="2" customFormat="1" ht="20.399999999999999" customHeight="1">
      <c r="A30" s="23" t="s">
        <v>6</v>
      </c>
      <c r="B30" s="24"/>
      <c r="C30" s="25"/>
      <c r="D30" s="26">
        <f>D29/C10</f>
        <v>446.12256666666678</v>
      </c>
      <c r="E30" s="27"/>
      <c r="F30" s="27"/>
      <c r="G30" s="27"/>
      <c r="H30" s="27"/>
      <c r="I30" s="27"/>
      <c r="J30" s="27"/>
      <c r="K30" s="27"/>
      <c r="L30" s="28"/>
      <c r="M30" s="28"/>
      <c r="N30" s="268"/>
      <c r="O30" s="304"/>
    </row>
    <row r="31" spans="1:20" s="2" customFormat="1" ht="20.399999999999999" customHeight="1">
      <c r="A31" s="275" t="s">
        <v>50</v>
      </c>
      <c r="B31" s="185"/>
      <c r="C31" s="309" t="s">
        <v>126</v>
      </c>
      <c r="D31" s="29" t="s">
        <v>38</v>
      </c>
      <c r="E31" s="27"/>
      <c r="F31" s="27"/>
      <c r="G31" s="27"/>
      <c r="H31" s="27"/>
      <c r="I31" s="27"/>
      <c r="J31" s="27"/>
      <c r="K31" s="27"/>
      <c r="L31" s="28"/>
      <c r="M31" s="28"/>
      <c r="N31" s="30"/>
      <c r="O31" s="304"/>
    </row>
    <row r="32" spans="1:20" s="2" customFormat="1" ht="20.399999999999999" customHeight="1">
      <c r="A32" s="186"/>
      <c r="B32" s="187"/>
      <c r="C32" s="61" t="s">
        <v>57</v>
      </c>
      <c r="D32" s="29">
        <f>D30*100/1320</f>
        <v>33.79716414141415</v>
      </c>
      <c r="E32" s="27"/>
      <c r="F32" s="27"/>
      <c r="G32" s="27"/>
      <c r="H32" s="27"/>
      <c r="I32" s="27"/>
      <c r="J32" s="27"/>
      <c r="K32" s="27"/>
      <c r="L32" s="28"/>
      <c r="M32" s="28"/>
      <c r="N32" s="30"/>
      <c r="O32" s="304"/>
    </row>
    <row r="33" spans="1:23" s="2" customFormat="1" ht="20.399999999999999" customHeight="1">
      <c r="A33" s="188" t="s">
        <v>39</v>
      </c>
      <c r="B33" s="188"/>
      <c r="C33" s="45"/>
      <c r="D33" s="46"/>
      <c r="E33" s="47"/>
      <c r="F33" s="47"/>
      <c r="G33" s="47"/>
      <c r="H33" s="47"/>
      <c r="I33" s="47"/>
      <c r="J33" s="47"/>
      <c r="K33" s="47"/>
      <c r="L33" s="48"/>
      <c r="M33" s="48"/>
      <c r="N33" s="49"/>
      <c r="O33" s="304"/>
    </row>
    <row r="34" spans="1:23" s="2" customFormat="1" ht="20.399999999999999" customHeight="1">
      <c r="A34" s="8">
        <v>1</v>
      </c>
      <c r="B34" s="9" t="s">
        <v>2</v>
      </c>
      <c r="C34" s="12">
        <f>L34/100*100</f>
        <v>180</v>
      </c>
      <c r="D34" s="13">
        <f>C34/100*60</f>
        <v>108</v>
      </c>
      <c r="E34" s="14">
        <f>C34/100*15</f>
        <v>27</v>
      </c>
      <c r="F34" s="14"/>
      <c r="G34" s="14"/>
      <c r="H34" s="14"/>
      <c r="I34" s="14"/>
      <c r="J34" s="22">
        <f>C34/100*387</f>
        <v>696.6</v>
      </c>
      <c r="K34" s="22">
        <f>C34/100*0.09</f>
        <v>0.16200000000000001</v>
      </c>
      <c r="L34" s="109">
        <v>180</v>
      </c>
      <c r="M34" s="20">
        <v>20</v>
      </c>
      <c r="N34" s="16">
        <f>L34*M34</f>
        <v>3600</v>
      </c>
      <c r="O34" s="304"/>
    </row>
    <row r="35" spans="1:23" s="2" customFormat="1" ht="20.399999999999999" customHeight="1">
      <c r="A35" s="8">
        <v>2</v>
      </c>
      <c r="B35" s="112" t="s">
        <v>118</v>
      </c>
      <c r="C35" s="12">
        <f>L35/100*100</f>
        <v>630</v>
      </c>
      <c r="D35" s="13">
        <f>C35/100*899</f>
        <v>5663.7</v>
      </c>
      <c r="E35" s="14"/>
      <c r="F35" s="14"/>
      <c r="G35" s="14">
        <f>C35/100*100</f>
        <v>630</v>
      </c>
      <c r="H35" s="14"/>
      <c r="I35" s="14"/>
      <c r="J35" s="14"/>
      <c r="K35" s="14"/>
      <c r="L35" s="15">
        <v>630</v>
      </c>
      <c r="M35" s="64">
        <v>68</v>
      </c>
      <c r="N35" s="16">
        <f t="shared" ref="N35:N38" si="1">L35*M35</f>
        <v>42840</v>
      </c>
      <c r="O35" s="305"/>
    </row>
    <row r="36" spans="1:23" s="2" customFormat="1" ht="20.399999999999999" customHeight="1">
      <c r="A36" s="8">
        <v>3</v>
      </c>
      <c r="B36" s="9" t="s">
        <v>121</v>
      </c>
      <c r="C36" s="12">
        <f>L36/100*100</f>
        <v>810</v>
      </c>
      <c r="D36" s="64">
        <f>C36/100*900</f>
        <v>7290</v>
      </c>
      <c r="E36" s="14"/>
      <c r="F36" s="14"/>
      <c r="G36" s="89"/>
      <c r="H36" s="14">
        <f>C36/100*100</f>
        <v>810</v>
      </c>
      <c r="I36" s="14"/>
      <c r="J36" s="14"/>
      <c r="K36" s="14"/>
      <c r="L36" s="109">
        <v>810</v>
      </c>
      <c r="M36" s="64">
        <v>63.5</v>
      </c>
      <c r="N36" s="91">
        <f t="shared" si="1"/>
        <v>51435</v>
      </c>
      <c r="O36" s="305"/>
    </row>
    <row r="37" spans="1:23" s="2" customFormat="1" ht="20.399999999999999" customHeight="1">
      <c r="A37" s="8">
        <v>4</v>
      </c>
      <c r="B37" s="9" t="s">
        <v>65</v>
      </c>
      <c r="C37" s="12">
        <f>L37/100*98</f>
        <v>4929.3999999999996</v>
      </c>
      <c r="D37" s="13">
        <f>C37/100*139</f>
        <v>6851.866</v>
      </c>
      <c r="E37" s="14">
        <f>C37/100*19</f>
        <v>936.5859999999999</v>
      </c>
      <c r="F37" s="14"/>
      <c r="G37" s="14">
        <f>C37/100*7</f>
        <v>345.05799999999999</v>
      </c>
      <c r="H37" s="14"/>
      <c r="I37" s="14"/>
      <c r="J37" s="22">
        <f>C37/100*7</f>
        <v>345.05799999999999</v>
      </c>
      <c r="K37" s="22">
        <f>C37/100*0.9</f>
        <v>44.364599999999996</v>
      </c>
      <c r="L37" s="109">
        <v>5030</v>
      </c>
      <c r="M37" s="15">
        <v>137</v>
      </c>
      <c r="N37" s="16">
        <f t="shared" si="1"/>
        <v>689110</v>
      </c>
      <c r="O37" s="304"/>
    </row>
    <row r="38" spans="1:23" s="2" customFormat="1" ht="19.8" customHeight="1">
      <c r="A38" s="8">
        <v>5</v>
      </c>
      <c r="B38" s="5" t="s">
        <v>64</v>
      </c>
      <c r="C38" s="12">
        <f>L38/100*100</f>
        <v>5400</v>
      </c>
      <c r="D38" s="64">
        <f>C38/100*344</f>
        <v>18576</v>
      </c>
      <c r="E38" s="14"/>
      <c r="F38" s="14">
        <f>C38/100*8.6</f>
        <v>464.4</v>
      </c>
      <c r="G38" s="14"/>
      <c r="H38" s="14">
        <f>C38/100*1.5</f>
        <v>81</v>
      </c>
      <c r="I38" s="89">
        <f>C38/100*70</f>
        <v>3780</v>
      </c>
      <c r="J38" s="89">
        <f>C38/100*32</f>
        <v>1728</v>
      </c>
      <c r="K38" s="14">
        <f>C38/100*0.14</f>
        <v>7.5600000000000005</v>
      </c>
      <c r="L38" s="109">
        <v>5400</v>
      </c>
      <c r="M38" s="20">
        <v>30</v>
      </c>
      <c r="N38" s="16">
        <f t="shared" si="1"/>
        <v>162000</v>
      </c>
      <c r="O38" s="304"/>
      <c r="P38" s="310"/>
    </row>
    <row r="39" spans="1:23" s="2" customFormat="1" ht="19.8" customHeight="1">
      <c r="A39" s="8">
        <v>6</v>
      </c>
      <c r="B39" s="5" t="s">
        <v>60</v>
      </c>
      <c r="C39" s="12">
        <f>L39/100*100</f>
        <v>360</v>
      </c>
      <c r="D39" s="13">
        <f>C39/100*334</f>
        <v>1202.4000000000001</v>
      </c>
      <c r="E39" s="14"/>
      <c r="F39" s="14">
        <f>C39/100*20</f>
        <v>72</v>
      </c>
      <c r="G39" s="14"/>
      <c r="H39" s="14">
        <f>C39/100*2.4</f>
        <v>8.64</v>
      </c>
      <c r="I39" s="14">
        <f>C39/100*58</f>
        <v>208.8</v>
      </c>
      <c r="J39" s="22">
        <f>C39/100*89</f>
        <v>320.40000000000003</v>
      </c>
      <c r="K39" s="22">
        <f>C39/100*0.64</f>
        <v>2.3040000000000003</v>
      </c>
      <c r="L39" s="109">
        <v>360</v>
      </c>
      <c r="M39" s="100">
        <v>190</v>
      </c>
      <c r="N39" s="16">
        <f>L39*M39</f>
        <v>68400</v>
      </c>
      <c r="O39" s="304"/>
    </row>
    <row r="40" spans="1:23" s="2" customFormat="1" ht="20.399999999999999" customHeight="1">
      <c r="A40" s="8">
        <v>7</v>
      </c>
      <c r="B40" s="5" t="s">
        <v>114</v>
      </c>
      <c r="C40" s="12">
        <f>L40/100*100</f>
        <v>110.00000000000001</v>
      </c>
      <c r="D40" s="13">
        <f>C40/100*247</f>
        <v>271.70000000000005</v>
      </c>
      <c r="E40" s="17"/>
      <c r="F40" s="17">
        <f>C40/100*17.5</f>
        <v>19.25</v>
      </c>
      <c r="G40" s="17"/>
      <c r="H40" s="17">
        <f>C40/100*1.6</f>
        <v>1.7600000000000002</v>
      </c>
      <c r="I40" s="17">
        <f>C40/100*39.2</f>
        <v>43.120000000000005</v>
      </c>
      <c r="J40" s="21"/>
      <c r="K40" s="21"/>
      <c r="L40" s="308">
        <v>110</v>
      </c>
      <c r="M40" s="20">
        <v>50</v>
      </c>
      <c r="N40" s="16">
        <f t="shared" ref="N40:N41" si="2">L40*M40</f>
        <v>5500</v>
      </c>
      <c r="O40" s="304"/>
      <c r="Q40" s="3"/>
      <c r="R40" s="3"/>
      <c r="S40" s="4"/>
      <c r="T40" s="3"/>
    </row>
    <row r="41" spans="1:23" s="2" customFormat="1" ht="20.399999999999999" customHeight="1">
      <c r="A41" s="8">
        <v>8</v>
      </c>
      <c r="B41" s="120" t="s">
        <v>141</v>
      </c>
      <c r="C41" s="12">
        <f>L41/100*73.5</f>
        <v>14553</v>
      </c>
      <c r="D41" s="13">
        <f>C41/100*56</f>
        <v>8149.68</v>
      </c>
      <c r="E41" s="17"/>
      <c r="F41" s="17">
        <f>C41/100*0.9</f>
        <v>130.977</v>
      </c>
      <c r="G41" s="17"/>
      <c r="H41" s="17">
        <f>C41/100*0.3</f>
        <v>43.658999999999999</v>
      </c>
      <c r="I41" s="121">
        <f>C41/100*12.4</f>
        <v>1804.5720000000001</v>
      </c>
      <c r="J41" s="62">
        <f>C41/100*12</f>
        <v>1746.3600000000001</v>
      </c>
      <c r="K41" s="21">
        <f>C41/100*0.04</f>
        <v>5.8212000000000002</v>
      </c>
      <c r="L41" s="307">
        <v>19800</v>
      </c>
      <c r="M41" s="20">
        <v>23</v>
      </c>
      <c r="N41" s="16">
        <f t="shared" si="2"/>
        <v>455400</v>
      </c>
      <c r="O41" s="304"/>
    </row>
    <row r="42" spans="1:23" s="2" customFormat="1" ht="20.399999999999999" customHeight="1">
      <c r="A42" s="75">
        <v>9</v>
      </c>
      <c r="B42" s="76" t="s">
        <v>108</v>
      </c>
      <c r="C42" s="77"/>
      <c r="D42" s="328"/>
      <c r="E42" s="103"/>
      <c r="F42" s="103"/>
      <c r="G42" s="103"/>
      <c r="H42" s="79"/>
      <c r="I42" s="79"/>
      <c r="J42" s="79"/>
      <c r="K42" s="79"/>
      <c r="L42" s="80"/>
      <c r="M42" s="80"/>
      <c r="N42" s="81">
        <v>11300</v>
      </c>
      <c r="O42" s="304"/>
    </row>
    <row r="43" spans="1:23" ht="19.2" customHeight="1">
      <c r="A43" s="145" t="s">
        <v>0</v>
      </c>
      <c r="B43" s="148" t="s">
        <v>19</v>
      </c>
      <c r="C43" s="151" t="s">
        <v>8</v>
      </c>
      <c r="D43" s="151" t="s">
        <v>9</v>
      </c>
      <c r="E43" s="154" t="s">
        <v>11</v>
      </c>
      <c r="F43" s="155"/>
      <c r="G43" s="154" t="s">
        <v>13</v>
      </c>
      <c r="H43" s="155"/>
      <c r="I43" s="173" t="s">
        <v>16</v>
      </c>
      <c r="J43" s="173" t="s">
        <v>32</v>
      </c>
      <c r="K43" s="173" t="s">
        <v>33</v>
      </c>
      <c r="L43" s="173" t="s">
        <v>17</v>
      </c>
      <c r="M43" s="173" t="s">
        <v>54</v>
      </c>
      <c r="N43" s="145" t="s">
        <v>18</v>
      </c>
      <c r="O43" s="302"/>
    </row>
    <row r="44" spans="1:23" ht="19.2" customHeight="1">
      <c r="A44" s="146"/>
      <c r="B44" s="149"/>
      <c r="C44" s="152"/>
      <c r="D44" s="152"/>
      <c r="E44" s="156"/>
      <c r="F44" s="157"/>
      <c r="G44" s="156"/>
      <c r="H44" s="157"/>
      <c r="I44" s="181"/>
      <c r="J44" s="181"/>
      <c r="K44" s="181"/>
      <c r="L44" s="181"/>
      <c r="M44" s="181"/>
      <c r="N44" s="146"/>
      <c r="O44" s="136"/>
    </row>
    <row r="45" spans="1:23" ht="19.2" customHeight="1">
      <c r="A45" s="146"/>
      <c r="B45" s="149"/>
      <c r="C45" s="152"/>
      <c r="D45" s="152"/>
      <c r="E45" s="173" t="s">
        <v>10</v>
      </c>
      <c r="F45" s="173" t="s">
        <v>12</v>
      </c>
      <c r="G45" s="173" t="s">
        <v>14</v>
      </c>
      <c r="H45" s="173" t="s">
        <v>15</v>
      </c>
      <c r="I45" s="181"/>
      <c r="J45" s="181"/>
      <c r="K45" s="181"/>
      <c r="L45" s="181"/>
      <c r="M45" s="181"/>
      <c r="N45" s="146"/>
      <c r="O45" s="136"/>
    </row>
    <row r="46" spans="1:23" ht="19.2" customHeight="1">
      <c r="A46" s="147"/>
      <c r="B46" s="150"/>
      <c r="C46" s="153"/>
      <c r="D46" s="153"/>
      <c r="E46" s="174"/>
      <c r="F46" s="174"/>
      <c r="G46" s="174"/>
      <c r="H46" s="174"/>
      <c r="I46" s="174"/>
      <c r="J46" s="174"/>
      <c r="K46" s="174"/>
      <c r="L46" s="174"/>
      <c r="M46" s="174"/>
      <c r="N46" s="147"/>
      <c r="O46" s="136"/>
    </row>
    <row r="47" spans="1:23" s="2" customFormat="1" ht="21" customHeight="1">
      <c r="A47" s="23" t="s">
        <v>95</v>
      </c>
      <c r="B47" s="24"/>
      <c r="C47" s="25"/>
      <c r="D47" s="92">
        <f>SUM(D34:D42)</f>
        <v>48113.345999999998</v>
      </c>
      <c r="E47" s="31"/>
      <c r="F47" s="31"/>
      <c r="G47" s="31"/>
      <c r="H47" s="31"/>
      <c r="I47" s="31"/>
      <c r="J47" s="31"/>
      <c r="K47" s="31"/>
      <c r="L47" s="32"/>
      <c r="M47" s="32"/>
      <c r="N47" s="190">
        <f>SUM(N34:N42)</f>
        <v>1489585</v>
      </c>
      <c r="O47" s="304"/>
    </row>
    <row r="48" spans="1:23" ht="21" customHeight="1">
      <c r="A48" s="23" t="s">
        <v>7</v>
      </c>
      <c r="B48" s="24"/>
      <c r="C48" s="33"/>
      <c r="D48" s="34">
        <f>D47/C10</f>
        <v>267.29636666666664</v>
      </c>
      <c r="E48" s="34"/>
      <c r="F48" s="34"/>
      <c r="G48" s="34"/>
      <c r="H48" s="34"/>
      <c r="I48" s="34"/>
      <c r="J48" s="34"/>
      <c r="K48" s="34"/>
      <c r="L48" s="35"/>
      <c r="M48" s="35"/>
      <c r="N48" s="191"/>
      <c r="O48" s="4"/>
      <c r="P48" s="2"/>
      <c r="Q48" s="2"/>
      <c r="R48" s="2"/>
      <c r="S48" s="2"/>
      <c r="T48" s="2"/>
      <c r="U48" s="2"/>
      <c r="V48" s="2"/>
      <c r="W48" s="2"/>
    </row>
    <row r="49" spans="1:23" ht="21" customHeight="1">
      <c r="A49" s="275" t="s">
        <v>51</v>
      </c>
      <c r="B49" s="185"/>
      <c r="C49" s="309" t="s">
        <v>126</v>
      </c>
      <c r="D49" s="29" t="s">
        <v>41</v>
      </c>
      <c r="E49" s="34"/>
      <c r="F49" s="34"/>
      <c r="G49" s="34"/>
      <c r="H49" s="34"/>
      <c r="I49" s="34"/>
      <c r="J49" s="36"/>
      <c r="K49" s="36"/>
      <c r="L49" s="35"/>
      <c r="M49" s="35"/>
      <c r="N49" s="141"/>
      <c r="O49" s="4"/>
      <c r="P49" s="2"/>
      <c r="Q49" s="2"/>
      <c r="R49" s="2"/>
      <c r="S49" s="2"/>
      <c r="T49" s="2"/>
      <c r="U49" s="2"/>
      <c r="V49" s="2"/>
      <c r="W49" s="2"/>
    </row>
    <row r="50" spans="1:23" ht="21" customHeight="1">
      <c r="A50" s="186"/>
      <c r="B50" s="187"/>
      <c r="C50" s="61" t="s">
        <v>57</v>
      </c>
      <c r="D50" s="29">
        <f>D48*100/1320</f>
        <v>20.249724747474747</v>
      </c>
      <c r="E50" s="34"/>
      <c r="F50" s="34"/>
      <c r="G50" s="34"/>
      <c r="H50" s="34"/>
      <c r="I50" s="34"/>
      <c r="J50" s="36"/>
      <c r="K50" s="36"/>
      <c r="L50" s="35"/>
      <c r="M50" s="35"/>
      <c r="N50" s="141"/>
      <c r="O50" s="4"/>
      <c r="P50" s="2"/>
      <c r="Q50" s="2"/>
      <c r="R50" s="2"/>
      <c r="S50" s="2"/>
      <c r="T50" s="2"/>
      <c r="U50" s="2"/>
      <c r="V50" s="2"/>
      <c r="W50" s="2"/>
    </row>
    <row r="51" spans="1:23" ht="21" customHeight="1">
      <c r="A51" s="192" t="s">
        <v>96</v>
      </c>
      <c r="B51" s="193"/>
      <c r="C51" s="196"/>
      <c r="D51" s="198">
        <f>D29+D47</f>
        <v>128415.40800000002</v>
      </c>
      <c r="E51" s="93">
        <f>SUM(E16:E42)</f>
        <v>3077.3463999999994</v>
      </c>
      <c r="F51" s="93">
        <f t="shared" ref="F51:H51" si="3">SUM(F16:F42)</f>
        <v>2246.1469999999999</v>
      </c>
      <c r="G51" s="93">
        <f t="shared" si="3"/>
        <v>2551.4247999999998</v>
      </c>
      <c r="H51" s="93">
        <f t="shared" si="3"/>
        <v>1129.2170000000001</v>
      </c>
      <c r="I51" s="202">
        <f>SUM(I16:I42)</f>
        <v>17913.135699999999</v>
      </c>
      <c r="J51" s="202">
        <f>SUM(J16:J42)</f>
        <v>24581.914000000001</v>
      </c>
      <c r="K51" s="204">
        <f>SUM(K16:K42)</f>
        <v>145.53990000000002</v>
      </c>
      <c r="L51" s="206"/>
      <c r="M51" s="206"/>
      <c r="N51" s="257">
        <f>N29+N47</f>
        <v>3960295</v>
      </c>
      <c r="P51" s="2"/>
      <c r="Q51" s="2"/>
      <c r="R51" s="2"/>
      <c r="S51" s="2"/>
      <c r="T51" s="2"/>
      <c r="U51" s="2"/>
      <c r="V51" s="2"/>
    </row>
    <row r="52" spans="1:23" ht="21" customHeight="1">
      <c r="A52" s="194"/>
      <c r="B52" s="195"/>
      <c r="C52" s="197"/>
      <c r="D52" s="199"/>
      <c r="E52" s="208">
        <f>E51+F51</f>
        <v>5323.4933999999994</v>
      </c>
      <c r="F52" s="209"/>
      <c r="G52" s="208">
        <f>G51+H51</f>
        <v>3680.6417999999999</v>
      </c>
      <c r="H52" s="209"/>
      <c r="I52" s="203"/>
      <c r="J52" s="203"/>
      <c r="K52" s="205"/>
      <c r="L52" s="206"/>
      <c r="M52" s="206"/>
      <c r="N52" s="257"/>
      <c r="U52" s="11"/>
      <c r="V52" s="11"/>
    </row>
    <row r="53" spans="1:23" ht="21" customHeight="1">
      <c r="A53" s="210" t="s">
        <v>73</v>
      </c>
      <c r="B53" s="211"/>
      <c r="C53" s="212"/>
      <c r="D53" s="99">
        <f>D51/C10</f>
        <v>713.41893333333348</v>
      </c>
      <c r="E53" s="329">
        <f>E51/C10</f>
        <v>17.096368888888886</v>
      </c>
      <c r="F53" s="104">
        <f>F51/C10</f>
        <v>12.478594444444443</v>
      </c>
      <c r="G53" s="329">
        <f>G51/C10</f>
        <v>14.17458222222222</v>
      </c>
      <c r="H53" s="105">
        <f>H51/C10</f>
        <v>6.273427777777778</v>
      </c>
      <c r="I53" s="269">
        <f>I51/C10</f>
        <v>99.517420555555546</v>
      </c>
      <c r="J53" s="269">
        <f>J51/C10</f>
        <v>136.56618888888889</v>
      </c>
      <c r="K53" s="218">
        <f>K51/C10</f>
        <v>0.80855500000000013</v>
      </c>
      <c r="L53" s="206"/>
      <c r="M53" s="206"/>
      <c r="N53" s="257"/>
      <c r="U53" s="11"/>
      <c r="V53" s="11"/>
    </row>
    <row r="54" spans="1:23" ht="21" customHeight="1">
      <c r="A54" s="213"/>
      <c r="B54" s="214"/>
      <c r="C54" s="215"/>
      <c r="D54" s="96"/>
      <c r="E54" s="279">
        <f>E53+F53</f>
        <v>29.574963333333329</v>
      </c>
      <c r="F54" s="278"/>
      <c r="G54" s="279">
        <f>G53+H53</f>
        <v>20.448009999999996</v>
      </c>
      <c r="H54" s="278"/>
      <c r="I54" s="253"/>
      <c r="J54" s="253"/>
      <c r="K54" s="219"/>
      <c r="L54" s="206"/>
      <c r="M54" s="206"/>
      <c r="N54" s="257"/>
      <c r="P54" s="297"/>
      <c r="Q54" s="299"/>
      <c r="R54" s="299"/>
      <c r="S54" s="299"/>
      <c r="T54" s="299"/>
      <c r="U54" s="311"/>
      <c r="V54" s="311"/>
    </row>
    <row r="55" spans="1:23" ht="21" customHeight="1">
      <c r="A55" s="312" t="s">
        <v>74</v>
      </c>
      <c r="B55" s="313"/>
      <c r="C55" s="314"/>
      <c r="D55" s="315" t="s">
        <v>27</v>
      </c>
      <c r="E55" s="159" t="s">
        <v>21</v>
      </c>
      <c r="F55" s="159"/>
      <c r="G55" s="159" t="s">
        <v>22</v>
      </c>
      <c r="H55" s="159"/>
      <c r="I55" s="140" t="s">
        <v>23</v>
      </c>
      <c r="J55" s="316">
        <v>600</v>
      </c>
      <c r="K55" s="316">
        <v>0.74</v>
      </c>
      <c r="L55" s="206"/>
      <c r="M55" s="206"/>
      <c r="N55" s="257"/>
      <c r="O55" s="317"/>
      <c r="P55" s="318"/>
      <c r="Q55" s="299"/>
      <c r="R55" s="299"/>
      <c r="S55" s="299"/>
      <c r="T55" s="299"/>
      <c r="U55" s="299"/>
      <c r="V55" s="299"/>
    </row>
    <row r="56" spans="1:23" ht="21" customHeight="1">
      <c r="A56" s="223" t="s">
        <v>67</v>
      </c>
      <c r="B56" s="224"/>
      <c r="C56" s="225"/>
      <c r="D56" s="19"/>
      <c r="E56" s="226">
        <f>E54*4.1</f>
        <v>121.25734966666664</v>
      </c>
      <c r="F56" s="227"/>
      <c r="G56" s="226">
        <f>G54*9</f>
        <v>184.03208999999998</v>
      </c>
      <c r="H56" s="227"/>
      <c r="I56" s="67">
        <f>I53*4.1</f>
        <v>408.02142427777773</v>
      </c>
      <c r="J56" s="228"/>
      <c r="K56" s="228"/>
      <c r="L56" s="206"/>
      <c r="M56" s="206"/>
      <c r="N56" s="257"/>
      <c r="O56" s="317"/>
      <c r="P56" s="319"/>
      <c r="Q56" s="296"/>
      <c r="R56" s="296"/>
      <c r="S56" s="296"/>
      <c r="T56" s="297"/>
      <c r="U56" s="297"/>
      <c r="V56" s="297"/>
    </row>
    <row r="57" spans="1:23" ht="21" customHeight="1">
      <c r="A57" s="231" t="s">
        <v>68</v>
      </c>
      <c r="B57" s="232"/>
      <c r="C57" s="223" t="s">
        <v>57</v>
      </c>
      <c r="D57" s="225"/>
      <c r="E57" s="285">
        <f>E56*100/D53</f>
        <v>16.996654279991066</v>
      </c>
      <c r="F57" s="286"/>
      <c r="G57" s="285">
        <f>G56*100/D53</f>
        <v>25.795795626020197</v>
      </c>
      <c r="H57" s="286"/>
      <c r="I57" s="133">
        <f>I56*100/D53</f>
        <v>57.192401997430068</v>
      </c>
      <c r="J57" s="229"/>
      <c r="K57" s="229"/>
      <c r="L57" s="206"/>
      <c r="M57" s="206"/>
      <c r="N57" s="257"/>
      <c r="O57" s="317"/>
      <c r="P57" s="297"/>
      <c r="Q57" s="298"/>
      <c r="R57" s="297"/>
      <c r="S57" s="297"/>
      <c r="T57" s="297"/>
      <c r="U57" s="297"/>
      <c r="V57" s="297"/>
    </row>
    <row r="58" spans="1:23" ht="21" customHeight="1">
      <c r="A58" s="233"/>
      <c r="B58" s="234"/>
      <c r="C58" s="223" t="s">
        <v>69</v>
      </c>
      <c r="D58" s="225"/>
      <c r="E58" s="223" t="s">
        <v>70</v>
      </c>
      <c r="F58" s="225"/>
      <c r="G58" s="223" t="s">
        <v>71</v>
      </c>
      <c r="H58" s="225"/>
      <c r="I58" s="315" t="s">
        <v>72</v>
      </c>
      <c r="J58" s="230"/>
      <c r="K58" s="230"/>
      <c r="L58" s="206"/>
      <c r="M58" s="206"/>
      <c r="N58" s="257"/>
      <c r="O58" s="317"/>
      <c r="P58" s="82"/>
    </row>
    <row r="59" spans="1:23" ht="21" customHeight="1">
      <c r="A59" s="69"/>
      <c r="B59" s="70"/>
      <c r="C59" s="69"/>
      <c r="D59" s="69"/>
      <c r="E59" s="69"/>
      <c r="F59" s="69"/>
      <c r="G59" s="69"/>
      <c r="H59" s="69"/>
      <c r="I59" s="69"/>
      <c r="J59" s="69"/>
      <c r="K59" s="69"/>
      <c r="L59" s="71"/>
      <c r="M59" s="71"/>
      <c r="N59" s="72"/>
      <c r="O59" s="317"/>
    </row>
    <row r="60" spans="1:23" ht="21" customHeight="1">
      <c r="A60" s="220" t="s">
        <v>97</v>
      </c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317"/>
    </row>
    <row r="61" spans="1:23" ht="21" customHeight="1">
      <c r="A61" s="85" t="s">
        <v>98</v>
      </c>
      <c r="B61" s="221" t="s">
        <v>113</v>
      </c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317"/>
    </row>
    <row r="62" spans="1:23" ht="21" customHeight="1">
      <c r="A62" s="86"/>
      <c r="B62" s="222" t="s">
        <v>171</v>
      </c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317"/>
    </row>
    <row r="63" spans="1:23" ht="21" customHeight="1">
      <c r="A63" s="86"/>
      <c r="B63" s="222" t="s">
        <v>155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317"/>
    </row>
    <row r="64" spans="1:23" ht="21" customHeight="1">
      <c r="A64" s="86"/>
      <c r="B64" s="222" t="s">
        <v>156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317"/>
    </row>
    <row r="65" spans="1:15" ht="21" customHeight="1">
      <c r="A65" s="69"/>
      <c r="B65" s="237" t="s">
        <v>104</v>
      </c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317"/>
    </row>
    <row r="66" spans="1:15" ht="21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87"/>
      <c r="M66" s="87"/>
      <c r="N66" s="88"/>
      <c r="O66" s="317"/>
    </row>
    <row r="67" spans="1:15" ht="21" customHeight="1">
      <c r="A67" s="238" t="s">
        <v>59</v>
      </c>
      <c r="B67" s="238"/>
      <c r="C67" s="238"/>
      <c r="D67" s="238"/>
      <c r="E67" s="321"/>
      <c r="F67" s="321"/>
      <c r="G67" s="321"/>
      <c r="H67" s="321"/>
      <c r="I67" s="321"/>
      <c r="J67" s="322" t="s">
        <v>36</v>
      </c>
      <c r="K67" s="322"/>
      <c r="L67" s="322"/>
      <c r="M67" s="322"/>
      <c r="N67" s="322"/>
      <c r="O67" s="317"/>
    </row>
    <row r="68" spans="1:15" ht="21" customHeight="1">
      <c r="A68" s="136"/>
      <c r="B68" s="136"/>
      <c r="C68" s="136"/>
      <c r="D68" s="321"/>
      <c r="E68" s="321"/>
      <c r="F68" s="321"/>
      <c r="G68" s="321"/>
      <c r="H68" s="323"/>
      <c r="I68" s="323"/>
      <c r="J68" s="323"/>
      <c r="K68" s="323"/>
      <c r="L68" s="323"/>
      <c r="M68" s="323"/>
      <c r="N68" s="323"/>
      <c r="O68" s="317"/>
    </row>
    <row r="69" spans="1:15" ht="21" customHeight="1">
      <c r="A69" s="136"/>
      <c r="B69" s="136"/>
      <c r="C69" s="136"/>
      <c r="D69" s="321"/>
      <c r="E69" s="321"/>
      <c r="F69" s="321"/>
      <c r="G69" s="321"/>
      <c r="H69" s="323"/>
      <c r="I69" s="323"/>
      <c r="J69" s="323"/>
      <c r="K69" s="323"/>
      <c r="L69" s="323"/>
      <c r="M69" s="323"/>
      <c r="N69" s="323"/>
      <c r="O69" s="317"/>
    </row>
    <row r="70" spans="1:15" ht="21" customHeight="1">
      <c r="A70" s="136"/>
      <c r="B70" s="136"/>
      <c r="C70" s="136"/>
      <c r="D70" s="321"/>
      <c r="E70" s="321"/>
      <c r="F70" s="321"/>
      <c r="G70" s="321"/>
      <c r="H70" s="323"/>
      <c r="I70" s="323"/>
      <c r="J70" s="324" t="s">
        <v>100</v>
      </c>
      <c r="K70" s="324"/>
      <c r="L70" s="324"/>
      <c r="M70" s="324"/>
      <c r="N70" s="324"/>
      <c r="O70" s="317"/>
    </row>
    <row r="71" spans="1:15" ht="21" customHeight="1">
      <c r="A71" s="239" t="s">
        <v>82</v>
      </c>
      <c r="B71" s="239"/>
      <c r="C71" s="239"/>
      <c r="D71" s="239"/>
      <c r="E71" s="321"/>
      <c r="F71" s="321"/>
      <c r="G71" s="321"/>
      <c r="H71" s="323"/>
      <c r="I71" s="323"/>
      <c r="J71" s="324"/>
      <c r="K71" s="324"/>
      <c r="L71" s="324"/>
      <c r="M71" s="324"/>
      <c r="N71" s="324"/>
      <c r="O71" s="317"/>
    </row>
    <row r="72" spans="1:15" ht="21" customHeight="1">
      <c r="A72" s="136"/>
      <c r="B72" s="136"/>
      <c r="C72" s="136"/>
      <c r="D72" s="321"/>
      <c r="E72" s="321"/>
      <c r="F72" s="321"/>
      <c r="G72" s="321"/>
      <c r="H72" s="323"/>
      <c r="I72" s="323"/>
      <c r="J72" s="323"/>
      <c r="K72" s="323"/>
      <c r="L72" s="323"/>
      <c r="M72" s="323"/>
      <c r="N72" s="323"/>
      <c r="O72" s="317"/>
    </row>
    <row r="73" spans="1:15" ht="21" customHeight="1">
      <c r="A73" s="136"/>
      <c r="B73" s="136"/>
      <c r="C73" s="136"/>
      <c r="D73" s="321"/>
      <c r="E73" s="321"/>
      <c r="F73" s="321"/>
      <c r="G73" s="321"/>
      <c r="H73" s="323"/>
      <c r="I73" s="323"/>
      <c r="J73" s="324" t="s">
        <v>111</v>
      </c>
      <c r="K73" s="324"/>
      <c r="L73" s="324"/>
      <c r="M73" s="324"/>
      <c r="N73" s="324"/>
      <c r="O73" s="317"/>
    </row>
    <row r="74" spans="1:15" ht="21" customHeight="1">
      <c r="A74" s="136"/>
      <c r="B74" s="136"/>
      <c r="C74" s="136"/>
      <c r="D74" s="321"/>
      <c r="E74" s="321"/>
      <c r="F74" s="321"/>
      <c r="G74" s="321"/>
      <c r="H74" s="323"/>
      <c r="I74" s="323"/>
      <c r="J74" s="323"/>
      <c r="K74" s="323"/>
      <c r="L74" s="323"/>
      <c r="M74" s="323"/>
      <c r="N74" s="323"/>
      <c r="O74" s="317"/>
    </row>
    <row r="75" spans="1:15" ht="21" customHeight="1">
      <c r="A75" s="136"/>
      <c r="B75" s="136"/>
      <c r="C75" s="136"/>
      <c r="D75" s="321"/>
      <c r="E75" s="321"/>
      <c r="F75" s="321"/>
      <c r="G75" s="321"/>
      <c r="H75" s="323"/>
      <c r="I75" s="323"/>
      <c r="J75" s="323"/>
      <c r="K75" s="323"/>
      <c r="L75" s="323"/>
      <c r="M75" s="323"/>
      <c r="N75" s="323"/>
      <c r="O75" s="317"/>
    </row>
    <row r="76" spans="1:15" ht="21" customHeight="1">
      <c r="A76" s="136"/>
      <c r="B76" s="136"/>
      <c r="C76" s="136"/>
      <c r="D76" s="321"/>
      <c r="E76" s="321"/>
      <c r="F76" s="321"/>
      <c r="G76" s="321"/>
      <c r="H76" s="323"/>
      <c r="I76" s="323"/>
      <c r="J76" s="323"/>
      <c r="K76" s="323"/>
      <c r="L76" s="323"/>
      <c r="M76" s="323"/>
      <c r="N76" s="323"/>
      <c r="O76" s="317"/>
    </row>
    <row r="77" spans="1:15" ht="21" customHeight="1">
      <c r="A77" s="136"/>
      <c r="B77" s="136"/>
      <c r="C77" s="136"/>
      <c r="D77" s="321"/>
      <c r="E77" s="321"/>
      <c r="F77" s="321"/>
      <c r="G77" s="321"/>
      <c r="H77" s="323"/>
      <c r="I77" s="323"/>
      <c r="J77" s="323"/>
      <c r="K77" s="323"/>
      <c r="L77" s="323"/>
      <c r="M77" s="323"/>
      <c r="N77" s="323"/>
      <c r="O77" s="317"/>
    </row>
    <row r="78" spans="1:15" ht="21" customHeight="1">
      <c r="A78" s="136"/>
      <c r="B78" s="136"/>
      <c r="C78" s="136"/>
      <c r="D78" s="321"/>
      <c r="E78" s="321"/>
      <c r="F78" s="321"/>
      <c r="G78" s="321"/>
      <c r="H78" s="323"/>
      <c r="I78" s="323"/>
      <c r="J78" s="323"/>
      <c r="K78" s="323"/>
      <c r="L78" s="323"/>
      <c r="M78" s="323"/>
      <c r="N78" s="323"/>
      <c r="O78" s="317"/>
    </row>
    <row r="79" spans="1:15" ht="21" customHeight="1">
      <c r="A79" s="136"/>
      <c r="B79" s="136"/>
      <c r="C79" s="136"/>
      <c r="D79" s="321"/>
      <c r="E79" s="321"/>
      <c r="F79" s="321"/>
      <c r="G79" s="321"/>
      <c r="H79" s="323"/>
      <c r="I79" s="323"/>
      <c r="J79" s="323"/>
      <c r="K79" s="323"/>
      <c r="L79" s="323"/>
      <c r="M79" s="323"/>
      <c r="N79" s="323"/>
      <c r="O79" s="317"/>
    </row>
    <row r="80" spans="1:15" ht="21" customHeight="1">
      <c r="A80" s="136"/>
      <c r="B80" s="136"/>
      <c r="C80" s="136"/>
      <c r="D80" s="321"/>
      <c r="E80" s="321"/>
      <c r="F80" s="321"/>
      <c r="G80" s="321"/>
      <c r="H80" s="323"/>
      <c r="I80" s="323"/>
      <c r="J80" s="323"/>
      <c r="K80" s="323"/>
      <c r="L80" s="323"/>
      <c r="M80" s="323"/>
      <c r="N80" s="323"/>
      <c r="O80" s="317"/>
    </row>
    <row r="81" spans="1:20" ht="21" customHeight="1">
      <c r="A81" s="136"/>
      <c r="B81" s="136"/>
      <c r="C81" s="136"/>
      <c r="D81" s="321"/>
      <c r="E81" s="321"/>
      <c r="F81" s="321"/>
      <c r="G81" s="321"/>
      <c r="H81" s="323"/>
      <c r="I81" s="323"/>
      <c r="J81" s="323"/>
      <c r="K81" s="323"/>
      <c r="L81" s="323"/>
      <c r="M81" s="323"/>
      <c r="N81" s="323"/>
      <c r="O81" s="317"/>
    </row>
    <row r="82" spans="1:20" ht="21" customHeight="1">
      <c r="A82" s="136"/>
      <c r="B82" s="136"/>
      <c r="C82" s="136"/>
      <c r="D82" s="321"/>
      <c r="E82" s="321"/>
      <c r="F82" s="321"/>
      <c r="G82" s="321"/>
      <c r="H82" s="323"/>
      <c r="I82" s="323"/>
      <c r="J82" s="323"/>
      <c r="K82" s="323"/>
      <c r="L82" s="323"/>
      <c r="M82" s="323"/>
      <c r="N82" s="323"/>
      <c r="O82" s="317"/>
    </row>
    <row r="83" spans="1:20" s="115" customFormat="1" ht="18" customHeight="1">
      <c r="A83" s="113" t="s">
        <v>58</v>
      </c>
      <c r="B83" s="114"/>
      <c r="C83" s="114"/>
      <c r="D83" s="114"/>
      <c r="E83" s="114"/>
      <c r="F83" s="287" t="s">
        <v>31</v>
      </c>
      <c r="G83" s="287"/>
      <c r="H83" s="287"/>
      <c r="I83" s="287"/>
      <c r="J83" s="287"/>
      <c r="K83" s="287"/>
      <c r="L83" s="287"/>
      <c r="M83" s="287"/>
      <c r="N83" s="287"/>
      <c r="O83" s="330"/>
      <c r="P83" s="330"/>
    </row>
    <row r="84" spans="1:20" ht="18" customHeight="1">
      <c r="A84" s="7" t="s">
        <v>160</v>
      </c>
      <c r="B84" s="7"/>
      <c r="C84" s="7"/>
      <c r="D84" s="7"/>
      <c r="E84" s="7"/>
      <c r="F84" s="139"/>
      <c r="G84" s="139"/>
      <c r="H84" s="139"/>
      <c r="I84" s="139"/>
      <c r="J84" s="139"/>
      <c r="K84" s="139"/>
      <c r="L84" s="139"/>
      <c r="M84" s="139"/>
      <c r="N84" s="139"/>
      <c r="O84" s="300"/>
      <c r="P84" s="300"/>
      <c r="T84" s="2"/>
    </row>
    <row r="85" spans="1:20" s="2" customFormat="1" ht="13.2" customHeight="1">
      <c r="A85" s="159" t="s">
        <v>92</v>
      </c>
      <c r="B85" s="159"/>
      <c r="C85" s="159"/>
      <c r="D85" s="159"/>
      <c r="E85" s="159" t="s">
        <v>80</v>
      </c>
      <c r="F85" s="159"/>
      <c r="G85" s="159"/>
      <c r="H85" s="159"/>
      <c r="I85" s="159"/>
      <c r="J85" s="159"/>
      <c r="K85" s="159"/>
      <c r="L85" s="159"/>
      <c r="M85" s="159"/>
      <c r="N85" s="159"/>
      <c r="O85" s="301"/>
    </row>
    <row r="86" spans="1:20" s="2" customFormat="1" ht="18" customHeight="1">
      <c r="A86" s="159"/>
      <c r="B86" s="159"/>
      <c r="C86" s="159"/>
      <c r="D86" s="159"/>
      <c r="E86" s="159" t="s">
        <v>91</v>
      </c>
      <c r="F86" s="159"/>
      <c r="G86" s="159"/>
      <c r="H86" s="159"/>
      <c r="I86" s="159"/>
      <c r="J86" s="159" t="s">
        <v>93</v>
      </c>
      <c r="K86" s="159"/>
      <c r="L86" s="159"/>
      <c r="M86" s="159"/>
      <c r="N86" s="159"/>
      <c r="O86" s="301"/>
    </row>
    <row r="87" spans="1:20" s="2" customFormat="1" ht="18" customHeight="1">
      <c r="A87" s="160" t="s">
        <v>81</v>
      </c>
      <c r="B87" s="160"/>
      <c r="C87" s="160"/>
      <c r="D87" s="160"/>
      <c r="E87" s="161" t="s">
        <v>141</v>
      </c>
      <c r="F87" s="161"/>
      <c r="G87" s="161"/>
      <c r="H87" s="161"/>
      <c r="I87" s="161"/>
      <c r="J87" s="240" t="s">
        <v>81</v>
      </c>
      <c r="K87" s="241"/>
      <c r="L87" s="241"/>
      <c r="M87" s="241"/>
      <c r="N87" s="242"/>
      <c r="O87" s="301"/>
    </row>
    <row r="88" spans="1:20" s="2" customFormat="1" ht="18" customHeight="1">
      <c r="A88" s="280" t="s">
        <v>134</v>
      </c>
      <c r="B88" s="281"/>
      <c r="C88" s="281"/>
      <c r="D88" s="282"/>
      <c r="E88" s="161"/>
      <c r="F88" s="161"/>
      <c r="G88" s="161"/>
      <c r="H88" s="161"/>
      <c r="I88" s="161"/>
      <c r="J88" s="270" t="s">
        <v>86</v>
      </c>
      <c r="K88" s="271"/>
      <c r="L88" s="271"/>
      <c r="M88" s="271"/>
      <c r="N88" s="271"/>
      <c r="O88" s="301"/>
    </row>
    <row r="89" spans="1:20" s="2" customFormat="1" ht="18" customHeight="1">
      <c r="A89" s="283" t="s">
        <v>133</v>
      </c>
      <c r="B89" s="283"/>
      <c r="C89" s="283"/>
      <c r="D89" s="283"/>
      <c r="E89" s="161"/>
      <c r="F89" s="161"/>
      <c r="G89" s="161"/>
      <c r="H89" s="161"/>
      <c r="I89" s="161"/>
      <c r="J89" s="243" t="s">
        <v>87</v>
      </c>
      <c r="K89" s="244"/>
      <c r="L89" s="244"/>
      <c r="M89" s="244"/>
      <c r="N89" s="245"/>
      <c r="O89" s="301"/>
    </row>
    <row r="90" spans="1:20" ht="18" customHeight="1">
      <c r="A90" s="266" t="s">
        <v>107</v>
      </c>
      <c r="B90" s="266"/>
      <c r="C90" s="264">
        <v>50</v>
      </c>
      <c r="D90" s="264"/>
      <c r="E90" s="7"/>
      <c r="F90" s="139"/>
      <c r="G90" s="139"/>
      <c r="H90" s="139"/>
      <c r="I90" s="139"/>
      <c r="J90" s="139"/>
      <c r="K90" s="139"/>
      <c r="L90" s="139"/>
      <c r="M90" s="139"/>
      <c r="N90" s="139"/>
      <c r="O90" s="300"/>
      <c r="P90" s="300"/>
      <c r="T90" s="2"/>
    </row>
    <row r="91" spans="1:20" ht="18" customHeight="1">
      <c r="A91" s="145" t="s">
        <v>0</v>
      </c>
      <c r="B91" s="148" t="s">
        <v>19</v>
      </c>
      <c r="C91" s="151" t="s">
        <v>8</v>
      </c>
      <c r="D91" s="151" t="s">
        <v>9</v>
      </c>
      <c r="E91" s="154" t="s">
        <v>11</v>
      </c>
      <c r="F91" s="155"/>
      <c r="G91" s="154" t="s">
        <v>13</v>
      </c>
      <c r="H91" s="155"/>
      <c r="I91" s="173" t="s">
        <v>16</v>
      </c>
      <c r="J91" s="173" t="s">
        <v>32</v>
      </c>
      <c r="K91" s="173" t="s">
        <v>33</v>
      </c>
      <c r="L91" s="173" t="s">
        <v>17</v>
      </c>
      <c r="M91" s="173" t="s">
        <v>34</v>
      </c>
      <c r="N91" s="145" t="s">
        <v>18</v>
      </c>
      <c r="O91" s="302"/>
    </row>
    <row r="92" spans="1:20" ht="18" customHeight="1">
      <c r="A92" s="146"/>
      <c r="B92" s="149"/>
      <c r="C92" s="152"/>
      <c r="D92" s="152"/>
      <c r="E92" s="156"/>
      <c r="F92" s="157"/>
      <c r="G92" s="156"/>
      <c r="H92" s="157"/>
      <c r="I92" s="181"/>
      <c r="J92" s="181"/>
      <c r="K92" s="181"/>
      <c r="L92" s="181"/>
      <c r="M92" s="181"/>
      <c r="N92" s="146"/>
      <c r="O92" s="136"/>
    </row>
    <row r="93" spans="1:20" ht="18" customHeight="1">
      <c r="A93" s="146"/>
      <c r="B93" s="149"/>
      <c r="C93" s="152"/>
      <c r="D93" s="152"/>
      <c r="E93" s="173" t="s">
        <v>10</v>
      </c>
      <c r="F93" s="173" t="s">
        <v>12</v>
      </c>
      <c r="G93" s="173" t="s">
        <v>14</v>
      </c>
      <c r="H93" s="173" t="s">
        <v>15</v>
      </c>
      <c r="I93" s="181"/>
      <c r="J93" s="181"/>
      <c r="K93" s="181"/>
      <c r="L93" s="181"/>
      <c r="M93" s="181"/>
      <c r="N93" s="146"/>
      <c r="O93" s="136"/>
    </row>
    <row r="94" spans="1:20" ht="18" customHeight="1">
      <c r="A94" s="147"/>
      <c r="B94" s="150"/>
      <c r="C94" s="153"/>
      <c r="D94" s="153"/>
      <c r="E94" s="174"/>
      <c r="F94" s="174"/>
      <c r="G94" s="174"/>
      <c r="H94" s="174"/>
      <c r="I94" s="174"/>
      <c r="J94" s="174"/>
      <c r="K94" s="174"/>
      <c r="L94" s="174"/>
      <c r="M94" s="174"/>
      <c r="N94" s="147"/>
      <c r="O94" s="136"/>
    </row>
    <row r="95" spans="1:20" ht="18" customHeight="1">
      <c r="A95" s="178" t="s">
        <v>42</v>
      </c>
      <c r="B95" s="179"/>
      <c r="C95" s="179"/>
      <c r="D95" s="179"/>
      <c r="E95" s="179"/>
      <c r="F95" s="179"/>
      <c r="G95" s="179"/>
      <c r="H95" s="179"/>
      <c r="I95" s="179"/>
      <c r="J95" s="179"/>
      <c r="K95" s="179"/>
      <c r="L95" s="179"/>
      <c r="M95" s="179"/>
      <c r="N95" s="180"/>
      <c r="O95" s="136"/>
    </row>
    <row r="96" spans="1:20" s="2" customFormat="1" ht="18" customHeight="1">
      <c r="A96" s="8">
        <v>1</v>
      </c>
      <c r="B96" s="9" t="s">
        <v>2</v>
      </c>
      <c r="C96" s="12">
        <f t="shared" ref="C96:C99" si="4">L96/100*100</f>
        <v>30</v>
      </c>
      <c r="D96" s="13">
        <f>C96/100*60</f>
        <v>18</v>
      </c>
      <c r="E96" s="14">
        <f>C96/100*15</f>
        <v>4.5</v>
      </c>
      <c r="F96" s="14"/>
      <c r="G96" s="14"/>
      <c r="H96" s="14"/>
      <c r="I96" s="14"/>
      <c r="J96" s="22">
        <f>C96/100*387</f>
        <v>116.1</v>
      </c>
      <c r="K96" s="22">
        <f>C96/100*0.09</f>
        <v>2.7E-2</v>
      </c>
      <c r="L96" s="109">
        <v>30</v>
      </c>
      <c r="M96" s="20">
        <v>20</v>
      </c>
      <c r="N96" s="16">
        <f>L96*M96</f>
        <v>600</v>
      </c>
      <c r="O96" s="304"/>
    </row>
    <row r="97" spans="1:23" s="2" customFormat="1" ht="18" customHeight="1">
      <c r="A97" s="8">
        <v>2</v>
      </c>
      <c r="B97" s="9" t="s">
        <v>116</v>
      </c>
      <c r="C97" s="12">
        <f t="shared" si="4"/>
        <v>300</v>
      </c>
      <c r="D97" s="13">
        <f>C97/100*53</f>
        <v>159</v>
      </c>
      <c r="E97" s="14"/>
      <c r="F97" s="14">
        <f>C97/100*6.3</f>
        <v>18.899999999999999</v>
      </c>
      <c r="G97" s="14"/>
      <c r="H97" s="14">
        <f>C97/100*0.04</f>
        <v>0.12</v>
      </c>
      <c r="I97" s="14">
        <f>C97/100*6.8</f>
        <v>20.399999999999999</v>
      </c>
      <c r="J97" s="22">
        <f>C97/100*19</f>
        <v>57</v>
      </c>
      <c r="K97" s="22">
        <f>C97/100*0.03</f>
        <v>0.09</v>
      </c>
      <c r="L97" s="109">
        <v>300</v>
      </c>
      <c r="M97" s="20">
        <v>42.5</v>
      </c>
      <c r="N97" s="16">
        <f t="shared" ref="N97:N105" si="5">L97*M97</f>
        <v>12750</v>
      </c>
      <c r="O97" s="306"/>
    </row>
    <row r="98" spans="1:23" s="2" customFormat="1" ht="18" customHeight="1">
      <c r="A98" s="8">
        <v>3</v>
      </c>
      <c r="B98" s="9" t="s">
        <v>121</v>
      </c>
      <c r="C98" s="12">
        <f t="shared" si="4"/>
        <v>270</v>
      </c>
      <c r="D98" s="64">
        <f>C98/100*900</f>
        <v>2430</v>
      </c>
      <c r="E98" s="14"/>
      <c r="F98" s="14"/>
      <c r="G98" s="89"/>
      <c r="H98" s="14">
        <f>C98/100*100</f>
        <v>270</v>
      </c>
      <c r="I98" s="14"/>
      <c r="J98" s="14"/>
      <c r="K98" s="14"/>
      <c r="L98" s="109">
        <v>270</v>
      </c>
      <c r="M98" s="64">
        <v>63.5</v>
      </c>
      <c r="N98" s="91">
        <f t="shared" si="5"/>
        <v>17145</v>
      </c>
      <c r="O98" s="305"/>
    </row>
    <row r="99" spans="1:23" s="2" customFormat="1" ht="18" customHeight="1">
      <c r="A99" s="8">
        <v>4</v>
      </c>
      <c r="B99" s="5" t="s">
        <v>1</v>
      </c>
      <c r="C99" s="12">
        <f t="shared" si="4"/>
        <v>2150</v>
      </c>
      <c r="D99" s="13">
        <f>C99/100*344</f>
        <v>7396</v>
      </c>
      <c r="E99" s="14"/>
      <c r="F99" s="14">
        <f>C99/100*7.9</f>
        <v>169.85</v>
      </c>
      <c r="G99" s="14"/>
      <c r="H99" s="14">
        <f>C99/100*1</f>
        <v>21.5</v>
      </c>
      <c r="I99" s="89">
        <f>C99/100*71.9</f>
        <v>1545.8500000000001</v>
      </c>
      <c r="J99" s="22">
        <f>C99/100*30</f>
        <v>645</v>
      </c>
      <c r="K99" s="22">
        <f>C99/100*0.1</f>
        <v>2.15</v>
      </c>
      <c r="L99" s="109">
        <v>2150</v>
      </c>
      <c r="M99" s="20">
        <v>18</v>
      </c>
      <c r="N99" s="16">
        <f t="shared" si="5"/>
        <v>38700</v>
      </c>
      <c r="O99" s="304"/>
    </row>
    <row r="100" spans="1:23" s="2" customFormat="1" ht="18" customHeight="1">
      <c r="A100" s="8">
        <v>5</v>
      </c>
      <c r="B100" s="9" t="s">
        <v>123</v>
      </c>
      <c r="C100" s="12">
        <f>L100/100*90</f>
        <v>45</v>
      </c>
      <c r="D100" s="13">
        <f>C100/100*281</f>
        <v>126.45</v>
      </c>
      <c r="E100" s="14"/>
      <c r="F100" s="14">
        <f>C100/100*9.5</f>
        <v>4.2750000000000004</v>
      </c>
      <c r="G100" s="14"/>
      <c r="H100" s="14">
        <f>C100/100*0.2</f>
        <v>9.0000000000000011E-2</v>
      </c>
      <c r="I100" s="14">
        <f>D100/100*58.5</f>
        <v>73.973249999999993</v>
      </c>
      <c r="J100" s="22">
        <f>C100/100*321</f>
        <v>144.45000000000002</v>
      </c>
      <c r="K100" s="22">
        <f>C100/100*0.14</f>
        <v>6.3000000000000014E-2</v>
      </c>
      <c r="L100" s="109">
        <v>50</v>
      </c>
      <c r="M100" s="43">
        <v>120</v>
      </c>
      <c r="N100" s="16">
        <f t="shared" si="5"/>
        <v>6000</v>
      </c>
      <c r="O100" s="306"/>
    </row>
    <row r="101" spans="1:23" s="2" customFormat="1" ht="18" customHeight="1">
      <c r="A101" s="8">
        <v>6</v>
      </c>
      <c r="B101" s="5" t="s">
        <v>135</v>
      </c>
      <c r="C101" s="12">
        <f>L101/100*31</f>
        <v>235.6</v>
      </c>
      <c r="D101" s="13">
        <f>C101/100*87</f>
        <v>204.97199999999998</v>
      </c>
      <c r="E101" s="14">
        <f>C101/100*12.3</f>
        <v>28.9788</v>
      </c>
      <c r="F101" s="14"/>
      <c r="G101" s="14">
        <f>C101/100*3.3</f>
        <v>7.774799999999999</v>
      </c>
      <c r="H101" s="14"/>
      <c r="I101" s="14">
        <f>C101/100*2</f>
        <v>4.7119999999999997</v>
      </c>
      <c r="J101" s="63">
        <f>C101/100*1120</f>
        <v>2638.72</v>
      </c>
      <c r="K101" s="22">
        <f>C101/100*0.01</f>
        <v>2.3559999999999998E-2</v>
      </c>
      <c r="L101" s="109">
        <v>760</v>
      </c>
      <c r="M101" s="20">
        <v>160</v>
      </c>
      <c r="N101" s="91">
        <f t="shared" si="5"/>
        <v>121600</v>
      </c>
      <c r="O101" s="304"/>
      <c r="Q101" s="3"/>
      <c r="R101" s="3"/>
      <c r="S101" s="4"/>
    </row>
    <row r="102" spans="1:23" s="2" customFormat="1" ht="18" customHeight="1">
      <c r="A102" s="8">
        <v>7</v>
      </c>
      <c r="B102" s="5" t="s">
        <v>3</v>
      </c>
      <c r="C102" s="12">
        <f>L102/100*48</f>
        <v>782.40000000000009</v>
      </c>
      <c r="D102" s="13">
        <f>C102/100*199</f>
        <v>1556.9760000000001</v>
      </c>
      <c r="E102" s="14">
        <f>C102/100*20.3</f>
        <v>158.82720000000003</v>
      </c>
      <c r="F102" s="14"/>
      <c r="G102" s="14">
        <f>C102/100*13.1</f>
        <v>102.49440000000001</v>
      </c>
      <c r="H102" s="14"/>
      <c r="I102" s="14"/>
      <c r="J102" s="22">
        <f>C102/100*12</f>
        <v>93.888000000000005</v>
      </c>
      <c r="K102" s="22">
        <f>C102/100*0.15</f>
        <v>1.1736</v>
      </c>
      <c r="L102" s="109">
        <v>1630</v>
      </c>
      <c r="M102" s="15">
        <v>84</v>
      </c>
      <c r="N102" s="16">
        <f t="shared" si="5"/>
        <v>136920</v>
      </c>
      <c r="O102" s="304"/>
      <c r="Q102" s="3"/>
      <c r="R102" s="3"/>
      <c r="S102" s="4"/>
    </row>
    <row r="103" spans="1:23" s="2" customFormat="1" ht="18" customHeight="1">
      <c r="A103" s="8">
        <v>8</v>
      </c>
      <c r="B103" s="9" t="s">
        <v>65</v>
      </c>
      <c r="C103" s="12">
        <f>L103/100*98</f>
        <v>1617</v>
      </c>
      <c r="D103" s="13">
        <f>C103/100*139</f>
        <v>2247.63</v>
      </c>
      <c r="E103" s="14">
        <f>C103/100*19</f>
        <v>307.23</v>
      </c>
      <c r="F103" s="14"/>
      <c r="G103" s="14">
        <f>C103/100*7</f>
        <v>113.19000000000001</v>
      </c>
      <c r="H103" s="14"/>
      <c r="I103" s="14"/>
      <c r="J103" s="22">
        <f>C103/100*7</f>
        <v>113.19000000000001</v>
      </c>
      <c r="K103" s="22">
        <f>C103/100*0.9</f>
        <v>14.553000000000003</v>
      </c>
      <c r="L103" s="109">
        <v>1650</v>
      </c>
      <c r="M103" s="15">
        <v>137</v>
      </c>
      <c r="N103" s="16">
        <f t="shared" si="5"/>
        <v>226050</v>
      </c>
      <c r="O103" s="304"/>
    </row>
    <row r="104" spans="1:23" s="2" customFormat="1" ht="18" customHeight="1">
      <c r="A104" s="8">
        <v>9</v>
      </c>
      <c r="B104" s="5" t="s">
        <v>114</v>
      </c>
      <c r="C104" s="12">
        <f>L104/100*100</f>
        <v>40</v>
      </c>
      <c r="D104" s="13">
        <f>C104/100*247</f>
        <v>98.800000000000011</v>
      </c>
      <c r="E104" s="17"/>
      <c r="F104" s="17">
        <f>C104/100*17.5</f>
        <v>7</v>
      </c>
      <c r="G104" s="17"/>
      <c r="H104" s="17">
        <f>C104/100*1.6</f>
        <v>0.64000000000000012</v>
      </c>
      <c r="I104" s="17">
        <f>C104/100*39.2</f>
        <v>15.680000000000001</v>
      </c>
      <c r="J104" s="21"/>
      <c r="K104" s="21"/>
      <c r="L104" s="308">
        <v>40</v>
      </c>
      <c r="M104" s="20">
        <v>50</v>
      </c>
      <c r="N104" s="16">
        <f t="shared" si="5"/>
        <v>2000</v>
      </c>
      <c r="O104" s="304"/>
      <c r="Q104" s="3"/>
      <c r="R104" s="3"/>
      <c r="S104" s="4"/>
      <c r="T104" s="3"/>
    </row>
    <row r="105" spans="1:23" s="2" customFormat="1" ht="18" customHeight="1">
      <c r="A105" s="8">
        <v>10</v>
      </c>
      <c r="B105" s="5" t="s">
        <v>127</v>
      </c>
      <c r="C105" s="12">
        <f>L105/100*75</f>
        <v>1050</v>
      </c>
      <c r="D105" s="13">
        <f>C105/100*17</f>
        <v>178.5</v>
      </c>
      <c r="E105" s="14"/>
      <c r="F105" s="14">
        <f>C105/100*1.4</f>
        <v>14.7</v>
      </c>
      <c r="G105" s="14"/>
      <c r="H105" s="14">
        <f>C105/100*0.2</f>
        <v>2.1</v>
      </c>
      <c r="I105" s="14">
        <f>C105/100*2.4</f>
        <v>25.2</v>
      </c>
      <c r="J105" s="14">
        <f>C105/100*50</f>
        <v>525</v>
      </c>
      <c r="K105" s="14">
        <f>C105/100*0.09</f>
        <v>0.94499999999999995</v>
      </c>
      <c r="L105" s="109">
        <v>1400</v>
      </c>
      <c r="M105" s="20">
        <v>18</v>
      </c>
      <c r="N105" s="16">
        <f t="shared" si="5"/>
        <v>25200</v>
      </c>
      <c r="O105" s="304"/>
    </row>
    <row r="106" spans="1:23" s="2" customFormat="1" ht="18" customHeight="1">
      <c r="A106" s="8">
        <v>11</v>
      </c>
      <c r="B106" s="9" t="s">
        <v>108</v>
      </c>
      <c r="C106" s="12"/>
      <c r="D106" s="331"/>
      <c r="E106" s="14"/>
      <c r="F106" s="14"/>
      <c r="G106" s="14"/>
      <c r="H106" s="14"/>
      <c r="I106" s="14"/>
      <c r="J106" s="14"/>
      <c r="K106" s="14"/>
      <c r="L106" s="15"/>
      <c r="M106" s="15"/>
      <c r="N106" s="16">
        <v>3200</v>
      </c>
      <c r="O106" s="304"/>
    </row>
    <row r="107" spans="1:23" s="2" customFormat="1" ht="18" customHeight="1">
      <c r="A107" s="23" t="s">
        <v>101</v>
      </c>
      <c r="B107" s="24"/>
      <c r="C107" s="25"/>
      <c r="D107" s="92">
        <f>SUM(D96:D106)</f>
        <v>14416.328000000001</v>
      </c>
      <c r="E107" s="31"/>
      <c r="F107" s="31"/>
      <c r="G107" s="31"/>
      <c r="H107" s="31"/>
      <c r="I107" s="31"/>
      <c r="J107" s="31"/>
      <c r="K107" s="31"/>
      <c r="L107" s="32"/>
      <c r="M107" s="32"/>
      <c r="N107" s="273">
        <f>SUM(N96:N106)</f>
        <v>590165</v>
      </c>
      <c r="O107" s="304"/>
    </row>
    <row r="108" spans="1:23" ht="18" customHeight="1">
      <c r="A108" s="23" t="s">
        <v>43</v>
      </c>
      <c r="B108" s="24"/>
      <c r="C108" s="33"/>
      <c r="D108" s="34">
        <f>D107/C90</f>
        <v>288.32656000000003</v>
      </c>
      <c r="E108" s="34"/>
      <c r="F108" s="34"/>
      <c r="G108" s="34"/>
      <c r="H108" s="34"/>
      <c r="I108" s="34"/>
      <c r="J108" s="34"/>
      <c r="K108" s="34"/>
      <c r="L108" s="35"/>
      <c r="M108" s="35"/>
      <c r="N108" s="274"/>
      <c r="O108" s="325"/>
      <c r="P108" s="2"/>
      <c r="Q108" s="2"/>
      <c r="R108" s="2"/>
      <c r="S108" s="2"/>
      <c r="T108" s="2"/>
      <c r="U108" s="2"/>
      <c r="V108" s="2"/>
      <c r="W108" s="2"/>
    </row>
    <row r="109" spans="1:23" ht="18" customHeight="1">
      <c r="A109" s="275" t="s">
        <v>52</v>
      </c>
      <c r="B109" s="185"/>
      <c r="C109" s="309" t="s">
        <v>126</v>
      </c>
      <c r="D109" s="29" t="s">
        <v>38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41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8" customHeight="1">
      <c r="A110" s="186"/>
      <c r="B110" s="187"/>
      <c r="C110" s="61" t="s">
        <v>57</v>
      </c>
      <c r="D110" s="29">
        <f>D108*100/930</f>
        <v>31.002855913978497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41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8" customHeight="1">
      <c r="A111" s="188" t="s">
        <v>45</v>
      </c>
      <c r="B111" s="188"/>
      <c r="C111" s="45"/>
      <c r="D111" s="46"/>
      <c r="E111" s="47"/>
      <c r="F111" s="47"/>
      <c r="G111" s="47"/>
      <c r="H111" s="47"/>
      <c r="I111" s="47"/>
      <c r="J111" s="47"/>
      <c r="K111" s="47"/>
      <c r="L111" s="48"/>
      <c r="M111" s="48"/>
      <c r="N111" s="51"/>
      <c r="O111" s="304"/>
    </row>
    <row r="112" spans="1:23" s="2" customFormat="1" ht="18" customHeight="1">
      <c r="A112" s="8">
        <v>1</v>
      </c>
      <c r="B112" s="9" t="s">
        <v>2</v>
      </c>
      <c r="C112" s="12">
        <f>L112/100*100</f>
        <v>50</v>
      </c>
      <c r="D112" s="13">
        <f>C112/100*60</f>
        <v>30</v>
      </c>
      <c r="E112" s="14">
        <f>C112/100*15</f>
        <v>7.5</v>
      </c>
      <c r="F112" s="14"/>
      <c r="G112" s="14"/>
      <c r="H112" s="14"/>
      <c r="I112" s="14"/>
      <c r="J112" s="22">
        <f>C112/100*387</f>
        <v>193.5</v>
      </c>
      <c r="K112" s="22">
        <f>C112/100*0.09</f>
        <v>4.4999999999999998E-2</v>
      </c>
      <c r="L112" s="109">
        <v>50</v>
      </c>
      <c r="M112" s="20">
        <v>20</v>
      </c>
      <c r="N112" s="16">
        <f>L112*M112</f>
        <v>1000</v>
      </c>
      <c r="O112" s="304"/>
    </row>
    <row r="113" spans="1:23" s="2" customFormat="1" ht="18" customHeight="1">
      <c r="A113" s="8">
        <v>2</v>
      </c>
      <c r="B113" s="9" t="s">
        <v>29</v>
      </c>
      <c r="C113" s="12">
        <f>L113/100*100</f>
        <v>50</v>
      </c>
      <c r="D113" s="13">
        <f>C113/100*390</f>
        <v>195</v>
      </c>
      <c r="E113" s="14"/>
      <c r="F113" s="14"/>
      <c r="G113" s="14"/>
      <c r="H113" s="14"/>
      <c r="I113" s="14">
        <f>C113/100*97.4</f>
        <v>48.7</v>
      </c>
      <c r="J113" s="22">
        <f>C113/100*178</f>
        <v>89</v>
      </c>
      <c r="K113" s="22">
        <f>C113/100*0.05</f>
        <v>2.5000000000000001E-2</v>
      </c>
      <c r="L113" s="109">
        <v>50</v>
      </c>
      <c r="M113" s="20">
        <v>25</v>
      </c>
      <c r="N113" s="16">
        <f t="shared" ref="N113:N121" si="6">L113*M113</f>
        <v>1250</v>
      </c>
      <c r="O113" s="306"/>
    </row>
    <row r="114" spans="1:23" s="2" customFormat="1" ht="18" customHeight="1">
      <c r="A114" s="8">
        <v>3</v>
      </c>
      <c r="B114" s="112" t="s">
        <v>118</v>
      </c>
      <c r="C114" s="12">
        <f>L114/100*100</f>
        <v>240</v>
      </c>
      <c r="D114" s="13">
        <f>C114/100*899</f>
        <v>2157.6</v>
      </c>
      <c r="E114" s="14"/>
      <c r="F114" s="14"/>
      <c r="G114" s="14">
        <f>C114/100*100</f>
        <v>240</v>
      </c>
      <c r="H114" s="14"/>
      <c r="I114" s="14"/>
      <c r="J114" s="14"/>
      <c r="K114" s="14"/>
      <c r="L114" s="109">
        <v>240</v>
      </c>
      <c r="M114" s="64">
        <v>68</v>
      </c>
      <c r="N114" s="16">
        <f t="shared" si="6"/>
        <v>16320</v>
      </c>
      <c r="O114" s="305"/>
    </row>
    <row r="115" spans="1:23" s="2" customFormat="1" ht="18" customHeight="1">
      <c r="A115" s="8">
        <v>4</v>
      </c>
      <c r="B115" s="5" t="s">
        <v>1</v>
      </c>
      <c r="C115" s="12">
        <f>L115/100*100</f>
        <v>2100</v>
      </c>
      <c r="D115" s="13">
        <f>C115/100*344</f>
        <v>7224</v>
      </c>
      <c r="E115" s="14"/>
      <c r="F115" s="14">
        <f>C115/100*7.9</f>
        <v>165.9</v>
      </c>
      <c r="G115" s="14"/>
      <c r="H115" s="14">
        <f>C115/100*1</f>
        <v>21</v>
      </c>
      <c r="I115" s="89">
        <f>C115/100*71.9</f>
        <v>1509.9</v>
      </c>
      <c r="J115" s="22">
        <f>C115/100*30</f>
        <v>630</v>
      </c>
      <c r="K115" s="22">
        <f>C115/100*0.1</f>
        <v>2.1</v>
      </c>
      <c r="L115" s="109">
        <v>2100</v>
      </c>
      <c r="M115" s="20">
        <v>18</v>
      </c>
      <c r="N115" s="16">
        <f t="shared" si="6"/>
        <v>37800</v>
      </c>
      <c r="O115" s="304"/>
    </row>
    <row r="116" spans="1:23" s="2" customFormat="1" ht="18" customHeight="1">
      <c r="A116" s="8">
        <v>5</v>
      </c>
      <c r="B116" s="65" t="s">
        <v>61</v>
      </c>
      <c r="C116" s="12">
        <f>L116/100*89</f>
        <v>2136</v>
      </c>
      <c r="D116" s="13">
        <f>C116/100*154</f>
        <v>3289.44</v>
      </c>
      <c r="E116" s="14">
        <f>C116/100*13.1</f>
        <v>279.81599999999997</v>
      </c>
      <c r="F116" s="14"/>
      <c r="G116" s="14">
        <f>C116/100*11.1</f>
        <v>237.09599999999998</v>
      </c>
      <c r="H116" s="14"/>
      <c r="I116" s="14">
        <f>C116/100*0.4</f>
        <v>8.5440000000000005</v>
      </c>
      <c r="J116" s="63">
        <f>C116/100*64</f>
        <v>1367.04</v>
      </c>
      <c r="K116" s="22">
        <f>C116/100*0.13</f>
        <v>2.7768000000000002</v>
      </c>
      <c r="L116" s="109">
        <v>2400</v>
      </c>
      <c r="M116" s="42">
        <v>82</v>
      </c>
      <c r="N116" s="44">
        <f t="shared" si="6"/>
        <v>196800</v>
      </c>
      <c r="O116" s="304"/>
    </row>
    <row r="117" spans="1:23" s="2" customFormat="1" ht="18" customHeight="1">
      <c r="A117" s="8">
        <v>6</v>
      </c>
      <c r="B117" s="9" t="s">
        <v>65</v>
      </c>
      <c r="C117" s="12">
        <f>L117/100*98</f>
        <v>392</v>
      </c>
      <c r="D117" s="13">
        <f>C117/100*232</f>
        <v>909.43999999999994</v>
      </c>
      <c r="E117" s="14">
        <f>C117/100*17.6</f>
        <v>68.992000000000004</v>
      </c>
      <c r="F117" s="14"/>
      <c r="G117" s="14">
        <f>C117/100*17.2</f>
        <v>67.423999999999992</v>
      </c>
      <c r="H117" s="14"/>
      <c r="I117" s="14"/>
      <c r="J117" s="22">
        <f>C117/100*7</f>
        <v>27.439999999999998</v>
      </c>
      <c r="K117" s="22">
        <f>C117/100*0.9</f>
        <v>3.528</v>
      </c>
      <c r="L117" s="109">
        <v>400</v>
      </c>
      <c r="M117" s="15">
        <v>137</v>
      </c>
      <c r="N117" s="16">
        <f t="shared" si="6"/>
        <v>54800</v>
      </c>
      <c r="O117" s="304"/>
    </row>
    <row r="118" spans="1:23" s="2" customFormat="1" ht="18" customHeight="1">
      <c r="A118" s="8">
        <v>7</v>
      </c>
      <c r="B118" s="5" t="s">
        <v>114</v>
      </c>
      <c r="C118" s="12">
        <f>L118/100*100</f>
        <v>40</v>
      </c>
      <c r="D118" s="13">
        <f>C118/100*247</f>
        <v>98.800000000000011</v>
      </c>
      <c r="E118" s="17"/>
      <c r="F118" s="17">
        <f>C118/100*17.5</f>
        <v>7</v>
      </c>
      <c r="G118" s="17"/>
      <c r="H118" s="17">
        <f>C118/100*1.6</f>
        <v>0.64000000000000012</v>
      </c>
      <c r="I118" s="17">
        <f>C118/100*39.2</f>
        <v>15.680000000000001</v>
      </c>
      <c r="J118" s="21"/>
      <c r="K118" s="21"/>
      <c r="L118" s="308">
        <v>40</v>
      </c>
      <c r="M118" s="20">
        <v>50</v>
      </c>
      <c r="N118" s="16">
        <f t="shared" si="6"/>
        <v>2000</v>
      </c>
      <c r="O118" s="304"/>
      <c r="Q118" s="3"/>
      <c r="R118" s="3"/>
      <c r="S118" s="4"/>
      <c r="T118" s="3"/>
    </row>
    <row r="119" spans="1:23" s="2" customFormat="1" ht="18" customHeight="1">
      <c r="A119" s="8">
        <v>8</v>
      </c>
      <c r="B119" s="5" t="s">
        <v>66</v>
      </c>
      <c r="C119" s="12">
        <f>L119/100*75</f>
        <v>750</v>
      </c>
      <c r="D119" s="13">
        <f>C119/100*12</f>
        <v>90</v>
      </c>
      <c r="E119" s="14">
        <f>C119/100*0.6</f>
        <v>4.5</v>
      </c>
      <c r="F119" s="14"/>
      <c r="G119" s="14"/>
      <c r="H119" s="14"/>
      <c r="I119" s="14">
        <f>C119/100*2.4</f>
        <v>18</v>
      </c>
      <c r="J119" s="22">
        <f>C119/100*26</f>
        <v>195</v>
      </c>
      <c r="K119" s="22">
        <f>C119/100*0.02</f>
        <v>0.15</v>
      </c>
      <c r="L119" s="109">
        <v>1000</v>
      </c>
      <c r="M119" s="15">
        <v>30</v>
      </c>
      <c r="N119" s="16">
        <f t="shared" si="6"/>
        <v>30000</v>
      </c>
      <c r="O119" s="304"/>
    </row>
    <row r="120" spans="1:23" s="2" customFormat="1" ht="18" customHeight="1">
      <c r="A120" s="8">
        <v>9</v>
      </c>
      <c r="B120" s="5" t="s">
        <v>5</v>
      </c>
      <c r="C120" s="12">
        <f>L120/100*98.5</f>
        <v>748.59999999999991</v>
      </c>
      <c r="D120" s="13">
        <f>C120/100*39</f>
        <v>291.95399999999995</v>
      </c>
      <c r="E120" s="17"/>
      <c r="F120" s="17">
        <f>C120/100*1.5</f>
        <v>11.228999999999999</v>
      </c>
      <c r="G120" s="17"/>
      <c r="H120" s="17">
        <f>C120/100*0.2</f>
        <v>1.4971999999999999</v>
      </c>
      <c r="I120" s="17">
        <f>C120/100*7.8</f>
        <v>58.390799999999992</v>
      </c>
      <c r="J120" s="17">
        <f>C120/100*43</f>
        <v>321.89799999999997</v>
      </c>
      <c r="K120" s="17">
        <f>C120/100*0.06</f>
        <v>0.44915999999999989</v>
      </c>
      <c r="L120" s="308">
        <v>760</v>
      </c>
      <c r="M120" s="20">
        <v>17</v>
      </c>
      <c r="N120" s="16">
        <f t="shared" si="6"/>
        <v>12920</v>
      </c>
      <c r="O120" s="304"/>
      <c r="Q120" s="3"/>
      <c r="R120" s="3"/>
      <c r="S120" s="4"/>
    </row>
    <row r="121" spans="1:23" s="2" customFormat="1" ht="18" customHeight="1">
      <c r="A121" s="8">
        <v>10</v>
      </c>
      <c r="B121" s="5" t="s">
        <v>20</v>
      </c>
      <c r="C121" s="12">
        <f>L121/100*95</f>
        <v>855</v>
      </c>
      <c r="D121" s="13">
        <f>C121/100*20</f>
        <v>171</v>
      </c>
      <c r="E121" s="14"/>
      <c r="F121" s="14">
        <f>C121/100*0.6</f>
        <v>5.13</v>
      </c>
      <c r="G121" s="14"/>
      <c r="H121" s="14">
        <f>C121/100*0.2</f>
        <v>1.7100000000000002</v>
      </c>
      <c r="I121" s="14">
        <f>C121/100*4</f>
        <v>34.200000000000003</v>
      </c>
      <c r="J121" s="21">
        <f>C121/100*12</f>
        <v>102.60000000000001</v>
      </c>
      <c r="K121" s="21">
        <f>C121/100*0.04</f>
        <v>0.34200000000000003</v>
      </c>
      <c r="L121" s="307">
        <v>900</v>
      </c>
      <c r="M121" s="15">
        <v>30</v>
      </c>
      <c r="N121" s="16">
        <f t="shared" si="6"/>
        <v>27000</v>
      </c>
      <c r="O121" s="304"/>
      <c r="Q121" s="3"/>
      <c r="R121" s="3"/>
    </row>
    <row r="122" spans="1:23" s="2" customFormat="1" ht="18" customHeight="1">
      <c r="A122" s="8">
        <v>11</v>
      </c>
      <c r="B122" s="9" t="s">
        <v>108</v>
      </c>
      <c r="C122" s="12"/>
      <c r="D122" s="13"/>
      <c r="E122" s="14"/>
      <c r="F122" s="14"/>
      <c r="G122" s="102"/>
      <c r="H122" s="102"/>
      <c r="I122" s="14"/>
      <c r="J122" s="14"/>
      <c r="K122" s="14"/>
      <c r="L122" s="15"/>
      <c r="M122" s="15"/>
      <c r="N122" s="16">
        <v>3200</v>
      </c>
      <c r="O122" s="304"/>
    </row>
    <row r="123" spans="1:23" s="2" customFormat="1" ht="18" customHeight="1">
      <c r="A123" s="23" t="s">
        <v>102</v>
      </c>
      <c r="B123" s="24"/>
      <c r="C123" s="25"/>
      <c r="D123" s="92">
        <f>SUM(D112:D122)</f>
        <v>14457.234</v>
      </c>
      <c r="E123" s="31"/>
      <c r="F123" s="31"/>
      <c r="G123" s="31"/>
      <c r="H123" s="31"/>
      <c r="I123" s="31"/>
      <c r="J123" s="31"/>
      <c r="K123" s="31"/>
      <c r="L123" s="32"/>
      <c r="M123" s="32"/>
      <c r="N123" s="273">
        <f>SUM(N112:N122)</f>
        <v>383090</v>
      </c>
      <c r="O123" s="304"/>
    </row>
    <row r="124" spans="1:23" ht="18" customHeight="1">
      <c r="A124" s="23" t="s">
        <v>46</v>
      </c>
      <c r="B124" s="24"/>
      <c r="C124" s="52"/>
      <c r="D124" s="36">
        <f>D123/C90</f>
        <v>289.14467999999999</v>
      </c>
      <c r="E124" s="36"/>
      <c r="F124" s="36"/>
      <c r="G124" s="36"/>
      <c r="H124" s="36"/>
      <c r="I124" s="36"/>
      <c r="J124" s="36"/>
      <c r="K124" s="36"/>
      <c r="L124" s="53"/>
      <c r="M124" s="35"/>
      <c r="N124" s="274"/>
      <c r="O124" s="4"/>
      <c r="P124" s="2"/>
      <c r="Q124" s="2"/>
      <c r="R124" s="2"/>
      <c r="S124" s="134"/>
      <c r="T124" s="2"/>
      <c r="U124" s="2"/>
      <c r="V124" s="2"/>
      <c r="W124" s="2"/>
    </row>
    <row r="125" spans="1:23" ht="18" customHeight="1">
      <c r="A125" s="275" t="s">
        <v>53</v>
      </c>
      <c r="B125" s="185"/>
      <c r="C125" s="309" t="s">
        <v>126</v>
      </c>
      <c r="D125" s="29" t="s">
        <v>48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41"/>
      <c r="O125" s="4"/>
      <c r="P125" s="2"/>
      <c r="Q125" s="2"/>
      <c r="R125" s="2"/>
      <c r="S125" s="2"/>
      <c r="T125" s="2"/>
      <c r="U125" s="2"/>
      <c r="V125" s="2"/>
      <c r="W125" s="2"/>
    </row>
    <row r="126" spans="1:23" ht="18" customHeight="1">
      <c r="A126" s="186"/>
      <c r="B126" s="187"/>
      <c r="C126" s="61" t="s">
        <v>57</v>
      </c>
      <c r="D126" s="29">
        <f>D124*100/930</f>
        <v>31.090825806451615</v>
      </c>
      <c r="E126" s="34"/>
      <c r="F126" s="34"/>
      <c r="G126" s="34"/>
      <c r="H126" s="34"/>
      <c r="I126" s="34"/>
      <c r="J126" s="36"/>
      <c r="K126" s="36"/>
      <c r="L126" s="35"/>
      <c r="M126" s="35"/>
      <c r="N126" s="141"/>
      <c r="O126" s="4"/>
      <c r="P126" s="2"/>
      <c r="Q126" s="2"/>
      <c r="R126" s="2"/>
      <c r="S126" s="2"/>
      <c r="T126" s="2"/>
      <c r="U126" s="2"/>
      <c r="V126" s="2"/>
      <c r="W126" s="2"/>
    </row>
    <row r="127" spans="1:23" ht="18" customHeight="1">
      <c r="A127" s="284" t="s">
        <v>39</v>
      </c>
      <c r="B127" s="188"/>
      <c r="C127" s="54"/>
      <c r="D127" s="55"/>
      <c r="E127" s="55"/>
      <c r="F127" s="55"/>
      <c r="G127" s="55"/>
      <c r="H127" s="55"/>
      <c r="I127" s="55"/>
      <c r="J127" s="55"/>
      <c r="K127" s="55"/>
      <c r="L127" s="56"/>
      <c r="M127" s="56"/>
      <c r="N127" s="60"/>
      <c r="O127" s="4"/>
      <c r="P127" s="2"/>
      <c r="Q127" s="2"/>
      <c r="R127" s="2"/>
      <c r="S127" s="2"/>
      <c r="T127" s="2"/>
      <c r="U127" s="2"/>
      <c r="V127" s="2"/>
      <c r="W127" s="2"/>
    </row>
    <row r="128" spans="1:23" s="2" customFormat="1" ht="18" customHeight="1">
      <c r="A128" s="116">
        <v>1</v>
      </c>
      <c r="B128" s="122" t="s">
        <v>141</v>
      </c>
      <c r="C128" s="25">
        <f>L128/100*73.5</f>
        <v>4042.5</v>
      </c>
      <c r="D128" s="117">
        <f>C128/100*56</f>
        <v>2263.7999999999997</v>
      </c>
      <c r="E128" s="27"/>
      <c r="F128" s="27">
        <f>C128/100*0.9</f>
        <v>36.3825</v>
      </c>
      <c r="G128" s="27"/>
      <c r="H128" s="27">
        <f>C128/100*0.3</f>
        <v>12.1275</v>
      </c>
      <c r="I128" s="118">
        <f>C128/100*12.4</f>
        <v>501.27</v>
      </c>
      <c r="J128" s="123">
        <f>C128/100*12</f>
        <v>485.09999999999997</v>
      </c>
      <c r="K128" s="124">
        <f>C128/100*0.04</f>
        <v>1.617</v>
      </c>
      <c r="L128" s="28">
        <v>5500</v>
      </c>
      <c r="M128" s="125">
        <v>23</v>
      </c>
      <c r="N128" s="119">
        <f t="shared" ref="N128" si="7">L128*M128</f>
        <v>126500</v>
      </c>
      <c r="O128" s="304"/>
    </row>
    <row r="129" spans="1:24" ht="18" customHeight="1">
      <c r="A129" s="145" t="s">
        <v>0</v>
      </c>
      <c r="B129" s="148" t="s">
        <v>19</v>
      </c>
      <c r="C129" s="151" t="s">
        <v>8</v>
      </c>
      <c r="D129" s="151" t="s">
        <v>9</v>
      </c>
      <c r="E129" s="154" t="s">
        <v>11</v>
      </c>
      <c r="F129" s="155"/>
      <c r="G129" s="154" t="s">
        <v>13</v>
      </c>
      <c r="H129" s="155"/>
      <c r="I129" s="173" t="s">
        <v>16</v>
      </c>
      <c r="J129" s="173" t="s">
        <v>32</v>
      </c>
      <c r="K129" s="173" t="s">
        <v>33</v>
      </c>
      <c r="L129" s="173" t="s">
        <v>17</v>
      </c>
      <c r="M129" s="173" t="s">
        <v>34</v>
      </c>
      <c r="N129" s="145" t="s">
        <v>18</v>
      </c>
      <c r="O129" s="302"/>
    </row>
    <row r="130" spans="1:24" ht="18" customHeight="1">
      <c r="A130" s="146"/>
      <c r="B130" s="149"/>
      <c r="C130" s="152"/>
      <c r="D130" s="152"/>
      <c r="E130" s="156"/>
      <c r="F130" s="157"/>
      <c r="G130" s="156"/>
      <c r="H130" s="157"/>
      <c r="I130" s="181"/>
      <c r="J130" s="181"/>
      <c r="K130" s="181"/>
      <c r="L130" s="181"/>
      <c r="M130" s="181"/>
      <c r="N130" s="146"/>
      <c r="O130" s="136"/>
    </row>
    <row r="131" spans="1:24" ht="18" customHeight="1">
      <c r="A131" s="146"/>
      <c r="B131" s="149"/>
      <c r="C131" s="152"/>
      <c r="D131" s="152"/>
      <c r="E131" s="173" t="s">
        <v>10</v>
      </c>
      <c r="F131" s="173" t="s">
        <v>12</v>
      </c>
      <c r="G131" s="173" t="s">
        <v>14</v>
      </c>
      <c r="H131" s="173" t="s">
        <v>15</v>
      </c>
      <c r="I131" s="181"/>
      <c r="J131" s="181"/>
      <c r="K131" s="181"/>
      <c r="L131" s="181"/>
      <c r="M131" s="181"/>
      <c r="N131" s="146"/>
      <c r="O131" s="136"/>
    </row>
    <row r="132" spans="1:24" ht="18" customHeight="1">
      <c r="A132" s="147"/>
      <c r="B132" s="150"/>
      <c r="C132" s="153"/>
      <c r="D132" s="153"/>
      <c r="E132" s="174"/>
      <c r="F132" s="174"/>
      <c r="G132" s="174"/>
      <c r="H132" s="174"/>
      <c r="I132" s="174"/>
      <c r="J132" s="174"/>
      <c r="K132" s="174"/>
      <c r="L132" s="174"/>
      <c r="M132" s="174"/>
      <c r="N132" s="147"/>
      <c r="O132" s="136"/>
    </row>
    <row r="133" spans="1:24" s="2" customFormat="1" ht="21" customHeight="1">
      <c r="A133" s="23" t="s">
        <v>95</v>
      </c>
      <c r="B133" s="24"/>
      <c r="C133" s="25"/>
      <c r="D133" s="26">
        <f>SUM(D127:D128)</f>
        <v>2263.7999999999997</v>
      </c>
      <c r="E133" s="31"/>
      <c r="F133" s="31"/>
      <c r="G133" s="31"/>
      <c r="H133" s="31"/>
      <c r="I133" s="31"/>
      <c r="J133" s="31"/>
      <c r="K133" s="31"/>
      <c r="L133" s="32"/>
      <c r="M133" s="58"/>
      <c r="N133" s="273">
        <f>SUM(N127:N128)</f>
        <v>126500</v>
      </c>
      <c r="O133" s="304"/>
    </row>
    <row r="134" spans="1:24" ht="21" customHeight="1">
      <c r="A134" s="23" t="s">
        <v>7</v>
      </c>
      <c r="B134" s="24"/>
      <c r="C134" s="33"/>
      <c r="D134" s="34">
        <f>D133/C90</f>
        <v>45.275999999999996</v>
      </c>
      <c r="E134" s="34"/>
      <c r="F134" s="34"/>
      <c r="G134" s="34"/>
      <c r="H134" s="34"/>
      <c r="I134" s="34"/>
      <c r="J134" s="34"/>
      <c r="K134" s="34"/>
      <c r="L134" s="35"/>
      <c r="M134" s="18"/>
      <c r="N134" s="274"/>
      <c r="O134" s="4"/>
      <c r="P134" s="2"/>
      <c r="Q134" s="2"/>
      <c r="R134" s="2"/>
      <c r="S134" s="2"/>
      <c r="T134" s="2"/>
      <c r="U134" s="2"/>
      <c r="V134" s="2"/>
      <c r="W134" s="2"/>
    </row>
    <row r="135" spans="1:24" ht="21" customHeight="1">
      <c r="A135" s="275" t="s">
        <v>51</v>
      </c>
      <c r="B135" s="185"/>
      <c r="C135" s="309" t="s">
        <v>126</v>
      </c>
      <c r="D135" s="29" t="s">
        <v>49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41"/>
      <c r="O135" s="4"/>
      <c r="P135" s="2"/>
      <c r="Q135" s="2"/>
      <c r="R135" s="2"/>
      <c r="S135" s="2"/>
      <c r="T135" s="2"/>
      <c r="U135" s="2"/>
      <c r="V135" s="2"/>
      <c r="W135" s="2"/>
    </row>
    <row r="136" spans="1:24" ht="21" customHeight="1">
      <c r="A136" s="186"/>
      <c r="B136" s="187"/>
      <c r="C136" s="61" t="s">
        <v>57</v>
      </c>
      <c r="D136" s="29">
        <f>D134*100/930</f>
        <v>4.8683870967741933</v>
      </c>
      <c r="E136" s="34"/>
      <c r="F136" s="34"/>
      <c r="G136" s="34"/>
      <c r="H136" s="34"/>
      <c r="I136" s="34"/>
      <c r="J136" s="36"/>
      <c r="K136" s="36"/>
      <c r="L136" s="35"/>
      <c r="M136" s="35"/>
      <c r="N136" s="141"/>
      <c r="O136" s="4"/>
      <c r="P136" s="2"/>
      <c r="Q136" s="2"/>
      <c r="R136" s="2"/>
      <c r="S136" s="2"/>
      <c r="T136" s="2"/>
      <c r="U136" s="2"/>
      <c r="V136" s="2"/>
      <c r="W136" s="2"/>
    </row>
    <row r="137" spans="1:24" ht="21" customHeight="1">
      <c r="A137" s="192" t="s">
        <v>96</v>
      </c>
      <c r="B137" s="193"/>
      <c r="C137" s="196"/>
      <c r="D137" s="255">
        <f>D107+D123+D133</f>
        <v>31137.362000000001</v>
      </c>
      <c r="E137" s="6">
        <f>SUM(E96:E136)</f>
        <v>860.34400000000005</v>
      </c>
      <c r="F137" s="6">
        <f>SUM(F96:F136)</f>
        <v>440.36649999999997</v>
      </c>
      <c r="G137" s="6">
        <f>SUM(G96:G136)</f>
        <v>767.97919999999999</v>
      </c>
      <c r="H137" s="6">
        <f>SUM(H96:H136)</f>
        <v>331.42469999999997</v>
      </c>
      <c r="I137" s="200">
        <f>SUM(I96:I136)</f>
        <v>3880.5000500000001</v>
      </c>
      <c r="J137" s="200">
        <f>SUM(J96:J128)</f>
        <v>7744.9260000000004</v>
      </c>
      <c r="K137" s="204">
        <f>SUM(K96:K128)</f>
        <v>30.058120000000002</v>
      </c>
      <c r="L137" s="206"/>
      <c r="M137" s="206"/>
      <c r="N137" s="257">
        <f>N107+N123+N133</f>
        <v>1099755</v>
      </c>
      <c r="P137" s="2"/>
      <c r="Q137" s="2"/>
      <c r="R137" s="2"/>
      <c r="S137" s="2"/>
      <c r="T137" s="2"/>
      <c r="U137" s="2"/>
      <c r="V137" s="2"/>
    </row>
    <row r="138" spans="1:24" ht="21" customHeight="1">
      <c r="A138" s="194"/>
      <c r="B138" s="195"/>
      <c r="C138" s="197"/>
      <c r="D138" s="276"/>
      <c r="E138" s="208">
        <f>E137+F137</f>
        <v>1300.7105000000001</v>
      </c>
      <c r="F138" s="209"/>
      <c r="G138" s="208">
        <f>G137+H137</f>
        <v>1099.4039</v>
      </c>
      <c r="H138" s="209"/>
      <c r="I138" s="201"/>
      <c r="J138" s="201"/>
      <c r="K138" s="205"/>
      <c r="L138" s="206"/>
      <c r="M138" s="206"/>
      <c r="N138" s="257"/>
      <c r="P138" s="2"/>
      <c r="Q138" s="2"/>
      <c r="R138" s="2"/>
      <c r="S138" s="2"/>
      <c r="T138" s="2"/>
      <c r="U138" s="2"/>
      <c r="V138" s="2"/>
    </row>
    <row r="139" spans="1:24" ht="21" customHeight="1">
      <c r="A139" s="246" t="s">
        <v>73</v>
      </c>
      <c r="B139" s="247"/>
      <c r="C139" s="247"/>
      <c r="D139" s="128">
        <f>D137/C90</f>
        <v>622.74724000000003</v>
      </c>
      <c r="E139" s="105">
        <f>E137/C90</f>
        <v>17.206880000000002</v>
      </c>
      <c r="F139" s="104">
        <f>F137/C90</f>
        <v>8.8073300000000003</v>
      </c>
      <c r="G139" s="106">
        <f>G137/C90</f>
        <v>15.359584</v>
      </c>
      <c r="H139" s="105">
        <f>H137/C90</f>
        <v>6.6284939999999999</v>
      </c>
      <c r="I139" s="218">
        <f>I137/C90</f>
        <v>77.610000999999997</v>
      </c>
      <c r="J139" s="218">
        <f>J137/C90</f>
        <v>154.89852000000002</v>
      </c>
      <c r="K139" s="218">
        <f>K137/C90</f>
        <v>0.6011624000000001</v>
      </c>
      <c r="L139" s="206"/>
      <c r="M139" s="206"/>
      <c r="N139" s="257"/>
      <c r="P139" s="2"/>
      <c r="Q139" s="2"/>
      <c r="R139" s="2"/>
      <c r="S139" s="2"/>
      <c r="T139" s="2"/>
      <c r="U139" s="2"/>
      <c r="V139" s="2"/>
    </row>
    <row r="140" spans="1:24" ht="21" customHeight="1">
      <c r="A140" s="249"/>
      <c r="B140" s="250"/>
      <c r="C140" s="250"/>
      <c r="D140" s="98"/>
      <c r="E140" s="277">
        <f>E139+F139</f>
        <v>26.014210000000002</v>
      </c>
      <c r="F140" s="278"/>
      <c r="G140" s="279">
        <f>G139+H139</f>
        <v>21.988078000000002</v>
      </c>
      <c r="H140" s="278"/>
      <c r="I140" s="219"/>
      <c r="J140" s="219"/>
      <c r="K140" s="219"/>
      <c r="L140" s="206"/>
      <c r="M140" s="206"/>
      <c r="N140" s="257"/>
      <c r="P140" s="297"/>
      <c r="Q140" s="297"/>
      <c r="R140" s="299"/>
      <c r="S140" s="299"/>
      <c r="T140" s="299"/>
      <c r="U140" s="299"/>
      <c r="V140" s="311"/>
      <c r="W140" s="311"/>
      <c r="X140" s="1">
        <f>R140+T140+V140</f>
        <v>0</v>
      </c>
    </row>
    <row r="141" spans="1:24" ht="21" customHeight="1">
      <c r="A141" s="312" t="s">
        <v>74</v>
      </c>
      <c r="B141" s="313"/>
      <c r="C141" s="314"/>
      <c r="D141" s="137" t="s">
        <v>28</v>
      </c>
      <c r="E141" s="326" t="s">
        <v>24</v>
      </c>
      <c r="F141" s="326"/>
      <c r="G141" s="326" t="s">
        <v>25</v>
      </c>
      <c r="H141" s="326"/>
      <c r="I141" s="315" t="s">
        <v>26</v>
      </c>
      <c r="J141" s="137">
        <v>500</v>
      </c>
      <c r="K141" s="137">
        <v>0.59</v>
      </c>
      <c r="L141" s="206"/>
      <c r="M141" s="206"/>
      <c r="N141" s="257"/>
      <c r="O141" s="317"/>
      <c r="P141" s="297"/>
      <c r="Q141" s="318"/>
      <c r="R141" s="299"/>
      <c r="S141" s="299"/>
      <c r="T141" s="299"/>
      <c r="U141" s="299"/>
      <c r="V141" s="299"/>
      <c r="W141" s="299"/>
    </row>
    <row r="142" spans="1:24" ht="21" customHeight="1">
      <c r="A142" s="223" t="s">
        <v>67</v>
      </c>
      <c r="B142" s="224"/>
      <c r="C142" s="225"/>
      <c r="D142" s="19"/>
      <c r="E142" s="226">
        <f>E140*4.1</f>
        <v>106.658261</v>
      </c>
      <c r="F142" s="227"/>
      <c r="G142" s="226">
        <f>G140*9</f>
        <v>197.89270200000001</v>
      </c>
      <c r="H142" s="227"/>
      <c r="I142" s="67">
        <f>I139*4.1</f>
        <v>318.20100409999998</v>
      </c>
      <c r="J142" s="228"/>
      <c r="K142" s="228"/>
      <c r="L142" s="206"/>
      <c r="M142" s="206"/>
      <c r="N142" s="257"/>
      <c r="O142" s="317"/>
      <c r="P142" s="319"/>
      <c r="Q142" s="319"/>
      <c r="R142" s="296"/>
      <c r="S142" s="296"/>
      <c r="T142" s="296"/>
      <c r="U142" s="297"/>
      <c r="V142" s="297"/>
      <c r="W142" s="297"/>
    </row>
    <row r="143" spans="1:24" ht="21" customHeight="1">
      <c r="A143" s="231" t="s">
        <v>75</v>
      </c>
      <c r="B143" s="232"/>
      <c r="C143" s="223" t="s">
        <v>57</v>
      </c>
      <c r="D143" s="225"/>
      <c r="E143" s="258">
        <f>E142*100/D139</f>
        <v>17.127054790319104</v>
      </c>
      <c r="F143" s="259"/>
      <c r="G143" s="258">
        <f>G142*100/D139</f>
        <v>31.777371185137653</v>
      </c>
      <c r="H143" s="259"/>
      <c r="I143" s="83">
        <f>I142*100/D139</f>
        <v>51.096333096554545</v>
      </c>
      <c r="J143" s="229"/>
      <c r="K143" s="229"/>
      <c r="L143" s="206"/>
      <c r="M143" s="206"/>
      <c r="N143" s="257"/>
      <c r="O143" s="317"/>
      <c r="P143" s="297"/>
      <c r="Q143" s="297"/>
      <c r="R143" s="298"/>
      <c r="S143" s="297"/>
      <c r="T143" s="297"/>
      <c r="U143" s="297"/>
      <c r="V143" s="297"/>
      <c r="W143" s="297"/>
    </row>
    <row r="144" spans="1:24" ht="21" customHeight="1">
      <c r="A144" s="233"/>
      <c r="B144" s="234"/>
      <c r="C144" s="223" t="s">
        <v>69</v>
      </c>
      <c r="D144" s="225"/>
      <c r="E144" s="223" t="s">
        <v>70</v>
      </c>
      <c r="F144" s="225"/>
      <c r="G144" s="223" t="s">
        <v>76</v>
      </c>
      <c r="H144" s="225"/>
      <c r="I144" s="315" t="s">
        <v>77</v>
      </c>
      <c r="J144" s="230"/>
      <c r="K144" s="230"/>
      <c r="L144" s="206"/>
      <c r="M144" s="206"/>
      <c r="N144" s="257"/>
      <c r="O144" s="317"/>
      <c r="P144" s="82"/>
    </row>
    <row r="145" spans="1:15" ht="21" customHeight="1">
      <c r="A145" s="69"/>
      <c r="B145" s="70"/>
      <c r="C145" s="69"/>
      <c r="D145" s="69"/>
      <c r="E145" s="69"/>
      <c r="F145" s="69"/>
      <c r="G145" s="69"/>
      <c r="H145" s="69"/>
      <c r="I145" s="69"/>
      <c r="J145" s="69"/>
      <c r="K145" s="69"/>
      <c r="L145" s="71"/>
      <c r="M145" s="71"/>
      <c r="N145" s="72"/>
      <c r="O145" s="317"/>
    </row>
    <row r="146" spans="1:15" ht="21" customHeight="1">
      <c r="A146" s="220" t="s">
        <v>97</v>
      </c>
      <c r="B146" s="220"/>
      <c r="C146" s="220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317"/>
    </row>
    <row r="147" spans="1:15" ht="21" customHeight="1">
      <c r="A147" s="85" t="s">
        <v>98</v>
      </c>
      <c r="B147" s="221" t="s">
        <v>99</v>
      </c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317"/>
    </row>
    <row r="148" spans="1:15" ht="21" customHeight="1">
      <c r="A148" s="86"/>
      <c r="B148" s="222" t="s">
        <v>172</v>
      </c>
      <c r="C148" s="222"/>
      <c r="D148" s="222"/>
      <c r="E148" s="222"/>
      <c r="F148" s="222"/>
      <c r="G148" s="222"/>
      <c r="H148" s="222"/>
      <c r="I148" s="222"/>
      <c r="J148" s="222"/>
      <c r="K148" s="222"/>
      <c r="L148" s="222"/>
      <c r="M148" s="222"/>
      <c r="N148" s="222"/>
      <c r="O148" s="317"/>
    </row>
    <row r="149" spans="1:15" ht="21" customHeight="1">
      <c r="A149" s="86"/>
      <c r="B149" s="222" t="s">
        <v>173</v>
      </c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317"/>
    </row>
    <row r="150" spans="1:15" ht="21" customHeight="1">
      <c r="A150" s="86"/>
      <c r="B150" s="222" t="s">
        <v>174</v>
      </c>
      <c r="C150" s="222"/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317"/>
    </row>
    <row r="151" spans="1:15" ht="21" customHeight="1">
      <c r="A151" s="69"/>
      <c r="B151" s="237" t="s">
        <v>106</v>
      </c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317"/>
    </row>
    <row r="152" spans="1:15" ht="21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87"/>
      <c r="M152" s="87"/>
      <c r="N152" s="88"/>
      <c r="O152" s="317"/>
    </row>
    <row r="153" spans="1:15" ht="21" customHeight="1">
      <c r="A153" s="238" t="s">
        <v>59</v>
      </c>
      <c r="B153" s="238"/>
      <c r="C153" s="238"/>
      <c r="D153" s="238"/>
      <c r="E153" s="321"/>
      <c r="F153" s="321"/>
      <c r="G153" s="321"/>
      <c r="H153" s="321"/>
      <c r="I153" s="321"/>
      <c r="J153" s="322" t="s">
        <v>36</v>
      </c>
      <c r="K153" s="322"/>
      <c r="L153" s="322"/>
      <c r="M153" s="322"/>
      <c r="N153" s="322"/>
      <c r="O153" s="317"/>
    </row>
    <row r="154" spans="1:15" ht="21" customHeight="1">
      <c r="A154" s="136"/>
      <c r="B154" s="136"/>
      <c r="C154" s="136"/>
      <c r="D154" s="321"/>
      <c r="E154" s="321"/>
      <c r="F154" s="321"/>
      <c r="G154" s="321"/>
      <c r="H154" s="323"/>
      <c r="I154" s="323"/>
      <c r="J154" s="323"/>
      <c r="K154" s="323"/>
      <c r="L154" s="323"/>
      <c r="M154" s="323"/>
      <c r="N154" s="323"/>
      <c r="O154" s="317"/>
    </row>
    <row r="155" spans="1:15" ht="21" customHeight="1">
      <c r="A155" s="136"/>
      <c r="B155" s="136"/>
      <c r="C155" s="136"/>
      <c r="D155" s="321"/>
      <c r="E155" s="321"/>
      <c r="F155" s="321"/>
      <c r="G155" s="321"/>
      <c r="H155" s="323"/>
      <c r="I155" s="323"/>
      <c r="J155" s="323"/>
      <c r="K155" s="323"/>
      <c r="L155" s="323"/>
      <c r="M155" s="323"/>
      <c r="N155" s="323"/>
      <c r="O155" s="317"/>
    </row>
    <row r="156" spans="1:15" ht="21" customHeight="1">
      <c r="A156" s="136"/>
      <c r="B156" s="136"/>
      <c r="C156" s="136"/>
      <c r="D156" s="321"/>
      <c r="E156" s="321"/>
      <c r="F156" s="321"/>
      <c r="G156" s="321"/>
      <c r="H156" s="323"/>
      <c r="I156" s="323"/>
      <c r="J156" s="324" t="s">
        <v>100</v>
      </c>
      <c r="K156" s="324"/>
      <c r="L156" s="324"/>
      <c r="M156" s="324"/>
      <c r="N156" s="324"/>
      <c r="O156" s="317"/>
    </row>
    <row r="157" spans="1:15" ht="21" customHeight="1">
      <c r="A157" s="239" t="s">
        <v>82</v>
      </c>
      <c r="B157" s="239"/>
      <c r="C157" s="239"/>
      <c r="D157" s="239"/>
      <c r="E157" s="321"/>
      <c r="F157" s="321"/>
      <c r="G157" s="321"/>
      <c r="H157" s="323"/>
      <c r="I157" s="323"/>
      <c r="J157" s="324"/>
      <c r="K157" s="324"/>
      <c r="L157" s="324"/>
      <c r="M157" s="324"/>
      <c r="N157" s="324"/>
      <c r="O157" s="317"/>
    </row>
    <row r="158" spans="1:15" ht="21" customHeight="1">
      <c r="J158" s="323"/>
      <c r="K158" s="323"/>
      <c r="L158" s="323"/>
      <c r="M158" s="323"/>
      <c r="N158" s="323"/>
    </row>
    <row r="159" spans="1:15" ht="21" customHeight="1">
      <c r="J159" s="324" t="s">
        <v>111</v>
      </c>
      <c r="K159" s="324"/>
      <c r="L159" s="324"/>
      <c r="M159" s="324"/>
      <c r="N159" s="324"/>
    </row>
  </sheetData>
  <mergeCells count="204">
    <mergeCell ref="U54:V54"/>
    <mergeCell ref="U55:V55"/>
    <mergeCell ref="F1:N1"/>
    <mergeCell ref="F83:N83"/>
    <mergeCell ref="Q54:R54"/>
    <mergeCell ref="S54:T54"/>
    <mergeCell ref="Q55:R55"/>
    <mergeCell ref="S55:T55"/>
    <mergeCell ref="A15:N15"/>
    <mergeCell ref="A11:A14"/>
    <mergeCell ref="B11:B14"/>
    <mergeCell ref="C11:C14"/>
    <mergeCell ref="D11:D14"/>
    <mergeCell ref="E11:F12"/>
    <mergeCell ref="G11:H12"/>
    <mergeCell ref="I11:I14"/>
    <mergeCell ref="L11:L14"/>
    <mergeCell ref="I51:I52"/>
    <mergeCell ref="E52:F52"/>
    <mergeCell ref="G52:H52"/>
    <mergeCell ref="A31:B32"/>
    <mergeCell ref="A33:B33"/>
    <mergeCell ref="N47:N48"/>
    <mergeCell ref="E55:F55"/>
    <mergeCell ref="A5:D5"/>
    <mergeCell ref="E5:N5"/>
    <mergeCell ref="A6:D6"/>
    <mergeCell ref="E6:I9"/>
    <mergeCell ref="J6:N9"/>
    <mergeCell ref="B43:B46"/>
    <mergeCell ref="C43:C46"/>
    <mergeCell ref="D43:D46"/>
    <mergeCell ref="E43:F44"/>
    <mergeCell ref="G43:H44"/>
    <mergeCell ref="I43:I46"/>
    <mergeCell ref="J43:J46"/>
    <mergeCell ref="K43:K46"/>
    <mergeCell ref="N11:N14"/>
    <mergeCell ref="E13:E14"/>
    <mergeCell ref="F13:F14"/>
    <mergeCell ref="G13:G14"/>
    <mergeCell ref="H13:H14"/>
    <mergeCell ref="J11:J14"/>
    <mergeCell ref="K11:K14"/>
    <mergeCell ref="A10:B10"/>
    <mergeCell ref="C10:D10"/>
    <mergeCell ref="N43:N46"/>
    <mergeCell ref="E45:E46"/>
    <mergeCell ref="B61:N61"/>
    <mergeCell ref="B62:N62"/>
    <mergeCell ref="B63:N63"/>
    <mergeCell ref="A85:D86"/>
    <mergeCell ref="E85:N85"/>
    <mergeCell ref="N91:N94"/>
    <mergeCell ref="A7:D7"/>
    <mergeCell ref="A8:D8"/>
    <mergeCell ref="C51:C52"/>
    <mergeCell ref="A9:D9"/>
    <mergeCell ref="A57:B58"/>
    <mergeCell ref="A49:B50"/>
    <mergeCell ref="A55:C55"/>
    <mergeCell ref="L51:L58"/>
    <mergeCell ref="A51:B52"/>
    <mergeCell ref="F45:F46"/>
    <mergeCell ref="G45:G46"/>
    <mergeCell ref="H45:H46"/>
    <mergeCell ref="A43:A46"/>
    <mergeCell ref="L43:L46"/>
    <mergeCell ref="G57:H57"/>
    <mergeCell ref="E58:F58"/>
    <mergeCell ref="G58:H58"/>
    <mergeCell ref="A53:C54"/>
    <mergeCell ref="M11:M14"/>
    <mergeCell ref="N29:N30"/>
    <mergeCell ref="M43:M46"/>
    <mergeCell ref="M51:M58"/>
    <mergeCell ref="N51:N58"/>
    <mergeCell ref="A56:C56"/>
    <mergeCell ref="C57:D57"/>
    <mergeCell ref="C58:D58"/>
    <mergeCell ref="E56:F56"/>
    <mergeCell ref="G56:H56"/>
    <mergeCell ref="I53:I54"/>
    <mergeCell ref="E54:F54"/>
    <mergeCell ref="G54:H54"/>
    <mergeCell ref="K56:K58"/>
    <mergeCell ref="D51:D52"/>
    <mergeCell ref="E57:F57"/>
    <mergeCell ref="A125:B126"/>
    <mergeCell ref="A127:B127"/>
    <mergeCell ref="A129:A132"/>
    <mergeCell ref="B129:B132"/>
    <mergeCell ref="J51:J52"/>
    <mergeCell ref="K51:K52"/>
    <mergeCell ref="J53:J54"/>
    <mergeCell ref="K53:K54"/>
    <mergeCell ref="G55:H55"/>
    <mergeCell ref="J56:J58"/>
    <mergeCell ref="J70:N70"/>
    <mergeCell ref="J73:N73"/>
    <mergeCell ref="A60:N60"/>
    <mergeCell ref="B64:N64"/>
    <mergeCell ref="B65:N65"/>
    <mergeCell ref="A67:D67"/>
    <mergeCell ref="J67:N67"/>
    <mergeCell ref="A71:D71"/>
    <mergeCell ref="J71:N71"/>
    <mergeCell ref="E86:I86"/>
    <mergeCell ref="J86:N86"/>
    <mergeCell ref="E87:I89"/>
    <mergeCell ref="A90:B90"/>
    <mergeCell ref="C90:D90"/>
    <mergeCell ref="G91:H92"/>
    <mergeCell ref="I91:I94"/>
    <mergeCell ref="J91:J94"/>
    <mergeCell ref="K91:K94"/>
    <mergeCell ref="L91:L94"/>
    <mergeCell ref="M91:M94"/>
    <mergeCell ref="A109:B110"/>
    <mergeCell ref="A111:B111"/>
    <mergeCell ref="N123:N124"/>
    <mergeCell ref="A91:A94"/>
    <mergeCell ref="B91:B94"/>
    <mergeCell ref="J87:N87"/>
    <mergeCell ref="A88:D88"/>
    <mergeCell ref="A89:D89"/>
    <mergeCell ref="J88:N88"/>
    <mergeCell ref="J89:N89"/>
    <mergeCell ref="A87:D87"/>
    <mergeCell ref="C129:C132"/>
    <mergeCell ref="D129:D132"/>
    <mergeCell ref="E129:F130"/>
    <mergeCell ref="G129:H130"/>
    <mergeCell ref="I129:I132"/>
    <mergeCell ref="J129:J132"/>
    <mergeCell ref="K129:K132"/>
    <mergeCell ref="L129:L132"/>
    <mergeCell ref="M129:M132"/>
    <mergeCell ref="E93:E94"/>
    <mergeCell ref="F93:F94"/>
    <mergeCell ref="G93:G94"/>
    <mergeCell ref="H93:H94"/>
    <mergeCell ref="A95:N95"/>
    <mergeCell ref="N107:N108"/>
    <mergeCell ref="C91:C94"/>
    <mergeCell ref="D91:D94"/>
    <mergeCell ref="E91:F92"/>
    <mergeCell ref="E138:F138"/>
    <mergeCell ref="G138:H138"/>
    <mergeCell ref="A139:C140"/>
    <mergeCell ref="I139:I140"/>
    <mergeCell ref="J139:J140"/>
    <mergeCell ref="K139:K140"/>
    <mergeCell ref="E140:F140"/>
    <mergeCell ref="G140:H140"/>
    <mergeCell ref="E144:F144"/>
    <mergeCell ref="G144:H144"/>
    <mergeCell ref="A142:C142"/>
    <mergeCell ref="E141:F141"/>
    <mergeCell ref="G141:H141"/>
    <mergeCell ref="E143:F143"/>
    <mergeCell ref="G143:H143"/>
    <mergeCell ref="J159:N159"/>
    <mergeCell ref="R140:S140"/>
    <mergeCell ref="T140:U140"/>
    <mergeCell ref="N129:N132"/>
    <mergeCell ref="E131:E132"/>
    <mergeCell ref="F131:F132"/>
    <mergeCell ref="G131:G132"/>
    <mergeCell ref="H131:H132"/>
    <mergeCell ref="N133:N134"/>
    <mergeCell ref="N137:N144"/>
    <mergeCell ref="B148:N148"/>
    <mergeCell ref="B149:N149"/>
    <mergeCell ref="B150:N150"/>
    <mergeCell ref="E142:F142"/>
    <mergeCell ref="G142:H142"/>
    <mergeCell ref="A135:B136"/>
    <mergeCell ref="A137:B138"/>
    <mergeCell ref="C137:C138"/>
    <mergeCell ref="D137:D138"/>
    <mergeCell ref="I137:I138"/>
    <mergeCell ref="J137:J138"/>
    <mergeCell ref="K137:K138"/>
    <mergeCell ref="L137:L144"/>
    <mergeCell ref="M137:M144"/>
    <mergeCell ref="V140:W140"/>
    <mergeCell ref="A141:C141"/>
    <mergeCell ref="J142:J144"/>
    <mergeCell ref="K142:K144"/>
    <mergeCell ref="A143:B144"/>
    <mergeCell ref="C143:D143"/>
    <mergeCell ref="A146:N146"/>
    <mergeCell ref="J157:N157"/>
    <mergeCell ref="B151:N151"/>
    <mergeCell ref="C144:D144"/>
    <mergeCell ref="B147:N147"/>
    <mergeCell ref="A153:D153"/>
    <mergeCell ref="J153:N153"/>
    <mergeCell ref="J156:N156"/>
    <mergeCell ref="A157:D157"/>
    <mergeCell ref="R141:S141"/>
    <mergeCell ref="T141:U141"/>
    <mergeCell ref="V141:W141"/>
  </mergeCells>
  <pageMargins left="0.26666666666666666" right="0.16666666666666666" top="0.44791666666666669" bottom="0.4062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158"/>
  <sheetViews>
    <sheetView view="pageLayout" workbookViewId="0">
      <selection activeCell="A4" sqref="A4:D4"/>
    </sheetView>
  </sheetViews>
  <sheetFormatPr defaultColWidth="9.109375" defaultRowHeight="21" customHeight="1"/>
  <cols>
    <col min="1" max="1" width="4" style="1" customWidth="1"/>
    <col min="2" max="2" width="13.109375" style="1" customWidth="1"/>
    <col min="3" max="3" width="7.44140625" style="1" customWidth="1"/>
    <col min="4" max="4" width="7.33203125" style="1" customWidth="1"/>
    <col min="5" max="8" width="6.6640625" style="1" customWidth="1"/>
    <col min="9" max="9" width="7.5546875" style="1" customWidth="1"/>
    <col min="10" max="10" width="8.109375" style="1" customWidth="1"/>
    <col min="11" max="11" width="7.33203125" style="1" customWidth="1"/>
    <col min="12" max="12" width="6.5546875" style="1" customWidth="1"/>
    <col min="13" max="13" width="5.44140625" style="1" customWidth="1"/>
    <col min="14" max="14" width="7.6640625" style="1" customWidth="1"/>
    <col min="15" max="15" width="11.88671875" style="1" customWidth="1"/>
    <col min="16" max="16" width="9.109375" style="1"/>
    <col min="17" max="22" width="8.5546875" style="1" customWidth="1"/>
    <col min="23" max="16384" width="9.109375" style="1"/>
  </cols>
  <sheetData>
    <row r="1" spans="1:20" ht="22.2" customHeight="1">
      <c r="A1" s="10" t="s">
        <v>58</v>
      </c>
      <c r="B1" s="7"/>
      <c r="C1" s="7"/>
      <c r="D1" s="7"/>
      <c r="E1" s="7"/>
      <c r="F1" s="158" t="s">
        <v>30</v>
      </c>
      <c r="G1" s="158"/>
      <c r="H1" s="158"/>
      <c r="I1" s="158"/>
      <c r="J1" s="158"/>
      <c r="K1" s="158"/>
      <c r="L1" s="158"/>
      <c r="M1" s="158"/>
      <c r="N1" s="158"/>
      <c r="O1" s="300"/>
      <c r="P1" s="300"/>
      <c r="T1" s="2"/>
    </row>
    <row r="2" spans="1:20" ht="19.8" customHeight="1">
      <c r="A2" s="7" t="s">
        <v>161</v>
      </c>
      <c r="B2" s="7"/>
      <c r="C2" s="7"/>
      <c r="D2" s="7"/>
      <c r="E2" s="7"/>
      <c r="F2" s="139"/>
      <c r="G2" s="139"/>
      <c r="H2" s="139"/>
      <c r="I2" s="139"/>
      <c r="J2" s="139"/>
      <c r="K2" s="139"/>
      <c r="L2" s="139"/>
      <c r="M2" s="139"/>
      <c r="N2" s="139"/>
      <c r="O2" s="300"/>
      <c r="P2" s="300"/>
      <c r="T2" s="2"/>
    </row>
    <row r="3" spans="1:20" s="2" customFormat="1" ht="19.8" customHeight="1">
      <c r="A3" s="159" t="s">
        <v>92</v>
      </c>
      <c r="B3" s="159"/>
      <c r="C3" s="159"/>
      <c r="D3" s="159"/>
      <c r="E3" s="159" t="s">
        <v>90</v>
      </c>
      <c r="F3" s="159"/>
      <c r="G3" s="159"/>
      <c r="H3" s="159"/>
      <c r="I3" s="159"/>
      <c r="J3" s="159"/>
      <c r="K3" s="159"/>
      <c r="L3" s="159"/>
      <c r="M3" s="159"/>
      <c r="N3" s="159"/>
      <c r="O3" s="301"/>
    </row>
    <row r="4" spans="1:20" s="2" customFormat="1" ht="19.8" customHeight="1">
      <c r="A4" s="160" t="s">
        <v>81</v>
      </c>
      <c r="B4" s="160"/>
      <c r="C4" s="160"/>
      <c r="D4" s="160"/>
      <c r="E4" s="161" t="s">
        <v>125</v>
      </c>
      <c r="F4" s="161"/>
      <c r="G4" s="161"/>
      <c r="H4" s="161"/>
      <c r="I4" s="161"/>
      <c r="J4" s="162" t="s">
        <v>117</v>
      </c>
      <c r="K4" s="163"/>
      <c r="L4" s="163"/>
      <c r="M4" s="163"/>
      <c r="N4" s="164"/>
      <c r="O4" s="301"/>
    </row>
    <row r="5" spans="1:20" s="2" customFormat="1" ht="19.8" customHeight="1">
      <c r="A5" s="175" t="s">
        <v>136</v>
      </c>
      <c r="B5" s="176"/>
      <c r="C5" s="176"/>
      <c r="D5" s="177"/>
      <c r="E5" s="161"/>
      <c r="F5" s="161"/>
      <c r="G5" s="161"/>
      <c r="H5" s="161"/>
      <c r="I5" s="161"/>
      <c r="J5" s="165"/>
      <c r="K5" s="166"/>
      <c r="L5" s="166"/>
      <c r="M5" s="166"/>
      <c r="N5" s="167"/>
      <c r="O5" s="301"/>
    </row>
    <row r="6" spans="1:20" s="2" customFormat="1" ht="19.8" customHeight="1">
      <c r="A6" s="171" t="s">
        <v>137</v>
      </c>
      <c r="B6" s="171"/>
      <c r="C6" s="171"/>
      <c r="D6" s="171"/>
      <c r="E6" s="161"/>
      <c r="F6" s="161"/>
      <c r="G6" s="161"/>
      <c r="H6" s="161"/>
      <c r="I6" s="161"/>
      <c r="J6" s="165"/>
      <c r="K6" s="166"/>
      <c r="L6" s="166"/>
      <c r="M6" s="166"/>
      <c r="N6" s="167"/>
      <c r="O6" s="301"/>
    </row>
    <row r="7" spans="1:20" s="2" customFormat="1" ht="19.8" customHeight="1">
      <c r="A7" s="172" t="s">
        <v>150</v>
      </c>
      <c r="B7" s="172"/>
      <c r="C7" s="172"/>
      <c r="D7" s="172"/>
      <c r="E7" s="161"/>
      <c r="F7" s="161"/>
      <c r="G7" s="161"/>
      <c r="H7" s="161"/>
      <c r="I7" s="161"/>
      <c r="J7" s="168"/>
      <c r="K7" s="169"/>
      <c r="L7" s="169"/>
      <c r="M7" s="169"/>
      <c r="N7" s="170"/>
      <c r="O7" s="301"/>
    </row>
    <row r="8" spans="1:20" s="2" customFormat="1" ht="19.8" customHeight="1">
      <c r="A8" s="266" t="s">
        <v>107</v>
      </c>
      <c r="B8" s="266"/>
      <c r="C8" s="264">
        <v>154</v>
      </c>
      <c r="D8" s="264"/>
      <c r="E8" s="73"/>
      <c r="F8" s="73"/>
      <c r="G8" s="73"/>
      <c r="H8" s="73"/>
      <c r="I8" s="73"/>
      <c r="J8" s="73"/>
      <c r="K8" s="73"/>
      <c r="L8" s="73"/>
      <c r="M8" s="73"/>
      <c r="N8" s="74"/>
      <c r="O8" s="301"/>
    </row>
    <row r="9" spans="1:20" ht="19.8" customHeight="1">
      <c r="A9" s="145" t="s">
        <v>0</v>
      </c>
      <c r="B9" s="148" t="s">
        <v>19</v>
      </c>
      <c r="C9" s="151" t="s">
        <v>8</v>
      </c>
      <c r="D9" s="151" t="s">
        <v>9</v>
      </c>
      <c r="E9" s="292" t="s">
        <v>11</v>
      </c>
      <c r="F9" s="293"/>
      <c r="G9" s="292" t="s">
        <v>13</v>
      </c>
      <c r="H9" s="293"/>
      <c r="I9" s="173" t="s">
        <v>16</v>
      </c>
      <c r="J9" s="173" t="s">
        <v>32</v>
      </c>
      <c r="K9" s="173" t="s">
        <v>33</v>
      </c>
      <c r="L9" s="173" t="s">
        <v>55</v>
      </c>
      <c r="M9" s="173" t="s">
        <v>56</v>
      </c>
      <c r="N9" s="145" t="s">
        <v>18</v>
      </c>
      <c r="O9" s="302"/>
    </row>
    <row r="10" spans="1:20" ht="19.8" customHeight="1">
      <c r="A10" s="146"/>
      <c r="B10" s="149"/>
      <c r="C10" s="152"/>
      <c r="D10" s="152"/>
      <c r="E10" s="294"/>
      <c r="F10" s="295"/>
      <c r="G10" s="294"/>
      <c r="H10" s="295"/>
      <c r="I10" s="181"/>
      <c r="J10" s="181"/>
      <c r="K10" s="181"/>
      <c r="L10" s="181"/>
      <c r="M10" s="181"/>
      <c r="N10" s="146"/>
      <c r="O10" s="136"/>
    </row>
    <row r="11" spans="1:20" ht="19.8" customHeight="1">
      <c r="A11" s="146"/>
      <c r="B11" s="149"/>
      <c r="C11" s="152"/>
      <c r="D11" s="152"/>
      <c r="E11" s="173" t="s">
        <v>10</v>
      </c>
      <c r="F11" s="173" t="s">
        <v>12</v>
      </c>
      <c r="G11" s="173" t="s">
        <v>14</v>
      </c>
      <c r="H11" s="173" t="s">
        <v>15</v>
      </c>
      <c r="I11" s="181"/>
      <c r="J11" s="181"/>
      <c r="K11" s="181"/>
      <c r="L11" s="181"/>
      <c r="M11" s="181"/>
      <c r="N11" s="146"/>
      <c r="O11" s="136"/>
    </row>
    <row r="12" spans="1:20" ht="19.8" customHeight="1">
      <c r="A12" s="147"/>
      <c r="B12" s="150"/>
      <c r="C12" s="153"/>
      <c r="D12" s="153"/>
      <c r="E12" s="174"/>
      <c r="F12" s="174"/>
      <c r="G12" s="174"/>
      <c r="H12" s="174"/>
      <c r="I12" s="174"/>
      <c r="J12" s="174"/>
      <c r="K12" s="174"/>
      <c r="L12" s="174"/>
      <c r="M12" s="174"/>
      <c r="N12" s="147"/>
      <c r="O12" s="136"/>
    </row>
    <row r="13" spans="1:20" ht="21" customHeight="1">
      <c r="A13" s="178" t="s">
        <v>35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80"/>
      <c r="O13" s="136"/>
    </row>
    <row r="14" spans="1:20" s="2" customFormat="1" ht="21" customHeight="1">
      <c r="A14" s="37">
        <v>1</v>
      </c>
      <c r="B14" s="38" t="s">
        <v>2</v>
      </c>
      <c r="C14" s="39">
        <f>L14/100*100</f>
        <v>200</v>
      </c>
      <c r="D14" s="40">
        <f>C14/100*60</f>
        <v>120</v>
      </c>
      <c r="E14" s="41">
        <f>C14/100*15</f>
        <v>30</v>
      </c>
      <c r="F14" s="41"/>
      <c r="G14" s="41"/>
      <c r="H14" s="41"/>
      <c r="I14" s="41"/>
      <c r="J14" s="59">
        <f>C14/100*387</f>
        <v>774</v>
      </c>
      <c r="K14" s="59">
        <f>C14/100*0.09</f>
        <v>0.18</v>
      </c>
      <c r="L14" s="303">
        <v>200</v>
      </c>
      <c r="M14" s="107">
        <v>20</v>
      </c>
      <c r="N14" s="44">
        <f>L14*M14</f>
        <v>4000</v>
      </c>
      <c r="O14" s="304"/>
    </row>
    <row r="15" spans="1:20" s="2" customFormat="1" ht="21" customHeight="1">
      <c r="A15" s="8">
        <v>2</v>
      </c>
      <c r="B15" s="9" t="s">
        <v>118</v>
      </c>
      <c r="C15" s="12">
        <f>L15/100*100</f>
        <v>890</v>
      </c>
      <c r="D15" s="13">
        <f>C15/100*899</f>
        <v>8001.1</v>
      </c>
      <c r="E15" s="14"/>
      <c r="F15" s="14"/>
      <c r="G15" s="14">
        <f>C15/100*100</f>
        <v>890</v>
      </c>
      <c r="H15" s="14"/>
      <c r="I15" s="14"/>
      <c r="J15" s="22"/>
      <c r="K15" s="22"/>
      <c r="L15" s="109">
        <v>890</v>
      </c>
      <c r="M15" s="108">
        <v>68</v>
      </c>
      <c r="N15" s="16">
        <f t="shared" ref="N15:N25" si="0">L15*M15</f>
        <v>60520</v>
      </c>
      <c r="O15" s="304"/>
    </row>
    <row r="16" spans="1:20" s="2" customFormat="1" ht="21" customHeight="1">
      <c r="A16" s="8">
        <v>3</v>
      </c>
      <c r="B16" s="126" t="s">
        <v>121</v>
      </c>
      <c r="C16" s="12">
        <f t="shared" ref="C16" si="1">L16/100*100</f>
        <v>220.00000000000003</v>
      </c>
      <c r="D16" s="64">
        <f>C16/100*900</f>
        <v>1980.0000000000002</v>
      </c>
      <c r="E16" s="14"/>
      <c r="F16" s="14"/>
      <c r="G16" s="89"/>
      <c r="H16" s="14">
        <f>C16/100*100</f>
        <v>220.00000000000003</v>
      </c>
      <c r="I16" s="14"/>
      <c r="J16" s="14"/>
      <c r="K16" s="14"/>
      <c r="L16" s="109">
        <v>220</v>
      </c>
      <c r="M16" s="64">
        <v>63.5</v>
      </c>
      <c r="N16" s="91">
        <f t="shared" si="0"/>
        <v>13970</v>
      </c>
      <c r="O16" s="305"/>
    </row>
    <row r="17" spans="1:20" s="2" customFormat="1" ht="21" customHeight="1">
      <c r="A17" s="8">
        <v>4</v>
      </c>
      <c r="B17" s="5" t="s">
        <v>1</v>
      </c>
      <c r="C17" s="12">
        <f>L17/100*100</f>
        <v>14630.000000000002</v>
      </c>
      <c r="D17" s="64">
        <f>C17/100*344</f>
        <v>50327.200000000004</v>
      </c>
      <c r="E17" s="14"/>
      <c r="F17" s="89">
        <f>C17/100*7.9</f>
        <v>1155.7700000000002</v>
      </c>
      <c r="G17" s="14"/>
      <c r="H17" s="14">
        <f>C17/100*1</f>
        <v>146.30000000000001</v>
      </c>
      <c r="I17" s="89">
        <f>C17/100*72</f>
        <v>10533.6</v>
      </c>
      <c r="J17" s="63">
        <f>C17/100*30</f>
        <v>4389</v>
      </c>
      <c r="K17" s="22">
        <f>C17/100*0.1</f>
        <v>14.630000000000003</v>
      </c>
      <c r="L17" s="109">
        <v>14630</v>
      </c>
      <c r="M17" s="107">
        <v>18</v>
      </c>
      <c r="N17" s="44">
        <f t="shared" si="0"/>
        <v>263340</v>
      </c>
      <c r="O17" s="304"/>
    </row>
    <row r="18" spans="1:20" s="2" customFormat="1" ht="21" customHeight="1">
      <c r="A18" s="8">
        <v>5</v>
      </c>
      <c r="B18" s="9" t="s">
        <v>29</v>
      </c>
      <c r="C18" s="12">
        <f>L18/100*100</f>
        <v>120</v>
      </c>
      <c r="D18" s="13">
        <f>C18/100*390</f>
        <v>468</v>
      </c>
      <c r="E18" s="14"/>
      <c r="F18" s="14"/>
      <c r="G18" s="14"/>
      <c r="H18" s="14"/>
      <c r="I18" s="14">
        <f>C18/100*97.4</f>
        <v>116.88</v>
      </c>
      <c r="J18" s="22">
        <f>C18/100*178</f>
        <v>213.6</v>
      </c>
      <c r="K18" s="22">
        <f>C18/100*0.05</f>
        <v>0.06</v>
      </c>
      <c r="L18" s="109">
        <v>120</v>
      </c>
      <c r="M18" s="20">
        <v>25</v>
      </c>
      <c r="N18" s="16">
        <f t="shared" si="0"/>
        <v>3000</v>
      </c>
      <c r="O18" s="306"/>
    </row>
    <row r="19" spans="1:20" s="2" customFormat="1" ht="21" customHeight="1">
      <c r="A19" s="8">
        <v>6</v>
      </c>
      <c r="B19" s="9" t="s">
        <v>138</v>
      </c>
      <c r="C19" s="12">
        <f>L19/100*60</f>
        <v>6930</v>
      </c>
      <c r="D19" s="13">
        <f>C19/100*97</f>
        <v>6722.0999999999995</v>
      </c>
      <c r="E19" s="89">
        <f>C19/100*22</f>
        <v>1524.6</v>
      </c>
      <c r="F19" s="14"/>
      <c r="G19" s="14">
        <f>C19/100*2.7</f>
        <v>187.11</v>
      </c>
      <c r="H19" s="14"/>
      <c r="I19" s="14"/>
      <c r="J19" s="63">
        <f>C19/100*90</f>
        <v>6237</v>
      </c>
      <c r="K19" s="22">
        <f>C19/100*0.04</f>
        <v>2.7719999999999998</v>
      </c>
      <c r="L19" s="109">
        <v>11550</v>
      </c>
      <c r="M19" s="20">
        <v>95</v>
      </c>
      <c r="N19" s="91">
        <f t="shared" si="0"/>
        <v>1097250</v>
      </c>
      <c r="O19" s="304"/>
    </row>
    <row r="20" spans="1:20" s="2" customFormat="1" ht="21" customHeight="1">
      <c r="A20" s="8">
        <v>7</v>
      </c>
      <c r="B20" s="126" t="s">
        <v>65</v>
      </c>
      <c r="C20" s="12">
        <f>L20/100*98</f>
        <v>1509.2</v>
      </c>
      <c r="D20" s="13">
        <f>C20/100*139</f>
        <v>2097.788</v>
      </c>
      <c r="E20" s="14">
        <f>C20/100*19</f>
        <v>286.74799999999999</v>
      </c>
      <c r="F20" s="14"/>
      <c r="G20" s="14">
        <f>C20/100*7</f>
        <v>105.64400000000001</v>
      </c>
      <c r="H20" s="14"/>
      <c r="I20" s="14"/>
      <c r="J20" s="22">
        <f>C20/100*7</f>
        <v>105.64400000000001</v>
      </c>
      <c r="K20" s="22">
        <f>C20/100*0.9</f>
        <v>13.582800000000001</v>
      </c>
      <c r="L20" s="109">
        <v>1540</v>
      </c>
      <c r="M20" s="109">
        <v>137</v>
      </c>
      <c r="N20" s="16">
        <f t="shared" si="0"/>
        <v>210980</v>
      </c>
      <c r="O20" s="304"/>
    </row>
    <row r="21" spans="1:20" s="2" customFormat="1" ht="21" customHeight="1">
      <c r="A21" s="8">
        <v>8</v>
      </c>
      <c r="B21" s="5" t="s">
        <v>3</v>
      </c>
      <c r="C21" s="12">
        <f>L21/100*48</f>
        <v>1838.3999999999999</v>
      </c>
      <c r="D21" s="13">
        <f>C21/100*199</f>
        <v>3658.4160000000002</v>
      </c>
      <c r="E21" s="14">
        <f>C21/100*20.3</f>
        <v>373.1952</v>
      </c>
      <c r="F21" s="14"/>
      <c r="G21" s="14">
        <f>C21/100*13.1</f>
        <v>240.8304</v>
      </c>
      <c r="H21" s="14"/>
      <c r="I21" s="14"/>
      <c r="J21" s="22">
        <f>C21/100*12</f>
        <v>220.608</v>
      </c>
      <c r="K21" s="22">
        <f>C21/100*0.15</f>
        <v>2.7576000000000001</v>
      </c>
      <c r="L21" s="109">
        <v>3830</v>
      </c>
      <c r="M21" s="15">
        <v>84</v>
      </c>
      <c r="N21" s="16">
        <f t="shared" si="0"/>
        <v>321720</v>
      </c>
      <c r="O21" s="304"/>
      <c r="Q21" s="3"/>
      <c r="R21" s="3"/>
      <c r="S21" s="4"/>
    </row>
    <row r="22" spans="1:20" s="2" customFormat="1" ht="21" customHeight="1">
      <c r="A22" s="8">
        <v>9</v>
      </c>
      <c r="B22" s="5" t="s">
        <v>114</v>
      </c>
      <c r="C22" s="12">
        <f>L22/100*100</f>
        <v>150</v>
      </c>
      <c r="D22" s="13">
        <f>C22/100*247</f>
        <v>370.5</v>
      </c>
      <c r="E22" s="17"/>
      <c r="F22" s="17">
        <f>C22/100*17.5</f>
        <v>26.25</v>
      </c>
      <c r="G22" s="17"/>
      <c r="H22" s="17">
        <f>C22/100*1.6</f>
        <v>2.4000000000000004</v>
      </c>
      <c r="I22" s="17">
        <f>C22/100*39.2</f>
        <v>58.800000000000004</v>
      </c>
      <c r="J22" s="21"/>
      <c r="K22" s="21"/>
      <c r="L22" s="307">
        <v>150</v>
      </c>
      <c r="M22" s="20">
        <v>50</v>
      </c>
      <c r="N22" s="16">
        <f t="shared" si="0"/>
        <v>7500</v>
      </c>
      <c r="O22" s="304"/>
      <c r="Q22" s="3"/>
      <c r="R22" s="3"/>
      <c r="S22" s="4"/>
      <c r="T22" s="3"/>
    </row>
    <row r="23" spans="1:20" s="2" customFormat="1" ht="21" customHeight="1">
      <c r="A23" s="8">
        <v>10</v>
      </c>
      <c r="B23" s="5" t="s">
        <v>132</v>
      </c>
      <c r="C23" s="12">
        <f>L23/100*87</f>
        <v>4689.3</v>
      </c>
      <c r="D23" s="13">
        <f>C23/100*21</f>
        <v>984.75300000000004</v>
      </c>
      <c r="E23" s="17"/>
      <c r="F23" s="17">
        <f>C23/100*1.5</f>
        <v>70.339500000000001</v>
      </c>
      <c r="G23" s="17"/>
      <c r="H23" s="17">
        <f>C23/100*0.1</f>
        <v>4.6893000000000002</v>
      </c>
      <c r="I23" s="17">
        <f>C23/100*3.6</f>
        <v>168.81480000000002</v>
      </c>
      <c r="J23" s="17">
        <f>C23/100*40</f>
        <v>1875.72</v>
      </c>
      <c r="K23" s="17">
        <f>C23/100*0.06</f>
        <v>2.81358</v>
      </c>
      <c r="L23" s="308">
        <v>5390</v>
      </c>
      <c r="M23" s="15">
        <v>18</v>
      </c>
      <c r="N23" s="16">
        <f t="shared" si="0"/>
        <v>97020</v>
      </c>
      <c r="O23" s="304"/>
      <c r="Q23" s="3"/>
      <c r="R23" s="3"/>
      <c r="S23" s="4"/>
    </row>
    <row r="24" spans="1:20" s="2" customFormat="1" ht="21" customHeight="1">
      <c r="A24" s="8">
        <v>11</v>
      </c>
      <c r="B24" s="5" t="s">
        <v>5</v>
      </c>
      <c r="C24" s="12">
        <f>L24/100*98.5</f>
        <v>758.45</v>
      </c>
      <c r="D24" s="13">
        <f>C24/100*39</f>
        <v>295.7955</v>
      </c>
      <c r="E24" s="17"/>
      <c r="F24" s="17">
        <f>C24/100*1.5</f>
        <v>11.376750000000001</v>
      </c>
      <c r="G24" s="17"/>
      <c r="H24" s="17">
        <f>C24/100*0.2</f>
        <v>1.5169000000000001</v>
      </c>
      <c r="I24" s="17">
        <f>C24/100*7.8</f>
        <v>59.159100000000002</v>
      </c>
      <c r="J24" s="17">
        <f>C24/100*43</f>
        <v>326.13350000000003</v>
      </c>
      <c r="K24" s="17">
        <f>C24/100*0.06</f>
        <v>0.45506999999999997</v>
      </c>
      <c r="L24" s="308">
        <v>770</v>
      </c>
      <c r="M24" s="15">
        <v>17</v>
      </c>
      <c r="N24" s="16">
        <f t="shared" si="0"/>
        <v>13090</v>
      </c>
      <c r="O24" s="304"/>
      <c r="Q24" s="3"/>
      <c r="R24" s="3"/>
      <c r="S24" s="4"/>
    </row>
    <row r="25" spans="1:20" s="2" customFormat="1" ht="21" customHeight="1">
      <c r="A25" s="8">
        <v>12</v>
      </c>
      <c r="B25" s="5" t="s">
        <v>128</v>
      </c>
      <c r="C25" s="12">
        <f>L25/100*81</f>
        <v>2762.1</v>
      </c>
      <c r="D25" s="13">
        <f>C25/100*17</f>
        <v>469.55699999999996</v>
      </c>
      <c r="E25" s="17"/>
      <c r="F25" s="17">
        <f>C25/100*0.9</f>
        <v>24.858899999999998</v>
      </c>
      <c r="G25" s="17"/>
      <c r="H25" s="17">
        <f>C25/100*0.2</f>
        <v>5.5242000000000004</v>
      </c>
      <c r="I25" s="17">
        <f>C25/100*2.8</f>
        <v>77.338799999999992</v>
      </c>
      <c r="J25" s="14">
        <f>C25/100*28</f>
        <v>773.38799999999992</v>
      </c>
      <c r="K25" s="22">
        <f>C25/100*0.04</f>
        <v>1.10484</v>
      </c>
      <c r="L25" s="308">
        <v>3410</v>
      </c>
      <c r="M25" s="20">
        <v>20</v>
      </c>
      <c r="N25" s="16">
        <f t="shared" si="0"/>
        <v>68200</v>
      </c>
      <c r="O25" s="304"/>
      <c r="P25" s="3"/>
    </row>
    <row r="26" spans="1:20" s="2" customFormat="1" ht="21" customHeight="1">
      <c r="A26" s="8">
        <v>13</v>
      </c>
      <c r="B26" s="9" t="s">
        <v>108</v>
      </c>
      <c r="C26" s="12"/>
      <c r="D26" s="13"/>
      <c r="E26" s="14"/>
      <c r="F26" s="14"/>
      <c r="G26" s="14"/>
      <c r="H26" s="14"/>
      <c r="I26" s="14"/>
      <c r="J26" s="14"/>
      <c r="K26" s="14"/>
      <c r="L26" s="15"/>
      <c r="M26" s="15"/>
      <c r="N26" s="16">
        <v>11250</v>
      </c>
      <c r="O26" s="304"/>
    </row>
    <row r="27" spans="1:20" s="2" customFormat="1" ht="21" customHeight="1">
      <c r="A27" s="23" t="s">
        <v>94</v>
      </c>
      <c r="B27" s="24"/>
      <c r="C27" s="25"/>
      <c r="D27" s="92">
        <f>SUM(D14:D26)</f>
        <v>75495.209499999997</v>
      </c>
      <c r="E27" s="27"/>
      <c r="F27" s="27"/>
      <c r="G27" s="27"/>
      <c r="H27" s="27"/>
      <c r="I27" s="27"/>
      <c r="J27" s="27"/>
      <c r="K27" s="27"/>
      <c r="L27" s="28"/>
      <c r="M27" s="28"/>
      <c r="N27" s="267">
        <f>SUM(N14:N26)</f>
        <v>2171840</v>
      </c>
      <c r="O27" s="304"/>
    </row>
    <row r="28" spans="1:20" s="2" customFormat="1" ht="21" customHeight="1">
      <c r="A28" s="23" t="s">
        <v>6</v>
      </c>
      <c r="B28" s="24"/>
      <c r="C28" s="25"/>
      <c r="D28" s="26">
        <f>D27/C8</f>
        <v>490.22863311688309</v>
      </c>
      <c r="E28" s="27"/>
      <c r="F28" s="27"/>
      <c r="G28" s="27"/>
      <c r="H28" s="27"/>
      <c r="I28" s="27"/>
      <c r="J28" s="27"/>
      <c r="K28" s="27"/>
      <c r="L28" s="28"/>
      <c r="M28" s="28"/>
      <c r="N28" s="268"/>
      <c r="O28" s="304"/>
    </row>
    <row r="29" spans="1:20" s="2" customFormat="1" ht="21" customHeight="1">
      <c r="A29" s="275" t="s">
        <v>50</v>
      </c>
      <c r="B29" s="185"/>
      <c r="C29" s="309" t="s">
        <v>126</v>
      </c>
      <c r="D29" s="29" t="s">
        <v>38</v>
      </c>
      <c r="E29" s="27"/>
      <c r="F29" s="27"/>
      <c r="G29" s="27"/>
      <c r="H29" s="27"/>
      <c r="I29" s="27"/>
      <c r="J29" s="27"/>
      <c r="K29" s="27"/>
      <c r="L29" s="28"/>
      <c r="M29" s="28"/>
      <c r="N29" s="30"/>
      <c r="O29" s="304"/>
    </row>
    <row r="30" spans="1:20" s="2" customFormat="1" ht="21" customHeight="1">
      <c r="A30" s="186"/>
      <c r="B30" s="187"/>
      <c r="C30" s="61" t="s">
        <v>57</v>
      </c>
      <c r="D30" s="29">
        <f>D28*100/1320</f>
        <v>37.138532811885078</v>
      </c>
      <c r="E30" s="27"/>
      <c r="F30" s="27"/>
      <c r="G30" s="27"/>
      <c r="H30" s="27"/>
      <c r="I30" s="27"/>
      <c r="J30" s="27"/>
      <c r="K30" s="27"/>
      <c r="L30" s="28"/>
      <c r="M30" s="28"/>
      <c r="N30" s="30"/>
      <c r="O30" s="304"/>
    </row>
    <row r="31" spans="1:20" s="2" customFormat="1" ht="21" customHeight="1">
      <c r="A31" s="188" t="s">
        <v>39</v>
      </c>
      <c r="B31" s="188"/>
      <c r="C31" s="45"/>
      <c r="D31" s="46"/>
      <c r="E31" s="47"/>
      <c r="F31" s="47"/>
      <c r="G31" s="47"/>
      <c r="H31" s="47"/>
      <c r="I31" s="47"/>
      <c r="J31" s="47"/>
      <c r="K31" s="47"/>
      <c r="L31" s="48"/>
      <c r="M31" s="48"/>
      <c r="N31" s="49"/>
      <c r="O31" s="304"/>
    </row>
    <row r="32" spans="1:20" s="2" customFormat="1" ht="21" customHeight="1">
      <c r="A32" s="37">
        <v>1</v>
      </c>
      <c r="B32" s="38" t="s">
        <v>2</v>
      </c>
      <c r="C32" s="39">
        <f>L32/100*100</f>
        <v>190</v>
      </c>
      <c r="D32" s="40">
        <f>C32/100*60</f>
        <v>114</v>
      </c>
      <c r="E32" s="41">
        <f>C32/100*15</f>
        <v>28.5</v>
      </c>
      <c r="F32" s="41"/>
      <c r="G32" s="41"/>
      <c r="H32" s="41"/>
      <c r="I32" s="41"/>
      <c r="J32" s="59">
        <f>C32/100*387</f>
        <v>735.3</v>
      </c>
      <c r="K32" s="59">
        <f>C32/100*0.09</f>
        <v>0.17099999999999999</v>
      </c>
      <c r="L32" s="303">
        <v>190</v>
      </c>
      <c r="M32" s="43">
        <v>20</v>
      </c>
      <c r="N32" s="44">
        <f>L32*M32</f>
        <v>3800</v>
      </c>
      <c r="O32" s="304"/>
    </row>
    <row r="33" spans="1:23" s="2" customFormat="1" ht="21" customHeight="1">
      <c r="A33" s="8">
        <v>2</v>
      </c>
      <c r="B33" s="9" t="s">
        <v>118</v>
      </c>
      <c r="C33" s="12">
        <f>L33/100*100</f>
        <v>919.99999999999989</v>
      </c>
      <c r="D33" s="13">
        <f>C33/100*899</f>
        <v>8270.7999999999993</v>
      </c>
      <c r="E33" s="14"/>
      <c r="F33" s="14"/>
      <c r="G33" s="14">
        <f>C33/100*100</f>
        <v>919.99999999999989</v>
      </c>
      <c r="H33" s="14"/>
      <c r="I33" s="14"/>
      <c r="J33" s="22"/>
      <c r="K33" s="22"/>
      <c r="L33" s="109">
        <v>920</v>
      </c>
      <c r="M33" s="108">
        <v>68</v>
      </c>
      <c r="N33" s="16">
        <f t="shared" ref="N33:N37" si="2">L33*M33</f>
        <v>62560</v>
      </c>
      <c r="O33" s="304"/>
    </row>
    <row r="34" spans="1:23" s="2" customFormat="1" ht="21" customHeight="1">
      <c r="A34" s="8">
        <v>3</v>
      </c>
      <c r="B34" s="5" t="s">
        <v>64</v>
      </c>
      <c r="C34" s="12">
        <f>L34/100*100</f>
        <v>1540</v>
      </c>
      <c r="D34" s="13">
        <f>C34/100*344</f>
        <v>5297.6</v>
      </c>
      <c r="E34" s="14"/>
      <c r="F34" s="14">
        <f>C34/100*8.6</f>
        <v>132.44</v>
      </c>
      <c r="G34" s="14"/>
      <c r="H34" s="14">
        <f>C34/100*1.5</f>
        <v>23.1</v>
      </c>
      <c r="I34" s="89">
        <f>C34/100*74.5</f>
        <v>1147.3</v>
      </c>
      <c r="J34" s="14">
        <f>C34/100*32</f>
        <v>492.8</v>
      </c>
      <c r="K34" s="14">
        <f>C34/100*0.14</f>
        <v>2.1560000000000001</v>
      </c>
      <c r="L34" s="109">
        <v>1540</v>
      </c>
      <c r="M34" s="20">
        <v>30</v>
      </c>
      <c r="N34" s="16">
        <f t="shared" si="2"/>
        <v>46200</v>
      </c>
      <c r="O34" s="304"/>
      <c r="P34" s="310"/>
    </row>
    <row r="35" spans="1:23" s="2" customFormat="1" ht="21" customHeight="1">
      <c r="A35" s="8">
        <v>4</v>
      </c>
      <c r="B35" s="5" t="s">
        <v>1</v>
      </c>
      <c r="C35" s="12">
        <f>L35/100*100</f>
        <v>2310</v>
      </c>
      <c r="D35" s="13">
        <f>C35/100*344</f>
        <v>7946.4000000000005</v>
      </c>
      <c r="E35" s="14"/>
      <c r="F35" s="14">
        <f>C35/100*7.9</f>
        <v>182.49</v>
      </c>
      <c r="G35" s="14"/>
      <c r="H35" s="14">
        <f>C35/100*1</f>
        <v>23.1</v>
      </c>
      <c r="I35" s="89">
        <f>C35/100*72</f>
        <v>1663.2</v>
      </c>
      <c r="J35" s="22">
        <f>C35/100*30</f>
        <v>693</v>
      </c>
      <c r="K35" s="22">
        <f>C35/100*0.1</f>
        <v>2.31</v>
      </c>
      <c r="L35" s="109">
        <v>2310</v>
      </c>
      <c r="M35" s="20">
        <v>18</v>
      </c>
      <c r="N35" s="16">
        <f t="shared" si="2"/>
        <v>41580</v>
      </c>
      <c r="O35" s="304"/>
    </row>
    <row r="36" spans="1:23" s="2" customFormat="1" ht="21" customHeight="1">
      <c r="A36" s="8">
        <v>5</v>
      </c>
      <c r="B36" s="5" t="s">
        <v>114</v>
      </c>
      <c r="C36" s="12">
        <f>L36/100*100</f>
        <v>90</v>
      </c>
      <c r="D36" s="13">
        <f>C36/100*247</f>
        <v>222.3</v>
      </c>
      <c r="E36" s="17"/>
      <c r="F36" s="17">
        <f>C36/100*17.5</f>
        <v>15.75</v>
      </c>
      <c r="G36" s="17"/>
      <c r="H36" s="17">
        <f>C36/100*1.6</f>
        <v>1.4400000000000002</v>
      </c>
      <c r="I36" s="17">
        <f>C36/100*39.2</f>
        <v>35.28</v>
      </c>
      <c r="J36" s="21"/>
      <c r="K36" s="21"/>
      <c r="L36" s="307">
        <v>90</v>
      </c>
      <c r="M36" s="20">
        <v>50</v>
      </c>
      <c r="N36" s="16">
        <f t="shared" si="2"/>
        <v>4500</v>
      </c>
      <c r="O36" s="304"/>
      <c r="Q36" s="3"/>
      <c r="R36" s="3"/>
      <c r="S36" s="4"/>
      <c r="T36" s="3"/>
    </row>
    <row r="37" spans="1:23" s="2" customFormat="1" ht="21" customHeight="1">
      <c r="A37" s="8">
        <v>6</v>
      </c>
      <c r="B37" s="5" t="s">
        <v>78</v>
      </c>
      <c r="C37" s="12">
        <f>L37/100*82</f>
        <v>2525.6</v>
      </c>
      <c r="D37" s="13">
        <f>C37/100*27</f>
        <v>681.91200000000003</v>
      </c>
      <c r="E37" s="17"/>
      <c r="F37" s="17">
        <f>C37/100*0.3</f>
        <v>7.5767999999999995</v>
      </c>
      <c r="G37" s="17"/>
      <c r="H37" s="17">
        <f>C37/100*0.1</f>
        <v>2.5256000000000003</v>
      </c>
      <c r="I37" s="17">
        <f>C37/100*6.1</f>
        <v>154.0616</v>
      </c>
      <c r="J37" s="62">
        <f>C37/100*24</f>
        <v>606.14400000000001</v>
      </c>
      <c r="K37" s="21">
        <f>C37/100*0.03</f>
        <v>0.75768000000000002</v>
      </c>
      <c r="L37" s="307">
        <v>3080</v>
      </c>
      <c r="M37" s="15">
        <v>22</v>
      </c>
      <c r="N37" s="16">
        <f t="shared" si="2"/>
        <v>67760</v>
      </c>
      <c r="O37" s="304"/>
      <c r="Q37" s="3"/>
      <c r="R37" s="3"/>
      <c r="S37" s="4"/>
    </row>
    <row r="38" spans="1:23" s="2" customFormat="1" ht="21" customHeight="1">
      <c r="A38" s="8">
        <v>7</v>
      </c>
      <c r="B38" s="9" t="s">
        <v>89</v>
      </c>
      <c r="C38" s="12">
        <f>L38/100*43</f>
        <v>941.69999999999993</v>
      </c>
      <c r="D38" s="13">
        <f>C38/100*83</f>
        <v>781.61099999999999</v>
      </c>
      <c r="E38" s="14">
        <f>C38/100*7.7</f>
        <v>72.510900000000007</v>
      </c>
      <c r="F38" s="14"/>
      <c r="G38" s="14">
        <f>C38/100*5.5</f>
        <v>51.793500000000002</v>
      </c>
      <c r="H38" s="14"/>
      <c r="I38" s="14"/>
      <c r="J38" s="22"/>
      <c r="K38" s="22"/>
      <c r="L38" s="109">
        <v>2190</v>
      </c>
      <c r="M38" s="20">
        <v>137</v>
      </c>
      <c r="N38" s="16">
        <f>L38*M38</f>
        <v>300030</v>
      </c>
      <c r="O38" s="304"/>
    </row>
    <row r="39" spans="1:23" s="2" customFormat="1" ht="21" customHeight="1">
      <c r="A39" s="8">
        <v>8</v>
      </c>
      <c r="B39" s="130" t="s">
        <v>124</v>
      </c>
      <c r="C39" s="12">
        <f>L39/100*100</f>
        <v>2620</v>
      </c>
      <c r="D39" s="64">
        <f>C39/100*487</f>
        <v>12759.4</v>
      </c>
      <c r="E39" s="14"/>
      <c r="F39" s="14">
        <f>C39/100*19.5</f>
        <v>510.9</v>
      </c>
      <c r="G39" s="14"/>
      <c r="H39" s="14">
        <f>C39/100*23.2</f>
        <v>607.83999999999992</v>
      </c>
      <c r="I39" s="89">
        <f>C39/100*46</f>
        <v>1205.2</v>
      </c>
      <c r="J39" s="89">
        <f>C39/100*680</f>
        <v>17816</v>
      </c>
      <c r="K39" s="14">
        <f>C39/100*0.55</f>
        <v>14.41</v>
      </c>
      <c r="L39" s="15">
        <v>2620</v>
      </c>
      <c r="M39" s="100">
        <v>260</v>
      </c>
      <c r="N39" s="16">
        <f t="shared" ref="N39" si="3">L39*M39</f>
        <v>681200</v>
      </c>
      <c r="O39" s="304"/>
      <c r="P39" s="3"/>
    </row>
    <row r="40" spans="1:23" s="2" customFormat="1" ht="21" customHeight="1">
      <c r="A40" s="75">
        <v>9</v>
      </c>
      <c r="B40" s="76" t="s">
        <v>108</v>
      </c>
      <c r="C40" s="77"/>
      <c r="D40" s="78"/>
      <c r="E40" s="79"/>
      <c r="F40" s="79"/>
      <c r="G40" s="79"/>
      <c r="H40" s="79"/>
      <c r="I40" s="79"/>
      <c r="J40" s="79"/>
      <c r="K40" s="79"/>
      <c r="L40" s="80"/>
      <c r="M40" s="80"/>
      <c r="N40" s="81">
        <v>9600</v>
      </c>
      <c r="O40" s="304"/>
    </row>
    <row r="41" spans="1:23" ht="21" customHeight="1">
      <c r="A41" s="145" t="s">
        <v>0</v>
      </c>
      <c r="B41" s="148" t="s">
        <v>19</v>
      </c>
      <c r="C41" s="151" t="s">
        <v>8</v>
      </c>
      <c r="D41" s="151" t="s">
        <v>9</v>
      </c>
      <c r="E41" s="292" t="s">
        <v>11</v>
      </c>
      <c r="F41" s="293"/>
      <c r="G41" s="292" t="s">
        <v>13</v>
      </c>
      <c r="H41" s="293"/>
      <c r="I41" s="173" t="s">
        <v>16</v>
      </c>
      <c r="J41" s="173" t="s">
        <v>32</v>
      </c>
      <c r="K41" s="173" t="s">
        <v>33</v>
      </c>
      <c r="L41" s="173" t="s">
        <v>55</v>
      </c>
      <c r="M41" s="173" t="s">
        <v>56</v>
      </c>
      <c r="N41" s="145" t="s">
        <v>18</v>
      </c>
      <c r="O41" s="302"/>
    </row>
    <row r="42" spans="1:23" ht="21" customHeight="1">
      <c r="A42" s="146"/>
      <c r="B42" s="149"/>
      <c r="C42" s="152"/>
      <c r="D42" s="152"/>
      <c r="E42" s="294"/>
      <c r="F42" s="295"/>
      <c r="G42" s="294"/>
      <c r="H42" s="295"/>
      <c r="I42" s="181"/>
      <c r="J42" s="181"/>
      <c r="K42" s="181"/>
      <c r="L42" s="181"/>
      <c r="M42" s="181"/>
      <c r="N42" s="146"/>
      <c r="O42" s="136"/>
    </row>
    <row r="43" spans="1:23" ht="21" customHeight="1">
      <c r="A43" s="146"/>
      <c r="B43" s="149"/>
      <c r="C43" s="152"/>
      <c r="D43" s="152"/>
      <c r="E43" s="173" t="s">
        <v>10</v>
      </c>
      <c r="F43" s="173" t="s">
        <v>12</v>
      </c>
      <c r="G43" s="173" t="s">
        <v>14</v>
      </c>
      <c r="H43" s="173" t="s">
        <v>15</v>
      </c>
      <c r="I43" s="181"/>
      <c r="J43" s="181"/>
      <c r="K43" s="181"/>
      <c r="L43" s="181"/>
      <c r="M43" s="181"/>
      <c r="N43" s="146"/>
      <c r="O43" s="136"/>
    </row>
    <row r="44" spans="1:23" ht="21" customHeight="1">
      <c r="A44" s="147"/>
      <c r="B44" s="150"/>
      <c r="C44" s="153"/>
      <c r="D44" s="153"/>
      <c r="E44" s="174"/>
      <c r="F44" s="174"/>
      <c r="G44" s="174"/>
      <c r="H44" s="174"/>
      <c r="I44" s="174"/>
      <c r="J44" s="174"/>
      <c r="K44" s="174"/>
      <c r="L44" s="174"/>
      <c r="M44" s="174"/>
      <c r="N44" s="147"/>
      <c r="O44" s="136"/>
    </row>
    <row r="45" spans="1:23" s="2" customFormat="1" ht="21" customHeight="1">
      <c r="A45" s="23" t="s">
        <v>105</v>
      </c>
      <c r="B45" s="24"/>
      <c r="C45" s="25"/>
      <c r="D45" s="92">
        <f>SUM(D32:D40)</f>
        <v>36074.023000000001</v>
      </c>
      <c r="E45" s="31"/>
      <c r="F45" s="31"/>
      <c r="G45" s="31"/>
      <c r="H45" s="31"/>
      <c r="I45" s="31"/>
      <c r="J45" s="31"/>
      <c r="K45" s="31"/>
      <c r="L45" s="32"/>
      <c r="M45" s="32"/>
      <c r="N45" s="267">
        <f>SUM(N32:N40)</f>
        <v>1217230</v>
      </c>
      <c r="O45" s="304"/>
    </row>
    <row r="46" spans="1:23" ht="21" customHeight="1">
      <c r="A46" s="23" t="s">
        <v>7</v>
      </c>
      <c r="B46" s="24"/>
      <c r="C46" s="33"/>
      <c r="D46" s="34">
        <f>D45/C8</f>
        <v>234.2469025974026</v>
      </c>
      <c r="E46" s="34"/>
      <c r="F46" s="34"/>
      <c r="G46" s="34"/>
      <c r="H46" s="34"/>
      <c r="I46" s="34"/>
      <c r="J46" s="34"/>
      <c r="K46" s="34"/>
      <c r="L46" s="35"/>
      <c r="M46" s="35"/>
      <c r="N46" s="268"/>
      <c r="O46" s="4"/>
      <c r="P46" s="2"/>
      <c r="Q46" s="2"/>
      <c r="R46" s="2"/>
      <c r="S46" s="2"/>
      <c r="T46" s="2"/>
      <c r="U46" s="2"/>
      <c r="V46" s="2"/>
      <c r="W46" s="2"/>
    </row>
    <row r="47" spans="1:23" ht="21" customHeight="1">
      <c r="A47" s="275" t="s">
        <v>51</v>
      </c>
      <c r="B47" s="185"/>
      <c r="C47" s="309" t="s">
        <v>126</v>
      </c>
      <c r="D47" s="29" t="s">
        <v>41</v>
      </c>
      <c r="E47" s="34"/>
      <c r="F47" s="34"/>
      <c r="G47" s="34"/>
      <c r="H47" s="34"/>
      <c r="I47" s="34"/>
      <c r="J47" s="36"/>
      <c r="K47" s="36"/>
      <c r="L47" s="35"/>
      <c r="M47" s="35"/>
      <c r="N47" s="141"/>
      <c r="O47" s="4"/>
      <c r="P47" s="2"/>
      <c r="Q47" s="2"/>
      <c r="R47" s="2"/>
      <c r="S47" s="2"/>
      <c r="T47" s="2"/>
      <c r="U47" s="2"/>
      <c r="V47" s="2"/>
      <c r="W47" s="2"/>
    </row>
    <row r="48" spans="1:23" ht="21" customHeight="1">
      <c r="A48" s="186"/>
      <c r="B48" s="187"/>
      <c r="C48" s="61" t="s">
        <v>57</v>
      </c>
      <c r="D48" s="29">
        <f>D46*100/1320</f>
        <v>17.745977469500197</v>
      </c>
      <c r="E48" s="34"/>
      <c r="F48" s="34"/>
      <c r="G48" s="34"/>
      <c r="H48" s="34"/>
      <c r="I48" s="34"/>
      <c r="J48" s="36"/>
      <c r="K48" s="36"/>
      <c r="L48" s="35"/>
      <c r="M48" s="35"/>
      <c r="N48" s="141"/>
      <c r="O48" s="4"/>
      <c r="P48" s="2"/>
      <c r="Q48" s="2"/>
      <c r="R48" s="2"/>
      <c r="S48" s="2"/>
      <c r="T48" s="2"/>
      <c r="U48" s="2"/>
      <c r="V48" s="2"/>
      <c r="W48" s="2"/>
    </row>
    <row r="49" spans="1:22" ht="21" customHeight="1">
      <c r="A49" s="192" t="s">
        <v>96</v>
      </c>
      <c r="B49" s="193"/>
      <c r="C49" s="196"/>
      <c r="D49" s="198">
        <f>D27+D45</f>
        <v>111569.2325</v>
      </c>
      <c r="E49" s="94">
        <f t="shared" ref="E49:K49" si="4">SUM(E14:E40)</f>
        <v>2315.5541000000003</v>
      </c>
      <c r="F49" s="94">
        <f t="shared" si="4"/>
        <v>2137.7519500000003</v>
      </c>
      <c r="G49" s="94">
        <f t="shared" si="4"/>
        <v>2395.3779000000004</v>
      </c>
      <c r="H49" s="94">
        <f t="shared" si="4"/>
        <v>1038.4360000000001</v>
      </c>
      <c r="I49" s="202">
        <f t="shared" si="4"/>
        <v>15219.634300000002</v>
      </c>
      <c r="J49" s="200">
        <f t="shared" si="4"/>
        <v>35258.337499999994</v>
      </c>
      <c r="K49" s="204">
        <f t="shared" si="4"/>
        <v>58.160570000000007</v>
      </c>
      <c r="L49" s="206"/>
      <c r="M49" s="206"/>
      <c r="N49" s="207">
        <f>N27+N45</f>
        <v>3389070</v>
      </c>
      <c r="P49" s="2"/>
      <c r="Q49" s="2"/>
      <c r="R49" s="2"/>
      <c r="S49" s="2"/>
      <c r="T49" s="2"/>
      <c r="U49" s="2"/>
      <c r="V49" s="2"/>
    </row>
    <row r="50" spans="1:22" ht="21" customHeight="1">
      <c r="A50" s="194"/>
      <c r="B50" s="195"/>
      <c r="C50" s="197"/>
      <c r="D50" s="199"/>
      <c r="E50" s="208">
        <f>E49+F49</f>
        <v>4453.3060500000011</v>
      </c>
      <c r="F50" s="209"/>
      <c r="G50" s="208">
        <f>G49+H49</f>
        <v>3433.8139000000006</v>
      </c>
      <c r="H50" s="209"/>
      <c r="I50" s="203"/>
      <c r="J50" s="201"/>
      <c r="K50" s="205"/>
      <c r="L50" s="206"/>
      <c r="M50" s="206"/>
      <c r="N50" s="207"/>
      <c r="U50" s="11"/>
      <c r="V50" s="11"/>
    </row>
    <row r="51" spans="1:22" ht="21" customHeight="1">
      <c r="A51" s="246" t="s">
        <v>73</v>
      </c>
      <c r="B51" s="247"/>
      <c r="C51" s="248"/>
      <c r="D51" s="129">
        <f>D49/C8</f>
        <v>724.47553571428568</v>
      </c>
      <c r="E51" s="106">
        <f>E49/C8</f>
        <v>15.036065584415587</v>
      </c>
      <c r="F51" s="105">
        <f>F49/C8</f>
        <v>13.881506168831171</v>
      </c>
      <c r="G51" s="106">
        <f>G49/C8</f>
        <v>15.55440194805195</v>
      </c>
      <c r="H51" s="105">
        <f>H49/C8</f>
        <v>6.7430909090909097</v>
      </c>
      <c r="I51" s="218">
        <f>I49/C8</f>
        <v>98.828794155844164</v>
      </c>
      <c r="J51" s="216">
        <f>J49/C8</f>
        <v>228.95024350649348</v>
      </c>
      <c r="K51" s="218">
        <f>K49/C8</f>
        <v>0.37766603896103901</v>
      </c>
      <c r="L51" s="206"/>
      <c r="M51" s="206"/>
      <c r="N51" s="207"/>
      <c r="O51" s="2"/>
      <c r="P51" s="2"/>
      <c r="Q51" s="2"/>
      <c r="U51" s="11"/>
      <c r="V51" s="11"/>
    </row>
    <row r="52" spans="1:22" ht="21" customHeight="1">
      <c r="A52" s="249"/>
      <c r="B52" s="250"/>
      <c r="C52" s="251"/>
      <c r="D52" s="95"/>
      <c r="E52" s="279">
        <f>E51+F51</f>
        <v>28.917571753246758</v>
      </c>
      <c r="F52" s="278"/>
      <c r="G52" s="279">
        <f>G51+H51</f>
        <v>22.29749285714286</v>
      </c>
      <c r="H52" s="278"/>
      <c r="I52" s="219"/>
      <c r="J52" s="217"/>
      <c r="K52" s="219"/>
      <c r="L52" s="206"/>
      <c r="M52" s="206"/>
      <c r="N52" s="207"/>
      <c r="P52" s="297"/>
      <c r="Q52" s="299"/>
      <c r="R52" s="299"/>
      <c r="S52" s="299"/>
      <c r="T52" s="299"/>
      <c r="U52" s="311"/>
      <c r="V52" s="311"/>
    </row>
    <row r="53" spans="1:22" ht="21" customHeight="1">
      <c r="A53" s="312" t="s">
        <v>74</v>
      </c>
      <c r="B53" s="313"/>
      <c r="C53" s="314"/>
      <c r="D53" s="315" t="s">
        <v>27</v>
      </c>
      <c r="E53" s="159" t="s">
        <v>21</v>
      </c>
      <c r="F53" s="159"/>
      <c r="G53" s="159" t="s">
        <v>22</v>
      </c>
      <c r="H53" s="159"/>
      <c r="I53" s="140" t="s">
        <v>23</v>
      </c>
      <c r="J53" s="316">
        <v>600</v>
      </c>
      <c r="K53" s="316">
        <v>0.74</v>
      </c>
      <c r="L53" s="206"/>
      <c r="M53" s="206"/>
      <c r="N53" s="207"/>
      <c r="O53" s="317"/>
      <c r="P53" s="318"/>
      <c r="Q53" s="299"/>
      <c r="R53" s="299"/>
      <c r="S53" s="299"/>
      <c r="T53" s="299"/>
      <c r="U53" s="299"/>
      <c r="V53" s="299"/>
    </row>
    <row r="54" spans="1:22" ht="21" customHeight="1">
      <c r="A54" s="223" t="s">
        <v>67</v>
      </c>
      <c r="B54" s="224"/>
      <c r="C54" s="225"/>
      <c r="D54" s="19"/>
      <c r="E54" s="226">
        <f>E52*4.1</f>
        <v>118.5620441883117</v>
      </c>
      <c r="F54" s="227"/>
      <c r="G54" s="226">
        <f>G52*9</f>
        <v>200.67743571428574</v>
      </c>
      <c r="H54" s="227"/>
      <c r="I54" s="67">
        <f>I51*4.1</f>
        <v>405.19805603896106</v>
      </c>
      <c r="J54" s="228"/>
      <c r="K54" s="228"/>
      <c r="L54" s="206"/>
      <c r="M54" s="206"/>
      <c r="N54" s="207"/>
      <c r="O54" s="317"/>
      <c r="P54" s="319"/>
      <c r="Q54" s="296"/>
      <c r="R54" s="296"/>
      <c r="S54" s="296"/>
      <c r="T54" s="297"/>
      <c r="U54" s="297"/>
      <c r="V54" s="297"/>
    </row>
    <row r="55" spans="1:22" ht="21" customHeight="1">
      <c r="A55" s="231" t="s">
        <v>68</v>
      </c>
      <c r="B55" s="232"/>
      <c r="C55" s="223" t="s">
        <v>57</v>
      </c>
      <c r="D55" s="225"/>
      <c r="E55" s="258">
        <f>E54*100/D51</f>
        <v>16.365223992196956</v>
      </c>
      <c r="F55" s="259"/>
      <c r="G55" s="258">
        <f>G54*100/D51</f>
        <v>27.699684229700161</v>
      </c>
      <c r="H55" s="259"/>
      <c r="I55" s="83">
        <f>I54*100/D51</f>
        <v>55.929846635809753</v>
      </c>
      <c r="J55" s="229"/>
      <c r="K55" s="229"/>
      <c r="L55" s="206"/>
      <c r="M55" s="206"/>
      <c r="N55" s="207"/>
      <c r="O55" s="317"/>
      <c r="P55" s="297"/>
      <c r="Q55" s="298"/>
      <c r="R55" s="297"/>
      <c r="S55" s="297"/>
      <c r="T55" s="297"/>
      <c r="U55" s="297"/>
      <c r="V55" s="297"/>
    </row>
    <row r="56" spans="1:22" ht="21" customHeight="1">
      <c r="A56" s="233"/>
      <c r="B56" s="234"/>
      <c r="C56" s="223" t="s">
        <v>69</v>
      </c>
      <c r="D56" s="225"/>
      <c r="E56" s="223" t="s">
        <v>70</v>
      </c>
      <c r="F56" s="225"/>
      <c r="G56" s="223" t="s">
        <v>71</v>
      </c>
      <c r="H56" s="225"/>
      <c r="I56" s="315" t="s">
        <v>72</v>
      </c>
      <c r="J56" s="230"/>
      <c r="K56" s="230"/>
      <c r="L56" s="206"/>
      <c r="M56" s="206"/>
      <c r="N56" s="207"/>
      <c r="O56" s="320"/>
      <c r="P56" s="82"/>
    </row>
    <row r="57" spans="1:22" ht="21" customHeight="1">
      <c r="A57" s="69"/>
      <c r="B57" s="70"/>
      <c r="C57" s="69"/>
      <c r="D57" s="69"/>
      <c r="E57" s="69"/>
      <c r="F57" s="69"/>
      <c r="G57" s="69"/>
      <c r="H57" s="69"/>
      <c r="I57" s="69"/>
      <c r="J57" s="69"/>
      <c r="K57" s="69"/>
      <c r="L57" s="71"/>
      <c r="M57" s="71"/>
      <c r="N57" s="72"/>
      <c r="O57" s="317"/>
    </row>
    <row r="58" spans="1:22" ht="21" customHeight="1">
      <c r="A58" s="220" t="s">
        <v>97</v>
      </c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317"/>
    </row>
    <row r="59" spans="1:22" ht="21" customHeight="1">
      <c r="A59" s="85" t="s">
        <v>98</v>
      </c>
      <c r="B59" s="221" t="s">
        <v>99</v>
      </c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317"/>
    </row>
    <row r="60" spans="1:22" ht="21" customHeight="1">
      <c r="A60" s="86"/>
      <c r="B60" s="222" t="s">
        <v>175</v>
      </c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317"/>
    </row>
    <row r="61" spans="1:22" ht="21" customHeight="1">
      <c r="A61" s="86"/>
      <c r="B61" s="222" t="s">
        <v>151</v>
      </c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317"/>
    </row>
    <row r="62" spans="1:22" ht="21" customHeight="1">
      <c r="A62" s="86"/>
      <c r="B62" s="222" t="s">
        <v>174</v>
      </c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317"/>
    </row>
    <row r="63" spans="1:22" ht="21" customHeight="1">
      <c r="A63" s="69"/>
      <c r="B63" s="237" t="s">
        <v>104</v>
      </c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317"/>
    </row>
    <row r="64" spans="1:22" ht="21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87"/>
      <c r="M64" s="87"/>
      <c r="N64" s="88"/>
      <c r="O64" s="317"/>
    </row>
    <row r="65" spans="1:15" ht="21" customHeight="1">
      <c r="A65" s="238" t="s">
        <v>59</v>
      </c>
      <c r="B65" s="238"/>
      <c r="C65" s="238"/>
      <c r="D65" s="238"/>
      <c r="E65" s="321"/>
      <c r="F65" s="321"/>
      <c r="G65" s="321"/>
      <c r="H65" s="321"/>
      <c r="I65" s="321"/>
      <c r="J65" s="322" t="s">
        <v>36</v>
      </c>
      <c r="K65" s="322"/>
      <c r="L65" s="322"/>
      <c r="M65" s="322"/>
      <c r="N65" s="322"/>
      <c r="O65" s="317"/>
    </row>
    <row r="66" spans="1:15" ht="21" customHeight="1">
      <c r="A66" s="136"/>
      <c r="B66" s="136"/>
      <c r="C66" s="136"/>
      <c r="D66" s="321"/>
      <c r="E66" s="321"/>
      <c r="F66" s="321"/>
      <c r="G66" s="321"/>
      <c r="H66" s="323"/>
      <c r="I66" s="323"/>
      <c r="J66" s="323"/>
      <c r="K66" s="323"/>
      <c r="L66" s="323"/>
      <c r="M66" s="323"/>
      <c r="N66" s="323"/>
      <c r="O66" s="317"/>
    </row>
    <row r="67" spans="1:15" ht="21" customHeight="1">
      <c r="A67" s="136"/>
      <c r="B67" s="136"/>
      <c r="C67" s="136"/>
      <c r="D67" s="321"/>
      <c r="E67" s="321"/>
      <c r="F67" s="321"/>
      <c r="G67" s="321"/>
      <c r="H67" s="323"/>
      <c r="I67" s="323"/>
      <c r="J67" s="323"/>
      <c r="K67" s="323"/>
      <c r="L67" s="323"/>
      <c r="M67" s="323"/>
      <c r="N67" s="323"/>
      <c r="O67" s="317"/>
    </row>
    <row r="68" spans="1:15" ht="21" customHeight="1">
      <c r="A68" s="136"/>
      <c r="B68" s="136"/>
      <c r="C68" s="136"/>
      <c r="D68" s="321"/>
      <c r="E68" s="321"/>
      <c r="F68" s="321"/>
      <c r="G68" s="321"/>
      <c r="H68" s="323"/>
      <c r="I68" s="323"/>
      <c r="J68" s="324" t="s">
        <v>100</v>
      </c>
      <c r="K68" s="324"/>
      <c r="L68" s="324"/>
      <c r="M68" s="324"/>
      <c r="N68" s="324"/>
      <c r="O68" s="317"/>
    </row>
    <row r="69" spans="1:15" ht="21" customHeight="1">
      <c r="A69" s="239" t="s">
        <v>82</v>
      </c>
      <c r="B69" s="239"/>
      <c r="C69" s="239"/>
      <c r="D69" s="239"/>
      <c r="E69" s="321"/>
      <c r="F69" s="321"/>
      <c r="G69" s="321"/>
      <c r="H69" s="323"/>
      <c r="I69" s="323"/>
      <c r="J69" s="324"/>
      <c r="K69" s="324"/>
      <c r="L69" s="324"/>
      <c r="M69" s="324"/>
      <c r="N69" s="324"/>
      <c r="O69" s="317"/>
    </row>
    <row r="70" spans="1:15" ht="21" customHeight="1">
      <c r="A70" s="136"/>
      <c r="B70" s="136"/>
      <c r="C70" s="136"/>
      <c r="D70" s="321"/>
      <c r="E70" s="321"/>
      <c r="F70" s="321"/>
      <c r="G70" s="321"/>
      <c r="H70" s="323"/>
      <c r="I70" s="323"/>
      <c r="J70" s="323"/>
      <c r="K70" s="323"/>
      <c r="L70" s="323"/>
      <c r="M70" s="323"/>
      <c r="N70" s="323"/>
      <c r="O70" s="317"/>
    </row>
    <row r="71" spans="1:15" ht="21" customHeight="1">
      <c r="A71" s="136"/>
      <c r="B71" s="136"/>
      <c r="C71" s="136"/>
      <c r="D71" s="321"/>
      <c r="E71" s="321"/>
      <c r="F71" s="321"/>
      <c r="G71" s="321"/>
      <c r="H71" s="323"/>
      <c r="I71" s="323"/>
      <c r="J71" s="324" t="s">
        <v>111</v>
      </c>
      <c r="K71" s="324"/>
      <c r="L71" s="324"/>
      <c r="M71" s="324"/>
      <c r="N71" s="324"/>
      <c r="O71" s="317"/>
    </row>
    <row r="72" spans="1:15" ht="21" customHeight="1">
      <c r="A72" s="239"/>
      <c r="B72" s="239"/>
      <c r="C72" s="239"/>
      <c r="D72" s="239"/>
      <c r="E72" s="321"/>
      <c r="F72" s="321"/>
      <c r="G72" s="321"/>
      <c r="H72" s="323"/>
      <c r="I72" s="323"/>
      <c r="J72" s="322"/>
      <c r="K72" s="322"/>
      <c r="L72" s="322"/>
      <c r="M72" s="322"/>
      <c r="N72" s="322"/>
      <c r="O72" s="317"/>
    </row>
    <row r="81" spans="1:20" ht="19.8" customHeight="1">
      <c r="A81" s="10" t="s">
        <v>58</v>
      </c>
      <c r="B81" s="7"/>
      <c r="C81" s="7"/>
      <c r="D81" s="7"/>
      <c r="E81" s="7"/>
      <c r="F81" s="158" t="s">
        <v>31</v>
      </c>
      <c r="G81" s="158"/>
      <c r="H81" s="158"/>
      <c r="I81" s="158"/>
      <c r="J81" s="158"/>
      <c r="K81" s="158"/>
      <c r="L81" s="158"/>
      <c r="M81" s="158"/>
      <c r="N81" s="158"/>
      <c r="O81" s="300"/>
      <c r="P81" s="300"/>
      <c r="T81" s="2"/>
    </row>
    <row r="82" spans="1:20" ht="18" customHeight="1">
      <c r="A82" s="7" t="s">
        <v>161</v>
      </c>
      <c r="B82" s="7"/>
      <c r="C82" s="7"/>
      <c r="D82" s="7"/>
      <c r="E82" s="7"/>
      <c r="F82" s="139"/>
      <c r="G82" s="139"/>
      <c r="H82" s="139"/>
      <c r="I82" s="139"/>
      <c r="J82" s="139"/>
      <c r="K82" s="139"/>
      <c r="L82" s="139"/>
      <c r="M82" s="139"/>
      <c r="N82" s="139"/>
      <c r="O82" s="300"/>
      <c r="P82" s="300"/>
      <c r="T82" s="2"/>
    </row>
    <row r="83" spans="1:20" s="2" customFormat="1" ht="18" customHeight="1">
      <c r="A83" s="159" t="s">
        <v>92</v>
      </c>
      <c r="B83" s="159"/>
      <c r="C83" s="159"/>
      <c r="D83" s="159"/>
      <c r="E83" s="159" t="s">
        <v>80</v>
      </c>
      <c r="F83" s="159"/>
      <c r="G83" s="159"/>
      <c r="H83" s="159"/>
      <c r="I83" s="159"/>
      <c r="J83" s="159"/>
      <c r="K83" s="159"/>
      <c r="L83" s="159"/>
      <c r="M83" s="159"/>
      <c r="N83" s="159"/>
      <c r="O83" s="301"/>
    </row>
    <row r="84" spans="1:20" s="2" customFormat="1" ht="18" customHeight="1">
      <c r="A84" s="159"/>
      <c r="B84" s="159"/>
      <c r="C84" s="159"/>
      <c r="D84" s="159"/>
      <c r="E84" s="159" t="s">
        <v>91</v>
      </c>
      <c r="F84" s="159"/>
      <c r="G84" s="159"/>
      <c r="H84" s="159"/>
      <c r="I84" s="159"/>
      <c r="J84" s="159" t="s">
        <v>93</v>
      </c>
      <c r="K84" s="159"/>
      <c r="L84" s="159"/>
      <c r="M84" s="159"/>
      <c r="N84" s="159"/>
      <c r="O84" s="301"/>
    </row>
    <row r="85" spans="1:20" s="2" customFormat="1" ht="18" customHeight="1">
      <c r="A85" s="160" t="s">
        <v>81</v>
      </c>
      <c r="B85" s="160"/>
      <c r="C85" s="160"/>
      <c r="D85" s="160"/>
      <c r="E85" s="161" t="s">
        <v>125</v>
      </c>
      <c r="F85" s="161"/>
      <c r="G85" s="161"/>
      <c r="H85" s="161"/>
      <c r="I85" s="161"/>
      <c r="J85" s="240" t="s">
        <v>81</v>
      </c>
      <c r="K85" s="241"/>
      <c r="L85" s="241"/>
      <c r="M85" s="241"/>
      <c r="N85" s="242"/>
      <c r="O85" s="301"/>
    </row>
    <row r="86" spans="1:20" s="2" customFormat="1" ht="18" customHeight="1">
      <c r="A86" s="175" t="s">
        <v>136</v>
      </c>
      <c r="B86" s="176"/>
      <c r="C86" s="176"/>
      <c r="D86" s="177"/>
      <c r="E86" s="161"/>
      <c r="F86" s="161"/>
      <c r="G86" s="161"/>
      <c r="H86" s="161"/>
      <c r="I86" s="161"/>
      <c r="J86" s="175" t="s">
        <v>88</v>
      </c>
      <c r="K86" s="176"/>
      <c r="L86" s="176"/>
      <c r="M86" s="176"/>
      <c r="N86" s="177"/>
      <c r="O86" s="301"/>
    </row>
    <row r="87" spans="1:20" s="2" customFormat="1" ht="18" customHeight="1">
      <c r="A87" s="171" t="s">
        <v>137</v>
      </c>
      <c r="B87" s="171"/>
      <c r="C87" s="171"/>
      <c r="D87" s="171"/>
      <c r="E87" s="161"/>
      <c r="F87" s="161"/>
      <c r="G87" s="161"/>
      <c r="H87" s="161"/>
      <c r="I87" s="161"/>
      <c r="J87" s="243" t="s">
        <v>119</v>
      </c>
      <c r="K87" s="244"/>
      <c r="L87" s="244"/>
      <c r="M87" s="244"/>
      <c r="N87" s="245"/>
      <c r="O87" s="301"/>
    </row>
    <row r="88" spans="1:20" s="2" customFormat="1" ht="18" customHeight="1">
      <c r="A88" s="172" t="s">
        <v>150</v>
      </c>
      <c r="B88" s="172"/>
      <c r="C88" s="172"/>
      <c r="D88" s="172"/>
      <c r="E88" s="161"/>
      <c r="F88" s="161"/>
      <c r="G88" s="161"/>
      <c r="H88" s="161"/>
      <c r="I88" s="161"/>
      <c r="J88" s="243"/>
      <c r="K88" s="244"/>
      <c r="L88" s="244"/>
      <c r="M88" s="244"/>
      <c r="N88" s="245"/>
      <c r="O88" s="301"/>
    </row>
    <row r="89" spans="1:20" ht="18" customHeight="1">
      <c r="A89" s="266" t="s">
        <v>107</v>
      </c>
      <c r="B89" s="266"/>
      <c r="C89" s="264">
        <v>43</v>
      </c>
      <c r="D89" s="264"/>
      <c r="E89" s="7"/>
      <c r="F89" s="139"/>
      <c r="G89" s="139"/>
      <c r="H89" s="139"/>
      <c r="I89" s="139"/>
      <c r="J89" s="139"/>
      <c r="K89" s="139"/>
      <c r="L89" s="139"/>
      <c r="M89" s="139"/>
      <c r="N89" s="139"/>
      <c r="O89" s="300"/>
      <c r="P89" s="300"/>
      <c r="T89" s="2"/>
    </row>
    <row r="90" spans="1:20" ht="18" customHeight="1">
      <c r="A90" s="145" t="s">
        <v>0</v>
      </c>
      <c r="B90" s="148" t="s">
        <v>19</v>
      </c>
      <c r="C90" s="151" t="s">
        <v>8</v>
      </c>
      <c r="D90" s="151" t="s">
        <v>9</v>
      </c>
      <c r="E90" s="154" t="s">
        <v>11</v>
      </c>
      <c r="F90" s="155"/>
      <c r="G90" s="154" t="s">
        <v>13</v>
      </c>
      <c r="H90" s="155"/>
      <c r="I90" s="173" t="s">
        <v>16</v>
      </c>
      <c r="J90" s="173" t="s">
        <v>32</v>
      </c>
      <c r="K90" s="173" t="s">
        <v>33</v>
      </c>
      <c r="L90" s="173" t="s">
        <v>17</v>
      </c>
      <c r="M90" s="173" t="s">
        <v>34</v>
      </c>
      <c r="N90" s="145" t="s">
        <v>18</v>
      </c>
      <c r="O90" s="302"/>
    </row>
    <row r="91" spans="1:20" ht="18" customHeight="1">
      <c r="A91" s="146"/>
      <c r="B91" s="149"/>
      <c r="C91" s="152"/>
      <c r="D91" s="152"/>
      <c r="E91" s="156"/>
      <c r="F91" s="157"/>
      <c r="G91" s="156"/>
      <c r="H91" s="157"/>
      <c r="I91" s="181"/>
      <c r="J91" s="181"/>
      <c r="K91" s="181"/>
      <c r="L91" s="181"/>
      <c r="M91" s="181"/>
      <c r="N91" s="146"/>
      <c r="O91" s="136"/>
    </row>
    <row r="92" spans="1:20" ht="18" customHeight="1">
      <c r="A92" s="146"/>
      <c r="B92" s="149"/>
      <c r="C92" s="152"/>
      <c r="D92" s="152"/>
      <c r="E92" s="173" t="s">
        <v>10</v>
      </c>
      <c r="F92" s="173" t="s">
        <v>12</v>
      </c>
      <c r="G92" s="173" t="s">
        <v>14</v>
      </c>
      <c r="H92" s="173" t="s">
        <v>15</v>
      </c>
      <c r="I92" s="181"/>
      <c r="J92" s="181"/>
      <c r="K92" s="181"/>
      <c r="L92" s="181"/>
      <c r="M92" s="181"/>
      <c r="N92" s="146"/>
      <c r="O92" s="136"/>
    </row>
    <row r="93" spans="1:20" ht="18" customHeight="1">
      <c r="A93" s="147"/>
      <c r="B93" s="150"/>
      <c r="C93" s="153"/>
      <c r="D93" s="153"/>
      <c r="E93" s="174"/>
      <c r="F93" s="174"/>
      <c r="G93" s="174"/>
      <c r="H93" s="174"/>
      <c r="I93" s="174"/>
      <c r="J93" s="174"/>
      <c r="K93" s="174"/>
      <c r="L93" s="174"/>
      <c r="M93" s="174"/>
      <c r="N93" s="147"/>
      <c r="O93" s="136"/>
    </row>
    <row r="94" spans="1:20" ht="17.399999999999999" customHeight="1">
      <c r="A94" s="178" t="s">
        <v>42</v>
      </c>
      <c r="B94" s="179"/>
      <c r="C94" s="179"/>
      <c r="D94" s="179"/>
      <c r="E94" s="179"/>
      <c r="F94" s="179"/>
      <c r="G94" s="179"/>
      <c r="H94" s="179"/>
      <c r="I94" s="179"/>
      <c r="J94" s="179"/>
      <c r="K94" s="179"/>
      <c r="L94" s="179"/>
      <c r="M94" s="179"/>
      <c r="N94" s="180"/>
      <c r="O94" s="136"/>
    </row>
    <row r="95" spans="1:20" s="2" customFormat="1" ht="17.399999999999999" customHeight="1">
      <c r="A95" s="8">
        <v>1</v>
      </c>
      <c r="B95" s="9" t="s">
        <v>2</v>
      </c>
      <c r="C95" s="12">
        <f>L95/100*100</f>
        <v>50</v>
      </c>
      <c r="D95" s="13">
        <f>C95/100*60</f>
        <v>30</v>
      </c>
      <c r="E95" s="14">
        <f>C95/100*15</f>
        <v>7.5</v>
      </c>
      <c r="F95" s="14"/>
      <c r="G95" s="14"/>
      <c r="H95" s="14"/>
      <c r="I95" s="14"/>
      <c r="J95" s="22">
        <f>C95/100*387</f>
        <v>193.5</v>
      </c>
      <c r="K95" s="22">
        <f>C95/100*0.09</f>
        <v>4.4999999999999998E-2</v>
      </c>
      <c r="L95" s="109">
        <v>50</v>
      </c>
      <c r="M95" s="20">
        <v>20</v>
      </c>
      <c r="N95" s="16">
        <f>L95*M95</f>
        <v>1000</v>
      </c>
      <c r="O95" s="304"/>
    </row>
    <row r="96" spans="1:20" s="2" customFormat="1" ht="17.399999999999999" customHeight="1">
      <c r="A96" s="8">
        <v>2</v>
      </c>
      <c r="B96" s="9" t="s">
        <v>118</v>
      </c>
      <c r="C96" s="12">
        <f>L96/100*100</f>
        <v>390</v>
      </c>
      <c r="D96" s="13">
        <f>C96/100*899</f>
        <v>3506.1</v>
      </c>
      <c r="E96" s="14"/>
      <c r="F96" s="14"/>
      <c r="G96" s="14">
        <f>C96/100*100</f>
        <v>390</v>
      </c>
      <c r="H96" s="14"/>
      <c r="I96" s="14"/>
      <c r="J96" s="22"/>
      <c r="K96" s="22"/>
      <c r="L96" s="109">
        <v>390</v>
      </c>
      <c r="M96" s="108">
        <v>68</v>
      </c>
      <c r="N96" s="16">
        <f t="shared" ref="N96:N105" si="5">L96*M96</f>
        <v>26520</v>
      </c>
      <c r="O96" s="304"/>
    </row>
    <row r="97" spans="1:23" s="2" customFormat="1" ht="17.399999999999999" customHeight="1">
      <c r="A97" s="8">
        <v>3</v>
      </c>
      <c r="B97" s="5" t="s">
        <v>1</v>
      </c>
      <c r="C97" s="12">
        <f>L97/100*100</f>
        <v>1848.9999999999998</v>
      </c>
      <c r="D97" s="13">
        <f>C97/100*344</f>
        <v>6360.5599999999995</v>
      </c>
      <c r="E97" s="14"/>
      <c r="F97" s="14">
        <f>C97/100*7.9</f>
        <v>146.071</v>
      </c>
      <c r="G97" s="14"/>
      <c r="H97" s="14">
        <f>C97/100*1</f>
        <v>18.489999999999998</v>
      </c>
      <c r="I97" s="89">
        <f>C97/100*73.6</f>
        <v>1360.8639999999998</v>
      </c>
      <c r="J97" s="22">
        <f>C97/100*30</f>
        <v>554.69999999999993</v>
      </c>
      <c r="K97" s="22">
        <f>C97/100*0.1</f>
        <v>1.849</v>
      </c>
      <c r="L97" s="109">
        <v>1849</v>
      </c>
      <c r="M97" s="20">
        <v>18</v>
      </c>
      <c r="N97" s="16">
        <f t="shared" si="5"/>
        <v>33282</v>
      </c>
      <c r="O97" s="304"/>
    </row>
    <row r="98" spans="1:23" s="2" customFormat="1" ht="17.399999999999999" customHeight="1">
      <c r="A98" s="8">
        <v>4</v>
      </c>
      <c r="B98" s="9" t="s">
        <v>29</v>
      </c>
      <c r="C98" s="12">
        <f>L98/100*100</f>
        <v>40</v>
      </c>
      <c r="D98" s="13">
        <f>C98/100*390</f>
        <v>156</v>
      </c>
      <c r="E98" s="14"/>
      <c r="F98" s="14"/>
      <c r="G98" s="14"/>
      <c r="H98" s="14"/>
      <c r="I98" s="14">
        <f>C98/100*97.4</f>
        <v>38.960000000000008</v>
      </c>
      <c r="J98" s="22">
        <f>C98/100*178</f>
        <v>71.2</v>
      </c>
      <c r="K98" s="22">
        <f>C98/100*0.05</f>
        <v>2.0000000000000004E-2</v>
      </c>
      <c r="L98" s="109">
        <v>40</v>
      </c>
      <c r="M98" s="20">
        <v>25</v>
      </c>
      <c r="N98" s="16">
        <f t="shared" si="5"/>
        <v>1000</v>
      </c>
      <c r="O98" s="306"/>
    </row>
    <row r="99" spans="1:23" s="2" customFormat="1" ht="17.399999999999999" customHeight="1">
      <c r="A99" s="8">
        <v>5</v>
      </c>
      <c r="B99" s="9" t="s">
        <v>138</v>
      </c>
      <c r="C99" s="12">
        <f>L99/100*60</f>
        <v>1548</v>
      </c>
      <c r="D99" s="13">
        <f>C99/100*97</f>
        <v>1501.56</v>
      </c>
      <c r="E99" s="89">
        <f>C99/100*18.2</f>
        <v>281.73599999999999</v>
      </c>
      <c r="F99" s="14"/>
      <c r="G99" s="14">
        <f>C99/100*2.7</f>
        <v>41.796000000000006</v>
      </c>
      <c r="H99" s="14"/>
      <c r="I99" s="14"/>
      <c r="J99" s="63">
        <f>C99/100*90</f>
        <v>1393.2</v>
      </c>
      <c r="K99" s="22">
        <f>C99/100*0.04</f>
        <v>0.61920000000000008</v>
      </c>
      <c r="L99" s="109">
        <v>2580</v>
      </c>
      <c r="M99" s="20">
        <v>95</v>
      </c>
      <c r="N99" s="16">
        <f t="shared" si="5"/>
        <v>245100</v>
      </c>
      <c r="O99" s="304"/>
    </row>
    <row r="100" spans="1:23" s="2" customFormat="1" ht="17.399999999999999" customHeight="1">
      <c r="A100" s="8">
        <v>6</v>
      </c>
      <c r="B100" s="126" t="s">
        <v>65</v>
      </c>
      <c r="C100" s="12">
        <f>L100/100*98</f>
        <v>421.4</v>
      </c>
      <c r="D100" s="13">
        <f>C100/100*139</f>
        <v>585.74599999999998</v>
      </c>
      <c r="E100" s="14">
        <f>C100/100*19</f>
        <v>80.065999999999988</v>
      </c>
      <c r="F100" s="14"/>
      <c r="G100" s="14">
        <f>C100/100*7</f>
        <v>29.497999999999998</v>
      </c>
      <c r="H100" s="14"/>
      <c r="I100" s="14"/>
      <c r="J100" s="22">
        <f>C100/100*7</f>
        <v>29.497999999999998</v>
      </c>
      <c r="K100" s="22">
        <f>C100/100*0.9</f>
        <v>3.7925999999999997</v>
      </c>
      <c r="L100" s="109">
        <v>430</v>
      </c>
      <c r="M100" s="109">
        <v>137</v>
      </c>
      <c r="N100" s="16">
        <f t="shared" si="5"/>
        <v>58910</v>
      </c>
      <c r="O100" s="304"/>
    </row>
    <row r="101" spans="1:23" s="2" customFormat="1" ht="17.399999999999999" customHeight="1">
      <c r="A101" s="8">
        <v>7</v>
      </c>
      <c r="B101" s="5" t="s">
        <v>3</v>
      </c>
      <c r="C101" s="12">
        <f>L101/100*48</f>
        <v>331.20000000000005</v>
      </c>
      <c r="D101" s="13">
        <f>C101/100*199</f>
        <v>659.08800000000008</v>
      </c>
      <c r="E101" s="14">
        <f>C101/100*20.3</f>
        <v>67.23360000000001</v>
      </c>
      <c r="F101" s="14"/>
      <c r="G101" s="14">
        <f>C101/100*13.1</f>
        <v>43.3872</v>
      </c>
      <c r="H101" s="14"/>
      <c r="I101" s="14"/>
      <c r="J101" s="22">
        <f>C101/100*12</f>
        <v>39.744</v>
      </c>
      <c r="K101" s="22">
        <f>C101/100*0.15</f>
        <v>0.49680000000000002</v>
      </c>
      <c r="L101" s="109">
        <v>690</v>
      </c>
      <c r="M101" s="15">
        <v>84</v>
      </c>
      <c r="N101" s="16">
        <f t="shared" si="5"/>
        <v>57960</v>
      </c>
      <c r="O101" s="304"/>
      <c r="Q101" s="3"/>
      <c r="R101" s="3"/>
      <c r="S101" s="4"/>
    </row>
    <row r="102" spans="1:23" s="2" customFormat="1" ht="17.399999999999999" customHeight="1">
      <c r="A102" s="8">
        <v>8</v>
      </c>
      <c r="B102" s="5" t="s">
        <v>114</v>
      </c>
      <c r="C102" s="12">
        <f>L102/100*100</f>
        <v>40</v>
      </c>
      <c r="D102" s="13">
        <f>C102/100*247</f>
        <v>98.800000000000011</v>
      </c>
      <c r="E102" s="17"/>
      <c r="F102" s="17">
        <f>C102/100*17.5</f>
        <v>7</v>
      </c>
      <c r="G102" s="17"/>
      <c r="H102" s="17">
        <f>C102/100*1.6</f>
        <v>0.64000000000000012</v>
      </c>
      <c r="I102" s="17">
        <f>C102/100*39.2</f>
        <v>15.680000000000001</v>
      </c>
      <c r="J102" s="21"/>
      <c r="K102" s="21"/>
      <c r="L102" s="308">
        <v>40</v>
      </c>
      <c r="M102" s="20">
        <v>50</v>
      </c>
      <c r="N102" s="16">
        <f t="shared" si="5"/>
        <v>2000</v>
      </c>
      <c r="O102" s="304"/>
      <c r="Q102" s="3"/>
      <c r="R102" s="3"/>
      <c r="S102" s="4"/>
      <c r="T102" s="3"/>
    </row>
    <row r="103" spans="1:23" s="2" customFormat="1" ht="17.399999999999999" customHeight="1">
      <c r="A103" s="8">
        <v>9</v>
      </c>
      <c r="B103" s="5" t="s">
        <v>132</v>
      </c>
      <c r="C103" s="12">
        <f>L103/100*87</f>
        <v>1009.1999999999999</v>
      </c>
      <c r="D103" s="13">
        <f>C103/100*21</f>
        <v>211.93199999999996</v>
      </c>
      <c r="E103" s="17"/>
      <c r="F103" s="17">
        <f>C103/100*1.5</f>
        <v>15.137999999999998</v>
      </c>
      <c r="G103" s="17"/>
      <c r="H103" s="17">
        <f>C103/100*0.1</f>
        <v>1.0091999999999999</v>
      </c>
      <c r="I103" s="17">
        <f>C103/100*3.6</f>
        <v>36.331199999999995</v>
      </c>
      <c r="J103" s="17">
        <f>C103/100*40</f>
        <v>403.67999999999995</v>
      </c>
      <c r="K103" s="17">
        <f>C103/100*0.06</f>
        <v>0.60551999999999995</v>
      </c>
      <c r="L103" s="308">
        <v>1160</v>
      </c>
      <c r="M103" s="15">
        <v>18</v>
      </c>
      <c r="N103" s="16">
        <f t="shared" si="5"/>
        <v>20880</v>
      </c>
      <c r="O103" s="304"/>
      <c r="Q103" s="3"/>
      <c r="R103" s="3"/>
      <c r="S103" s="4"/>
    </row>
    <row r="104" spans="1:23" s="2" customFormat="1" ht="17.399999999999999" customHeight="1">
      <c r="A104" s="8">
        <v>10</v>
      </c>
      <c r="B104" s="5" t="s">
        <v>5</v>
      </c>
      <c r="C104" s="12">
        <f>L104/100*98.5</f>
        <v>216.70000000000002</v>
      </c>
      <c r="D104" s="13">
        <f>C104/100*39</f>
        <v>84.513000000000005</v>
      </c>
      <c r="E104" s="17"/>
      <c r="F104" s="17">
        <f>C104/100*1.5</f>
        <v>3.2505000000000006</v>
      </c>
      <c r="G104" s="17"/>
      <c r="H104" s="17">
        <f>C104/100*0.2</f>
        <v>0.43340000000000006</v>
      </c>
      <c r="I104" s="17">
        <f>C104/100*7.8</f>
        <v>16.902600000000003</v>
      </c>
      <c r="J104" s="17">
        <f>C104/100*43</f>
        <v>93.181000000000012</v>
      </c>
      <c r="K104" s="17">
        <f>C104/100*0.06</f>
        <v>0.13002000000000002</v>
      </c>
      <c r="L104" s="308">
        <v>220</v>
      </c>
      <c r="M104" s="15">
        <v>17</v>
      </c>
      <c r="N104" s="16">
        <f t="shared" si="5"/>
        <v>3740</v>
      </c>
      <c r="O104" s="304"/>
      <c r="Q104" s="3"/>
      <c r="R104" s="3"/>
      <c r="S104" s="4"/>
    </row>
    <row r="105" spans="1:23" s="2" customFormat="1" ht="17.399999999999999" customHeight="1">
      <c r="A105" s="8">
        <v>11</v>
      </c>
      <c r="B105" s="5" t="s">
        <v>128</v>
      </c>
      <c r="C105" s="12">
        <f>L105/100*81</f>
        <v>761.4</v>
      </c>
      <c r="D105" s="13">
        <f>C105/100*17</f>
        <v>129.43799999999999</v>
      </c>
      <c r="E105" s="17"/>
      <c r="F105" s="17">
        <f>C105/100*0.9</f>
        <v>6.8525999999999998</v>
      </c>
      <c r="G105" s="17"/>
      <c r="H105" s="17">
        <f>C105/100*0.2</f>
        <v>1.5228000000000002</v>
      </c>
      <c r="I105" s="17">
        <f>C105/100*2.8</f>
        <v>21.319199999999999</v>
      </c>
      <c r="J105" s="14">
        <f>C105/100*28</f>
        <v>213.19200000000001</v>
      </c>
      <c r="K105" s="22">
        <f>C105/100*0.04</f>
        <v>0.30456</v>
      </c>
      <c r="L105" s="308">
        <v>940</v>
      </c>
      <c r="M105" s="20">
        <v>20</v>
      </c>
      <c r="N105" s="16">
        <f t="shared" si="5"/>
        <v>18800</v>
      </c>
      <c r="O105" s="304"/>
      <c r="P105" s="3"/>
    </row>
    <row r="106" spans="1:23" s="2" customFormat="1" ht="17.399999999999999" customHeight="1">
      <c r="A106" s="8">
        <v>12</v>
      </c>
      <c r="B106" s="9" t="s">
        <v>108</v>
      </c>
      <c r="C106" s="12"/>
      <c r="D106" s="13"/>
      <c r="E106" s="14"/>
      <c r="F106" s="14"/>
      <c r="G106" s="14"/>
      <c r="H106" s="14"/>
      <c r="I106" s="14"/>
      <c r="J106" s="14"/>
      <c r="K106" s="14"/>
      <c r="L106" s="15"/>
      <c r="M106" s="15"/>
      <c r="N106" s="16">
        <v>3000</v>
      </c>
      <c r="O106" s="304"/>
    </row>
    <row r="107" spans="1:23" s="2" customFormat="1" ht="17.399999999999999" customHeight="1">
      <c r="A107" s="23" t="s">
        <v>101</v>
      </c>
      <c r="B107" s="24"/>
      <c r="C107" s="25"/>
      <c r="D107" s="92">
        <f>SUM(D96:D106)</f>
        <v>13293.736999999999</v>
      </c>
      <c r="E107" s="31"/>
      <c r="F107" s="31"/>
      <c r="G107" s="31"/>
      <c r="H107" s="31"/>
      <c r="I107" s="31"/>
      <c r="J107" s="31"/>
      <c r="K107" s="31"/>
      <c r="L107" s="32"/>
      <c r="M107" s="32"/>
      <c r="N107" s="273">
        <f>SUM(N95:N106)</f>
        <v>472192</v>
      </c>
      <c r="O107" s="304"/>
    </row>
    <row r="108" spans="1:23" ht="17.399999999999999" customHeight="1">
      <c r="A108" s="23" t="s">
        <v>43</v>
      </c>
      <c r="B108" s="24"/>
      <c r="C108" s="33"/>
      <c r="D108" s="34">
        <f>D107/C89</f>
        <v>309.15667441860461</v>
      </c>
      <c r="E108" s="34"/>
      <c r="F108" s="34"/>
      <c r="G108" s="34"/>
      <c r="H108" s="34"/>
      <c r="I108" s="34"/>
      <c r="J108" s="34"/>
      <c r="K108" s="34"/>
      <c r="L108" s="35"/>
      <c r="M108" s="35"/>
      <c r="N108" s="274"/>
      <c r="O108" s="325"/>
      <c r="P108" s="2"/>
      <c r="Q108" s="2"/>
      <c r="R108" s="2"/>
      <c r="S108" s="2"/>
      <c r="T108" s="2"/>
      <c r="U108" s="2"/>
      <c r="V108" s="2"/>
      <c r="W108" s="2"/>
    </row>
    <row r="109" spans="1:23" ht="17.399999999999999" customHeight="1">
      <c r="A109" s="275" t="s">
        <v>52</v>
      </c>
      <c r="B109" s="185"/>
      <c r="C109" s="309" t="s">
        <v>126</v>
      </c>
      <c r="D109" s="29" t="s">
        <v>38</v>
      </c>
      <c r="E109" s="34"/>
      <c r="F109" s="34"/>
      <c r="G109" s="34"/>
      <c r="H109" s="34"/>
      <c r="I109" s="34"/>
      <c r="J109" s="36"/>
      <c r="K109" s="36"/>
      <c r="L109" s="35"/>
      <c r="M109" s="35"/>
      <c r="N109" s="141"/>
      <c r="O109" s="4"/>
      <c r="P109" s="2"/>
      <c r="Q109" s="2"/>
      <c r="R109" s="2"/>
      <c r="S109" s="2"/>
      <c r="T109" s="2"/>
      <c r="U109" s="2"/>
      <c r="V109" s="2"/>
      <c r="W109" s="2"/>
    </row>
    <row r="110" spans="1:23" ht="17.399999999999999" customHeight="1">
      <c r="A110" s="186"/>
      <c r="B110" s="187"/>
      <c r="C110" s="61" t="s">
        <v>57</v>
      </c>
      <c r="D110" s="29">
        <f>D108*100/930</f>
        <v>33.242653163290818</v>
      </c>
      <c r="E110" s="34"/>
      <c r="F110" s="34"/>
      <c r="G110" s="34"/>
      <c r="H110" s="34"/>
      <c r="I110" s="34"/>
      <c r="J110" s="36"/>
      <c r="K110" s="36"/>
      <c r="L110" s="35"/>
      <c r="M110" s="35"/>
      <c r="N110" s="141"/>
      <c r="O110" s="4"/>
      <c r="P110" s="2"/>
      <c r="Q110" s="2"/>
      <c r="R110" s="2"/>
      <c r="S110" s="2"/>
      <c r="T110" s="2"/>
      <c r="U110" s="2"/>
      <c r="V110" s="2"/>
      <c r="W110" s="2"/>
    </row>
    <row r="111" spans="1:23" s="2" customFormat="1" ht="17.399999999999999" customHeight="1">
      <c r="A111" s="188" t="s">
        <v>45</v>
      </c>
      <c r="B111" s="188"/>
      <c r="C111" s="45"/>
      <c r="D111" s="46"/>
      <c r="E111" s="47"/>
      <c r="F111" s="47"/>
      <c r="G111" s="47"/>
      <c r="H111" s="47"/>
      <c r="I111" s="47"/>
      <c r="J111" s="47"/>
      <c r="K111" s="47"/>
      <c r="L111" s="48"/>
      <c r="M111" s="48"/>
      <c r="N111" s="51"/>
      <c r="O111" s="304"/>
    </row>
    <row r="112" spans="1:23" s="2" customFormat="1" ht="17.399999999999999" customHeight="1">
      <c r="A112" s="8">
        <v>1</v>
      </c>
      <c r="B112" s="9" t="s">
        <v>2</v>
      </c>
      <c r="C112" s="12">
        <f>L112/100*100</f>
        <v>50</v>
      </c>
      <c r="D112" s="13">
        <f>C112/100*60</f>
        <v>30</v>
      </c>
      <c r="E112" s="14">
        <f>C112/100*15</f>
        <v>7.5</v>
      </c>
      <c r="F112" s="14"/>
      <c r="G112" s="14"/>
      <c r="H112" s="14"/>
      <c r="I112" s="14"/>
      <c r="J112" s="22">
        <f>C112/100*387</f>
        <v>193.5</v>
      </c>
      <c r="K112" s="22">
        <f>C112/100*0.09</f>
        <v>4.4999999999999998E-2</v>
      </c>
      <c r="L112" s="109">
        <v>50</v>
      </c>
      <c r="M112" s="20">
        <v>20</v>
      </c>
      <c r="N112" s="110">
        <f>L112*M112</f>
        <v>1000</v>
      </c>
      <c r="O112" s="304"/>
    </row>
    <row r="113" spans="1:23" s="2" customFormat="1" ht="17.399999999999999" customHeight="1">
      <c r="A113" s="8">
        <v>2</v>
      </c>
      <c r="B113" s="9" t="s">
        <v>118</v>
      </c>
      <c r="C113" s="12">
        <f>L113/100*100</f>
        <v>140</v>
      </c>
      <c r="D113" s="13">
        <f>C113/100*899</f>
        <v>1258.5999999999999</v>
      </c>
      <c r="E113" s="14"/>
      <c r="F113" s="14"/>
      <c r="G113" s="14">
        <f>C113/100*100</f>
        <v>140</v>
      </c>
      <c r="H113" s="14"/>
      <c r="I113" s="14"/>
      <c r="J113" s="22"/>
      <c r="K113" s="22"/>
      <c r="L113" s="109">
        <v>140</v>
      </c>
      <c r="M113" s="108">
        <v>68</v>
      </c>
      <c r="N113" s="110">
        <f t="shared" ref="N113:N120" si="6">L113*M113</f>
        <v>9520</v>
      </c>
      <c r="O113" s="304"/>
    </row>
    <row r="114" spans="1:23" s="2" customFormat="1" ht="17.399999999999999" customHeight="1">
      <c r="A114" s="8">
        <v>3</v>
      </c>
      <c r="B114" s="126" t="s">
        <v>121</v>
      </c>
      <c r="C114" s="12">
        <f t="shared" ref="C114" si="7">L114/100*100</f>
        <v>110.00000000000001</v>
      </c>
      <c r="D114" s="64">
        <f>C114/100*900</f>
        <v>990.00000000000011</v>
      </c>
      <c r="E114" s="14"/>
      <c r="F114" s="14"/>
      <c r="G114" s="89"/>
      <c r="H114" s="14">
        <f>C114/100*100</f>
        <v>110.00000000000001</v>
      </c>
      <c r="I114" s="14"/>
      <c r="J114" s="14"/>
      <c r="K114" s="14"/>
      <c r="L114" s="109">
        <v>110</v>
      </c>
      <c r="M114" s="64">
        <v>63.5</v>
      </c>
      <c r="N114" s="91">
        <f t="shared" si="6"/>
        <v>6985</v>
      </c>
      <c r="O114" s="305"/>
    </row>
    <row r="115" spans="1:23" s="2" customFormat="1" ht="17.399999999999999" customHeight="1">
      <c r="A115" s="8">
        <v>4</v>
      </c>
      <c r="B115" s="5" t="s">
        <v>1</v>
      </c>
      <c r="C115" s="12">
        <f>L115/100*100</f>
        <v>1805.9999999999998</v>
      </c>
      <c r="D115" s="13">
        <f>C115/100*344</f>
        <v>6212.6399999999994</v>
      </c>
      <c r="E115" s="14"/>
      <c r="F115" s="14">
        <f>C115/100*7.9</f>
        <v>142.67400000000001</v>
      </c>
      <c r="G115" s="14"/>
      <c r="H115" s="14">
        <f>C115/100*1</f>
        <v>18.059999999999999</v>
      </c>
      <c r="I115" s="89">
        <f>C115/100*73.6</f>
        <v>1329.2159999999999</v>
      </c>
      <c r="J115" s="22">
        <f>C115/100*30</f>
        <v>541.79999999999995</v>
      </c>
      <c r="K115" s="22">
        <f>C115/100*0.1</f>
        <v>1.806</v>
      </c>
      <c r="L115" s="109">
        <v>1806</v>
      </c>
      <c r="M115" s="20">
        <v>18</v>
      </c>
      <c r="N115" s="110">
        <f t="shared" si="6"/>
        <v>32508</v>
      </c>
      <c r="O115" s="304"/>
    </row>
    <row r="116" spans="1:23" s="2" customFormat="1" ht="17.399999999999999" customHeight="1">
      <c r="A116" s="8">
        <v>5</v>
      </c>
      <c r="B116" s="9" t="s">
        <v>65</v>
      </c>
      <c r="C116" s="12">
        <f>L116/100*98</f>
        <v>882</v>
      </c>
      <c r="D116" s="13">
        <f>C116/100*139</f>
        <v>1225.98</v>
      </c>
      <c r="E116" s="14">
        <f>C116/100*19</f>
        <v>167.58</v>
      </c>
      <c r="F116" s="14"/>
      <c r="G116" s="14">
        <f>C116/100*7</f>
        <v>61.74</v>
      </c>
      <c r="H116" s="14"/>
      <c r="I116" s="14"/>
      <c r="J116" s="22">
        <f>C116/100*7</f>
        <v>61.74</v>
      </c>
      <c r="K116" s="22">
        <f>C116/100*0.9</f>
        <v>7.9380000000000006</v>
      </c>
      <c r="L116" s="109">
        <v>900</v>
      </c>
      <c r="M116" s="42">
        <v>137</v>
      </c>
      <c r="N116" s="111">
        <f t="shared" si="6"/>
        <v>123300</v>
      </c>
      <c r="O116" s="304"/>
    </row>
    <row r="117" spans="1:23" s="2" customFormat="1" ht="17.399999999999999" customHeight="1">
      <c r="A117" s="8">
        <v>6</v>
      </c>
      <c r="B117" s="5" t="s">
        <v>62</v>
      </c>
      <c r="C117" s="12">
        <f>L117/100*86</f>
        <v>369.8</v>
      </c>
      <c r="D117" s="13">
        <f>C117/100*166</f>
        <v>613.86799999999994</v>
      </c>
      <c r="E117" s="14">
        <f>C117/100*14.8</f>
        <v>54.730400000000003</v>
      </c>
      <c r="F117" s="14"/>
      <c r="G117" s="14">
        <f>C117/100*11.6</f>
        <v>42.896799999999999</v>
      </c>
      <c r="H117" s="14"/>
      <c r="I117" s="14">
        <f>C117/100*0.5</f>
        <v>1.849</v>
      </c>
      <c r="J117" s="22">
        <f>C117/100*55</f>
        <v>203.39</v>
      </c>
      <c r="K117" s="22">
        <f>C117/100*0.16</f>
        <v>0.59167999999999998</v>
      </c>
      <c r="L117" s="109">
        <v>430</v>
      </c>
      <c r="M117" s="20">
        <v>62</v>
      </c>
      <c r="N117" s="110">
        <f t="shared" si="6"/>
        <v>26660</v>
      </c>
      <c r="O117" s="304"/>
      <c r="Q117" s="3"/>
      <c r="R117" s="3"/>
      <c r="S117" s="4"/>
    </row>
    <row r="118" spans="1:23" s="2" customFormat="1" ht="17.399999999999999" customHeight="1">
      <c r="A118" s="8">
        <v>7</v>
      </c>
      <c r="B118" s="5" t="s">
        <v>78</v>
      </c>
      <c r="C118" s="12">
        <f>L118/100*82</f>
        <v>1123.3999999999999</v>
      </c>
      <c r="D118" s="13">
        <f>C118/100*27</f>
        <v>303.31799999999993</v>
      </c>
      <c r="E118" s="17"/>
      <c r="F118" s="17">
        <f>C118/100*0.3</f>
        <v>3.3701999999999992</v>
      </c>
      <c r="G118" s="17"/>
      <c r="H118" s="17">
        <f>C118/100*0.1</f>
        <v>1.1234</v>
      </c>
      <c r="I118" s="17">
        <f>C118/100*6.1</f>
        <v>68.527399999999986</v>
      </c>
      <c r="J118" s="62">
        <f>C118/100*24</f>
        <v>269.61599999999999</v>
      </c>
      <c r="K118" s="21">
        <f>C118/100*0.03</f>
        <v>0.33701999999999993</v>
      </c>
      <c r="L118" s="307">
        <v>1370</v>
      </c>
      <c r="M118" s="15">
        <v>22</v>
      </c>
      <c r="N118" s="110">
        <f t="shared" si="6"/>
        <v>30140</v>
      </c>
      <c r="O118" s="304"/>
      <c r="Q118" s="3"/>
      <c r="R118" s="3"/>
      <c r="S118" s="4"/>
    </row>
    <row r="119" spans="1:23" s="2" customFormat="1" ht="17.399999999999999" customHeight="1">
      <c r="A119" s="8">
        <v>8</v>
      </c>
      <c r="B119" s="9" t="s">
        <v>89</v>
      </c>
      <c r="C119" s="12">
        <f>L119/100*43</f>
        <v>150.5</v>
      </c>
      <c r="D119" s="13">
        <f>C119/100*83</f>
        <v>124.91499999999999</v>
      </c>
      <c r="E119" s="14">
        <f>C119/100*7.7</f>
        <v>11.5885</v>
      </c>
      <c r="F119" s="14"/>
      <c r="G119" s="14">
        <f>C119/100*5.5</f>
        <v>8.2774999999999999</v>
      </c>
      <c r="H119" s="14"/>
      <c r="I119" s="14"/>
      <c r="J119" s="22"/>
      <c r="K119" s="22"/>
      <c r="L119" s="109">
        <v>350</v>
      </c>
      <c r="M119" s="20">
        <v>137</v>
      </c>
      <c r="N119" s="110">
        <f t="shared" si="6"/>
        <v>47950</v>
      </c>
      <c r="O119" s="304"/>
    </row>
    <row r="120" spans="1:23" s="2" customFormat="1" ht="17.399999999999999" customHeight="1">
      <c r="A120" s="8">
        <v>9</v>
      </c>
      <c r="B120" s="5" t="s">
        <v>114</v>
      </c>
      <c r="C120" s="12">
        <f>L120/100*100</f>
        <v>40</v>
      </c>
      <c r="D120" s="13">
        <f>C120/100*247</f>
        <v>98.800000000000011</v>
      </c>
      <c r="E120" s="17"/>
      <c r="F120" s="17">
        <f>C120/100*17.5</f>
        <v>7</v>
      </c>
      <c r="G120" s="17"/>
      <c r="H120" s="17">
        <f>C120/100*1.6</f>
        <v>0.64000000000000012</v>
      </c>
      <c r="I120" s="17">
        <f>C120/100*39.2</f>
        <v>15.680000000000001</v>
      </c>
      <c r="J120" s="21"/>
      <c r="K120" s="21"/>
      <c r="L120" s="307">
        <v>40</v>
      </c>
      <c r="M120" s="20">
        <v>50</v>
      </c>
      <c r="N120" s="110">
        <f t="shared" si="6"/>
        <v>2000</v>
      </c>
      <c r="O120" s="304"/>
      <c r="Q120" s="3"/>
      <c r="R120" s="3"/>
      <c r="S120" s="4"/>
      <c r="T120" s="3"/>
    </row>
    <row r="121" spans="1:23" s="2" customFormat="1" ht="17.399999999999999" customHeight="1">
      <c r="A121" s="8">
        <v>10</v>
      </c>
      <c r="B121" s="9" t="s">
        <v>108</v>
      </c>
      <c r="C121" s="12"/>
      <c r="D121" s="13"/>
      <c r="E121" s="14"/>
      <c r="F121" s="14"/>
      <c r="G121" s="14"/>
      <c r="H121" s="14"/>
      <c r="I121" s="14"/>
      <c r="J121" s="14"/>
      <c r="K121" s="14"/>
      <c r="L121" s="15"/>
      <c r="M121" s="15"/>
      <c r="N121" s="16">
        <v>3000</v>
      </c>
      <c r="O121" s="304"/>
    </row>
    <row r="122" spans="1:23" s="2" customFormat="1" ht="17.399999999999999" customHeight="1">
      <c r="A122" s="23" t="s">
        <v>102</v>
      </c>
      <c r="B122" s="24"/>
      <c r="C122" s="25"/>
      <c r="D122" s="92">
        <f>SUM(D112:D121)</f>
        <v>10858.120999999999</v>
      </c>
      <c r="E122" s="31"/>
      <c r="F122" s="31"/>
      <c r="G122" s="31"/>
      <c r="H122" s="31"/>
      <c r="I122" s="31"/>
      <c r="J122" s="31"/>
      <c r="K122" s="31"/>
      <c r="L122" s="32"/>
      <c r="M122" s="32"/>
      <c r="N122" s="273">
        <f>SUM(N112:N121)</f>
        <v>283063</v>
      </c>
      <c r="O122" s="304"/>
    </row>
    <row r="123" spans="1:23" ht="17.399999999999999" customHeight="1">
      <c r="A123" s="23" t="s">
        <v>46</v>
      </c>
      <c r="B123" s="24"/>
      <c r="C123" s="52"/>
      <c r="D123" s="36">
        <f>D122/C89</f>
        <v>252.5144418604651</v>
      </c>
      <c r="E123" s="36"/>
      <c r="F123" s="36"/>
      <c r="G123" s="36"/>
      <c r="H123" s="36"/>
      <c r="I123" s="36"/>
      <c r="J123" s="36"/>
      <c r="K123" s="36"/>
      <c r="L123" s="53"/>
      <c r="M123" s="35"/>
      <c r="N123" s="274"/>
      <c r="O123" s="325"/>
      <c r="P123" s="2"/>
      <c r="Q123" s="2"/>
      <c r="R123" s="2"/>
      <c r="S123" s="2"/>
      <c r="T123" s="2"/>
      <c r="U123" s="2"/>
      <c r="V123" s="2"/>
      <c r="W123" s="2"/>
    </row>
    <row r="124" spans="1:23" ht="17.399999999999999" customHeight="1">
      <c r="A124" s="275" t="s">
        <v>53</v>
      </c>
      <c r="B124" s="185"/>
      <c r="C124" s="309" t="s">
        <v>126</v>
      </c>
      <c r="D124" s="29" t="s">
        <v>48</v>
      </c>
      <c r="E124" s="34"/>
      <c r="F124" s="34"/>
      <c r="G124" s="34"/>
      <c r="H124" s="34"/>
      <c r="I124" s="34"/>
      <c r="J124" s="36"/>
      <c r="K124" s="36"/>
      <c r="L124" s="35"/>
      <c r="M124" s="35"/>
      <c r="N124" s="141"/>
      <c r="O124" s="325"/>
      <c r="P124" s="2"/>
      <c r="Q124" s="2"/>
      <c r="R124" s="2"/>
      <c r="S124" s="2"/>
      <c r="T124" s="2"/>
      <c r="U124" s="2"/>
      <c r="V124" s="2"/>
      <c r="W124" s="2"/>
    </row>
    <row r="125" spans="1:23" ht="17.399999999999999" customHeight="1">
      <c r="A125" s="186"/>
      <c r="B125" s="187"/>
      <c r="C125" s="61" t="s">
        <v>57</v>
      </c>
      <c r="D125" s="29">
        <f>D123*100/930</f>
        <v>27.152090522630655</v>
      </c>
      <c r="E125" s="34"/>
      <c r="F125" s="34"/>
      <c r="G125" s="34"/>
      <c r="H125" s="34"/>
      <c r="I125" s="34"/>
      <c r="J125" s="36"/>
      <c r="K125" s="36"/>
      <c r="L125" s="35"/>
      <c r="M125" s="35"/>
      <c r="N125" s="141"/>
      <c r="O125" s="325"/>
      <c r="P125" s="2"/>
      <c r="Q125" s="2"/>
      <c r="R125" s="2"/>
      <c r="S125" s="134"/>
      <c r="T125" s="2"/>
      <c r="U125" s="2"/>
      <c r="V125" s="2"/>
      <c r="W125" s="2"/>
    </row>
    <row r="126" spans="1:23" ht="17.399999999999999" customHeight="1">
      <c r="A126" s="188" t="s">
        <v>39</v>
      </c>
      <c r="B126" s="188"/>
      <c r="C126" s="54"/>
      <c r="D126" s="55"/>
      <c r="E126" s="55"/>
      <c r="F126" s="55"/>
      <c r="G126" s="55"/>
      <c r="H126" s="55"/>
      <c r="I126" s="55"/>
      <c r="J126" s="55"/>
      <c r="K126" s="55"/>
      <c r="L126" s="56"/>
      <c r="M126" s="56"/>
      <c r="N126" s="57"/>
      <c r="O126" s="325"/>
      <c r="P126" s="2"/>
      <c r="Q126" s="2"/>
      <c r="R126" s="2"/>
      <c r="S126" s="2"/>
      <c r="T126" s="2"/>
      <c r="U126" s="2"/>
      <c r="V126" s="2"/>
      <c r="W126" s="2"/>
    </row>
    <row r="127" spans="1:23" s="2" customFormat="1" ht="17.399999999999999" customHeight="1">
      <c r="A127" s="116">
        <v>1</v>
      </c>
      <c r="B127" s="131" t="s">
        <v>124</v>
      </c>
      <c r="C127" s="25">
        <f>L127/100*100</f>
        <v>730</v>
      </c>
      <c r="D127" s="117">
        <f>C127/100*487</f>
        <v>3555.1</v>
      </c>
      <c r="E127" s="27"/>
      <c r="F127" s="27">
        <f>C127/100*19.5</f>
        <v>142.35</v>
      </c>
      <c r="G127" s="27"/>
      <c r="H127" s="27">
        <f>C127/100*23.2</f>
        <v>169.35999999999999</v>
      </c>
      <c r="I127" s="27">
        <f>C127/100*46</f>
        <v>335.8</v>
      </c>
      <c r="J127" s="118">
        <f>C127/100*680</f>
        <v>4964</v>
      </c>
      <c r="K127" s="27">
        <f>C127/100*0.55</f>
        <v>4.0150000000000006</v>
      </c>
      <c r="L127" s="28">
        <v>730</v>
      </c>
      <c r="M127" s="132">
        <v>260</v>
      </c>
      <c r="N127" s="119">
        <f t="shared" ref="N127" si="8">L127*M127</f>
        <v>189800</v>
      </c>
      <c r="O127" s="304"/>
      <c r="P127" s="3"/>
    </row>
    <row r="128" spans="1:23" ht="19.2" customHeight="1">
      <c r="A128" s="145" t="s">
        <v>0</v>
      </c>
      <c r="B128" s="148" t="s">
        <v>19</v>
      </c>
      <c r="C128" s="151" t="s">
        <v>8</v>
      </c>
      <c r="D128" s="151" t="s">
        <v>9</v>
      </c>
      <c r="E128" s="154" t="s">
        <v>11</v>
      </c>
      <c r="F128" s="155"/>
      <c r="G128" s="154" t="s">
        <v>13</v>
      </c>
      <c r="H128" s="155"/>
      <c r="I128" s="173" t="s">
        <v>16</v>
      </c>
      <c r="J128" s="173" t="s">
        <v>32</v>
      </c>
      <c r="K128" s="173" t="s">
        <v>33</v>
      </c>
      <c r="L128" s="173" t="s">
        <v>17</v>
      </c>
      <c r="M128" s="173" t="s">
        <v>34</v>
      </c>
      <c r="N128" s="145" t="s">
        <v>18</v>
      </c>
      <c r="O128" s="302"/>
    </row>
    <row r="129" spans="1:23" ht="19.2" customHeight="1">
      <c r="A129" s="146"/>
      <c r="B129" s="149"/>
      <c r="C129" s="152"/>
      <c r="D129" s="152"/>
      <c r="E129" s="156"/>
      <c r="F129" s="157"/>
      <c r="G129" s="156"/>
      <c r="H129" s="157"/>
      <c r="I129" s="181"/>
      <c r="J129" s="181"/>
      <c r="K129" s="181"/>
      <c r="L129" s="181"/>
      <c r="M129" s="181"/>
      <c r="N129" s="146"/>
      <c r="O129" s="136"/>
    </row>
    <row r="130" spans="1:23" ht="19.2" customHeight="1">
      <c r="A130" s="146"/>
      <c r="B130" s="149"/>
      <c r="C130" s="152"/>
      <c r="D130" s="152"/>
      <c r="E130" s="173" t="s">
        <v>10</v>
      </c>
      <c r="F130" s="173" t="s">
        <v>12</v>
      </c>
      <c r="G130" s="173" t="s">
        <v>14</v>
      </c>
      <c r="H130" s="173" t="s">
        <v>15</v>
      </c>
      <c r="I130" s="181"/>
      <c r="J130" s="181"/>
      <c r="K130" s="181"/>
      <c r="L130" s="181"/>
      <c r="M130" s="181"/>
      <c r="N130" s="146"/>
      <c r="O130" s="136"/>
    </row>
    <row r="131" spans="1:23" ht="19.2" customHeight="1">
      <c r="A131" s="147"/>
      <c r="B131" s="150"/>
      <c r="C131" s="153"/>
      <c r="D131" s="153"/>
      <c r="E131" s="174"/>
      <c r="F131" s="174"/>
      <c r="G131" s="174"/>
      <c r="H131" s="174"/>
      <c r="I131" s="174"/>
      <c r="J131" s="174"/>
      <c r="K131" s="174"/>
      <c r="L131" s="174"/>
      <c r="M131" s="174"/>
      <c r="N131" s="147"/>
      <c r="O131" s="136"/>
    </row>
    <row r="132" spans="1:23" s="2" customFormat="1" ht="21" customHeight="1">
      <c r="A132" s="23" t="s">
        <v>95</v>
      </c>
      <c r="B132" s="24"/>
      <c r="C132" s="25"/>
      <c r="D132" s="26">
        <f>SUM(D126:D127)</f>
        <v>3555.1</v>
      </c>
      <c r="E132" s="31"/>
      <c r="F132" s="31"/>
      <c r="G132" s="31"/>
      <c r="H132" s="31"/>
      <c r="I132" s="31"/>
      <c r="J132" s="31"/>
      <c r="K132" s="31"/>
      <c r="L132" s="32"/>
      <c r="M132" s="58"/>
      <c r="N132" s="273">
        <f>SUM(N126:N127)</f>
        <v>189800</v>
      </c>
      <c r="O132" s="304"/>
    </row>
    <row r="133" spans="1:23" ht="21" customHeight="1">
      <c r="A133" s="23" t="s">
        <v>7</v>
      </c>
      <c r="B133" s="24"/>
      <c r="C133" s="33"/>
      <c r="D133" s="34">
        <f>D132/C89</f>
        <v>82.676744186046506</v>
      </c>
      <c r="E133" s="34"/>
      <c r="F133" s="34"/>
      <c r="G133" s="34"/>
      <c r="H133" s="34"/>
      <c r="I133" s="34"/>
      <c r="J133" s="34"/>
      <c r="K133" s="34"/>
      <c r="L133" s="35"/>
      <c r="M133" s="18"/>
      <c r="N133" s="274"/>
      <c r="O133" s="325"/>
      <c r="P133" s="2"/>
      <c r="Q133" s="2"/>
      <c r="R133" s="2"/>
      <c r="S133" s="2"/>
      <c r="T133" s="2"/>
      <c r="U133" s="2"/>
      <c r="V133" s="2"/>
      <c r="W133" s="2"/>
    </row>
    <row r="134" spans="1:23" ht="21" customHeight="1">
      <c r="A134" s="275" t="s">
        <v>51</v>
      </c>
      <c r="B134" s="185"/>
      <c r="C134" s="309" t="s">
        <v>126</v>
      </c>
      <c r="D134" s="29" t="s">
        <v>49</v>
      </c>
      <c r="E134" s="34"/>
      <c r="F134" s="34"/>
      <c r="G134" s="34"/>
      <c r="H134" s="34"/>
      <c r="I134" s="34"/>
      <c r="J134" s="36"/>
      <c r="K134" s="36"/>
      <c r="L134" s="35"/>
      <c r="M134" s="35"/>
      <c r="N134" s="141"/>
      <c r="O134" s="4"/>
      <c r="P134" s="2"/>
      <c r="Q134" s="2"/>
      <c r="R134" s="2"/>
      <c r="S134" s="2"/>
      <c r="T134" s="2"/>
      <c r="U134" s="2"/>
      <c r="V134" s="2"/>
      <c r="W134" s="2"/>
    </row>
    <row r="135" spans="1:23" ht="21" customHeight="1">
      <c r="A135" s="186"/>
      <c r="B135" s="187"/>
      <c r="C135" s="61" t="s">
        <v>57</v>
      </c>
      <c r="D135" s="29">
        <f>D133*100/930</f>
        <v>8.8899724931232811</v>
      </c>
      <c r="E135" s="34"/>
      <c r="F135" s="34"/>
      <c r="G135" s="34"/>
      <c r="H135" s="34"/>
      <c r="I135" s="34"/>
      <c r="J135" s="36"/>
      <c r="K135" s="36"/>
      <c r="L135" s="35"/>
      <c r="M135" s="35"/>
      <c r="N135" s="141"/>
      <c r="O135" s="4"/>
      <c r="P135" s="2"/>
      <c r="Q135" s="2"/>
      <c r="R135" s="2"/>
      <c r="S135" s="2"/>
      <c r="T135" s="2"/>
      <c r="U135" s="2"/>
      <c r="V135" s="2"/>
      <c r="W135" s="2"/>
    </row>
    <row r="136" spans="1:23" ht="21" customHeight="1">
      <c r="A136" s="192" t="s">
        <v>96</v>
      </c>
      <c r="B136" s="193"/>
      <c r="C136" s="196"/>
      <c r="D136" s="288">
        <f>D107+D122+D132</f>
        <v>27706.957999999999</v>
      </c>
      <c r="E136" s="6">
        <f>SUM(E95:E127)</f>
        <v>677.93449999999996</v>
      </c>
      <c r="F136" s="6">
        <f>SUM(F95:F127)</f>
        <v>473.70629999999994</v>
      </c>
      <c r="G136" s="6">
        <f>SUM(G95:G126)</f>
        <v>757.59550000000002</v>
      </c>
      <c r="H136" s="6">
        <f>SUM(H95:H127)</f>
        <v>321.27879999999999</v>
      </c>
      <c r="I136" s="200">
        <f>SUM(I95:I127)</f>
        <v>3241.1293999999998</v>
      </c>
      <c r="J136" s="204">
        <f>SUM(J95:J127)</f>
        <v>9225.9409999999989</v>
      </c>
      <c r="K136" s="204">
        <f>SUM(K95:K127)</f>
        <v>22.595399999999998</v>
      </c>
      <c r="L136" s="206"/>
      <c r="M136" s="206"/>
      <c r="N136" s="257">
        <f>N107+N122+N132</f>
        <v>945055</v>
      </c>
      <c r="P136" s="2"/>
      <c r="Q136" s="2"/>
      <c r="R136" s="2"/>
      <c r="S136" s="2"/>
      <c r="T136" s="2"/>
      <c r="U136" s="2"/>
      <c r="V136" s="2"/>
    </row>
    <row r="137" spans="1:23" ht="21" customHeight="1">
      <c r="A137" s="194"/>
      <c r="B137" s="195"/>
      <c r="C137" s="197"/>
      <c r="D137" s="289"/>
      <c r="E137" s="208">
        <f>E136+F136</f>
        <v>1151.6407999999999</v>
      </c>
      <c r="F137" s="209"/>
      <c r="G137" s="290">
        <f>G136+H136</f>
        <v>1078.8742999999999</v>
      </c>
      <c r="H137" s="291"/>
      <c r="I137" s="201"/>
      <c r="J137" s="205"/>
      <c r="K137" s="205"/>
      <c r="L137" s="206"/>
      <c r="M137" s="206"/>
      <c r="N137" s="257"/>
      <c r="U137" s="11"/>
      <c r="V137" s="11"/>
    </row>
    <row r="138" spans="1:23" ht="21" customHeight="1">
      <c r="A138" s="246" t="s">
        <v>73</v>
      </c>
      <c r="B138" s="247"/>
      <c r="C138" s="248"/>
      <c r="D138" s="101">
        <f>D136/C89</f>
        <v>644.34786046511624</v>
      </c>
      <c r="E138" s="106">
        <f>E136/C89</f>
        <v>15.765918604651162</v>
      </c>
      <c r="F138" s="105">
        <f>F136/C89</f>
        <v>11.016425581395348</v>
      </c>
      <c r="G138" s="106">
        <f>G136/C89</f>
        <v>17.618500000000001</v>
      </c>
      <c r="H138" s="105">
        <f>H136/C89</f>
        <v>7.4715999999999996</v>
      </c>
      <c r="I138" s="218">
        <f>I136/C89</f>
        <v>75.375102325581395</v>
      </c>
      <c r="J138" s="218">
        <f>J136/C89</f>
        <v>214.55676744186044</v>
      </c>
      <c r="K138" s="218">
        <f>K136/C89</f>
        <v>0.52547441860465116</v>
      </c>
      <c r="L138" s="206"/>
      <c r="M138" s="206"/>
      <c r="N138" s="257"/>
      <c r="U138" s="11"/>
      <c r="V138" s="11"/>
    </row>
    <row r="139" spans="1:23" ht="21" customHeight="1">
      <c r="A139" s="249"/>
      <c r="B139" s="250"/>
      <c r="C139" s="251"/>
      <c r="D139" s="95"/>
      <c r="E139" s="279">
        <f>E138+F138</f>
        <v>26.782344186046508</v>
      </c>
      <c r="F139" s="278"/>
      <c r="G139" s="279">
        <f>G138+H138</f>
        <v>25.0901</v>
      </c>
      <c r="H139" s="278"/>
      <c r="I139" s="219"/>
      <c r="J139" s="219"/>
      <c r="K139" s="219"/>
      <c r="L139" s="206"/>
      <c r="M139" s="206"/>
      <c r="N139" s="257"/>
      <c r="P139" s="297"/>
      <c r="Q139" s="299"/>
      <c r="R139" s="299"/>
      <c r="S139" s="299"/>
      <c r="T139" s="299"/>
      <c r="U139" s="311"/>
      <c r="V139" s="311"/>
    </row>
    <row r="140" spans="1:23" ht="21" customHeight="1">
      <c r="A140" s="312" t="s">
        <v>74</v>
      </c>
      <c r="B140" s="313"/>
      <c r="C140" s="314"/>
      <c r="D140" s="315" t="s">
        <v>28</v>
      </c>
      <c r="E140" s="326" t="s">
        <v>24</v>
      </c>
      <c r="F140" s="326"/>
      <c r="G140" s="326" t="s">
        <v>25</v>
      </c>
      <c r="H140" s="326"/>
      <c r="I140" s="315" t="s">
        <v>26</v>
      </c>
      <c r="J140" s="137">
        <v>500</v>
      </c>
      <c r="K140" s="137">
        <v>0.59</v>
      </c>
      <c r="L140" s="206"/>
      <c r="M140" s="206"/>
      <c r="N140" s="257"/>
      <c r="O140" s="317"/>
      <c r="P140" s="318"/>
      <c r="Q140" s="299"/>
      <c r="R140" s="299"/>
      <c r="S140" s="327"/>
      <c r="T140" s="327"/>
      <c r="U140" s="299"/>
      <c r="V140" s="299"/>
    </row>
    <row r="141" spans="1:23" ht="21" customHeight="1">
      <c r="A141" s="223" t="s">
        <v>67</v>
      </c>
      <c r="B141" s="224"/>
      <c r="C141" s="225"/>
      <c r="D141" s="19"/>
      <c r="E141" s="226">
        <f>E139*4.1</f>
        <v>109.80761116279068</v>
      </c>
      <c r="F141" s="227"/>
      <c r="G141" s="226">
        <f>G139*9</f>
        <v>225.8109</v>
      </c>
      <c r="H141" s="227"/>
      <c r="I141" s="67">
        <f>I138*4.1</f>
        <v>309.03791953488371</v>
      </c>
      <c r="J141" s="228"/>
      <c r="K141" s="228"/>
      <c r="L141" s="206"/>
      <c r="M141" s="206"/>
      <c r="N141" s="257"/>
      <c r="O141" s="317"/>
      <c r="P141" s="319"/>
      <c r="Q141" s="296"/>
      <c r="R141" s="296"/>
      <c r="S141" s="296"/>
      <c r="T141" s="297"/>
      <c r="U141" s="297"/>
      <c r="V141" s="297"/>
    </row>
    <row r="142" spans="1:23" ht="21" customHeight="1">
      <c r="A142" s="231" t="s">
        <v>75</v>
      </c>
      <c r="B142" s="232"/>
      <c r="C142" s="223" t="s">
        <v>57</v>
      </c>
      <c r="D142" s="225"/>
      <c r="E142" s="235">
        <f>E141*100/D138</f>
        <v>17.04166614032475</v>
      </c>
      <c r="F142" s="236"/>
      <c r="G142" s="235">
        <f>G141*100/D138</f>
        <v>35.04487464845473</v>
      </c>
      <c r="H142" s="236"/>
      <c r="I142" s="84">
        <f>I141*100/D138</f>
        <v>47.961347976201502</v>
      </c>
      <c r="J142" s="229"/>
      <c r="K142" s="229"/>
      <c r="L142" s="206"/>
      <c r="M142" s="206"/>
      <c r="N142" s="257"/>
      <c r="O142" s="317"/>
      <c r="P142" s="297"/>
      <c r="Q142" s="298"/>
      <c r="R142" s="297"/>
      <c r="S142" s="297"/>
      <c r="T142" s="297"/>
      <c r="U142" s="297"/>
      <c r="V142" s="297"/>
    </row>
    <row r="143" spans="1:23" ht="21" customHeight="1">
      <c r="A143" s="233"/>
      <c r="B143" s="234"/>
      <c r="C143" s="223" t="s">
        <v>69</v>
      </c>
      <c r="D143" s="225"/>
      <c r="E143" s="223" t="s">
        <v>70</v>
      </c>
      <c r="F143" s="225"/>
      <c r="G143" s="223" t="s">
        <v>76</v>
      </c>
      <c r="H143" s="225"/>
      <c r="I143" s="315" t="s">
        <v>77</v>
      </c>
      <c r="J143" s="230"/>
      <c r="K143" s="230"/>
      <c r="L143" s="206"/>
      <c r="M143" s="206"/>
      <c r="N143" s="257"/>
      <c r="O143" s="317"/>
      <c r="P143" s="82"/>
    </row>
    <row r="144" spans="1:23" ht="21" customHeight="1">
      <c r="A144" s="69"/>
      <c r="B144" s="70"/>
      <c r="C144" s="69"/>
      <c r="D144" s="69"/>
      <c r="E144" s="69"/>
      <c r="F144" s="69"/>
      <c r="G144" s="69"/>
      <c r="H144" s="69"/>
      <c r="I144" s="69"/>
      <c r="J144" s="69"/>
      <c r="K144" s="69"/>
      <c r="L144" s="71"/>
      <c r="M144" s="71"/>
      <c r="N144" s="72"/>
      <c r="O144" s="317"/>
    </row>
    <row r="145" spans="1:15" ht="21" customHeight="1">
      <c r="A145" s="220" t="s">
        <v>97</v>
      </c>
      <c r="B145" s="220"/>
      <c r="C145" s="220"/>
      <c r="D145" s="220"/>
      <c r="E145" s="220"/>
      <c r="F145" s="220"/>
      <c r="G145" s="220"/>
      <c r="H145" s="220"/>
      <c r="I145" s="220"/>
      <c r="J145" s="220"/>
      <c r="K145" s="220"/>
      <c r="L145" s="220"/>
      <c r="M145" s="220"/>
      <c r="N145" s="220"/>
      <c r="O145" s="317"/>
    </row>
    <row r="146" spans="1:15" ht="21" customHeight="1">
      <c r="A146" s="85" t="s">
        <v>98</v>
      </c>
      <c r="B146" s="221" t="s">
        <v>99</v>
      </c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317"/>
    </row>
    <row r="147" spans="1:15" ht="21" customHeight="1">
      <c r="A147" s="86"/>
      <c r="B147" s="222" t="s">
        <v>176</v>
      </c>
      <c r="C147" s="222"/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  <c r="N147" s="222"/>
      <c r="O147" s="317"/>
    </row>
    <row r="148" spans="1:15" ht="21" customHeight="1">
      <c r="A148" s="86"/>
      <c r="B148" s="222" t="s">
        <v>157</v>
      </c>
      <c r="C148" s="222"/>
      <c r="D148" s="222"/>
      <c r="E148" s="222"/>
      <c r="F148" s="222"/>
      <c r="G148" s="222"/>
      <c r="H148" s="222"/>
      <c r="I148" s="222"/>
      <c r="J148" s="222"/>
      <c r="K148" s="222"/>
      <c r="L148" s="222"/>
      <c r="M148" s="222"/>
      <c r="N148" s="222"/>
      <c r="O148" s="317"/>
    </row>
    <row r="149" spans="1:15" ht="21" customHeight="1">
      <c r="A149" s="86"/>
      <c r="B149" s="222" t="s">
        <v>149</v>
      </c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317"/>
    </row>
    <row r="150" spans="1:15" ht="21" customHeight="1">
      <c r="A150" s="69"/>
      <c r="B150" s="237" t="s">
        <v>110</v>
      </c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317"/>
    </row>
    <row r="151" spans="1:15" ht="21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87"/>
      <c r="M151" s="87"/>
      <c r="N151" s="88"/>
      <c r="O151" s="317"/>
    </row>
    <row r="152" spans="1:15" ht="21" customHeight="1">
      <c r="A152" s="238" t="s">
        <v>59</v>
      </c>
      <c r="B152" s="238"/>
      <c r="C152" s="238"/>
      <c r="D152" s="238"/>
      <c r="E152" s="321"/>
      <c r="F152" s="321"/>
      <c r="G152" s="321"/>
      <c r="H152" s="321"/>
      <c r="I152" s="321"/>
      <c r="J152" s="322" t="s">
        <v>36</v>
      </c>
      <c r="K152" s="322"/>
      <c r="L152" s="322"/>
      <c r="M152" s="322"/>
      <c r="N152" s="322"/>
      <c r="O152" s="317"/>
    </row>
    <row r="153" spans="1:15" ht="21" customHeight="1">
      <c r="A153" s="136"/>
      <c r="B153" s="136"/>
      <c r="C153" s="136"/>
      <c r="D153" s="321"/>
      <c r="E153" s="321"/>
      <c r="F153" s="321"/>
      <c r="G153" s="321"/>
      <c r="H153" s="323"/>
      <c r="I153" s="323"/>
      <c r="J153" s="323"/>
      <c r="K153" s="323"/>
      <c r="L153" s="323"/>
      <c r="M153" s="323"/>
      <c r="N153" s="323"/>
      <c r="O153" s="317"/>
    </row>
    <row r="154" spans="1:15" ht="21" customHeight="1">
      <c r="A154" s="136"/>
      <c r="B154" s="136"/>
      <c r="C154" s="136"/>
      <c r="D154" s="321"/>
      <c r="E154" s="321"/>
      <c r="F154" s="321"/>
      <c r="G154" s="321"/>
      <c r="H154" s="323"/>
      <c r="I154" s="323"/>
      <c r="J154" s="323"/>
      <c r="K154" s="323"/>
      <c r="L154" s="323"/>
      <c r="M154" s="323"/>
      <c r="N154" s="323"/>
      <c r="O154" s="317"/>
    </row>
    <row r="155" spans="1:15" ht="21" customHeight="1">
      <c r="A155" s="136"/>
      <c r="B155" s="136"/>
      <c r="C155" s="136"/>
      <c r="D155" s="321"/>
      <c r="E155" s="321"/>
      <c r="F155" s="321"/>
      <c r="G155" s="321"/>
      <c r="H155" s="323"/>
      <c r="I155" s="323"/>
      <c r="J155" s="324" t="s">
        <v>100</v>
      </c>
      <c r="K155" s="324"/>
      <c r="L155" s="324"/>
      <c r="M155" s="324"/>
      <c r="N155" s="324"/>
      <c r="O155" s="317"/>
    </row>
    <row r="156" spans="1:15" ht="21" customHeight="1">
      <c r="A156" s="239" t="s">
        <v>82</v>
      </c>
      <c r="B156" s="239"/>
      <c r="C156" s="239"/>
      <c r="D156" s="239"/>
      <c r="E156" s="321"/>
      <c r="F156" s="321"/>
      <c r="G156" s="321"/>
      <c r="H156" s="323"/>
      <c r="I156" s="323"/>
      <c r="J156" s="324"/>
      <c r="K156" s="324"/>
      <c r="L156" s="324"/>
      <c r="M156" s="324"/>
      <c r="N156" s="324"/>
      <c r="O156" s="317"/>
    </row>
    <row r="157" spans="1:15" ht="21" customHeight="1">
      <c r="J157" s="323"/>
      <c r="K157" s="323"/>
      <c r="L157" s="323"/>
      <c r="M157" s="323"/>
      <c r="N157" s="323"/>
    </row>
    <row r="158" spans="1:15" ht="21" customHeight="1">
      <c r="J158" s="324" t="s">
        <v>111</v>
      </c>
      <c r="K158" s="324"/>
      <c r="L158" s="324"/>
      <c r="M158" s="324"/>
      <c r="N158" s="324"/>
    </row>
  </sheetData>
  <mergeCells count="208">
    <mergeCell ref="A86:D86"/>
    <mergeCell ref="J86:N86"/>
    <mergeCell ref="C56:D56"/>
    <mergeCell ref="N27:N28"/>
    <mergeCell ref="B150:N150"/>
    <mergeCell ref="A152:D152"/>
    <mergeCell ref="J152:N152"/>
    <mergeCell ref="A156:D156"/>
    <mergeCell ref="J156:N156"/>
    <mergeCell ref="L41:L44"/>
    <mergeCell ref="M41:M44"/>
    <mergeCell ref="N41:N44"/>
    <mergeCell ref="E43:E44"/>
    <mergeCell ref="F43:F44"/>
    <mergeCell ref="G43:G44"/>
    <mergeCell ref="H43:H44"/>
    <mergeCell ref="A41:A44"/>
    <mergeCell ref="B41:B44"/>
    <mergeCell ref="C41:C44"/>
    <mergeCell ref="D41:D44"/>
    <mergeCell ref="E41:F42"/>
    <mergeCell ref="G41:H42"/>
    <mergeCell ref="I41:I44"/>
    <mergeCell ref="J41:J44"/>
    <mergeCell ref="J72:N72"/>
    <mergeCell ref="E53:F53"/>
    <mergeCell ref="F1:N1"/>
    <mergeCell ref="Q52:R52"/>
    <mergeCell ref="S52:T52"/>
    <mergeCell ref="Q53:R53"/>
    <mergeCell ref="S53:T53"/>
    <mergeCell ref="A13:N13"/>
    <mergeCell ref="A9:A12"/>
    <mergeCell ref="B9:B12"/>
    <mergeCell ref="C9:C12"/>
    <mergeCell ref="D9:D12"/>
    <mergeCell ref="E9:F10"/>
    <mergeCell ref="G9:H10"/>
    <mergeCell ref="I9:I12"/>
    <mergeCell ref="L9:L12"/>
    <mergeCell ref="N9:N12"/>
    <mergeCell ref="E11:E12"/>
    <mergeCell ref="F11:F12"/>
    <mergeCell ref="G11:G12"/>
    <mergeCell ref="H11:H12"/>
    <mergeCell ref="J9:J12"/>
    <mergeCell ref="A3:D3"/>
    <mergeCell ref="E3:N3"/>
    <mergeCell ref="U52:V52"/>
    <mergeCell ref="U53:V53"/>
    <mergeCell ref="A29:B30"/>
    <mergeCell ref="A31:B31"/>
    <mergeCell ref="N45:N46"/>
    <mergeCell ref="A47:B48"/>
    <mergeCell ref="A49:B50"/>
    <mergeCell ref="C49:C50"/>
    <mergeCell ref="D49:D50"/>
    <mergeCell ref="G53:H53"/>
    <mergeCell ref="L49:L56"/>
    <mergeCell ref="M49:M56"/>
    <mergeCell ref="N49:N56"/>
    <mergeCell ref="E50:F50"/>
    <mergeCell ref="G50:H50"/>
    <mergeCell ref="I51:I52"/>
    <mergeCell ref="E52:F52"/>
    <mergeCell ref="G52:H52"/>
    <mergeCell ref="J49:J50"/>
    <mergeCell ref="K41:K44"/>
    <mergeCell ref="F92:F93"/>
    <mergeCell ref="K51:K52"/>
    <mergeCell ref="H92:H93"/>
    <mergeCell ref="A94:N94"/>
    <mergeCell ref="N107:N108"/>
    <mergeCell ref="A90:A93"/>
    <mergeCell ref="E56:F56"/>
    <mergeCell ref="A53:C53"/>
    <mergeCell ref="A54:C54"/>
    <mergeCell ref="E54:F54"/>
    <mergeCell ref="G54:H54"/>
    <mergeCell ref="J54:J56"/>
    <mergeCell ref="K54:K56"/>
    <mergeCell ref="A55:B56"/>
    <mergeCell ref="C55:D55"/>
    <mergeCell ref="I90:I93"/>
    <mergeCell ref="G56:H56"/>
    <mergeCell ref="E90:F91"/>
    <mergeCell ref="G90:H91"/>
    <mergeCell ref="J68:N68"/>
    <mergeCell ref="J71:N71"/>
    <mergeCell ref="G55:H55"/>
    <mergeCell ref="E55:F55"/>
    <mergeCell ref="A72:D72"/>
    <mergeCell ref="A4:D4"/>
    <mergeCell ref="A5:D5"/>
    <mergeCell ref="A6:D6"/>
    <mergeCell ref="A7:D7"/>
    <mergeCell ref="E4:I7"/>
    <mergeCell ref="J4:N7"/>
    <mergeCell ref="A51:C52"/>
    <mergeCell ref="K49:K50"/>
    <mergeCell ref="J51:J52"/>
    <mergeCell ref="K9:K12"/>
    <mergeCell ref="M9:M12"/>
    <mergeCell ref="I49:I50"/>
    <mergeCell ref="K128:K131"/>
    <mergeCell ref="L128:L131"/>
    <mergeCell ref="M128:M131"/>
    <mergeCell ref="N128:N131"/>
    <mergeCell ref="A109:B110"/>
    <mergeCell ref="A111:B111"/>
    <mergeCell ref="F81:N81"/>
    <mergeCell ref="E84:I84"/>
    <mergeCell ref="J84:N84"/>
    <mergeCell ref="A85:D85"/>
    <mergeCell ref="E85:I88"/>
    <mergeCell ref="J85:N85"/>
    <mergeCell ref="A87:D87"/>
    <mergeCell ref="J87:N87"/>
    <mergeCell ref="A88:D88"/>
    <mergeCell ref="J88:N88"/>
    <mergeCell ref="A83:D84"/>
    <mergeCell ref="E83:N83"/>
    <mergeCell ref="L90:L93"/>
    <mergeCell ref="M90:M93"/>
    <mergeCell ref="N90:N93"/>
    <mergeCell ref="E92:E93"/>
    <mergeCell ref="C90:C93"/>
    <mergeCell ref="D90:D93"/>
    <mergeCell ref="A126:B126"/>
    <mergeCell ref="A128:A131"/>
    <mergeCell ref="B128:B131"/>
    <mergeCell ref="C128:C131"/>
    <mergeCell ref="D128:D131"/>
    <mergeCell ref="E128:F129"/>
    <mergeCell ref="G128:H129"/>
    <mergeCell ref="I128:I131"/>
    <mergeCell ref="E130:E131"/>
    <mergeCell ref="F130:F131"/>
    <mergeCell ref="G130:G131"/>
    <mergeCell ref="H130:H131"/>
    <mergeCell ref="J128:J131"/>
    <mergeCell ref="S139:T139"/>
    <mergeCell ref="U139:V139"/>
    <mergeCell ref="A140:C140"/>
    <mergeCell ref="E140:F140"/>
    <mergeCell ref="G140:H140"/>
    <mergeCell ref="Q140:R140"/>
    <mergeCell ref="S140:T140"/>
    <mergeCell ref="U140:V140"/>
    <mergeCell ref="L136:L143"/>
    <mergeCell ref="M136:M143"/>
    <mergeCell ref="N136:N143"/>
    <mergeCell ref="E137:F137"/>
    <mergeCell ref="G137:H137"/>
    <mergeCell ref="A138:C139"/>
    <mergeCell ref="I138:I139"/>
    <mergeCell ref="J138:J139"/>
    <mergeCell ref="K138:K139"/>
    <mergeCell ref="E139:F139"/>
    <mergeCell ref="G139:H139"/>
    <mergeCell ref="A141:C141"/>
    <mergeCell ref="E141:F141"/>
    <mergeCell ref="G141:H141"/>
    <mergeCell ref="Q139:R139"/>
    <mergeCell ref="B147:N147"/>
    <mergeCell ref="B148:N148"/>
    <mergeCell ref="B149:N149"/>
    <mergeCell ref="N132:N133"/>
    <mergeCell ref="A134:B135"/>
    <mergeCell ref="A136:B137"/>
    <mergeCell ref="C136:C137"/>
    <mergeCell ref="D136:D137"/>
    <mergeCell ref="I136:I137"/>
    <mergeCell ref="J136:J137"/>
    <mergeCell ref="K136:K137"/>
    <mergeCell ref="J141:J143"/>
    <mergeCell ref="K141:K143"/>
    <mergeCell ref="A142:B143"/>
    <mergeCell ref="C142:D142"/>
    <mergeCell ref="E142:F142"/>
    <mergeCell ref="G142:H142"/>
    <mergeCell ref="C143:D143"/>
    <mergeCell ref="E143:F143"/>
    <mergeCell ref="G143:H143"/>
    <mergeCell ref="J155:N155"/>
    <mergeCell ref="J158:N158"/>
    <mergeCell ref="J90:J93"/>
    <mergeCell ref="K90:K93"/>
    <mergeCell ref="N122:N123"/>
    <mergeCell ref="A124:B125"/>
    <mergeCell ref="A8:B8"/>
    <mergeCell ref="C8:D8"/>
    <mergeCell ref="A89:B89"/>
    <mergeCell ref="C89:D89"/>
    <mergeCell ref="A58:N58"/>
    <mergeCell ref="B59:N59"/>
    <mergeCell ref="B60:N60"/>
    <mergeCell ref="B61:N61"/>
    <mergeCell ref="B62:N62"/>
    <mergeCell ref="B63:N63"/>
    <mergeCell ref="A65:D65"/>
    <mergeCell ref="J65:N65"/>
    <mergeCell ref="A69:D69"/>
    <mergeCell ref="J69:N69"/>
    <mergeCell ref="G92:G93"/>
    <mergeCell ref="B90:B93"/>
    <mergeCell ref="A145:N145"/>
    <mergeCell ref="B146:N146"/>
  </mergeCells>
  <pageMargins left="0.25" right="0.17708333333333334" top="0.42708333333333331" bottom="0.36458333333333331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T2-T2</vt:lpstr>
      <vt:lpstr>T3-T2</vt:lpstr>
      <vt:lpstr>T4-T2</vt:lpstr>
      <vt:lpstr>T5-T2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IEC</cp:lastModifiedBy>
  <cp:lastPrinted>2026-02-12T03:45:44Z</cp:lastPrinted>
  <dcterms:created xsi:type="dcterms:W3CDTF">2015-10-28T22:11:29Z</dcterms:created>
  <dcterms:modified xsi:type="dcterms:W3CDTF">2026-02-12T07:28:22Z</dcterms:modified>
</cp:coreProperties>
</file>