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N125" i="19"/>
  <c r="N130" s="1"/>
  <c r="C125"/>
  <c r="D125" s="1"/>
  <c r="D130" s="1"/>
  <c r="D131" s="1"/>
  <c r="D133" s="1"/>
  <c r="N118"/>
  <c r="F118"/>
  <c r="D118"/>
  <c r="C118"/>
  <c r="H118" s="1"/>
  <c r="N117"/>
  <c r="D117"/>
  <c r="C117"/>
  <c r="E117" s="1"/>
  <c r="N116"/>
  <c r="C116"/>
  <c r="D116" s="1"/>
  <c r="N115"/>
  <c r="C115"/>
  <c r="D115" s="1"/>
  <c r="N114"/>
  <c r="C114"/>
  <c r="D114" s="1"/>
  <c r="N113"/>
  <c r="C113"/>
  <c r="D113" s="1"/>
  <c r="N112"/>
  <c r="C112"/>
  <c r="D112" s="1"/>
  <c r="N111"/>
  <c r="H111"/>
  <c r="D111"/>
  <c r="C111"/>
  <c r="N110"/>
  <c r="C110"/>
  <c r="D110" s="1"/>
  <c r="D120" s="1"/>
  <c r="D121" s="1"/>
  <c r="D123" s="1"/>
  <c r="N109"/>
  <c r="N120" s="1"/>
  <c r="K109"/>
  <c r="J109"/>
  <c r="E109"/>
  <c r="D109"/>
  <c r="C109"/>
  <c r="N102"/>
  <c r="F102"/>
  <c r="D102"/>
  <c r="C102"/>
  <c r="H102" s="1"/>
  <c r="N101"/>
  <c r="F101"/>
  <c r="D101"/>
  <c r="C101"/>
  <c r="H101" s="1"/>
  <c r="N100"/>
  <c r="C100"/>
  <c r="D100" s="1"/>
  <c r="N99"/>
  <c r="C99"/>
  <c r="D99" s="1"/>
  <c r="N98"/>
  <c r="K98"/>
  <c r="J98"/>
  <c r="G98"/>
  <c r="E98"/>
  <c r="D98"/>
  <c r="C98"/>
  <c r="N97"/>
  <c r="K97"/>
  <c r="J97"/>
  <c r="I97"/>
  <c r="H97"/>
  <c r="F97"/>
  <c r="D97"/>
  <c r="C97"/>
  <c r="N96"/>
  <c r="N104" s="1"/>
  <c r="G96"/>
  <c r="D96"/>
  <c r="C96"/>
  <c r="N95"/>
  <c r="D95"/>
  <c r="C95"/>
  <c r="E95" s="1"/>
  <c r="N40"/>
  <c r="F40"/>
  <c r="D40"/>
  <c r="C40"/>
  <c r="H40" s="1"/>
  <c r="N39"/>
  <c r="D39"/>
  <c r="C39"/>
  <c r="E39" s="1"/>
  <c r="N38"/>
  <c r="C38"/>
  <c r="D38" s="1"/>
  <c r="N37"/>
  <c r="C37"/>
  <c r="D37" s="1"/>
  <c r="N36"/>
  <c r="N46" s="1"/>
  <c r="I36"/>
  <c r="H36"/>
  <c r="F36"/>
  <c r="D36"/>
  <c r="C36"/>
  <c r="N35"/>
  <c r="K35"/>
  <c r="J35"/>
  <c r="I35"/>
  <c r="H35"/>
  <c r="F35"/>
  <c r="D35"/>
  <c r="C35"/>
  <c r="N34"/>
  <c r="K34"/>
  <c r="J34"/>
  <c r="I34"/>
  <c r="H34"/>
  <c r="F34"/>
  <c r="D34"/>
  <c r="C34"/>
  <c r="N33"/>
  <c r="K33"/>
  <c r="J33"/>
  <c r="I33"/>
  <c r="H33"/>
  <c r="F33"/>
  <c r="D33"/>
  <c r="C33"/>
  <c r="N32"/>
  <c r="H32"/>
  <c r="D32"/>
  <c r="C32"/>
  <c r="N31"/>
  <c r="G31"/>
  <c r="D31"/>
  <c r="C31"/>
  <c r="N30"/>
  <c r="K30"/>
  <c r="J30"/>
  <c r="E30"/>
  <c r="D30"/>
  <c r="C30"/>
  <c r="N23"/>
  <c r="C23"/>
  <c r="D23" s="1"/>
  <c r="N22"/>
  <c r="C22"/>
  <c r="D22" s="1"/>
  <c r="N21"/>
  <c r="C21"/>
  <c r="D21" s="1"/>
  <c r="N20"/>
  <c r="I20"/>
  <c r="H20"/>
  <c r="F20"/>
  <c r="D20"/>
  <c r="C20"/>
  <c r="N19"/>
  <c r="K19"/>
  <c r="J19"/>
  <c r="I19"/>
  <c r="G19"/>
  <c r="E19"/>
  <c r="D19"/>
  <c r="C19"/>
  <c r="N18"/>
  <c r="K18"/>
  <c r="J18"/>
  <c r="G18"/>
  <c r="E18"/>
  <c r="D18"/>
  <c r="C18"/>
  <c r="N17"/>
  <c r="J17"/>
  <c r="G17"/>
  <c r="E17"/>
  <c r="D17"/>
  <c r="C17"/>
  <c r="K17" s="1"/>
  <c r="N16"/>
  <c r="I16"/>
  <c r="H16"/>
  <c r="F16"/>
  <c r="D16"/>
  <c r="C16"/>
  <c r="J16" s="1"/>
  <c r="N15"/>
  <c r="C15"/>
  <c r="D15" s="1"/>
  <c r="D25" s="1"/>
  <c r="N14"/>
  <c r="N25" s="1"/>
  <c r="N50" s="1"/>
  <c r="K14"/>
  <c r="J14"/>
  <c r="E14"/>
  <c r="D14"/>
  <c r="C14"/>
  <c r="N134" i="18"/>
  <c r="I134"/>
  <c r="F134"/>
  <c r="C134"/>
  <c r="D134" s="1"/>
  <c r="N133"/>
  <c r="K133"/>
  <c r="J133"/>
  <c r="G133"/>
  <c r="E133"/>
  <c r="D133"/>
  <c r="C133"/>
  <c r="N132"/>
  <c r="J132"/>
  <c r="I132"/>
  <c r="H132"/>
  <c r="F132"/>
  <c r="D132"/>
  <c r="C132"/>
  <c r="K132" s="1"/>
  <c r="N131"/>
  <c r="D131"/>
  <c r="C131"/>
  <c r="F131" s="1"/>
  <c r="N130"/>
  <c r="N139" s="1"/>
  <c r="D130"/>
  <c r="C130"/>
  <c r="F130" s="1"/>
  <c r="N123"/>
  <c r="H123"/>
  <c r="F123"/>
  <c r="D123"/>
  <c r="C123"/>
  <c r="I123" s="1"/>
  <c r="N122"/>
  <c r="H122"/>
  <c r="F122"/>
  <c r="D122"/>
  <c r="C122"/>
  <c r="I122" s="1"/>
  <c r="N121"/>
  <c r="H121"/>
  <c r="F121"/>
  <c r="D121"/>
  <c r="C121"/>
  <c r="I121" s="1"/>
  <c r="N120"/>
  <c r="G120"/>
  <c r="E120"/>
  <c r="D120"/>
  <c r="C120"/>
  <c r="I120" s="1"/>
  <c r="N119"/>
  <c r="E119"/>
  <c r="D119"/>
  <c r="C119"/>
  <c r="G119" s="1"/>
  <c r="N118"/>
  <c r="F118"/>
  <c r="D118"/>
  <c r="C118"/>
  <c r="H118" s="1"/>
  <c r="N117"/>
  <c r="G117"/>
  <c r="D117"/>
  <c r="C117"/>
  <c r="N116"/>
  <c r="N125" s="1"/>
  <c r="K116"/>
  <c r="J116"/>
  <c r="E116"/>
  <c r="D116"/>
  <c r="D125" s="1"/>
  <c r="D126" s="1"/>
  <c r="D128" s="1"/>
  <c r="C116"/>
  <c r="N109"/>
  <c r="I109"/>
  <c r="H109"/>
  <c r="F109"/>
  <c r="D109"/>
  <c r="C109"/>
  <c r="N108"/>
  <c r="K108"/>
  <c r="J108"/>
  <c r="I108"/>
  <c r="F108"/>
  <c r="D108"/>
  <c r="C108"/>
  <c r="N107"/>
  <c r="J107"/>
  <c r="I107"/>
  <c r="H107"/>
  <c r="F107"/>
  <c r="D107"/>
  <c r="C107"/>
  <c r="K107" s="1"/>
  <c r="N106"/>
  <c r="J106"/>
  <c r="I106"/>
  <c r="H106"/>
  <c r="F106"/>
  <c r="D106"/>
  <c r="C106"/>
  <c r="K106" s="1"/>
  <c r="N105"/>
  <c r="J105"/>
  <c r="G105"/>
  <c r="E105"/>
  <c r="D105"/>
  <c r="C105"/>
  <c r="K105" s="1"/>
  <c r="N104"/>
  <c r="G104"/>
  <c r="E104"/>
  <c r="D104"/>
  <c r="C104"/>
  <c r="J104" s="1"/>
  <c r="N103"/>
  <c r="H103"/>
  <c r="F103"/>
  <c r="D103"/>
  <c r="C103"/>
  <c r="I103" s="1"/>
  <c r="N102"/>
  <c r="C102"/>
  <c r="D102" s="1"/>
  <c r="N101"/>
  <c r="G101"/>
  <c r="D101"/>
  <c r="C101"/>
  <c r="N100"/>
  <c r="N111" s="1"/>
  <c r="D100"/>
  <c r="D111" s="1"/>
  <c r="C100"/>
  <c r="E100" s="1"/>
  <c r="E143" s="1"/>
  <c r="N44"/>
  <c r="I44"/>
  <c r="C44"/>
  <c r="D44" s="1"/>
  <c r="N43"/>
  <c r="K43"/>
  <c r="J43"/>
  <c r="G43"/>
  <c r="E43"/>
  <c r="D43"/>
  <c r="C43"/>
  <c r="N42"/>
  <c r="K42"/>
  <c r="J42"/>
  <c r="G42"/>
  <c r="E42"/>
  <c r="D42"/>
  <c r="C42"/>
  <c r="N41"/>
  <c r="J41"/>
  <c r="I41"/>
  <c r="H41"/>
  <c r="F41"/>
  <c r="D41"/>
  <c r="C41"/>
  <c r="K41" s="1"/>
  <c r="N40"/>
  <c r="J40"/>
  <c r="I40"/>
  <c r="H40"/>
  <c r="F40"/>
  <c r="D40"/>
  <c r="C40"/>
  <c r="K40" s="1"/>
  <c r="N39"/>
  <c r="F39"/>
  <c r="D39"/>
  <c r="C39"/>
  <c r="I39" s="1"/>
  <c r="N38"/>
  <c r="F38"/>
  <c r="D38"/>
  <c r="C38"/>
  <c r="H38" s="1"/>
  <c r="N37"/>
  <c r="C37"/>
  <c r="D37" s="1"/>
  <c r="N36"/>
  <c r="N49" s="1"/>
  <c r="G36"/>
  <c r="D36"/>
  <c r="C36"/>
  <c r="N35"/>
  <c r="I35"/>
  <c r="H35"/>
  <c r="F35"/>
  <c r="D35"/>
  <c r="C35"/>
  <c r="J35" s="1"/>
  <c r="N34"/>
  <c r="I34"/>
  <c r="H34"/>
  <c r="F34"/>
  <c r="D34"/>
  <c r="C34"/>
  <c r="J34" s="1"/>
  <c r="N33"/>
  <c r="E33"/>
  <c r="D33"/>
  <c r="C33"/>
  <c r="J33" s="1"/>
  <c r="N25"/>
  <c r="I25"/>
  <c r="H25"/>
  <c r="F25"/>
  <c r="D25"/>
  <c r="C25"/>
  <c r="N24"/>
  <c r="I24"/>
  <c r="F24"/>
  <c r="D24"/>
  <c r="C24"/>
  <c r="J24" s="1"/>
  <c r="N23"/>
  <c r="H23"/>
  <c r="F23"/>
  <c r="D23"/>
  <c r="C23"/>
  <c r="I23" s="1"/>
  <c r="N22"/>
  <c r="H22"/>
  <c r="F22"/>
  <c r="D22"/>
  <c r="C22"/>
  <c r="I22" s="1"/>
  <c r="N21"/>
  <c r="H21"/>
  <c r="F21"/>
  <c r="D21"/>
  <c r="C21"/>
  <c r="I21" s="1"/>
  <c r="N20"/>
  <c r="E20"/>
  <c r="D20"/>
  <c r="C20"/>
  <c r="G20" s="1"/>
  <c r="N19"/>
  <c r="D19"/>
  <c r="C19"/>
  <c r="E19" s="1"/>
  <c r="N18"/>
  <c r="D18"/>
  <c r="C18"/>
  <c r="F18" s="1"/>
  <c r="N17"/>
  <c r="H17"/>
  <c r="D17"/>
  <c r="C17"/>
  <c r="N16"/>
  <c r="N27" s="1"/>
  <c r="J16"/>
  <c r="E16"/>
  <c r="E53" s="1"/>
  <c r="D16"/>
  <c r="D27" s="1"/>
  <c r="C16"/>
  <c r="K16" s="1"/>
  <c r="N131" i="17"/>
  <c r="N126"/>
  <c r="C126"/>
  <c r="D126" s="1"/>
  <c r="D131" s="1"/>
  <c r="D132" s="1"/>
  <c r="D134" s="1"/>
  <c r="N119"/>
  <c r="G119"/>
  <c r="E119"/>
  <c r="D119"/>
  <c r="C119"/>
  <c r="J119" s="1"/>
  <c r="N118"/>
  <c r="D118"/>
  <c r="C118"/>
  <c r="F118" s="1"/>
  <c r="N117"/>
  <c r="C117"/>
  <c r="D117" s="1"/>
  <c r="N116"/>
  <c r="C116"/>
  <c r="D116" s="1"/>
  <c r="N115"/>
  <c r="C115"/>
  <c r="D115" s="1"/>
  <c r="N114"/>
  <c r="H114"/>
  <c r="D114"/>
  <c r="C114"/>
  <c r="N113"/>
  <c r="C113"/>
  <c r="D113" s="1"/>
  <c r="N112"/>
  <c r="N121" s="1"/>
  <c r="K112"/>
  <c r="J112"/>
  <c r="E112"/>
  <c r="D112"/>
  <c r="C112"/>
  <c r="N105"/>
  <c r="C105"/>
  <c r="D105" s="1"/>
  <c r="N104"/>
  <c r="C104"/>
  <c r="D104" s="1"/>
  <c r="N103"/>
  <c r="C103"/>
  <c r="D103" s="1"/>
  <c r="N102"/>
  <c r="G102"/>
  <c r="E102"/>
  <c r="C102"/>
  <c r="D102" s="1"/>
  <c r="N101"/>
  <c r="J101"/>
  <c r="I101"/>
  <c r="G101"/>
  <c r="E101"/>
  <c r="C101"/>
  <c r="K101" s="1"/>
  <c r="N100"/>
  <c r="J100"/>
  <c r="G100"/>
  <c r="E100"/>
  <c r="D100"/>
  <c r="C100"/>
  <c r="K100" s="1"/>
  <c r="N99"/>
  <c r="I99"/>
  <c r="H99"/>
  <c r="F99"/>
  <c r="D99"/>
  <c r="C99"/>
  <c r="J99" s="1"/>
  <c r="N98"/>
  <c r="C98"/>
  <c r="D98" s="1"/>
  <c r="N97"/>
  <c r="N107" s="1"/>
  <c r="K97"/>
  <c r="J97"/>
  <c r="E97"/>
  <c r="E135" s="1"/>
  <c r="D97"/>
  <c r="C97"/>
  <c r="N40"/>
  <c r="J40"/>
  <c r="I40"/>
  <c r="F40"/>
  <c r="C40"/>
  <c r="D40" s="1"/>
  <c r="N39"/>
  <c r="N46" s="1"/>
  <c r="K39"/>
  <c r="J39"/>
  <c r="G39"/>
  <c r="E39"/>
  <c r="D39"/>
  <c r="C39"/>
  <c r="N38"/>
  <c r="I38"/>
  <c r="H38"/>
  <c r="F38"/>
  <c r="D38"/>
  <c r="C38"/>
  <c r="N37"/>
  <c r="F37"/>
  <c r="D37"/>
  <c r="C37"/>
  <c r="H37" s="1"/>
  <c r="N36"/>
  <c r="H36"/>
  <c r="D36"/>
  <c r="C36"/>
  <c r="N35"/>
  <c r="G35"/>
  <c r="D35"/>
  <c r="C35"/>
  <c r="N34"/>
  <c r="F34"/>
  <c r="D34"/>
  <c r="C34"/>
  <c r="H34" s="1"/>
  <c r="N33"/>
  <c r="C33"/>
  <c r="D33" s="1"/>
  <c r="N26"/>
  <c r="F26"/>
  <c r="D26"/>
  <c r="C26"/>
  <c r="H26" s="1"/>
  <c r="N25"/>
  <c r="D25"/>
  <c r="C25"/>
  <c r="F25" s="1"/>
  <c r="N24"/>
  <c r="D24"/>
  <c r="C24"/>
  <c r="F24" s="1"/>
  <c r="N23"/>
  <c r="D23"/>
  <c r="C23"/>
  <c r="F23" s="1"/>
  <c r="N22"/>
  <c r="C22"/>
  <c r="D22" s="1"/>
  <c r="N21"/>
  <c r="C21"/>
  <c r="D21" s="1"/>
  <c r="N20"/>
  <c r="C20"/>
  <c r="G20" s="1"/>
  <c r="N19"/>
  <c r="C19"/>
  <c r="K19" s="1"/>
  <c r="N18"/>
  <c r="I18"/>
  <c r="H18"/>
  <c r="F18"/>
  <c r="C18"/>
  <c r="J18" s="1"/>
  <c r="N17"/>
  <c r="C17"/>
  <c r="D17" s="1"/>
  <c r="N16"/>
  <c r="N28" s="1"/>
  <c r="N50" s="1"/>
  <c r="K16"/>
  <c r="J16"/>
  <c r="E16"/>
  <c r="D16"/>
  <c r="C16"/>
  <c r="I34" i="16"/>
  <c r="I21"/>
  <c r="N129"/>
  <c r="N124"/>
  <c r="J124"/>
  <c r="F124"/>
  <c r="C124"/>
  <c r="K124" s="1"/>
  <c r="N117"/>
  <c r="C117"/>
  <c r="D117" s="1"/>
  <c r="N116"/>
  <c r="K116"/>
  <c r="J116"/>
  <c r="G116"/>
  <c r="E116"/>
  <c r="D116"/>
  <c r="C116"/>
  <c r="N115"/>
  <c r="N119" s="1"/>
  <c r="K115"/>
  <c r="I115"/>
  <c r="F115"/>
  <c r="D115"/>
  <c r="C115"/>
  <c r="J115" s="1"/>
  <c r="N114"/>
  <c r="K114"/>
  <c r="J114"/>
  <c r="H114"/>
  <c r="F114"/>
  <c r="D114"/>
  <c r="C114"/>
  <c r="I114" s="1"/>
  <c r="N113"/>
  <c r="I113"/>
  <c r="H113"/>
  <c r="D113"/>
  <c r="C113"/>
  <c r="F113" s="1"/>
  <c r="N112"/>
  <c r="I112"/>
  <c r="H112"/>
  <c r="D112"/>
  <c r="C112"/>
  <c r="J112" s="1"/>
  <c r="N111"/>
  <c r="C111"/>
  <c r="D111" s="1"/>
  <c r="N110"/>
  <c r="J110"/>
  <c r="E110"/>
  <c r="D110"/>
  <c r="D119" s="1"/>
  <c r="D120" s="1"/>
  <c r="D122" s="1"/>
  <c r="C110"/>
  <c r="K110" s="1"/>
  <c r="N103"/>
  <c r="C103"/>
  <c r="D103" s="1"/>
  <c r="N102"/>
  <c r="C102"/>
  <c r="D102" s="1"/>
  <c r="N101"/>
  <c r="K101"/>
  <c r="J101"/>
  <c r="G101"/>
  <c r="E101"/>
  <c r="D101"/>
  <c r="C101"/>
  <c r="N100"/>
  <c r="K100"/>
  <c r="G100"/>
  <c r="E100"/>
  <c r="D100"/>
  <c r="C100"/>
  <c r="J100" s="1"/>
  <c r="N99"/>
  <c r="K99"/>
  <c r="J99"/>
  <c r="G99"/>
  <c r="E99"/>
  <c r="D99"/>
  <c r="C99"/>
  <c r="I99" s="1"/>
  <c r="N98"/>
  <c r="K98"/>
  <c r="J98"/>
  <c r="H98"/>
  <c r="F98"/>
  <c r="D98"/>
  <c r="C98"/>
  <c r="I98" s="1"/>
  <c r="N97"/>
  <c r="K97"/>
  <c r="J97"/>
  <c r="H97"/>
  <c r="F97"/>
  <c r="D97"/>
  <c r="C97"/>
  <c r="I97" s="1"/>
  <c r="N96"/>
  <c r="K96"/>
  <c r="J96"/>
  <c r="H96"/>
  <c r="F96"/>
  <c r="D96"/>
  <c r="C96"/>
  <c r="I96" s="1"/>
  <c r="N95"/>
  <c r="H95"/>
  <c r="D95"/>
  <c r="C95"/>
  <c r="N94"/>
  <c r="N105" s="1"/>
  <c r="N133" s="1"/>
  <c r="D94"/>
  <c r="C94"/>
  <c r="G94" s="1"/>
  <c r="N93"/>
  <c r="K93"/>
  <c r="J93"/>
  <c r="D93"/>
  <c r="C93"/>
  <c r="E93" s="1"/>
  <c r="N41"/>
  <c r="C41"/>
  <c r="D41" s="1"/>
  <c r="N40"/>
  <c r="K40"/>
  <c r="J40"/>
  <c r="I40"/>
  <c r="F40"/>
  <c r="D40"/>
  <c r="C40"/>
  <c r="N39"/>
  <c r="F39"/>
  <c r="C39"/>
  <c r="D39" s="1"/>
  <c r="N38"/>
  <c r="J38"/>
  <c r="G38"/>
  <c r="D38"/>
  <c r="C38"/>
  <c r="K38" s="1"/>
  <c r="N37"/>
  <c r="C37"/>
  <c r="D37" s="1"/>
  <c r="D46" s="1"/>
  <c r="D47" s="1"/>
  <c r="D49" s="1"/>
  <c r="N36"/>
  <c r="J36"/>
  <c r="E36"/>
  <c r="D36"/>
  <c r="C36"/>
  <c r="K36" s="1"/>
  <c r="N35"/>
  <c r="K35"/>
  <c r="J35"/>
  <c r="H35"/>
  <c r="F35"/>
  <c r="D35"/>
  <c r="C35"/>
  <c r="I35" s="1"/>
  <c r="N34"/>
  <c r="N46" s="1"/>
  <c r="K34"/>
  <c r="J34"/>
  <c r="H34"/>
  <c r="F34"/>
  <c r="D34"/>
  <c r="C34"/>
  <c r="N27"/>
  <c r="C27"/>
  <c r="D27" s="1"/>
  <c r="N26"/>
  <c r="C26"/>
  <c r="D26" s="1"/>
  <c r="N25"/>
  <c r="C25"/>
  <c r="D25" s="1"/>
  <c r="N24"/>
  <c r="J24"/>
  <c r="G24"/>
  <c r="E24"/>
  <c r="D24"/>
  <c r="C24"/>
  <c r="K24" s="1"/>
  <c r="N23"/>
  <c r="K23"/>
  <c r="G23"/>
  <c r="E23"/>
  <c r="D23"/>
  <c r="C23"/>
  <c r="J23" s="1"/>
  <c r="N22"/>
  <c r="K22"/>
  <c r="J22"/>
  <c r="G22"/>
  <c r="E22"/>
  <c r="D22"/>
  <c r="C22"/>
  <c r="I22" s="1"/>
  <c r="N21"/>
  <c r="K21"/>
  <c r="J21"/>
  <c r="H21"/>
  <c r="F21"/>
  <c r="D21"/>
  <c r="C21"/>
  <c r="N20"/>
  <c r="K20"/>
  <c r="J20"/>
  <c r="H20"/>
  <c r="F20"/>
  <c r="D20"/>
  <c r="C20"/>
  <c r="I20" s="1"/>
  <c r="N19"/>
  <c r="K19"/>
  <c r="J19"/>
  <c r="H19"/>
  <c r="F19"/>
  <c r="D19"/>
  <c r="C19"/>
  <c r="I19" s="1"/>
  <c r="N18"/>
  <c r="G18"/>
  <c r="G50" s="1"/>
  <c r="D18"/>
  <c r="C18"/>
  <c r="N17"/>
  <c r="N28" s="1"/>
  <c r="N50" s="1"/>
  <c r="C17"/>
  <c r="D17" s="1"/>
  <c r="I114" i="15"/>
  <c r="I101"/>
  <c r="N127"/>
  <c r="N132" s="1"/>
  <c r="K127"/>
  <c r="I127"/>
  <c r="H127"/>
  <c r="F127"/>
  <c r="D127"/>
  <c r="D132" s="1"/>
  <c r="D133" s="1"/>
  <c r="D135" s="1"/>
  <c r="C127"/>
  <c r="J127" s="1"/>
  <c r="N121"/>
  <c r="I121"/>
  <c r="D121"/>
  <c r="C121"/>
  <c r="F121" s="1"/>
  <c r="N120"/>
  <c r="K120"/>
  <c r="J120"/>
  <c r="C120"/>
  <c r="D120" s="1"/>
  <c r="N119"/>
  <c r="J119"/>
  <c r="I119"/>
  <c r="C119"/>
  <c r="K119" s="1"/>
  <c r="N118"/>
  <c r="J118"/>
  <c r="I118"/>
  <c r="E118"/>
  <c r="D118"/>
  <c r="C118"/>
  <c r="K118" s="1"/>
  <c r="N117"/>
  <c r="K117"/>
  <c r="I117"/>
  <c r="H117"/>
  <c r="F117"/>
  <c r="D117"/>
  <c r="C117"/>
  <c r="J117" s="1"/>
  <c r="N116"/>
  <c r="D116"/>
  <c r="C116"/>
  <c r="G116" s="1"/>
  <c r="N115"/>
  <c r="K115"/>
  <c r="E115"/>
  <c r="D115"/>
  <c r="C115"/>
  <c r="J115" s="1"/>
  <c r="N114"/>
  <c r="N122" s="1"/>
  <c r="K114"/>
  <c r="J114"/>
  <c r="F114"/>
  <c r="D114"/>
  <c r="C114"/>
  <c r="H114" s="1"/>
  <c r="N107"/>
  <c r="K107"/>
  <c r="J107"/>
  <c r="H107"/>
  <c r="F107"/>
  <c r="D107"/>
  <c r="C107"/>
  <c r="I107" s="1"/>
  <c r="N106"/>
  <c r="K106"/>
  <c r="E106"/>
  <c r="D106"/>
  <c r="C106"/>
  <c r="G106" s="1"/>
  <c r="N105"/>
  <c r="D105"/>
  <c r="C105"/>
  <c r="E105" s="1"/>
  <c r="N104"/>
  <c r="I104"/>
  <c r="F104"/>
  <c r="D104"/>
  <c r="C104"/>
  <c r="H104" s="1"/>
  <c r="N103"/>
  <c r="K103"/>
  <c r="J103"/>
  <c r="I103"/>
  <c r="F103"/>
  <c r="D103"/>
  <c r="C103"/>
  <c r="H103" s="1"/>
  <c r="N102"/>
  <c r="K102"/>
  <c r="J102"/>
  <c r="I102"/>
  <c r="F102"/>
  <c r="D102"/>
  <c r="C102"/>
  <c r="H102" s="1"/>
  <c r="N101"/>
  <c r="K101"/>
  <c r="J101"/>
  <c r="F101"/>
  <c r="D101"/>
  <c r="C101"/>
  <c r="H101" s="1"/>
  <c r="N100"/>
  <c r="N108" s="1"/>
  <c r="N136" s="1"/>
  <c r="G100"/>
  <c r="D100"/>
  <c r="C100"/>
  <c r="N99"/>
  <c r="D99"/>
  <c r="D108" s="1"/>
  <c r="C99"/>
  <c r="E99" s="1"/>
  <c r="N42"/>
  <c r="J42"/>
  <c r="F42"/>
  <c r="D42"/>
  <c r="C42"/>
  <c r="H42" s="1"/>
  <c r="N41"/>
  <c r="D41"/>
  <c r="C41"/>
  <c r="E41" s="1"/>
  <c r="N40"/>
  <c r="D40"/>
  <c r="C40"/>
  <c r="F40" s="1"/>
  <c r="N39"/>
  <c r="C39"/>
  <c r="D39" s="1"/>
  <c r="N38"/>
  <c r="D38"/>
  <c r="C38"/>
  <c r="G38" s="1"/>
  <c r="N37"/>
  <c r="I37"/>
  <c r="F37"/>
  <c r="D37"/>
  <c r="C37"/>
  <c r="H37" s="1"/>
  <c r="N36"/>
  <c r="N47" s="1"/>
  <c r="K36"/>
  <c r="C36"/>
  <c r="D36" s="1"/>
  <c r="N35"/>
  <c r="J35"/>
  <c r="I35"/>
  <c r="C35"/>
  <c r="K35" s="1"/>
  <c r="N34"/>
  <c r="J34"/>
  <c r="I34"/>
  <c r="C34"/>
  <c r="K34" s="1"/>
  <c r="N26"/>
  <c r="C26"/>
  <c r="D26" s="1"/>
  <c r="N25"/>
  <c r="K25"/>
  <c r="J25"/>
  <c r="E25"/>
  <c r="D25"/>
  <c r="C25"/>
  <c r="G25" s="1"/>
  <c r="N24"/>
  <c r="K24"/>
  <c r="J24"/>
  <c r="D24"/>
  <c r="C24"/>
  <c r="E24" s="1"/>
  <c r="N23"/>
  <c r="K23"/>
  <c r="J23"/>
  <c r="I23"/>
  <c r="D23"/>
  <c r="C23"/>
  <c r="F23" s="1"/>
  <c r="N22"/>
  <c r="I22"/>
  <c r="H22"/>
  <c r="F22"/>
  <c r="D22"/>
  <c r="C22"/>
  <c r="N21"/>
  <c r="K21"/>
  <c r="I21"/>
  <c r="F21"/>
  <c r="D21"/>
  <c r="C21"/>
  <c r="J21" s="1"/>
  <c r="N20"/>
  <c r="K20"/>
  <c r="J20"/>
  <c r="H20"/>
  <c r="F20"/>
  <c r="D20"/>
  <c r="C20"/>
  <c r="I20" s="1"/>
  <c r="N19"/>
  <c r="K19"/>
  <c r="J19"/>
  <c r="H19"/>
  <c r="F19"/>
  <c r="D19"/>
  <c r="C19"/>
  <c r="I19" s="1"/>
  <c r="N18"/>
  <c r="K18"/>
  <c r="J18"/>
  <c r="H18"/>
  <c r="F18"/>
  <c r="D18"/>
  <c r="C18"/>
  <c r="I18" s="1"/>
  <c r="N17"/>
  <c r="G17"/>
  <c r="D17"/>
  <c r="C17"/>
  <c r="N16"/>
  <c r="N28" s="1"/>
  <c r="N51" s="1"/>
  <c r="K16"/>
  <c r="C16"/>
  <c r="D16" s="1"/>
  <c r="N103" i="12"/>
  <c r="C103"/>
  <c r="I103" s="1"/>
  <c r="N19"/>
  <c r="C19"/>
  <c r="I19" s="1"/>
  <c r="E50" i="19" l="1"/>
  <c r="D46"/>
  <c r="D47" s="1"/>
  <c r="D49" s="1"/>
  <c r="D26"/>
  <c r="D28" s="1"/>
  <c r="I134"/>
  <c r="I136" s="1"/>
  <c r="J50"/>
  <c r="J52" s="1"/>
  <c r="N134"/>
  <c r="D104"/>
  <c r="K21"/>
  <c r="K23"/>
  <c r="J99"/>
  <c r="I37"/>
  <c r="I99"/>
  <c r="I100"/>
  <c r="I113"/>
  <c r="I115"/>
  <c r="K117"/>
  <c r="H21"/>
  <c r="H22"/>
  <c r="H50" s="1"/>
  <c r="H52" s="1"/>
  <c r="H23"/>
  <c r="H37"/>
  <c r="G38"/>
  <c r="J39"/>
  <c r="J40"/>
  <c r="K95"/>
  <c r="G99"/>
  <c r="H100"/>
  <c r="H134" s="1"/>
  <c r="H136" s="1"/>
  <c r="J101"/>
  <c r="J102"/>
  <c r="H112"/>
  <c r="H113"/>
  <c r="H114"/>
  <c r="H115"/>
  <c r="G116"/>
  <c r="J117"/>
  <c r="H125"/>
  <c r="K22"/>
  <c r="K114"/>
  <c r="J22"/>
  <c r="K38"/>
  <c r="I22"/>
  <c r="J38"/>
  <c r="K40"/>
  <c r="K50" s="1"/>
  <c r="K52" s="1"/>
  <c r="K101"/>
  <c r="I114"/>
  <c r="J116"/>
  <c r="I125"/>
  <c r="G15"/>
  <c r="K16"/>
  <c r="F21"/>
  <c r="F22"/>
  <c r="F50" s="1"/>
  <c r="F52" s="1"/>
  <c r="F23"/>
  <c r="F37"/>
  <c r="E38"/>
  <c r="G39"/>
  <c r="I40"/>
  <c r="J95"/>
  <c r="E99"/>
  <c r="E134" s="1"/>
  <c r="F100"/>
  <c r="F134" s="1"/>
  <c r="F136" s="1"/>
  <c r="I101"/>
  <c r="I102"/>
  <c r="G110"/>
  <c r="G134" s="1"/>
  <c r="F112"/>
  <c r="F113"/>
  <c r="F114"/>
  <c r="F115"/>
  <c r="E116"/>
  <c r="G117"/>
  <c r="I118"/>
  <c r="F125"/>
  <c r="K37"/>
  <c r="K99"/>
  <c r="K112"/>
  <c r="K113"/>
  <c r="K115"/>
  <c r="K125"/>
  <c r="J21"/>
  <c r="J23"/>
  <c r="J37"/>
  <c r="J112"/>
  <c r="J113"/>
  <c r="J114"/>
  <c r="J115"/>
  <c r="K116"/>
  <c r="J125"/>
  <c r="I21"/>
  <c r="I50" s="1"/>
  <c r="I52" s="1"/>
  <c r="I23"/>
  <c r="K39"/>
  <c r="K102"/>
  <c r="I112"/>
  <c r="E144" i="18"/>
  <c r="E145"/>
  <c r="D53"/>
  <c r="D55" s="1"/>
  <c r="D28"/>
  <c r="D30" s="1"/>
  <c r="G143"/>
  <c r="D49"/>
  <c r="D50" s="1"/>
  <c r="D52" s="1"/>
  <c r="D112"/>
  <c r="D114" s="1"/>
  <c r="D143"/>
  <c r="D145" s="1"/>
  <c r="E55"/>
  <c r="F143"/>
  <c r="F145" s="1"/>
  <c r="D139"/>
  <c r="D140" s="1"/>
  <c r="D142" s="1"/>
  <c r="N53"/>
  <c r="N143"/>
  <c r="J18"/>
  <c r="J53" s="1"/>
  <c r="J55" s="1"/>
  <c r="K19"/>
  <c r="I37"/>
  <c r="K38"/>
  <c r="K118"/>
  <c r="J130"/>
  <c r="K18"/>
  <c r="K53" s="1"/>
  <c r="K55" s="1"/>
  <c r="K130"/>
  <c r="I18"/>
  <c r="J19"/>
  <c r="K20"/>
  <c r="K21"/>
  <c r="K22"/>
  <c r="K23"/>
  <c r="H37"/>
  <c r="J38"/>
  <c r="F44"/>
  <c r="F53" s="1"/>
  <c r="K100"/>
  <c r="H102"/>
  <c r="K103"/>
  <c r="J118"/>
  <c r="K119"/>
  <c r="K120"/>
  <c r="K121"/>
  <c r="K122"/>
  <c r="I130"/>
  <c r="H18"/>
  <c r="G19"/>
  <c r="G53" s="1"/>
  <c r="J20"/>
  <c r="J21"/>
  <c r="J22"/>
  <c r="J23"/>
  <c r="K24"/>
  <c r="K33"/>
  <c r="K34"/>
  <c r="K35"/>
  <c r="F37"/>
  <c r="I38"/>
  <c r="J100"/>
  <c r="J143" s="1"/>
  <c r="J145" s="1"/>
  <c r="J103"/>
  <c r="K104"/>
  <c r="I118"/>
  <c r="I143" s="1"/>
  <c r="I145" s="1"/>
  <c r="J119"/>
  <c r="J120"/>
  <c r="J121"/>
  <c r="J122"/>
  <c r="H130"/>
  <c r="I131"/>
  <c r="N135" i="17"/>
  <c r="D121"/>
  <c r="D122" s="1"/>
  <c r="D124" s="1"/>
  <c r="D46"/>
  <c r="D47" s="1"/>
  <c r="D49" s="1"/>
  <c r="E137"/>
  <c r="F50"/>
  <c r="F52" s="1"/>
  <c r="K21"/>
  <c r="K103"/>
  <c r="K104"/>
  <c r="K115"/>
  <c r="K116"/>
  <c r="G19"/>
  <c r="E19"/>
  <c r="E50" s="1"/>
  <c r="D18"/>
  <c r="D28" s="1"/>
  <c r="D19"/>
  <c r="E20"/>
  <c r="J21"/>
  <c r="K22"/>
  <c r="K23"/>
  <c r="K24"/>
  <c r="K50" s="1"/>
  <c r="K52" s="1"/>
  <c r="J103"/>
  <c r="J135" s="1"/>
  <c r="J137" s="1"/>
  <c r="J104"/>
  <c r="J115"/>
  <c r="J116"/>
  <c r="K117"/>
  <c r="D20"/>
  <c r="I21"/>
  <c r="J22"/>
  <c r="J50" s="1"/>
  <c r="J52" s="1"/>
  <c r="J23"/>
  <c r="J24"/>
  <c r="K25"/>
  <c r="K33"/>
  <c r="K34"/>
  <c r="D101"/>
  <c r="D107" s="1"/>
  <c r="I103"/>
  <c r="I104"/>
  <c r="I135" s="1"/>
  <c r="I137" s="1"/>
  <c r="I105"/>
  <c r="I115"/>
  <c r="I116"/>
  <c r="J117"/>
  <c r="J126"/>
  <c r="G21"/>
  <c r="G22"/>
  <c r="I23"/>
  <c r="I50" s="1"/>
  <c r="I52" s="1"/>
  <c r="I24"/>
  <c r="J25"/>
  <c r="J33"/>
  <c r="J34"/>
  <c r="H103"/>
  <c r="H104"/>
  <c r="H105"/>
  <c r="H115"/>
  <c r="H135" s="1"/>
  <c r="H137" s="1"/>
  <c r="H116"/>
  <c r="I117"/>
  <c r="I118"/>
  <c r="I126"/>
  <c r="J19"/>
  <c r="E21"/>
  <c r="E22"/>
  <c r="H23"/>
  <c r="H50" s="1"/>
  <c r="H52" s="1"/>
  <c r="H24"/>
  <c r="I25"/>
  <c r="I26"/>
  <c r="E33"/>
  <c r="I34"/>
  <c r="I37"/>
  <c r="G98"/>
  <c r="K99"/>
  <c r="K135" s="1"/>
  <c r="K137" s="1"/>
  <c r="F103"/>
  <c r="F135" s="1"/>
  <c r="F104"/>
  <c r="F105"/>
  <c r="G113"/>
  <c r="F115"/>
  <c r="F116"/>
  <c r="F117"/>
  <c r="H118"/>
  <c r="K119"/>
  <c r="F126"/>
  <c r="G17"/>
  <c r="K18"/>
  <c r="K133" i="16"/>
  <c r="K135" s="1"/>
  <c r="D105"/>
  <c r="G52"/>
  <c r="J133"/>
  <c r="J135" s="1"/>
  <c r="G133"/>
  <c r="D28"/>
  <c r="I39"/>
  <c r="I124"/>
  <c r="K25"/>
  <c r="K26"/>
  <c r="E38"/>
  <c r="H39"/>
  <c r="K41"/>
  <c r="K102"/>
  <c r="F112"/>
  <c r="H124"/>
  <c r="J26"/>
  <c r="J41"/>
  <c r="K17"/>
  <c r="I25"/>
  <c r="I50" s="1"/>
  <c r="I52" s="1"/>
  <c r="I26"/>
  <c r="I27"/>
  <c r="I41"/>
  <c r="I102"/>
  <c r="I133" s="1"/>
  <c r="I135" s="1"/>
  <c r="I103"/>
  <c r="J117"/>
  <c r="D124"/>
  <c r="D129" s="1"/>
  <c r="D130" s="1"/>
  <c r="D132" s="1"/>
  <c r="J25"/>
  <c r="K117"/>
  <c r="H25"/>
  <c r="H27"/>
  <c r="H41"/>
  <c r="H102"/>
  <c r="H103"/>
  <c r="H133" s="1"/>
  <c r="H135" s="1"/>
  <c r="E17"/>
  <c r="E50" s="1"/>
  <c r="F26"/>
  <c r="F50" s="1"/>
  <c r="F52" s="1"/>
  <c r="F41"/>
  <c r="F102"/>
  <c r="F133" s="1"/>
  <c r="F135" s="1"/>
  <c r="F103"/>
  <c r="G111"/>
  <c r="K112"/>
  <c r="E117"/>
  <c r="E133" s="1"/>
  <c r="J102"/>
  <c r="J17"/>
  <c r="H26"/>
  <c r="G117"/>
  <c r="F25"/>
  <c r="F27"/>
  <c r="H37"/>
  <c r="D28" i="15"/>
  <c r="I136"/>
  <c r="I138" s="1"/>
  <c r="D109"/>
  <c r="D111" s="1"/>
  <c r="E136"/>
  <c r="J16"/>
  <c r="H34"/>
  <c r="H35"/>
  <c r="J36"/>
  <c r="H119"/>
  <c r="G120"/>
  <c r="E16"/>
  <c r="H23"/>
  <c r="H51" s="1"/>
  <c r="H53" s="1"/>
  <c r="G24"/>
  <c r="K26"/>
  <c r="K51" s="1"/>
  <c r="K53" s="1"/>
  <c r="F34"/>
  <c r="F51" s="1"/>
  <c r="F53" s="1"/>
  <c r="F35"/>
  <c r="E36"/>
  <c r="H39"/>
  <c r="K40"/>
  <c r="F119"/>
  <c r="F136" s="1"/>
  <c r="F138" s="1"/>
  <c r="E120"/>
  <c r="H121"/>
  <c r="H136" s="1"/>
  <c r="H138" s="1"/>
  <c r="J26"/>
  <c r="D34"/>
  <c r="D47" s="1"/>
  <c r="D48" s="1"/>
  <c r="D50" s="1"/>
  <c r="D35"/>
  <c r="J40"/>
  <c r="K41"/>
  <c r="K42"/>
  <c r="K105"/>
  <c r="D119"/>
  <c r="D122" s="1"/>
  <c r="G26"/>
  <c r="G51" s="1"/>
  <c r="I40"/>
  <c r="I51" s="1"/>
  <c r="I53" s="1"/>
  <c r="J41"/>
  <c r="K99"/>
  <c r="K136" s="1"/>
  <c r="K138" s="1"/>
  <c r="J105"/>
  <c r="E26"/>
  <c r="H40"/>
  <c r="G41"/>
  <c r="I42"/>
  <c r="J99"/>
  <c r="J136" s="1"/>
  <c r="J138" s="1"/>
  <c r="G105"/>
  <c r="G136" s="1"/>
  <c r="J106"/>
  <c r="H116"/>
  <c r="K103" i="12"/>
  <c r="J103"/>
  <c r="K19"/>
  <c r="J19"/>
  <c r="D19"/>
  <c r="D103"/>
  <c r="N126"/>
  <c r="C126"/>
  <c r="H126" s="1"/>
  <c r="N109"/>
  <c r="C109"/>
  <c r="H109" s="1"/>
  <c r="C39"/>
  <c r="D39" s="1"/>
  <c r="C23"/>
  <c r="D23" s="1"/>
  <c r="I55" i="19" l="1"/>
  <c r="I56" s="1"/>
  <c r="G135"/>
  <c r="G136"/>
  <c r="E135"/>
  <c r="E136"/>
  <c r="D50"/>
  <c r="D52" s="1"/>
  <c r="D134"/>
  <c r="D136" s="1"/>
  <c r="D105"/>
  <c r="D107" s="1"/>
  <c r="G50"/>
  <c r="I139"/>
  <c r="I140" s="1"/>
  <c r="E51"/>
  <c r="E52"/>
  <c r="J134"/>
  <c r="J136" s="1"/>
  <c r="K134"/>
  <c r="K136" s="1"/>
  <c r="F55" i="18"/>
  <c r="E56" s="1"/>
  <c r="E54"/>
  <c r="I148"/>
  <c r="I149" s="1"/>
  <c r="K143"/>
  <c r="K145" s="1"/>
  <c r="H53"/>
  <c r="H55" s="1"/>
  <c r="H143"/>
  <c r="H145" s="1"/>
  <c r="E146"/>
  <c r="G55"/>
  <c r="G54"/>
  <c r="G145"/>
  <c r="I53"/>
  <c r="I55" s="1"/>
  <c r="D135" i="17"/>
  <c r="D137" s="1"/>
  <c r="D108"/>
  <c r="D110" s="1"/>
  <c r="I140"/>
  <c r="F137"/>
  <c r="E136"/>
  <c r="E51"/>
  <c r="E52"/>
  <c r="D50"/>
  <c r="D52" s="1"/>
  <c r="D29"/>
  <c r="D31" s="1"/>
  <c r="I55"/>
  <c r="E138"/>
  <c r="G50"/>
  <c r="G135"/>
  <c r="I138" i="16"/>
  <c r="I139" s="1"/>
  <c r="E135"/>
  <c r="E134"/>
  <c r="I55"/>
  <c r="D29"/>
  <c r="D31" s="1"/>
  <c r="D50"/>
  <c r="D52" s="1"/>
  <c r="J50"/>
  <c r="J52" s="1"/>
  <c r="G135"/>
  <c r="G134"/>
  <c r="D133"/>
  <c r="D135" s="1"/>
  <c r="D106"/>
  <c r="D108" s="1"/>
  <c r="H50"/>
  <c r="E51"/>
  <c r="E52"/>
  <c r="K50"/>
  <c r="K52" s="1"/>
  <c r="G53" i="15"/>
  <c r="G52"/>
  <c r="G137"/>
  <c r="G138"/>
  <c r="I56"/>
  <c r="D123"/>
  <c r="D125" s="1"/>
  <c r="D136"/>
  <c r="D138" s="1"/>
  <c r="I141"/>
  <c r="I142" s="1"/>
  <c r="E51"/>
  <c r="E137"/>
  <c r="E138"/>
  <c r="D29"/>
  <c r="D31" s="1"/>
  <c r="D51"/>
  <c r="D53" s="1"/>
  <c r="J51"/>
  <c r="J53" s="1"/>
  <c r="F126" i="12"/>
  <c r="K109"/>
  <c r="I23"/>
  <c r="F23"/>
  <c r="J23"/>
  <c r="J109"/>
  <c r="J126"/>
  <c r="I126"/>
  <c r="D126"/>
  <c r="K126"/>
  <c r="I109"/>
  <c r="F109"/>
  <c r="D109"/>
  <c r="K39"/>
  <c r="J39"/>
  <c r="H39"/>
  <c r="I39"/>
  <c r="F39"/>
  <c r="E137" i="19" l="1"/>
  <c r="G137"/>
  <c r="E53"/>
  <c r="G52"/>
  <c r="G51"/>
  <c r="E58" i="18"/>
  <c r="G146"/>
  <c r="G144"/>
  <c r="E148"/>
  <c r="G56"/>
  <c r="I58"/>
  <c r="I59" s="1"/>
  <c r="E140" i="17"/>
  <c r="I56"/>
  <c r="G52"/>
  <c r="G51"/>
  <c r="I141"/>
  <c r="G137"/>
  <c r="G136"/>
  <c r="E53"/>
  <c r="E53" i="16"/>
  <c r="G136"/>
  <c r="E136"/>
  <c r="I56"/>
  <c r="H52"/>
  <c r="G53" s="1"/>
  <c r="G51"/>
  <c r="E53" i="15"/>
  <c r="E52"/>
  <c r="G54"/>
  <c r="G139"/>
  <c r="E139"/>
  <c r="I57"/>
  <c r="E139" i="19" l="1"/>
  <c r="G139"/>
  <c r="G140" s="1"/>
  <c r="E55"/>
  <c r="G53"/>
  <c r="E59" i="18"/>
  <c r="G58"/>
  <c r="G59" s="1"/>
  <c r="G148"/>
  <c r="G149" s="1"/>
  <c r="E149"/>
  <c r="G138" i="17"/>
  <c r="G53"/>
  <c r="E141"/>
  <c r="E55"/>
  <c r="E55" i="16"/>
  <c r="G138"/>
  <c r="G139" s="1"/>
  <c r="E138"/>
  <c r="G55"/>
  <c r="G56" s="1"/>
  <c r="E54" i="15"/>
  <c r="G56"/>
  <c r="G57" s="1"/>
  <c r="G141"/>
  <c r="G142" s="1"/>
  <c r="E141"/>
  <c r="E140" i="19" l="1"/>
  <c r="E56"/>
  <c r="G55"/>
  <c r="G56" s="1"/>
  <c r="E56" i="17"/>
  <c r="G140"/>
  <c r="G55"/>
  <c r="G56" s="1"/>
  <c r="E56" i="16"/>
  <c r="E139"/>
  <c r="E56" i="15"/>
  <c r="E142"/>
  <c r="W138"/>
  <c r="G141" i="17" l="1"/>
  <c r="W52" i="15"/>
  <c r="E57"/>
  <c r="N104" i="12"/>
  <c r="C104"/>
  <c r="D104" s="1"/>
  <c r="N106"/>
  <c r="C106"/>
  <c r="J106" s="1"/>
  <c r="N105"/>
  <c r="C105"/>
  <c r="E105" s="1"/>
  <c r="N110"/>
  <c r="C110"/>
  <c r="H110" s="1"/>
  <c r="N39"/>
  <c r="N20"/>
  <c r="C20"/>
  <c r="N22"/>
  <c r="C22"/>
  <c r="E22" s="1"/>
  <c r="N24"/>
  <c r="C24"/>
  <c r="H24" s="1"/>
  <c r="N23"/>
  <c r="D20" l="1"/>
  <c r="E20"/>
  <c r="K105"/>
  <c r="K23"/>
  <c r="E106"/>
  <c r="D106"/>
  <c r="J105"/>
  <c r="K106"/>
  <c r="G106"/>
  <c r="J110"/>
  <c r="F110"/>
  <c r="H23"/>
  <c r="D110"/>
  <c r="E104"/>
  <c r="G104"/>
  <c r="K104"/>
  <c r="J104"/>
  <c r="D105"/>
  <c r="G105"/>
  <c r="K110"/>
  <c r="I110"/>
  <c r="K20"/>
  <c r="J20"/>
  <c r="G20"/>
  <c r="D22"/>
  <c r="K22"/>
  <c r="J22"/>
  <c r="G22"/>
  <c r="F24"/>
  <c r="D24"/>
  <c r="K24"/>
  <c r="J24"/>
  <c r="I24"/>
  <c r="N133" l="1"/>
  <c r="C133"/>
  <c r="N36"/>
  <c r="C36"/>
  <c r="D36" s="1"/>
  <c r="N41"/>
  <c r="C41"/>
  <c r="D41" s="1"/>
  <c r="D133" l="1"/>
  <c r="I133"/>
  <c r="K133"/>
  <c r="J133"/>
  <c r="H133"/>
  <c r="F133"/>
  <c r="H36"/>
  <c r="K41"/>
  <c r="J41"/>
  <c r="I41"/>
  <c r="H41"/>
  <c r="F41"/>
  <c r="N119" l="1"/>
  <c r="C119"/>
  <c r="H119" s="1"/>
  <c r="C120"/>
  <c r="I120" s="1"/>
  <c r="N120"/>
  <c r="J120" l="1"/>
  <c r="K120"/>
  <c r="D119"/>
  <c r="D120"/>
  <c r="F120"/>
  <c r="H120"/>
  <c r="N121" l="1"/>
  <c r="C121"/>
  <c r="D121" s="1"/>
  <c r="N111"/>
  <c r="C111"/>
  <c r="F111" s="1"/>
  <c r="N38"/>
  <c r="C38"/>
  <c r="D38" s="1"/>
  <c r="N34"/>
  <c r="C34"/>
  <c r="D34" s="1"/>
  <c r="N27"/>
  <c r="C27"/>
  <c r="D27" s="1"/>
  <c r="H111" l="1"/>
  <c r="D111"/>
  <c r="I111"/>
  <c r="F38"/>
  <c r="I38"/>
  <c r="H38"/>
  <c r="I121"/>
  <c r="H121"/>
  <c r="F121"/>
  <c r="I34"/>
  <c r="H34"/>
  <c r="F34"/>
  <c r="H27"/>
  <c r="I27"/>
  <c r="F27"/>
  <c r="N125" l="1"/>
  <c r="C125"/>
  <c r="D125" s="1"/>
  <c r="K125" l="1"/>
  <c r="J125"/>
  <c r="G125"/>
  <c r="E125"/>
  <c r="N118" l="1"/>
  <c r="N100"/>
  <c r="N16"/>
  <c r="N17"/>
  <c r="N138" l="1"/>
  <c r="N124"/>
  <c r="C124"/>
  <c r="I124" s="1"/>
  <c r="N123"/>
  <c r="C123"/>
  <c r="I123" s="1"/>
  <c r="N122"/>
  <c r="C122"/>
  <c r="J122" s="1"/>
  <c r="C118"/>
  <c r="J118" s="1"/>
  <c r="N108"/>
  <c r="C108"/>
  <c r="D108" s="1"/>
  <c r="N107"/>
  <c r="C107"/>
  <c r="K107" s="1"/>
  <c r="N102"/>
  <c r="C102"/>
  <c r="I102" s="1"/>
  <c r="N101"/>
  <c r="C101"/>
  <c r="C100"/>
  <c r="J100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D18" s="1"/>
  <c r="C17"/>
  <c r="K16"/>
  <c r="J16"/>
  <c r="E16"/>
  <c r="D16"/>
  <c r="F123" l="1"/>
  <c r="K102"/>
  <c r="D101"/>
  <c r="G101"/>
  <c r="G35"/>
  <c r="D35"/>
  <c r="D17"/>
  <c r="G17"/>
  <c r="H123"/>
  <c r="D40"/>
  <c r="G40"/>
  <c r="J40"/>
  <c r="K40"/>
  <c r="G124"/>
  <c r="D123"/>
  <c r="D138"/>
  <c r="D139" s="1"/>
  <c r="D141" s="1"/>
  <c r="J107"/>
  <c r="I107"/>
  <c r="H107"/>
  <c r="F107"/>
  <c r="D107"/>
  <c r="H122"/>
  <c r="F122"/>
  <c r="D122"/>
  <c r="I122" s="1"/>
  <c r="E124"/>
  <c r="D124"/>
  <c r="K108"/>
  <c r="J108"/>
  <c r="I108"/>
  <c r="F108"/>
  <c r="E118"/>
  <c r="D118"/>
  <c r="N128"/>
  <c r="H102"/>
  <c r="F102"/>
  <c r="D102"/>
  <c r="J102"/>
  <c r="I26"/>
  <c r="F26"/>
  <c r="D37"/>
  <c r="K118"/>
  <c r="E100"/>
  <c r="D100"/>
  <c r="N113"/>
  <c r="D21"/>
  <c r="H25"/>
  <c r="F25"/>
  <c r="D25"/>
  <c r="D26"/>
  <c r="K37"/>
  <c r="N47"/>
  <c r="J37"/>
  <c r="N29"/>
  <c r="K122"/>
  <c r="K123"/>
  <c r="K124"/>
  <c r="K18"/>
  <c r="K21"/>
  <c r="K100"/>
  <c r="J123"/>
  <c r="J124"/>
  <c r="J18"/>
  <c r="I18"/>
  <c r="H18"/>
  <c r="J21"/>
  <c r="K25"/>
  <c r="F18"/>
  <c r="G21"/>
  <c r="J25"/>
  <c r="K26"/>
  <c r="D47" l="1"/>
  <c r="D48" s="1"/>
  <c r="F142"/>
  <c r="F144" s="1"/>
  <c r="E51"/>
  <c r="E53" s="1"/>
  <c r="N142"/>
  <c r="D113"/>
  <c r="D128"/>
  <c r="H142"/>
  <c r="H144" s="1"/>
  <c r="I142"/>
  <c r="I144" s="1"/>
  <c r="G142"/>
  <c r="G144" s="1"/>
  <c r="E142"/>
  <c r="E144" s="1"/>
  <c r="J142"/>
  <c r="J144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2"/>
  <c r="K144" s="1"/>
  <c r="I147" l="1"/>
  <c r="D129"/>
  <c r="D131" s="1"/>
  <c r="D114"/>
  <c r="D116" s="1"/>
  <c r="D142"/>
  <c r="D144" s="1"/>
  <c r="G143"/>
  <c r="D50"/>
  <c r="D32"/>
  <c r="G145"/>
  <c r="E143"/>
  <c r="G52"/>
  <c r="E52"/>
  <c r="D51"/>
  <c r="D53" s="1"/>
  <c r="E54"/>
  <c r="E145"/>
  <c r="E147" s="1"/>
  <c r="G54"/>
  <c r="I57" l="1"/>
  <c r="E148"/>
  <c r="I148"/>
  <c r="E56"/>
  <c r="E57" s="1"/>
  <c r="G56"/>
  <c r="G57" s="1"/>
  <c r="G147"/>
  <c r="G148" s="1"/>
</calcChain>
</file>

<file path=xl/sharedStrings.xml><?xml version="1.0" encoding="utf-8"?>
<sst xmlns="http://schemas.openxmlformats.org/spreadsheetml/2006/main" count="1334" uniqueCount="229">
  <si>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</si>
  <si>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</si>
  <si>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</si>
  <si>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</si>
  <si>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</si>
  <si>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</si>
  <si>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</si>
  <si>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</si>
  <si>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</si>
  <si>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</si>
  <si>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</si>
  <si>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</si>
  <si>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</si>
  <si>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</si>
  <si>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</si>
  <si>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</si>
  <si>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</si>
  <si>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</si>
  <si>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</si>
  <si>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</si>
  <si>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</si>
  <si>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</si>
  <si>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</si>
  <si>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</si>
  <si>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</si>
  <si>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</si>
  <si>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</si>
  <si>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</si>
  <si>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</si>
  <si>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</si>
  <si>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</si>
  <si>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</si>
  <si>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</si>
  <si>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</si>
  <si>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</si>
  <si>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</si>
  <si>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</si>
  <si>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</si>
  <si>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</si>
  <si>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</si>
  <si>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</si>
  <si>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</si>
  <si>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</si>
  <si>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</si>
  <si>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</si>
  <si>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</si>
  <si>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</si>
  <si>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</si>
  <si>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</si>
  <si>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</si>
  <si>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</si>
  <si>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</si>
  <si>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</si>
  <si>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</si>
  <si>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</si>
  <si>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</si>
  <si>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</si>
  <si>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</si>
  <si>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</si>
  <si>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</si>
  <si>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</si>
  <si>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</si>
  <si>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</si>
  <si>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</si>
  <si>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</si>
  <si>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</si>
  <si>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</si>
  <si>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</si>
  <si>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</si>
  <si>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</si>
  <si>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</si>
  <si>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</si>
  <si>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</si>
  <si>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</si>
  <si>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</si>
  <si>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</si>
  <si>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</si>
  <si>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</si>
  <si>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</si>
  <si>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</si>
  <si>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</si>
  <si>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</si>
  <si>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</si>
  <si>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</si>
  <si>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</si>
  <si>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</si>
  <si>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</si>
  <si>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</si>
  <si>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</si>
  <si>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</si>
  <si>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</si>
  <si>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</si>
  <si>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</si>
  <si>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</si>
  <si>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</si>
  <si>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</si>
  <si>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</si>
  <si>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</si>
  <si>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</si>
  <si>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</si>
  <si>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</si>
  <si>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</si>
  <si>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</si>
  <si>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</si>
  <si>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</si>
  <si>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</si>
  <si>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</si>
  <si>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</si>
  <si>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</si>
  <si>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</si>
  <si>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</si>
  <si>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</si>
  <si>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</si>
  <si>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</si>
  <si>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</si>
  <si>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</si>
  <si>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</si>
  <si>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</si>
  <si>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</si>
  <si>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</si>
  <si>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</si>
  <si>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</si>
  <si>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</si>
  <si>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</si>
  <si>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</si>
  <si>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</si>
  <si>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</si>
  <si>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</si>
  <si>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</si>
  <si>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</si>
  <si>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</si>
  <si>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</si>
  <si>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</si>
  <si>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</si>
  <si>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</si>
  <si>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</si>
  <si>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</si>
  <si>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</si>
  <si>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</si>
  <si>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</si>
  <si>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</si>
  <si>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</si>
  <si>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</si>
  <si>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</si>
  <si>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</si>
  <si>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</si>
  <si>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</si>
  <si>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</si>
  <si>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</si>
  <si>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</si>
  <si>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</si>
  <si>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</si>
  <si>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</si>
  <si>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</si>
  <si>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</si>
  <si>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</si>
  <si>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</si>
  <si>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</si>
  <si>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</si>
  <si>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</si>
  <si>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</si>
  <si>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</si>
  <si>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</si>
  <si>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</si>
  <si>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</si>
  <si>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</si>
  <si>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</si>
  <si>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</si>
  <si>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</si>
  <si>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</si>
  <si>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</si>
  <si>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</si>
  <si>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</si>
  <si>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</si>
  <si>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</si>
  <si>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</si>
  <si>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Tỷ lệ L động vật đạt 70.1%; so với khẩu phần khuyến nghị đảm bảo đạt</t>
  </si>
  <si>
    <t>Canh su hàot nấu thịt gà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</si>
  <si>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</si>
  <si>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</si>
  <si>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</si>
  <si>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</si>
  <si>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</si>
  <si>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Tỷ lệ L động vật đạt 70.2%; so với khẩu phần khuyến nghị đảm bảo đạt</t>
  </si>
  <si>
    <t>Canh rau bắp cải nấu tôm</t>
  </si>
  <si>
    <t>Bí đỏ xào thịt lợn</t>
  </si>
  <si>
    <t>Gấc</t>
  </si>
  <si>
    <t>Su hào xào thịt lợn</t>
  </si>
  <si>
    <t>Canh rau cải cúc nấu tôm</t>
  </si>
  <si>
    <t>Rau cải cúc</t>
  </si>
  <si>
    <t>Tỷ lệ L động vật đạt 69.5%; so với khẩu phần khuyến nghị đảm bảo đạt</t>
  </si>
  <si>
    <t>Tỷ lệ L động vật đạt 70.5%; so với khẩu phần khuyến nghị đảm bảo đạt</t>
  </si>
  <si>
    <t>Tỷ lệ P động vật đạt 54.4%; so với khẩu phần khuyến nghị tương đối đạt</t>
  </si>
  <si>
    <t>Đường kính</t>
  </si>
  <si>
    <t>Kcal đạt 723.8. So với khẩu phần khuyến nghị đảm bảo đạt</t>
  </si>
  <si>
    <t>Tỷ lệ P động vật đạt 53.1%; so với khẩu phần khuyến nghị tương đối đạt</t>
  </si>
  <si>
    <t>Tỷ lệ L động vật đạt 70%; so với khẩu phần khuyến nghị đảm bảo đạt</t>
  </si>
  <si>
    <t>Tỷ lệ P động vật đạt 59.7%; so với khẩu phần khuyến nghị đảm bảo đạt</t>
  </si>
  <si>
    <t>Tỷ lệ P động vật đạt 69.6%; so với khẩu phần khuyến nghị cao hơn 9,6%</t>
  </si>
  <si>
    <t>Tỷ lệ P động vật đạt 50.6%; so với khẩu phần khuyến tương đối đạt</t>
  </si>
  <si>
    <t>Thứ hai, ngày 2 tháng 2 năm 2026</t>
  </si>
  <si>
    <t>Thứ ba, ngày 3 tháng 2 năm 2026</t>
  </si>
  <si>
    <t>Thứ tư, ngày 4 tháng 2 năm 2026</t>
  </si>
  <si>
    <t>Thứ năm, ngày 5 tháng 2 năm 2026</t>
  </si>
  <si>
    <t>Thứ sáu, ngày 6 tháng 2 năm 2026</t>
  </si>
  <si>
    <t>Thứ bẩy, ngày 7 tháng 2 năm 2026</t>
  </si>
  <si>
    <t>Kcal đạt 665.65. So với khẩu phần khuyến nghị đảm bảo đạt</t>
  </si>
  <si>
    <t>Tỷ lệ P động vật đạt 50%; so với khẩu phần khuyến nghị tương đối đạt</t>
  </si>
  <si>
    <t>Kcal đạt 624.03 So với khẩu phần khuyến nghị đảm bảo đạt</t>
  </si>
  <si>
    <t>Tỷ lệ P động vật đạt 58.4%; so với khẩu phần khuyến nghị đảm bảo đạt</t>
  </si>
  <si>
    <t>Tỷ lệ L động vật đạt 71.3%; so với khẩu phần khuyến nghị cao hơn 1.3%</t>
  </si>
  <si>
    <t>Kcal đạt 714.59. So với khẩu phần khuyến nghị đảm bảo đạt</t>
  </si>
  <si>
    <t>Tỷ lệ P động vật đạt 51.1%; so với khẩu phần khuyến nghị tương đối đạt</t>
  </si>
  <si>
    <t>Kcal đạt 626.98. So với khẩu phần khuyến nghị đảm bảo đạt</t>
  </si>
  <si>
    <t>Tỷ lệ L động vật đạt 71%; so với khẩu phần khuyến nghị đảm bảo đạt</t>
  </si>
  <si>
    <t>Kcal đạt 640.62. So với khẩu phần khuyến nghị đảm bảo đạt</t>
  </si>
  <si>
    <t>Tỷ lệ L động vật đạt 70.6%; so với khẩu phần khuyến nghị đảm bảo đạt</t>
  </si>
  <si>
    <t>Tỷ lệ P động vật đạt 60.4%; Cao hơn so với khẩu phần khuyến nghị 0.4%</t>
  </si>
  <si>
    <t>Kcal đạt 695.48. So với khẩu phần khuyến nghị đảm bảo đạt</t>
  </si>
  <si>
    <t>Tỷ lệ P động vật đạt 54.7%; so với khẩu phần khuyến nghị tương đối đạt</t>
  </si>
  <si>
    <t>Kcal đạt 633.92. So với khẩu phần khuyến nghị đảm bảo đạt đạt</t>
  </si>
  <si>
    <t>Tỷ lệ P động vật đạt 61.2%; so với khẩu phần khuyến cao hơn 1.2%</t>
  </si>
  <si>
    <t>Tỷ lệ L động vật đạt 70.3%; so với khẩu phần khuyến nghị đảm bảo đạt</t>
  </si>
  <si>
    <t>Thứ sáu, ngày 7 tháng 2 năm 2026</t>
  </si>
  <si>
    <t>Kcal đạt 696.01. So với khẩu phần khuyến nghị đảm bảo đạt</t>
  </si>
  <si>
    <t>Kcal đạt 632.72 So với khẩu phần khuyến nghị đảm bảo đạt</t>
  </si>
  <si>
    <t>Kcal đạt 726.8 So với khẩu phần khuyến nghị đảm bảo đạt</t>
  </si>
  <si>
    <t>Kcal đạt 649.04. So với khẩu phần khuyến nghị đảm bảo đạt</t>
  </si>
  <si>
    <t>Tỷ lệ P động vật đạt 57.7%;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</si>
</sst>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7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424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3" fontId="7" fillId="0" borderId="4" xfId="0" applyNumberFormat="1" applyFont="1" applyFill="1" applyBorder="1" applyAlignment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3" fontId="3" fillId="0" borderId="0" xfId="0" applyNumberFormat="1" applyFont="1" applyFill="1"/>
    <xf numFmtId="4" fontId="13" fillId="0" borderId="6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2" fontId="13" fillId="0" borderId="20" xfId="0" applyNumberFormat="1" applyFont="1" applyFill="1" applyBorder="1"/>
    <xf numFmtId="2" fontId="10" fillId="0" borderId="2" xfId="0" applyNumberFormat="1" applyFont="1" applyFill="1" applyBorder="1"/>
    <xf numFmtId="0" fontId="1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textRotation="45"/>
    </xf>
    <xf numFmtId="3" fontId="6" fillId="0" borderId="3" xfId="0" applyNumberFormat="1" applyFont="1" applyFill="1" applyBorder="1" applyAlignment="1">
      <alignment horizontal="center" vertical="center" textRotation="45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5" fillId="0" borderId="3" xfId="0" applyFont="1" applyBorder="1"/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 textRotation="45"/>
    </xf>
    <xf numFmtId="3" fontId="12" fillId="0" borderId="3" xfId="0" applyNumberFormat="1" applyFont="1" applyFill="1" applyBorder="1" applyAlignment="1">
      <alignment horizontal="center" vertical="center" textRotation="45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6" xfId="0" applyNumberFormat="1" applyFont="1" applyFill="1" applyBorder="1"/>
    <xf numFmtId="3" fontId="16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" fontId="13" fillId="2" borderId="5" xfId="0" applyNumberFormat="1" applyFont="1" applyFill="1" applyBorder="1"/>
    <xf numFmtId="4" fontId="3" fillId="2" borderId="0" xfId="0" applyNumberFormat="1" applyFont="1" applyFill="1" applyBorder="1"/>
    <xf numFmtId="2" fontId="3" fillId="2" borderId="0" xfId="0" applyNumberFormat="1" applyFont="1" applyFill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4" fontId="6" fillId="2" borderId="7" xfId="0" applyNumberFormat="1" applyFont="1" applyFill="1" applyBorder="1" applyAlignment="1"/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9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" fontId="13" fillId="2" borderId="20" xfId="0" applyNumberFormat="1" applyFont="1" applyFill="1" applyBorder="1"/>
    <xf numFmtId="164" fontId="6" fillId="2" borderId="2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7" fontId="3" fillId="0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0" fontId="10" fillId="0" borderId="2" xfId="0" applyFont="1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1" fontId="11" fillId="2" borderId="1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4" fontId="11" fillId="2" borderId="6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20" xfId="0" applyNumberFormat="1" applyFont="1" applyFill="1" applyBorder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16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5"/>
  <sheetViews>
    <sheetView tabSelected="1" view="pageLayout" workbookViewId="0">
      <selection activeCell="P146" sqref="P146:S147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10.10937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T1" s="2"/>
    </row>
    <row r="2" spans="1:20" ht="22.2" customHeight="1">
      <c r="A2" s="11"/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T2" s="2"/>
    </row>
    <row r="3" spans="1:20" ht="21" customHeight="1">
      <c r="A3" s="8" t="s">
        <v>200</v>
      </c>
      <c r="B3" s="88"/>
      <c r="C3" s="88"/>
      <c r="D3" s="88"/>
      <c r="E3" s="88"/>
      <c r="F3" s="89"/>
      <c r="G3" s="89"/>
      <c r="H3" s="89"/>
      <c r="I3" s="178"/>
      <c r="J3" s="178"/>
      <c r="K3" s="178"/>
      <c r="L3" s="178"/>
      <c r="M3" s="178"/>
      <c r="N3" s="178"/>
      <c r="O3" s="371"/>
      <c r="P3" s="371"/>
      <c r="T3" s="2"/>
    </row>
    <row r="4" spans="1:20" s="2" customFormat="1" ht="19.2" customHeight="1">
      <c r="A4" s="185" t="s">
        <v>88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372"/>
    </row>
    <row r="5" spans="1:20" s="2" customFormat="1" ht="19.2" customHeight="1">
      <c r="A5" s="231" t="s">
        <v>99</v>
      </c>
      <c r="B5" s="231"/>
      <c r="C5" s="231"/>
      <c r="D5" s="231"/>
      <c r="E5" s="231" t="s">
        <v>98</v>
      </c>
      <c r="F5" s="231"/>
      <c r="G5" s="231"/>
      <c r="H5" s="231"/>
      <c r="I5" s="231"/>
      <c r="J5" s="231"/>
      <c r="K5" s="231"/>
      <c r="L5" s="231"/>
      <c r="M5" s="231"/>
      <c r="N5" s="231"/>
      <c r="O5" s="372"/>
    </row>
    <row r="6" spans="1:20" s="2" customFormat="1" ht="19.2" customHeight="1">
      <c r="A6" s="268" t="s">
        <v>90</v>
      </c>
      <c r="B6" s="268"/>
      <c r="C6" s="268"/>
      <c r="D6" s="268"/>
      <c r="E6" s="269" t="s">
        <v>148</v>
      </c>
      <c r="F6" s="269"/>
      <c r="G6" s="269"/>
      <c r="H6" s="269"/>
      <c r="I6" s="269"/>
      <c r="J6" s="284" t="s">
        <v>178</v>
      </c>
      <c r="K6" s="285"/>
      <c r="L6" s="285"/>
      <c r="M6" s="285"/>
      <c r="N6" s="286"/>
      <c r="O6" s="372"/>
    </row>
    <row r="7" spans="1:20" s="2" customFormat="1" ht="19.2" customHeight="1">
      <c r="A7" s="183" t="s">
        <v>152</v>
      </c>
      <c r="B7" s="183"/>
      <c r="C7" s="183"/>
      <c r="D7" s="183"/>
      <c r="E7" s="269"/>
      <c r="F7" s="269"/>
      <c r="G7" s="269"/>
      <c r="H7" s="269"/>
      <c r="I7" s="269"/>
      <c r="J7" s="287"/>
      <c r="K7" s="288"/>
      <c r="L7" s="288"/>
      <c r="M7" s="288"/>
      <c r="N7" s="289"/>
      <c r="O7" s="372"/>
    </row>
    <row r="8" spans="1:20" s="2" customFormat="1" ht="19.2" customHeight="1">
      <c r="A8" s="180" t="s">
        <v>153</v>
      </c>
      <c r="B8" s="181"/>
      <c r="C8" s="181"/>
      <c r="D8" s="182"/>
      <c r="E8" s="269"/>
      <c r="F8" s="269"/>
      <c r="G8" s="269"/>
      <c r="H8" s="269"/>
      <c r="I8" s="269"/>
      <c r="J8" s="287"/>
      <c r="K8" s="288"/>
      <c r="L8" s="288"/>
      <c r="M8" s="288"/>
      <c r="N8" s="289"/>
      <c r="O8" s="372"/>
    </row>
    <row r="9" spans="1:20" s="2" customFormat="1" ht="19.2" customHeight="1">
      <c r="A9" s="277" t="s">
        <v>177</v>
      </c>
      <c r="B9" s="277"/>
      <c r="C9" s="277"/>
      <c r="D9" s="277"/>
      <c r="E9" s="269"/>
      <c r="F9" s="269"/>
      <c r="G9" s="269"/>
      <c r="H9" s="269"/>
      <c r="I9" s="269"/>
      <c r="J9" s="290"/>
      <c r="K9" s="291"/>
      <c r="L9" s="291"/>
      <c r="M9" s="291"/>
      <c r="N9" s="292"/>
      <c r="O9" s="372"/>
    </row>
    <row r="10" spans="1:20" s="2" customFormat="1" ht="19.2" customHeight="1">
      <c r="A10" s="278" t="s">
        <v>122</v>
      </c>
      <c r="B10" s="279"/>
      <c r="C10" s="280"/>
      <c r="D10" s="126">
        <v>213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2" customHeight="1">
      <c r="A11" s="186" t="s">
        <v>0</v>
      </c>
      <c r="B11" s="196" t="s">
        <v>19</v>
      </c>
      <c r="C11" s="199" t="s">
        <v>8</v>
      </c>
      <c r="D11" s="199" t="s">
        <v>9</v>
      </c>
      <c r="E11" s="189" t="s">
        <v>11</v>
      </c>
      <c r="F11" s="190"/>
      <c r="G11" s="189" t="s">
        <v>43</v>
      </c>
      <c r="H11" s="190"/>
      <c r="I11" s="193" t="s">
        <v>16</v>
      </c>
      <c r="J11" s="193" t="s">
        <v>41</v>
      </c>
      <c r="K11" s="193" t="s">
        <v>42</v>
      </c>
      <c r="L11" s="193" t="s">
        <v>17</v>
      </c>
      <c r="M11" s="193" t="s">
        <v>40</v>
      </c>
      <c r="N11" s="186" t="s">
        <v>18</v>
      </c>
      <c r="O11" s="373"/>
    </row>
    <row r="12" spans="1:20" ht="19.2" customHeight="1">
      <c r="A12" s="187"/>
      <c r="B12" s="197"/>
      <c r="C12" s="200"/>
      <c r="D12" s="200"/>
      <c r="E12" s="191"/>
      <c r="F12" s="192"/>
      <c r="G12" s="191"/>
      <c r="H12" s="192"/>
      <c r="I12" s="194"/>
      <c r="J12" s="194"/>
      <c r="K12" s="194"/>
      <c r="L12" s="194"/>
      <c r="M12" s="194"/>
      <c r="N12" s="187"/>
      <c r="O12" s="174"/>
    </row>
    <row r="13" spans="1:20" ht="19.2" customHeight="1">
      <c r="A13" s="187"/>
      <c r="B13" s="197"/>
      <c r="C13" s="200"/>
      <c r="D13" s="200"/>
      <c r="E13" s="193" t="s">
        <v>10</v>
      </c>
      <c r="F13" s="193" t="s">
        <v>12</v>
      </c>
      <c r="G13" s="193" t="s">
        <v>14</v>
      </c>
      <c r="H13" s="193" t="s">
        <v>15</v>
      </c>
      <c r="I13" s="194"/>
      <c r="J13" s="194"/>
      <c r="K13" s="194"/>
      <c r="L13" s="194"/>
      <c r="M13" s="194"/>
      <c r="N13" s="187"/>
      <c r="O13" s="174"/>
    </row>
    <row r="14" spans="1:20" ht="19.2" customHeight="1">
      <c r="A14" s="188"/>
      <c r="B14" s="198"/>
      <c r="C14" s="201"/>
      <c r="D14" s="201"/>
      <c r="E14" s="195"/>
      <c r="F14" s="195"/>
      <c r="G14" s="195"/>
      <c r="H14" s="195"/>
      <c r="I14" s="195"/>
      <c r="J14" s="195"/>
      <c r="K14" s="195"/>
      <c r="L14" s="195"/>
      <c r="M14" s="195"/>
      <c r="N14" s="188"/>
      <c r="O14" s="174"/>
    </row>
    <row r="15" spans="1:20" ht="21" customHeight="1">
      <c r="A15" s="233" t="s">
        <v>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174"/>
    </row>
    <row r="16" spans="1:20" s="2" customFormat="1" ht="21" customHeight="1">
      <c r="A16" s="15">
        <v>1</v>
      </c>
      <c r="B16" s="16" t="s">
        <v>2</v>
      </c>
      <c r="C16" s="51">
        <v>12</v>
      </c>
      <c r="D16" s="52">
        <f>C16/100*60</f>
        <v>7.1999999999999993</v>
      </c>
      <c r="E16" s="53">
        <f>C16/100*15</f>
        <v>1.7999999999999998</v>
      </c>
      <c r="F16" s="53"/>
      <c r="G16" s="53"/>
      <c r="H16" s="53"/>
      <c r="I16" s="53"/>
      <c r="J16" s="53">
        <f>C16/100*387</f>
        <v>46.44</v>
      </c>
      <c r="K16" s="53">
        <f>C16/100*0.09</f>
        <v>1.0799999999999999E-2</v>
      </c>
      <c r="L16" s="407">
        <v>280</v>
      </c>
      <c r="M16" s="77">
        <v>20</v>
      </c>
      <c r="N16" s="28">
        <f t="shared" ref="N16:N27" si="0">L16*M16</f>
        <v>5600</v>
      </c>
      <c r="O16" s="376"/>
    </row>
    <row r="17" spans="1:20" s="2" customFormat="1" ht="21" customHeight="1">
      <c r="A17" s="9">
        <v>2</v>
      </c>
      <c r="B17" s="10" t="s">
        <v>141</v>
      </c>
      <c r="C17" s="23">
        <f>L17/100*100</f>
        <v>1130</v>
      </c>
      <c r="D17" s="24">
        <f>C17/100*899</f>
        <v>10158.700000000001</v>
      </c>
      <c r="E17" s="25"/>
      <c r="F17" s="25"/>
      <c r="G17" s="120">
        <f>C17/100*100</f>
        <v>1130</v>
      </c>
      <c r="H17" s="25"/>
      <c r="I17" s="25"/>
      <c r="J17" s="25"/>
      <c r="K17" s="25"/>
      <c r="L17" s="138">
        <v>1130</v>
      </c>
      <c r="M17" s="24">
        <v>68</v>
      </c>
      <c r="N17" s="28">
        <f t="shared" si="0"/>
        <v>76840</v>
      </c>
      <c r="O17" s="376"/>
    </row>
    <row r="18" spans="1:20" s="2" customFormat="1" ht="21" customHeight="1">
      <c r="A18" s="9">
        <v>3</v>
      </c>
      <c r="B18" s="5" t="s">
        <v>1</v>
      </c>
      <c r="C18" s="23">
        <f>L18/100*100</f>
        <v>20235</v>
      </c>
      <c r="D18" s="24">
        <f>C18/100*318.3</f>
        <v>64408.004999999997</v>
      </c>
      <c r="E18" s="25"/>
      <c r="F18" s="120">
        <f>C18/100*7.9</f>
        <v>1598.5650000000001</v>
      </c>
      <c r="G18" s="25"/>
      <c r="H18" s="25">
        <f>C18/100*1</f>
        <v>202.35</v>
      </c>
      <c r="I18" s="120">
        <f>C18/100*75.9</f>
        <v>15358.365000000002</v>
      </c>
      <c r="J18" s="25">
        <f>C18/100*30</f>
        <v>6070.5</v>
      </c>
      <c r="K18" s="25">
        <f>C18/100*0.1</f>
        <v>20.234999999999999</v>
      </c>
      <c r="L18" s="138">
        <v>20235</v>
      </c>
      <c r="M18" s="75">
        <v>18</v>
      </c>
      <c r="N18" s="28">
        <f t="shared" si="0"/>
        <v>364230</v>
      </c>
      <c r="O18" s="154"/>
      <c r="P18" s="18"/>
    </row>
    <row r="19" spans="1:20" s="2" customFormat="1" ht="21" customHeight="1">
      <c r="A19" s="9">
        <v>4</v>
      </c>
      <c r="B19" s="10" t="s">
        <v>193</v>
      </c>
      <c r="C19" s="23">
        <f>L19/100*100</f>
        <v>170</v>
      </c>
      <c r="D19" s="24">
        <f>C19/100*390</f>
        <v>663</v>
      </c>
      <c r="E19" s="25"/>
      <c r="F19" s="25"/>
      <c r="G19" s="25"/>
      <c r="H19" s="25"/>
      <c r="I19" s="25">
        <f>C19/100*97.4</f>
        <v>165.58</v>
      </c>
      <c r="J19" s="27">
        <f>C19/100*178</f>
        <v>302.59999999999997</v>
      </c>
      <c r="K19" s="27">
        <f>C19/100*0.05</f>
        <v>8.5000000000000006E-2</v>
      </c>
      <c r="L19" s="138">
        <v>170</v>
      </c>
      <c r="M19" s="75">
        <v>25</v>
      </c>
      <c r="N19" s="28">
        <f t="shared" si="0"/>
        <v>4250</v>
      </c>
      <c r="O19" s="397"/>
    </row>
    <row r="20" spans="1:20" s="2" customFormat="1" ht="21" customHeight="1">
      <c r="A20" s="9">
        <v>5</v>
      </c>
      <c r="B20" s="10" t="s">
        <v>155</v>
      </c>
      <c r="C20" s="23">
        <f>L20/100*60</f>
        <v>8562</v>
      </c>
      <c r="D20" s="24">
        <f>C20/100*97</f>
        <v>8305.1400000000012</v>
      </c>
      <c r="E20" s="120">
        <f>C20/100*19.2</f>
        <v>1643.904</v>
      </c>
      <c r="F20" s="25"/>
      <c r="G20" s="25">
        <f>C20/100*2.7</f>
        <v>231.17400000000004</v>
      </c>
      <c r="H20" s="25"/>
      <c r="I20" s="25"/>
      <c r="J20" s="81">
        <f>C20/100*90</f>
        <v>7705.8</v>
      </c>
      <c r="K20" s="27">
        <f>C20/100*0.04</f>
        <v>3.4248000000000003</v>
      </c>
      <c r="L20" s="138">
        <v>14270</v>
      </c>
      <c r="M20" s="75">
        <v>95</v>
      </c>
      <c r="N20" s="28">
        <f t="shared" si="0"/>
        <v>1355650</v>
      </c>
      <c r="O20" s="154"/>
    </row>
    <row r="21" spans="1:20" s="2" customFormat="1" ht="21" customHeight="1">
      <c r="A21" s="9">
        <v>6</v>
      </c>
      <c r="B21" s="5" t="s">
        <v>69</v>
      </c>
      <c r="C21" s="23">
        <f>L21/100*48</f>
        <v>1780.8000000000002</v>
      </c>
      <c r="D21" s="24">
        <f>C21/100*199</f>
        <v>3543.7920000000008</v>
      </c>
      <c r="E21" s="25">
        <f>C21/100*20.3</f>
        <v>361.50240000000008</v>
      </c>
      <c r="F21" s="25"/>
      <c r="G21" s="25">
        <f>C21/100*13.1</f>
        <v>233.28480000000005</v>
      </c>
      <c r="H21" s="25"/>
      <c r="I21" s="25"/>
      <c r="J21" s="27">
        <f>C21/100*12</f>
        <v>213.69600000000003</v>
      </c>
      <c r="K21" s="27">
        <f>C21/100*0.15</f>
        <v>2.6712000000000002</v>
      </c>
      <c r="L21" s="138">
        <v>3710</v>
      </c>
      <c r="M21" s="26">
        <v>84</v>
      </c>
      <c r="N21" s="28">
        <f t="shared" si="0"/>
        <v>311640</v>
      </c>
      <c r="O21" s="154"/>
      <c r="Q21" s="3"/>
      <c r="R21" s="3"/>
      <c r="S21" s="4"/>
    </row>
    <row r="22" spans="1:20" s="2" customFormat="1" ht="21" customHeight="1">
      <c r="A22" s="9">
        <v>7</v>
      </c>
      <c r="B22" s="5" t="s">
        <v>3</v>
      </c>
      <c r="C22" s="23">
        <f>L22/100*98</f>
        <v>2087.4</v>
      </c>
      <c r="D22" s="24">
        <f>C22/100*118</f>
        <v>2463.1320000000001</v>
      </c>
      <c r="E22" s="25">
        <f>C22/100*21</f>
        <v>438.35400000000004</v>
      </c>
      <c r="F22" s="25"/>
      <c r="G22" s="25">
        <f>C22/100*3.8</f>
        <v>79.321200000000005</v>
      </c>
      <c r="H22" s="25"/>
      <c r="I22" s="25"/>
      <c r="J22" s="27">
        <f>C22/100*12</f>
        <v>250.48800000000003</v>
      </c>
      <c r="K22" s="27">
        <f>C22/100*0.1</f>
        <v>2.0874000000000001</v>
      </c>
      <c r="L22" s="138">
        <v>2130</v>
      </c>
      <c r="M22" s="26">
        <v>250</v>
      </c>
      <c r="N22" s="125">
        <f t="shared" si="0"/>
        <v>532500</v>
      </c>
      <c r="O22" s="154"/>
      <c r="Q22" s="3"/>
      <c r="R22" s="3"/>
      <c r="S22" s="4"/>
    </row>
    <row r="23" spans="1:20" s="2" customFormat="1" ht="21" customHeight="1">
      <c r="A23" s="9">
        <v>8</v>
      </c>
      <c r="B23" s="5" t="s">
        <v>179</v>
      </c>
      <c r="C23" s="23">
        <f>L23/100*78</f>
        <v>6653.4</v>
      </c>
      <c r="D23" s="24">
        <f>C23/100*37</f>
        <v>2461.7579999999998</v>
      </c>
      <c r="E23" s="29"/>
      <c r="F23" s="29">
        <f>C23/100*2.8</f>
        <v>186.29519999999997</v>
      </c>
      <c r="G23" s="29"/>
      <c r="H23" s="29">
        <f>C23/100*0.1</f>
        <v>6.6533999999999995</v>
      </c>
      <c r="I23" s="29">
        <f>C23/100*6.2</f>
        <v>412.51079999999996</v>
      </c>
      <c r="J23" s="29">
        <f>C23/100*46</f>
        <v>3060.5639999999994</v>
      </c>
      <c r="K23" s="29">
        <f>C23/100*0.06</f>
        <v>3.9920399999999994</v>
      </c>
      <c r="L23" s="374">
        <v>8530</v>
      </c>
      <c r="M23" s="26">
        <v>20</v>
      </c>
      <c r="N23" s="28">
        <f t="shared" si="0"/>
        <v>170600</v>
      </c>
      <c r="O23" s="154"/>
      <c r="Q23" s="3"/>
      <c r="R23" s="3"/>
      <c r="S23" s="4"/>
    </row>
    <row r="24" spans="1:20" s="2" customFormat="1" ht="21" customHeight="1">
      <c r="A24" s="9">
        <v>9</v>
      </c>
      <c r="B24" s="5" t="s">
        <v>154</v>
      </c>
      <c r="C24" s="23">
        <f>L24/100*81</f>
        <v>4317.3</v>
      </c>
      <c r="D24" s="24">
        <f>C24/100*17</f>
        <v>733.94100000000003</v>
      </c>
      <c r="E24" s="29"/>
      <c r="F24" s="29">
        <f>C24/100*0.9</f>
        <v>38.855700000000006</v>
      </c>
      <c r="G24" s="29"/>
      <c r="H24" s="29">
        <f>C24/100*0.2</f>
        <v>8.6346000000000007</v>
      </c>
      <c r="I24" s="29">
        <f>C24/100*2.8</f>
        <v>120.8844</v>
      </c>
      <c r="J24" s="25">
        <f>C24/100*28</f>
        <v>1208.8440000000001</v>
      </c>
      <c r="K24" s="27">
        <f>C24/100*0.04</f>
        <v>1.72692</v>
      </c>
      <c r="L24" s="374">
        <v>5330</v>
      </c>
      <c r="M24" s="75">
        <v>20</v>
      </c>
      <c r="N24" s="28">
        <f t="shared" si="0"/>
        <v>106600</v>
      </c>
      <c r="O24" s="154"/>
      <c r="P24" s="3"/>
    </row>
    <row r="25" spans="1:20" s="2" customFormat="1" ht="21" customHeight="1">
      <c r="A25" s="9">
        <v>10</v>
      </c>
      <c r="B25" s="5" t="s">
        <v>20</v>
      </c>
      <c r="C25" s="23">
        <f>L25/100*95</f>
        <v>3030.5</v>
      </c>
      <c r="D25" s="24">
        <f>C25/100*20</f>
        <v>606.1</v>
      </c>
      <c r="E25" s="25"/>
      <c r="F25" s="25">
        <f>C25/100*0.6</f>
        <v>18.183</v>
      </c>
      <c r="G25" s="25"/>
      <c r="H25" s="25">
        <f>C25/100*0.2</f>
        <v>6.0609999999999999</v>
      </c>
      <c r="I25" s="25">
        <f>C25/100*4</f>
        <v>121.22</v>
      </c>
      <c r="J25" s="27">
        <f>C25/100*12</f>
        <v>363.65999999999997</v>
      </c>
      <c r="K25" s="24">
        <f>C25/100*0.04</f>
        <v>1.2121999999999999</v>
      </c>
      <c r="L25" s="138">
        <v>3190</v>
      </c>
      <c r="M25" s="77">
        <v>30</v>
      </c>
      <c r="N25" s="28">
        <f t="shared" si="0"/>
        <v>95700</v>
      </c>
      <c r="O25" s="397"/>
      <c r="Q25" s="3"/>
      <c r="R25" s="3"/>
      <c r="S25" s="4"/>
    </row>
    <row r="26" spans="1:20" s="2" customFormat="1" ht="21" customHeight="1">
      <c r="A26" s="9">
        <v>11</v>
      </c>
      <c r="B26" s="5" t="s">
        <v>72</v>
      </c>
      <c r="C26" s="23">
        <f>L26/100*75</f>
        <v>322.5</v>
      </c>
      <c r="D26" s="24">
        <f>C26/100*17</f>
        <v>54.825000000000003</v>
      </c>
      <c r="E26" s="29"/>
      <c r="F26" s="29">
        <f>C26/100*1.9</f>
        <v>6.1274999999999995</v>
      </c>
      <c r="G26" s="29"/>
      <c r="H26" s="29"/>
      <c r="I26" s="29">
        <f>C26/100*2.2</f>
        <v>7.0950000000000006</v>
      </c>
      <c r="J26" s="27">
        <f>C26/100*150</f>
        <v>483.75</v>
      </c>
      <c r="K26" s="24">
        <f>C26/100*0.04</f>
        <v>0.129</v>
      </c>
      <c r="L26" s="374">
        <v>430</v>
      </c>
      <c r="M26" s="77">
        <v>30</v>
      </c>
      <c r="N26" s="28">
        <f t="shared" si="0"/>
        <v>12900</v>
      </c>
      <c r="O26" s="397"/>
      <c r="Q26" s="3"/>
      <c r="R26" s="3"/>
      <c r="S26" s="4"/>
    </row>
    <row r="27" spans="1:20" s="2" customFormat="1" ht="21" customHeight="1">
      <c r="A27" s="9">
        <v>12</v>
      </c>
      <c r="B27" s="5" t="s">
        <v>136</v>
      </c>
      <c r="C27" s="23">
        <f>L27/100*100</f>
        <v>210</v>
      </c>
      <c r="D27" s="24">
        <f>C27/100*247</f>
        <v>518.70000000000005</v>
      </c>
      <c r="E27" s="29"/>
      <c r="F27" s="29">
        <f>C27/100*17.5</f>
        <v>36.75</v>
      </c>
      <c r="G27" s="29"/>
      <c r="H27" s="29">
        <f>C27/100*1.6</f>
        <v>3.3600000000000003</v>
      </c>
      <c r="I27" s="29">
        <f>C27/100*39.2</f>
        <v>82.320000000000007</v>
      </c>
      <c r="J27" s="71"/>
      <c r="K27" s="71"/>
      <c r="L27" s="374">
        <v>210</v>
      </c>
      <c r="M27" s="75">
        <v>50</v>
      </c>
      <c r="N27" s="28">
        <f t="shared" si="0"/>
        <v>10500</v>
      </c>
      <c r="O27" s="154"/>
      <c r="Q27" s="3"/>
      <c r="R27" s="3"/>
      <c r="S27" s="4"/>
      <c r="T27" s="3"/>
    </row>
    <row r="28" spans="1:20" s="2" customFormat="1" ht="21" customHeight="1">
      <c r="A28" s="13">
        <v>13</v>
      </c>
      <c r="B28" s="6" t="s">
        <v>123</v>
      </c>
      <c r="C28" s="31"/>
      <c r="D28" s="32"/>
      <c r="E28" s="29"/>
      <c r="F28" s="29"/>
      <c r="G28" s="29"/>
      <c r="H28" s="29"/>
      <c r="I28" s="29"/>
      <c r="J28" s="25"/>
      <c r="K28" s="25"/>
      <c r="L28" s="30"/>
      <c r="M28" s="27"/>
      <c r="N28" s="33">
        <v>15750</v>
      </c>
      <c r="O28" s="154"/>
    </row>
    <row r="29" spans="1:20" s="2" customFormat="1" ht="21" customHeight="1">
      <c r="A29" s="21" t="s">
        <v>105</v>
      </c>
      <c r="B29" s="22"/>
      <c r="C29" s="34"/>
      <c r="D29" s="35">
        <f>SUM(D16:D28)</f>
        <v>93924.293000000005</v>
      </c>
      <c r="E29" s="36"/>
      <c r="F29" s="36"/>
      <c r="G29" s="36"/>
      <c r="H29" s="36"/>
      <c r="I29" s="36"/>
      <c r="J29" s="36"/>
      <c r="K29" s="36"/>
      <c r="L29" s="37"/>
      <c r="M29" s="37"/>
      <c r="N29" s="262">
        <f>SUM(N16:N28)</f>
        <v>3062760</v>
      </c>
      <c r="O29" s="154"/>
    </row>
    <row r="30" spans="1:20" s="2" customFormat="1" ht="21" customHeight="1">
      <c r="A30" s="21" t="s">
        <v>6</v>
      </c>
      <c r="B30" s="22"/>
      <c r="C30" s="34"/>
      <c r="D30" s="35">
        <f>D29/D10</f>
        <v>440.95912206572774</v>
      </c>
      <c r="E30" s="36"/>
      <c r="F30" s="36"/>
      <c r="G30" s="36"/>
      <c r="H30" s="36"/>
      <c r="I30" s="36"/>
      <c r="J30" s="36"/>
      <c r="K30" s="36"/>
      <c r="L30" s="37"/>
      <c r="M30" s="37"/>
      <c r="N30" s="263"/>
      <c r="O30" s="154"/>
    </row>
    <row r="31" spans="1:20" s="2" customFormat="1" ht="21" customHeight="1">
      <c r="A31" s="206" t="s">
        <v>48</v>
      </c>
      <c r="B31" s="207"/>
      <c r="C31" s="411" t="s">
        <v>151</v>
      </c>
      <c r="D31" s="20" t="s">
        <v>45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4"/>
    </row>
    <row r="32" spans="1:20" s="2" customFormat="1" ht="21" customHeight="1">
      <c r="A32" s="208"/>
      <c r="B32" s="209"/>
      <c r="C32" s="19" t="s">
        <v>59</v>
      </c>
      <c r="D32" s="20">
        <f>D30*100/1320</f>
        <v>33.405994095888467</v>
      </c>
      <c r="E32" s="36"/>
      <c r="F32" s="36"/>
      <c r="G32" s="36"/>
      <c r="H32" s="36"/>
      <c r="I32" s="36"/>
      <c r="J32" s="36"/>
      <c r="K32" s="36"/>
      <c r="L32" s="37"/>
      <c r="M32" s="37"/>
      <c r="N32" s="38"/>
      <c r="O32" s="154"/>
    </row>
    <row r="33" spans="1:22" s="2" customFormat="1" ht="21" customHeight="1">
      <c r="A33" s="276" t="s">
        <v>35</v>
      </c>
      <c r="B33" s="276"/>
      <c r="C33" s="56"/>
      <c r="D33" s="57"/>
      <c r="E33" s="58"/>
      <c r="F33" s="58"/>
      <c r="G33" s="58"/>
      <c r="H33" s="58"/>
      <c r="I33" s="58"/>
      <c r="J33" s="58"/>
      <c r="K33" s="58"/>
      <c r="L33" s="59"/>
      <c r="M33" s="59"/>
      <c r="N33" s="69"/>
      <c r="O33" s="154"/>
    </row>
    <row r="34" spans="1:22" s="2" customFormat="1" ht="21" customHeight="1">
      <c r="A34" s="9">
        <v>1</v>
      </c>
      <c r="B34" s="5" t="s">
        <v>140</v>
      </c>
      <c r="C34" s="23">
        <f>L34/100*100</f>
        <v>5110</v>
      </c>
      <c r="D34" s="24">
        <f>C34/100*295</f>
        <v>15074.5</v>
      </c>
      <c r="E34" s="25"/>
      <c r="F34" s="25">
        <f>C34/100*6</f>
        <v>306.60000000000002</v>
      </c>
      <c r="G34" s="25"/>
      <c r="H34" s="25">
        <f>C34/100*0.8</f>
        <v>40.880000000000003</v>
      </c>
      <c r="I34" s="120">
        <f>C34/100*28.8</f>
        <v>1471.68</v>
      </c>
      <c r="J34" s="27"/>
      <c r="K34" s="27"/>
      <c r="L34" s="138">
        <v>5110</v>
      </c>
      <c r="M34" s="77">
        <v>32</v>
      </c>
      <c r="N34" s="28">
        <f>L34*M34</f>
        <v>163520</v>
      </c>
      <c r="O34" s="154"/>
    </row>
    <row r="35" spans="1:22" s="2" customFormat="1" ht="21" customHeight="1">
      <c r="A35" s="9">
        <v>2</v>
      </c>
      <c r="B35" s="149" t="s">
        <v>141</v>
      </c>
      <c r="C35" s="23">
        <f>L35/100*100</f>
        <v>1000</v>
      </c>
      <c r="D35" s="24">
        <f>C35/100*899</f>
        <v>8990</v>
      </c>
      <c r="E35" s="25"/>
      <c r="F35" s="25"/>
      <c r="G35" s="120">
        <f>C35/100*100</f>
        <v>1000</v>
      </c>
      <c r="H35" s="25"/>
      <c r="I35" s="25"/>
      <c r="J35" s="27"/>
      <c r="K35" s="27"/>
      <c r="L35" s="138">
        <v>1000</v>
      </c>
      <c r="M35" s="75">
        <v>68</v>
      </c>
      <c r="N35" s="28">
        <f t="shared" ref="N35:N36" si="1">L35*M35</f>
        <v>68000</v>
      </c>
      <c r="O35" s="154"/>
    </row>
    <row r="36" spans="1:22" s="2" customFormat="1" ht="21" customHeight="1">
      <c r="A36" s="9">
        <v>3</v>
      </c>
      <c r="B36" s="149" t="s">
        <v>146</v>
      </c>
      <c r="C36" s="23">
        <f>L36/100*100</f>
        <v>110.00000000000001</v>
      </c>
      <c r="D36" s="121">
        <f>C36/100*900</f>
        <v>990.00000000000011</v>
      </c>
      <c r="E36" s="25"/>
      <c r="F36" s="25"/>
      <c r="G36" s="120"/>
      <c r="H36" s="25">
        <f>C36/100*100</f>
        <v>110.00000000000001</v>
      </c>
      <c r="I36" s="25"/>
      <c r="J36" s="25"/>
      <c r="K36" s="25"/>
      <c r="L36" s="138">
        <v>110</v>
      </c>
      <c r="M36" s="75">
        <v>63.5</v>
      </c>
      <c r="N36" s="28">
        <f t="shared" si="1"/>
        <v>6985</v>
      </c>
      <c r="O36" s="376"/>
    </row>
    <row r="37" spans="1:22" s="2" customFormat="1" ht="21" customHeight="1">
      <c r="A37" s="9">
        <v>3</v>
      </c>
      <c r="B37" s="149" t="s">
        <v>2</v>
      </c>
      <c r="C37" s="23">
        <f>L37/100*100</f>
        <v>260</v>
      </c>
      <c r="D37" s="24">
        <f>C37/100*60</f>
        <v>156</v>
      </c>
      <c r="E37" s="25">
        <f>C37/100*15</f>
        <v>39</v>
      </c>
      <c r="F37" s="25"/>
      <c r="G37" s="25"/>
      <c r="H37" s="25"/>
      <c r="I37" s="25"/>
      <c r="J37" s="25">
        <f>C37/100*387</f>
        <v>1006.2</v>
      </c>
      <c r="K37" s="25">
        <f>C37/100*0.09</f>
        <v>0.23399999999999999</v>
      </c>
      <c r="L37" s="138">
        <v>260</v>
      </c>
      <c r="M37" s="75">
        <v>20</v>
      </c>
      <c r="N37" s="28">
        <f>L37*M37</f>
        <v>5200</v>
      </c>
      <c r="O37" s="154"/>
    </row>
    <row r="38" spans="1:22" s="2" customFormat="1" ht="21" customHeight="1">
      <c r="A38" s="9">
        <v>4</v>
      </c>
      <c r="B38" s="150" t="s">
        <v>136</v>
      </c>
      <c r="C38" s="23">
        <f>L38/100*100</f>
        <v>120</v>
      </c>
      <c r="D38" s="24">
        <f>C38/100*247</f>
        <v>296.39999999999998</v>
      </c>
      <c r="E38" s="29"/>
      <c r="F38" s="29">
        <f>C38/100*17.5</f>
        <v>21</v>
      </c>
      <c r="G38" s="29"/>
      <c r="H38" s="29">
        <f>C38/100*1.6</f>
        <v>1.92</v>
      </c>
      <c r="I38" s="29">
        <f>C38/100*39.2</f>
        <v>47.04</v>
      </c>
      <c r="J38" s="71"/>
      <c r="K38" s="71"/>
      <c r="L38" s="374">
        <v>120</v>
      </c>
      <c r="M38" s="75">
        <v>50</v>
      </c>
      <c r="N38" s="28">
        <f t="shared" ref="N38:N39" si="2">L38*M38</f>
        <v>6000</v>
      </c>
      <c r="O38" s="154"/>
      <c r="Q38" s="3"/>
      <c r="R38" s="3"/>
      <c r="S38" s="4"/>
      <c r="T38" s="3"/>
    </row>
    <row r="39" spans="1:22" s="2" customFormat="1" ht="21" customHeight="1">
      <c r="A39" s="9">
        <v>5</v>
      </c>
      <c r="B39" s="5" t="s">
        <v>180</v>
      </c>
      <c r="C39" s="23">
        <f>L39/100*90</f>
        <v>3843.0000000000005</v>
      </c>
      <c r="D39" s="24">
        <f>C39/100*29</f>
        <v>1114.4700000000003</v>
      </c>
      <c r="E39" s="25"/>
      <c r="F39" s="25">
        <f>C39/100*1.8</f>
        <v>69.174000000000021</v>
      </c>
      <c r="G39" s="25"/>
      <c r="H39" s="25">
        <f>C39/100*0.1</f>
        <v>3.8430000000000009</v>
      </c>
      <c r="I39" s="25">
        <f>C39/100*5.3</f>
        <v>203.67900000000003</v>
      </c>
      <c r="J39" s="25">
        <f>C39/100*48</f>
        <v>1844.6400000000003</v>
      </c>
      <c r="K39" s="25">
        <f>C39/100*0.05</f>
        <v>1.9215000000000004</v>
      </c>
      <c r="L39" s="138">
        <v>4270</v>
      </c>
      <c r="M39" s="75">
        <v>13</v>
      </c>
      <c r="N39" s="28">
        <f t="shared" si="2"/>
        <v>55510</v>
      </c>
      <c r="O39" s="154"/>
    </row>
    <row r="40" spans="1:22" s="2" customFormat="1" ht="21" customHeight="1">
      <c r="A40" s="9">
        <v>6</v>
      </c>
      <c r="B40" s="149" t="s">
        <v>74</v>
      </c>
      <c r="C40" s="23">
        <f>L40/100*98</f>
        <v>2597</v>
      </c>
      <c r="D40" s="24">
        <f>C40/100*139</f>
        <v>3609.83</v>
      </c>
      <c r="E40" s="25">
        <f>C40/100*19</f>
        <v>493.42999999999995</v>
      </c>
      <c r="F40" s="25"/>
      <c r="G40" s="25">
        <f>C40/100*7</f>
        <v>181.79</v>
      </c>
      <c r="H40" s="25"/>
      <c r="I40" s="25"/>
      <c r="J40" s="25">
        <f>C40/100*7</f>
        <v>181.79</v>
      </c>
      <c r="K40" s="25">
        <f>C40/100*0.9</f>
        <v>23.373000000000001</v>
      </c>
      <c r="L40" s="138">
        <v>2650</v>
      </c>
      <c r="M40" s="75">
        <v>137</v>
      </c>
      <c r="N40" s="28">
        <f t="shared" ref="N40:N41" si="3">L40*M40</f>
        <v>363050</v>
      </c>
      <c r="O40" s="154"/>
      <c r="P40" s="142"/>
    </row>
    <row r="41" spans="1:22" s="2" customFormat="1" ht="21" customHeight="1">
      <c r="A41" s="9">
        <v>7</v>
      </c>
      <c r="B41" s="153" t="s">
        <v>149</v>
      </c>
      <c r="C41" s="23">
        <f>L41/100*100</f>
        <v>3620.0000000000005</v>
      </c>
      <c r="D41" s="24">
        <f>C41/100*487</f>
        <v>17629.400000000001</v>
      </c>
      <c r="E41" s="29"/>
      <c r="F41" s="29">
        <f>C41/100*19.5</f>
        <v>705.90000000000009</v>
      </c>
      <c r="G41" s="29"/>
      <c r="H41" s="29">
        <f>C41/100*23.2</f>
        <v>839.84</v>
      </c>
      <c r="I41" s="169">
        <f>C41/100*46</f>
        <v>1665.2</v>
      </c>
      <c r="J41" s="120">
        <f>C41/100*680</f>
        <v>24616.000000000004</v>
      </c>
      <c r="K41" s="25">
        <f>C41/100*0.55</f>
        <v>19.910000000000004</v>
      </c>
      <c r="L41" s="30">
        <v>3620</v>
      </c>
      <c r="M41" s="144">
        <v>260</v>
      </c>
      <c r="N41" s="28">
        <f t="shared" si="3"/>
        <v>941200</v>
      </c>
      <c r="O41" s="154"/>
      <c r="P41" s="3"/>
    </row>
    <row r="42" spans="1:22" s="2" customFormat="1" ht="21" customHeight="1">
      <c r="A42" s="104">
        <v>8</v>
      </c>
      <c r="B42" s="113" t="s">
        <v>123</v>
      </c>
      <c r="C42" s="105"/>
      <c r="D42" s="412"/>
      <c r="E42" s="107"/>
      <c r="F42" s="107"/>
      <c r="G42" s="107"/>
      <c r="H42" s="107"/>
      <c r="I42" s="107"/>
      <c r="J42" s="107"/>
      <c r="K42" s="107"/>
      <c r="L42" s="108"/>
      <c r="M42" s="108"/>
      <c r="N42" s="109">
        <v>13550</v>
      </c>
      <c r="O42" s="154"/>
    </row>
    <row r="43" spans="1:22" ht="21.6" customHeight="1">
      <c r="A43" s="186" t="s">
        <v>0</v>
      </c>
      <c r="B43" s="196" t="s">
        <v>19</v>
      </c>
      <c r="C43" s="199" t="s">
        <v>8</v>
      </c>
      <c r="D43" s="199" t="s">
        <v>9</v>
      </c>
      <c r="E43" s="189" t="s">
        <v>11</v>
      </c>
      <c r="F43" s="190"/>
      <c r="G43" s="189" t="s">
        <v>43</v>
      </c>
      <c r="H43" s="190"/>
      <c r="I43" s="193" t="s">
        <v>16</v>
      </c>
      <c r="J43" s="193" t="s">
        <v>41</v>
      </c>
      <c r="K43" s="193" t="s">
        <v>42</v>
      </c>
      <c r="L43" s="193" t="s">
        <v>17</v>
      </c>
      <c r="M43" s="193" t="s">
        <v>40</v>
      </c>
      <c r="N43" s="186" t="s">
        <v>18</v>
      </c>
      <c r="O43" s="373"/>
    </row>
    <row r="44" spans="1:22" ht="21.6" customHeight="1">
      <c r="A44" s="187"/>
      <c r="B44" s="197"/>
      <c r="C44" s="200"/>
      <c r="D44" s="200"/>
      <c r="E44" s="191"/>
      <c r="F44" s="192"/>
      <c r="G44" s="191"/>
      <c r="H44" s="192"/>
      <c r="I44" s="194"/>
      <c r="J44" s="194"/>
      <c r="K44" s="194"/>
      <c r="L44" s="194"/>
      <c r="M44" s="194"/>
      <c r="N44" s="187"/>
      <c r="O44" s="174"/>
    </row>
    <row r="45" spans="1:22" ht="21.6" customHeight="1">
      <c r="A45" s="187"/>
      <c r="B45" s="197"/>
      <c r="C45" s="200"/>
      <c r="D45" s="200"/>
      <c r="E45" s="193" t="s">
        <v>10</v>
      </c>
      <c r="F45" s="193" t="s">
        <v>12</v>
      </c>
      <c r="G45" s="193" t="s">
        <v>14</v>
      </c>
      <c r="H45" s="193" t="s">
        <v>15</v>
      </c>
      <c r="I45" s="194"/>
      <c r="J45" s="194"/>
      <c r="K45" s="194"/>
      <c r="L45" s="194"/>
      <c r="M45" s="194"/>
      <c r="N45" s="187"/>
      <c r="O45" s="174"/>
    </row>
    <row r="46" spans="1:22" ht="21.6" customHeight="1">
      <c r="A46" s="188"/>
      <c r="B46" s="198"/>
      <c r="C46" s="201"/>
      <c r="D46" s="201"/>
      <c r="E46" s="195"/>
      <c r="F46" s="195"/>
      <c r="G46" s="195"/>
      <c r="H46" s="195"/>
      <c r="I46" s="195"/>
      <c r="J46" s="195"/>
      <c r="K46" s="195"/>
      <c r="L46" s="195"/>
      <c r="M46" s="195"/>
      <c r="N46" s="188"/>
      <c r="O46" s="174"/>
    </row>
    <row r="47" spans="1:22" s="2" customFormat="1" ht="21.6" customHeight="1">
      <c r="A47" s="232" t="s">
        <v>106</v>
      </c>
      <c r="B47" s="232"/>
      <c r="C47" s="34"/>
      <c r="D47" s="35">
        <f>SUM(D34:D42)</f>
        <v>47860.600000000006</v>
      </c>
      <c r="E47" s="43"/>
      <c r="F47" s="43"/>
      <c r="G47" s="43"/>
      <c r="H47" s="43"/>
      <c r="I47" s="43"/>
      <c r="J47" s="43"/>
      <c r="K47" s="43"/>
      <c r="L47" s="44"/>
      <c r="M47" s="44"/>
      <c r="N47" s="264">
        <f>SUM(N34:N42)</f>
        <v>1623015</v>
      </c>
      <c r="O47" s="154"/>
    </row>
    <row r="48" spans="1:22" ht="21.6" customHeight="1">
      <c r="A48" s="232" t="s">
        <v>7</v>
      </c>
      <c r="B48" s="232"/>
      <c r="C48" s="45"/>
      <c r="D48" s="46">
        <f>D47/D10</f>
        <v>224.69765258215966</v>
      </c>
      <c r="E48" s="46"/>
      <c r="F48" s="46"/>
      <c r="G48" s="46"/>
      <c r="H48" s="46"/>
      <c r="I48" s="46"/>
      <c r="J48" s="46"/>
      <c r="K48" s="46"/>
      <c r="L48" s="47"/>
      <c r="M48" s="47"/>
      <c r="N48" s="265"/>
      <c r="O48" s="399"/>
      <c r="P48" s="2"/>
      <c r="Q48" s="2"/>
      <c r="R48" s="2"/>
      <c r="S48" s="2"/>
      <c r="T48" s="2"/>
      <c r="U48" s="2"/>
      <c r="V48" s="2"/>
    </row>
    <row r="49" spans="1:22" ht="21.6" customHeight="1">
      <c r="A49" s="206" t="s">
        <v>47</v>
      </c>
      <c r="B49" s="207"/>
      <c r="C49" s="411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5"/>
      <c r="O49" s="4"/>
      <c r="P49" s="2"/>
      <c r="Q49" s="2"/>
      <c r="R49" s="2"/>
      <c r="S49" s="2"/>
      <c r="T49" s="2"/>
      <c r="U49" s="2"/>
      <c r="V49" s="2"/>
    </row>
    <row r="50" spans="1:22" ht="21.6" customHeight="1">
      <c r="A50" s="208"/>
      <c r="B50" s="209"/>
      <c r="C50" s="19" t="s">
        <v>59</v>
      </c>
      <c r="D50" s="20">
        <f>D48*100/1320</f>
        <v>17.022549438042397</v>
      </c>
      <c r="E50" s="46"/>
      <c r="F50" s="46"/>
      <c r="G50" s="46"/>
      <c r="H50" s="46"/>
      <c r="I50" s="46"/>
      <c r="J50" s="48"/>
      <c r="K50" s="48"/>
      <c r="L50" s="47"/>
      <c r="M50" s="47"/>
      <c r="N50" s="175"/>
      <c r="O50" s="4"/>
      <c r="P50" s="2"/>
      <c r="Q50" s="2"/>
      <c r="R50" s="2"/>
      <c r="S50" s="2"/>
      <c r="T50" s="2"/>
      <c r="U50" s="2"/>
      <c r="V50" s="2"/>
    </row>
    <row r="51" spans="1:22" ht="21.6" customHeight="1">
      <c r="A51" s="238" t="s">
        <v>107</v>
      </c>
      <c r="B51" s="238"/>
      <c r="C51" s="236"/>
      <c r="D51" s="294">
        <f>D29+D47</f>
        <v>141784.89300000001</v>
      </c>
      <c r="E51" s="124">
        <f t="shared" ref="E51:K51" si="4">SUM(E16:E42)</f>
        <v>2977.9904000000001</v>
      </c>
      <c r="F51" s="124">
        <f t="shared" si="4"/>
        <v>2987.4504000000002</v>
      </c>
      <c r="G51" s="124">
        <f t="shared" si="4"/>
        <v>2855.57</v>
      </c>
      <c r="H51" s="124">
        <f t="shared" si="4"/>
        <v>1223.5420000000001</v>
      </c>
      <c r="I51" s="261">
        <f t="shared" si="4"/>
        <v>19655.574200000003</v>
      </c>
      <c r="J51" s="212">
        <f t="shared" si="4"/>
        <v>47354.972000000009</v>
      </c>
      <c r="K51" s="212">
        <f t="shared" si="4"/>
        <v>81.012860000000018</v>
      </c>
      <c r="L51" s="212"/>
      <c r="M51" s="212"/>
      <c r="N51" s="254">
        <f>N29+N47</f>
        <v>4685775</v>
      </c>
      <c r="P51" s="413"/>
      <c r="U51" s="12"/>
      <c r="V51" s="12"/>
    </row>
    <row r="52" spans="1:22" ht="21.6" customHeight="1">
      <c r="A52" s="238"/>
      <c r="B52" s="238"/>
      <c r="C52" s="236"/>
      <c r="D52" s="295"/>
      <c r="E52" s="237">
        <f>E51+F51</f>
        <v>5965.4408000000003</v>
      </c>
      <c r="F52" s="237"/>
      <c r="G52" s="237">
        <f>G51+H51</f>
        <v>4079.1120000000001</v>
      </c>
      <c r="H52" s="237"/>
      <c r="I52" s="261"/>
      <c r="J52" s="213"/>
      <c r="K52" s="213"/>
      <c r="L52" s="253"/>
      <c r="M52" s="253"/>
      <c r="N52" s="255"/>
      <c r="U52" s="12"/>
      <c r="V52" s="12"/>
    </row>
    <row r="53" spans="1:22" ht="21.6" customHeight="1">
      <c r="A53" s="270" t="s">
        <v>77</v>
      </c>
      <c r="B53" s="271"/>
      <c r="C53" s="272"/>
      <c r="D53" s="132">
        <f>D51/D10</f>
        <v>665.65677464788735</v>
      </c>
      <c r="E53" s="380">
        <f>E51/D10</f>
        <v>13.98117558685446</v>
      </c>
      <c r="F53" s="380">
        <f>F51/D10</f>
        <v>14.025588732394366</v>
      </c>
      <c r="G53" s="380">
        <f>G51/D10</f>
        <v>13.40643192488263</v>
      </c>
      <c r="H53" s="380">
        <f>H51/D10</f>
        <v>5.7443286384976533</v>
      </c>
      <c r="I53" s="293">
        <f>I51/D10</f>
        <v>92.279691079812224</v>
      </c>
      <c r="J53" s="204">
        <f>J51/D10</f>
        <v>222.32381220657282</v>
      </c>
      <c r="K53" s="204">
        <f>K51/D10</f>
        <v>0.38034206572769963</v>
      </c>
      <c r="L53" s="253"/>
      <c r="M53" s="253"/>
      <c r="N53" s="255"/>
      <c r="Q53" s="370"/>
      <c r="R53" s="370"/>
      <c r="S53" s="370"/>
      <c r="T53" s="370"/>
      <c r="U53" s="385"/>
      <c r="V53" s="385"/>
    </row>
    <row r="54" spans="1:22" ht="21.6" customHeight="1">
      <c r="A54" s="273"/>
      <c r="B54" s="274"/>
      <c r="C54" s="275"/>
      <c r="D54" s="127"/>
      <c r="E54" s="414">
        <f>E53+F53</f>
        <v>28.006764319248827</v>
      </c>
      <c r="F54" s="414"/>
      <c r="G54" s="414">
        <f>G53+H53</f>
        <v>19.150760563380285</v>
      </c>
      <c r="H54" s="414"/>
      <c r="I54" s="293"/>
      <c r="J54" s="205"/>
      <c r="K54" s="205"/>
      <c r="L54" s="253"/>
      <c r="M54" s="253"/>
      <c r="N54" s="255"/>
      <c r="P54" s="388"/>
      <c r="Q54" s="370"/>
      <c r="R54" s="370"/>
      <c r="S54" s="370"/>
      <c r="T54" s="370"/>
      <c r="U54" s="370"/>
      <c r="V54" s="370"/>
    </row>
    <row r="55" spans="1:22" ht="21.6" customHeight="1">
      <c r="A55" s="214" t="s">
        <v>80</v>
      </c>
      <c r="B55" s="215"/>
      <c r="C55" s="216"/>
      <c r="D55" s="173" t="s">
        <v>28</v>
      </c>
      <c r="E55" s="415" t="s">
        <v>21</v>
      </c>
      <c r="F55" s="415"/>
      <c r="G55" s="415" t="s">
        <v>22</v>
      </c>
      <c r="H55" s="415"/>
      <c r="I55" s="416" t="s">
        <v>23</v>
      </c>
      <c r="J55" s="416">
        <v>600</v>
      </c>
      <c r="K55" s="416">
        <v>0.7</v>
      </c>
      <c r="L55" s="253"/>
      <c r="M55" s="253"/>
      <c r="N55" s="255"/>
      <c r="O55" s="387"/>
      <c r="P55" s="142"/>
      <c r="Q55" s="369"/>
      <c r="R55" s="369"/>
      <c r="S55" s="369"/>
      <c r="T55" s="96"/>
    </row>
    <row r="56" spans="1:22" ht="21.6" customHeight="1">
      <c r="A56" s="214" t="s">
        <v>78</v>
      </c>
      <c r="B56" s="215"/>
      <c r="C56" s="216"/>
      <c r="D56" s="49"/>
      <c r="E56" s="202">
        <f>E54*4.1</f>
        <v>114.82773370892018</v>
      </c>
      <c r="F56" s="203"/>
      <c r="G56" s="202">
        <f>G54*9</f>
        <v>172.35684507042257</v>
      </c>
      <c r="H56" s="203"/>
      <c r="I56" s="123">
        <f>I53*4.1</f>
        <v>378.34673342723011</v>
      </c>
      <c r="J56" s="249"/>
      <c r="K56" s="249"/>
      <c r="L56" s="253"/>
      <c r="M56" s="253"/>
      <c r="N56" s="255"/>
      <c r="O56" s="387"/>
      <c r="P56" s="379"/>
      <c r="Q56" s="142"/>
      <c r="R56" s="142"/>
      <c r="S56" s="142"/>
    </row>
    <row r="57" spans="1:22" ht="21.6" customHeight="1">
      <c r="A57" s="217" t="s">
        <v>81</v>
      </c>
      <c r="B57" s="218"/>
      <c r="C57" s="214" t="s">
        <v>59</v>
      </c>
      <c r="D57" s="216"/>
      <c r="E57" s="417">
        <f>E56*100/D53</f>
        <v>17.250291453829288</v>
      </c>
      <c r="F57" s="418"/>
      <c r="G57" s="266">
        <f>G56*100/D53</f>
        <v>25.892750083043055</v>
      </c>
      <c r="H57" s="267"/>
      <c r="I57" s="116">
        <f>I56*100/D53</f>
        <v>56.838110545387948</v>
      </c>
      <c r="J57" s="250"/>
      <c r="K57" s="250"/>
      <c r="L57" s="253"/>
      <c r="M57" s="253"/>
      <c r="N57" s="255"/>
      <c r="O57" s="387"/>
    </row>
    <row r="58" spans="1:22" ht="21.6" customHeight="1">
      <c r="A58" s="219"/>
      <c r="B58" s="220"/>
      <c r="C58" s="214" t="s">
        <v>79</v>
      </c>
      <c r="D58" s="216"/>
      <c r="E58" s="214" t="s">
        <v>82</v>
      </c>
      <c r="F58" s="216"/>
      <c r="G58" s="214" t="s">
        <v>83</v>
      </c>
      <c r="H58" s="216"/>
      <c r="I58" s="179" t="s">
        <v>84</v>
      </c>
      <c r="J58" s="230"/>
      <c r="K58" s="230"/>
      <c r="L58" s="213"/>
      <c r="M58" s="213"/>
      <c r="N58" s="256"/>
      <c r="O58" s="387"/>
      <c r="P58" s="133"/>
    </row>
    <row r="59" spans="1:22" ht="21.6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7"/>
      <c r="Q59" s="133"/>
    </row>
    <row r="60" spans="1:22" ht="21" customHeight="1">
      <c r="A60" s="296" t="s">
        <v>114</v>
      </c>
      <c r="B60" s="296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387"/>
    </row>
    <row r="61" spans="1:22" ht="21" customHeight="1">
      <c r="A61" s="118" t="s">
        <v>115</v>
      </c>
      <c r="B61" s="297" t="s">
        <v>116</v>
      </c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387"/>
    </row>
    <row r="62" spans="1:22" ht="21" customHeight="1">
      <c r="A62" s="119"/>
      <c r="B62" s="257" t="s">
        <v>206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387"/>
    </row>
    <row r="63" spans="1:22" ht="21" customHeight="1">
      <c r="A63" s="119"/>
      <c r="B63" s="257" t="s">
        <v>207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387"/>
    </row>
    <row r="64" spans="1:22" ht="21" customHeight="1">
      <c r="A64" s="119"/>
      <c r="B64" s="257" t="s">
        <v>196</v>
      </c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387"/>
    </row>
    <row r="65" spans="1:15" ht="21" customHeight="1">
      <c r="A65" s="90"/>
      <c r="B65" s="258" t="s">
        <v>117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387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7"/>
    </row>
    <row r="67" spans="1:15" ht="21" customHeight="1">
      <c r="A67" s="259" t="s">
        <v>62</v>
      </c>
      <c r="B67" s="259"/>
      <c r="C67" s="259"/>
      <c r="D67" s="259"/>
      <c r="E67" s="389"/>
      <c r="F67" s="389"/>
      <c r="G67" s="389"/>
      <c r="H67" s="389"/>
      <c r="I67" s="389"/>
      <c r="J67" s="390" t="s">
        <v>33</v>
      </c>
      <c r="K67" s="390"/>
      <c r="L67" s="390"/>
      <c r="M67" s="390"/>
      <c r="N67" s="390"/>
      <c r="O67" s="387"/>
    </row>
    <row r="68" spans="1:15" ht="21" customHeight="1">
      <c r="A68" s="174"/>
      <c r="B68" s="174"/>
      <c r="C68" s="174"/>
      <c r="D68" s="389"/>
      <c r="E68" s="389"/>
      <c r="F68" s="389"/>
      <c r="G68" s="389"/>
      <c r="H68" s="391"/>
      <c r="I68" s="391"/>
      <c r="J68" s="391"/>
      <c r="K68" s="391"/>
      <c r="L68" s="391"/>
      <c r="M68" s="391"/>
      <c r="N68" s="391"/>
      <c r="O68" s="387"/>
    </row>
    <row r="69" spans="1:15" ht="21" customHeight="1">
      <c r="A69" s="174"/>
      <c r="B69" s="174"/>
      <c r="C69" s="174"/>
      <c r="D69" s="389"/>
      <c r="E69" s="389"/>
      <c r="F69" s="389"/>
      <c r="G69" s="389"/>
      <c r="H69" s="391"/>
      <c r="I69" s="391"/>
      <c r="J69" s="391"/>
      <c r="K69" s="391"/>
      <c r="L69" s="391"/>
      <c r="M69" s="391"/>
      <c r="N69" s="391"/>
      <c r="O69" s="387"/>
    </row>
    <row r="70" spans="1:15" ht="21" customHeight="1">
      <c r="A70" s="174"/>
      <c r="B70" s="174"/>
      <c r="C70" s="174"/>
      <c r="D70" s="389"/>
      <c r="E70" s="389"/>
      <c r="F70" s="389"/>
      <c r="G70" s="389"/>
      <c r="H70" s="391"/>
      <c r="I70" s="391"/>
      <c r="J70" s="392" t="s">
        <v>124</v>
      </c>
      <c r="K70" s="392"/>
      <c r="L70" s="392"/>
      <c r="M70" s="392"/>
      <c r="N70" s="392"/>
      <c r="O70" s="387"/>
    </row>
    <row r="71" spans="1:15" ht="21" customHeight="1">
      <c r="A71" s="260" t="s">
        <v>91</v>
      </c>
      <c r="B71" s="260"/>
      <c r="C71" s="260"/>
      <c r="D71" s="260"/>
      <c r="E71" s="389"/>
      <c r="F71" s="389"/>
      <c r="G71" s="389"/>
      <c r="H71" s="391"/>
      <c r="I71" s="391"/>
      <c r="J71" s="392"/>
      <c r="K71" s="392"/>
      <c r="L71" s="392"/>
      <c r="M71" s="392"/>
      <c r="N71" s="392"/>
      <c r="O71" s="387"/>
    </row>
    <row r="72" spans="1:15" ht="21.6" customHeight="1">
      <c r="A72" s="174"/>
      <c r="B72" s="174"/>
      <c r="C72" s="174"/>
      <c r="D72" s="389"/>
      <c r="E72" s="389"/>
      <c r="F72" s="389"/>
      <c r="G72" s="389"/>
      <c r="H72" s="391"/>
      <c r="I72" s="391"/>
      <c r="J72" s="391"/>
      <c r="K72" s="391"/>
      <c r="L72" s="391"/>
      <c r="M72" s="391"/>
      <c r="N72" s="391"/>
      <c r="O72" s="387"/>
    </row>
    <row r="73" spans="1:15" ht="21.6" customHeight="1">
      <c r="A73" s="174"/>
      <c r="B73" s="174"/>
      <c r="C73" s="174"/>
      <c r="D73" s="389"/>
      <c r="E73" s="389"/>
      <c r="F73" s="389"/>
      <c r="G73" s="389"/>
      <c r="H73" s="391"/>
      <c r="I73" s="391"/>
      <c r="J73" s="391"/>
      <c r="K73" s="391"/>
      <c r="L73" s="391"/>
      <c r="M73" s="391"/>
      <c r="N73" s="391"/>
      <c r="O73" s="387"/>
    </row>
    <row r="74" spans="1:15" ht="21.6" customHeight="1">
      <c r="A74" s="174"/>
      <c r="B74" s="174"/>
      <c r="C74" s="174"/>
      <c r="D74" s="389"/>
      <c r="E74" s="389"/>
      <c r="F74" s="389"/>
      <c r="G74" s="389"/>
      <c r="H74" s="391"/>
      <c r="I74" s="391"/>
      <c r="J74" s="392" t="s">
        <v>127</v>
      </c>
      <c r="K74" s="392"/>
      <c r="L74" s="392"/>
      <c r="M74" s="392"/>
      <c r="N74" s="392"/>
      <c r="O74" s="387"/>
    </row>
    <row r="75" spans="1:15" ht="21.6" customHeight="1">
      <c r="A75" s="174"/>
      <c r="B75" s="174"/>
      <c r="C75" s="174"/>
      <c r="D75" s="389"/>
      <c r="E75" s="389"/>
      <c r="F75" s="389"/>
      <c r="G75" s="389"/>
      <c r="H75" s="391"/>
      <c r="I75" s="391"/>
      <c r="J75" s="391"/>
      <c r="K75" s="391"/>
      <c r="L75" s="391"/>
      <c r="M75" s="391"/>
      <c r="N75" s="391"/>
      <c r="O75" s="387"/>
    </row>
    <row r="76" spans="1:15" ht="21.6" customHeight="1">
      <c r="A76" s="174"/>
      <c r="B76" s="174"/>
      <c r="C76" s="174"/>
      <c r="D76" s="389"/>
      <c r="E76" s="389"/>
      <c r="F76" s="389"/>
      <c r="G76" s="389"/>
      <c r="H76" s="391"/>
      <c r="I76" s="391"/>
      <c r="J76" s="391"/>
      <c r="K76" s="391"/>
      <c r="L76" s="391"/>
      <c r="M76" s="391"/>
      <c r="N76" s="391"/>
      <c r="O76" s="387"/>
    </row>
    <row r="77" spans="1:15" ht="21.6" customHeight="1">
      <c r="A77" s="174"/>
      <c r="B77" s="174"/>
      <c r="C77" s="174"/>
      <c r="D77" s="389"/>
      <c r="E77" s="389"/>
      <c r="F77" s="389"/>
      <c r="G77" s="389"/>
      <c r="H77" s="391"/>
      <c r="I77" s="391"/>
      <c r="J77" s="391"/>
      <c r="K77" s="391"/>
      <c r="L77" s="391"/>
      <c r="M77" s="391"/>
      <c r="N77" s="391"/>
      <c r="O77" s="387"/>
    </row>
    <row r="78" spans="1:15" ht="21.6" customHeight="1">
      <c r="A78" s="174"/>
      <c r="B78" s="174"/>
      <c r="C78" s="174"/>
      <c r="D78" s="389"/>
      <c r="E78" s="389"/>
      <c r="F78" s="389"/>
      <c r="G78" s="389"/>
      <c r="H78" s="391"/>
      <c r="I78" s="391"/>
      <c r="J78" s="391"/>
      <c r="K78" s="391"/>
      <c r="L78" s="391"/>
      <c r="M78" s="391"/>
      <c r="N78" s="391"/>
      <c r="O78" s="387"/>
    </row>
    <row r="79" spans="1:15" ht="24" customHeight="1">
      <c r="A79" s="174"/>
      <c r="B79" s="174"/>
      <c r="C79" s="174"/>
      <c r="D79" s="389"/>
      <c r="E79" s="389"/>
      <c r="F79" s="389"/>
      <c r="G79" s="389"/>
      <c r="H79" s="391"/>
      <c r="I79" s="391"/>
      <c r="J79" s="391"/>
      <c r="K79" s="391"/>
      <c r="L79" s="391"/>
      <c r="M79" s="391"/>
      <c r="N79" s="391"/>
      <c r="O79" s="387"/>
    </row>
    <row r="80" spans="1:15" ht="26.4" customHeight="1">
      <c r="A80" s="174"/>
      <c r="B80" s="174"/>
      <c r="C80" s="174"/>
      <c r="D80" s="389"/>
      <c r="E80" s="389"/>
      <c r="F80" s="389"/>
      <c r="G80" s="389"/>
      <c r="H80" s="391"/>
      <c r="I80" s="391"/>
      <c r="J80" s="391"/>
      <c r="K80" s="391"/>
      <c r="L80" s="391"/>
      <c r="M80" s="391"/>
      <c r="N80" s="391"/>
      <c r="O80" s="387"/>
    </row>
    <row r="81" spans="1:20" ht="26.4" customHeight="1">
      <c r="A81" s="174"/>
      <c r="B81" s="174"/>
      <c r="C81" s="174"/>
      <c r="D81" s="389"/>
      <c r="E81" s="389"/>
      <c r="F81" s="389"/>
      <c r="G81" s="389"/>
      <c r="H81" s="391"/>
      <c r="I81" s="391"/>
      <c r="J81" s="391"/>
      <c r="K81" s="391"/>
      <c r="L81" s="391"/>
      <c r="M81" s="391"/>
      <c r="N81" s="391"/>
      <c r="O81" s="387"/>
    </row>
    <row r="82" spans="1:20" ht="26.4" customHeight="1">
      <c r="A82" s="174"/>
      <c r="B82" s="174"/>
      <c r="C82" s="174"/>
      <c r="D82" s="389"/>
      <c r="E82" s="389"/>
      <c r="F82" s="389"/>
      <c r="G82" s="389"/>
      <c r="H82" s="391"/>
      <c r="I82" s="391"/>
      <c r="J82" s="391"/>
      <c r="K82" s="391"/>
      <c r="L82" s="391"/>
      <c r="M82" s="391"/>
      <c r="N82" s="391"/>
      <c r="O82" s="387"/>
    </row>
    <row r="83" spans="1:20" ht="17.399999999999999" customHeight="1">
      <c r="A83" s="11" t="s">
        <v>61</v>
      </c>
      <c r="B83" s="8"/>
      <c r="C83" s="8"/>
      <c r="D83" s="8"/>
      <c r="E83" s="8"/>
      <c r="F83" s="184" t="s">
        <v>32</v>
      </c>
      <c r="G83" s="184"/>
      <c r="H83" s="184"/>
      <c r="I83" s="184"/>
      <c r="J83" s="184"/>
      <c r="K83" s="184"/>
      <c r="L83" s="184"/>
      <c r="M83" s="184"/>
      <c r="N83" s="184"/>
      <c r="O83" s="371"/>
      <c r="P83" s="371"/>
      <c r="T83" s="2"/>
    </row>
    <row r="84" spans="1:20" ht="8.4" customHeight="1">
      <c r="A84" s="8"/>
      <c r="B84" s="8"/>
      <c r="C84" s="8"/>
      <c r="D84" s="8"/>
      <c r="E84" s="8"/>
      <c r="F84" s="178"/>
      <c r="G84" s="178"/>
      <c r="H84" s="178"/>
      <c r="I84" s="178"/>
      <c r="J84" s="178"/>
      <c r="K84" s="178"/>
      <c r="L84" s="178"/>
      <c r="M84" s="178"/>
      <c r="N84" s="178"/>
      <c r="O84" s="371"/>
      <c r="P84" s="371"/>
      <c r="T84" s="2"/>
    </row>
    <row r="85" spans="1:20" ht="17.399999999999999" customHeight="1">
      <c r="A85" s="8" t="s">
        <v>200</v>
      </c>
      <c r="B85" s="8"/>
      <c r="C85" s="8"/>
      <c r="D85" s="8"/>
      <c r="E85" s="8"/>
      <c r="F85" s="178"/>
      <c r="G85" s="178"/>
      <c r="H85" s="178"/>
      <c r="I85" s="178"/>
      <c r="J85" s="178"/>
      <c r="K85" s="178"/>
      <c r="L85" s="178"/>
      <c r="M85" s="178"/>
      <c r="N85" s="178"/>
      <c r="O85" s="371"/>
      <c r="P85" s="371"/>
      <c r="T85" s="2"/>
    </row>
    <row r="86" spans="1:20" s="2" customFormat="1" ht="7.8" customHeight="1">
      <c r="A86" s="298"/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372"/>
    </row>
    <row r="87" spans="1:20" s="2" customFormat="1" ht="16.2" customHeight="1">
      <c r="A87" s="185" t="s">
        <v>88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372"/>
    </row>
    <row r="88" spans="1:20" s="2" customFormat="1" ht="16.2" customHeight="1">
      <c r="A88" s="231" t="s">
        <v>97</v>
      </c>
      <c r="B88" s="231"/>
      <c r="C88" s="231"/>
      <c r="D88" s="231"/>
      <c r="E88" s="231" t="s">
        <v>89</v>
      </c>
      <c r="F88" s="231"/>
      <c r="G88" s="231"/>
      <c r="H88" s="231"/>
      <c r="I88" s="231"/>
      <c r="J88" s="231"/>
      <c r="K88" s="231"/>
      <c r="L88" s="231"/>
      <c r="M88" s="231"/>
      <c r="N88" s="231"/>
      <c r="O88" s="372"/>
    </row>
    <row r="89" spans="1:20" s="2" customFormat="1" ht="16.2" customHeight="1">
      <c r="A89" s="231"/>
      <c r="B89" s="231"/>
      <c r="C89" s="231"/>
      <c r="D89" s="231"/>
      <c r="E89" s="231" t="s">
        <v>100</v>
      </c>
      <c r="F89" s="231"/>
      <c r="G89" s="231"/>
      <c r="H89" s="231"/>
      <c r="I89" s="231"/>
      <c r="J89" s="231" t="s">
        <v>101</v>
      </c>
      <c r="K89" s="231"/>
      <c r="L89" s="231"/>
      <c r="M89" s="231"/>
      <c r="N89" s="231"/>
      <c r="O89" s="372"/>
    </row>
    <row r="90" spans="1:20" s="2" customFormat="1" ht="17.399999999999999" customHeight="1">
      <c r="A90" s="268" t="s">
        <v>90</v>
      </c>
      <c r="B90" s="268"/>
      <c r="C90" s="268"/>
      <c r="D90" s="268"/>
      <c r="E90" s="269" t="s">
        <v>148</v>
      </c>
      <c r="F90" s="269"/>
      <c r="G90" s="269"/>
      <c r="H90" s="269"/>
      <c r="I90" s="269"/>
      <c r="J90" s="268" t="s">
        <v>90</v>
      </c>
      <c r="K90" s="268"/>
      <c r="L90" s="268"/>
      <c r="M90" s="268"/>
      <c r="N90" s="268"/>
      <c r="O90" s="372"/>
    </row>
    <row r="91" spans="1:20" s="2" customFormat="1" ht="17.399999999999999" customHeight="1">
      <c r="A91" s="183" t="s">
        <v>152</v>
      </c>
      <c r="B91" s="183"/>
      <c r="C91" s="183"/>
      <c r="D91" s="183"/>
      <c r="E91" s="269"/>
      <c r="F91" s="269"/>
      <c r="G91" s="269"/>
      <c r="H91" s="269"/>
      <c r="I91" s="269"/>
      <c r="J91" s="183" t="s">
        <v>112</v>
      </c>
      <c r="K91" s="183"/>
      <c r="L91" s="183"/>
      <c r="M91" s="183"/>
      <c r="N91" s="183"/>
      <c r="O91" s="372"/>
    </row>
    <row r="92" spans="1:20" s="2" customFormat="1" ht="17.399999999999999" customHeight="1">
      <c r="A92" s="180" t="s">
        <v>153</v>
      </c>
      <c r="B92" s="181"/>
      <c r="C92" s="181"/>
      <c r="D92" s="182"/>
      <c r="E92" s="269"/>
      <c r="F92" s="269"/>
      <c r="G92" s="269"/>
      <c r="H92" s="269"/>
      <c r="I92" s="269"/>
      <c r="J92" s="183" t="s">
        <v>182</v>
      </c>
      <c r="K92" s="183"/>
      <c r="L92" s="183"/>
      <c r="M92" s="183"/>
      <c r="N92" s="183"/>
      <c r="O92" s="372"/>
    </row>
    <row r="93" spans="1:20" s="2" customFormat="1" ht="17.399999999999999" customHeight="1">
      <c r="A93" s="277" t="s">
        <v>181</v>
      </c>
      <c r="B93" s="277"/>
      <c r="C93" s="277"/>
      <c r="D93" s="277"/>
      <c r="E93" s="269"/>
      <c r="F93" s="269"/>
      <c r="G93" s="269"/>
      <c r="H93" s="269"/>
      <c r="I93" s="269"/>
      <c r="J93" s="277"/>
      <c r="K93" s="277"/>
      <c r="L93" s="277"/>
      <c r="M93" s="277"/>
      <c r="N93" s="277"/>
      <c r="O93" s="372"/>
    </row>
    <row r="94" spans="1:20" s="2" customFormat="1" ht="17.399999999999999" customHeight="1">
      <c r="A94" s="278" t="s">
        <v>122</v>
      </c>
      <c r="B94" s="279"/>
      <c r="C94" s="280"/>
      <c r="D94" s="126">
        <v>51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72"/>
    </row>
    <row r="95" spans="1:20" ht="17.399999999999999" customHeight="1">
      <c r="A95" s="186" t="s">
        <v>0</v>
      </c>
      <c r="B95" s="196" t="s">
        <v>19</v>
      </c>
      <c r="C95" s="199" t="s">
        <v>8</v>
      </c>
      <c r="D95" s="199" t="s">
        <v>9</v>
      </c>
      <c r="E95" s="189" t="s">
        <v>11</v>
      </c>
      <c r="F95" s="190"/>
      <c r="G95" s="189" t="s">
        <v>43</v>
      </c>
      <c r="H95" s="190"/>
      <c r="I95" s="193" t="s">
        <v>16</v>
      </c>
      <c r="J95" s="193" t="s">
        <v>41</v>
      </c>
      <c r="K95" s="193" t="s">
        <v>42</v>
      </c>
      <c r="L95" s="193" t="s">
        <v>17</v>
      </c>
      <c r="M95" s="193" t="s">
        <v>40</v>
      </c>
      <c r="N95" s="186" t="s">
        <v>18</v>
      </c>
      <c r="O95" s="373"/>
    </row>
    <row r="96" spans="1:20" ht="17.399999999999999" customHeight="1">
      <c r="A96" s="187"/>
      <c r="B96" s="197"/>
      <c r="C96" s="200"/>
      <c r="D96" s="200"/>
      <c r="E96" s="191"/>
      <c r="F96" s="192"/>
      <c r="G96" s="191"/>
      <c r="H96" s="192"/>
      <c r="I96" s="194"/>
      <c r="J96" s="194"/>
      <c r="K96" s="194"/>
      <c r="L96" s="194"/>
      <c r="M96" s="194"/>
      <c r="N96" s="187"/>
      <c r="O96" s="174"/>
    </row>
    <row r="97" spans="1:20" ht="17.399999999999999" customHeight="1">
      <c r="A97" s="187"/>
      <c r="B97" s="197"/>
      <c r="C97" s="200"/>
      <c r="D97" s="200"/>
      <c r="E97" s="193" t="s">
        <v>10</v>
      </c>
      <c r="F97" s="193" t="s">
        <v>12</v>
      </c>
      <c r="G97" s="193" t="s">
        <v>14</v>
      </c>
      <c r="H97" s="193" t="s">
        <v>15</v>
      </c>
      <c r="I97" s="194"/>
      <c r="J97" s="194"/>
      <c r="K97" s="194"/>
      <c r="L97" s="194"/>
      <c r="M97" s="194"/>
      <c r="N97" s="187"/>
      <c r="O97" s="174"/>
    </row>
    <row r="98" spans="1:20" ht="17.399999999999999" customHeight="1">
      <c r="A98" s="188"/>
      <c r="B98" s="198"/>
      <c r="C98" s="201"/>
      <c r="D98" s="201"/>
      <c r="E98" s="195"/>
      <c r="F98" s="195"/>
      <c r="G98" s="195"/>
      <c r="H98" s="195"/>
      <c r="I98" s="195"/>
      <c r="J98" s="195"/>
      <c r="K98" s="195"/>
      <c r="L98" s="195"/>
      <c r="M98" s="195"/>
      <c r="N98" s="188"/>
      <c r="O98" s="174"/>
    </row>
    <row r="99" spans="1:20" ht="17.399999999999999" customHeight="1">
      <c r="A99" s="233" t="s">
        <v>39</v>
      </c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5"/>
      <c r="O99" s="174"/>
    </row>
    <row r="100" spans="1:20" s="2" customFormat="1" ht="17.399999999999999" customHeight="1">
      <c r="A100" s="15">
        <v>1</v>
      </c>
      <c r="B100" s="16" t="s">
        <v>2</v>
      </c>
      <c r="C100" s="51">
        <f>L100/100*100</f>
        <v>70</v>
      </c>
      <c r="D100" s="52">
        <f>C100/100*60</f>
        <v>42</v>
      </c>
      <c r="E100" s="53">
        <f>C100/100*15</f>
        <v>10.5</v>
      </c>
      <c r="F100" s="53"/>
      <c r="G100" s="53"/>
      <c r="H100" s="53"/>
      <c r="I100" s="53"/>
      <c r="J100" s="25">
        <f>C100/100*387</f>
        <v>270.89999999999998</v>
      </c>
      <c r="K100" s="25">
        <f>C100/100*0.09</f>
        <v>6.3E-2</v>
      </c>
      <c r="L100" s="407">
        <v>70</v>
      </c>
      <c r="M100" s="77">
        <v>20</v>
      </c>
      <c r="N100" s="28">
        <f t="shared" ref="N100:N111" si="5">L100*M100</f>
        <v>1400</v>
      </c>
      <c r="O100" s="154"/>
    </row>
    <row r="101" spans="1:20" s="2" customFormat="1" ht="17.399999999999999" customHeight="1">
      <c r="A101" s="9">
        <v>2</v>
      </c>
      <c r="B101" s="10" t="s">
        <v>141</v>
      </c>
      <c r="C101" s="23">
        <f>L101/100*100</f>
        <v>450</v>
      </c>
      <c r="D101" s="24">
        <f>C101/100*899</f>
        <v>4045.5</v>
      </c>
      <c r="E101" s="25"/>
      <c r="F101" s="25"/>
      <c r="G101" s="25">
        <f>C101/100*100</f>
        <v>450</v>
      </c>
      <c r="H101" s="25"/>
      <c r="I101" s="25"/>
      <c r="J101" s="25"/>
      <c r="K101" s="25"/>
      <c r="L101" s="138">
        <v>450</v>
      </c>
      <c r="M101" s="24">
        <v>68</v>
      </c>
      <c r="N101" s="28">
        <f t="shared" si="5"/>
        <v>30600</v>
      </c>
      <c r="O101" s="376"/>
    </row>
    <row r="102" spans="1:20" s="2" customFormat="1" ht="17.399999999999999" customHeight="1">
      <c r="A102" s="9">
        <v>3</v>
      </c>
      <c r="B102" s="5" t="s">
        <v>1</v>
      </c>
      <c r="C102" s="23">
        <f>L102/100*100</f>
        <v>2193</v>
      </c>
      <c r="D102" s="24">
        <f>C102/100*344</f>
        <v>7543.92</v>
      </c>
      <c r="E102" s="25"/>
      <c r="F102" s="25">
        <f>C102/100*7.9</f>
        <v>173.24700000000001</v>
      </c>
      <c r="G102" s="25"/>
      <c r="H102" s="25">
        <f>C102/100*1</f>
        <v>21.93</v>
      </c>
      <c r="I102" s="120">
        <f>C102/100*72</f>
        <v>1578.96</v>
      </c>
      <c r="J102" s="25">
        <f>C102/100*30</f>
        <v>657.9</v>
      </c>
      <c r="K102" s="25">
        <f>C102/100*0.1</f>
        <v>2.1930000000000001</v>
      </c>
      <c r="L102" s="138">
        <v>2193</v>
      </c>
      <c r="M102" s="77">
        <v>18</v>
      </c>
      <c r="N102" s="28">
        <f t="shared" si="5"/>
        <v>39474</v>
      </c>
      <c r="O102" s="154"/>
    </row>
    <row r="103" spans="1:20" s="2" customFormat="1" ht="17.399999999999999" customHeight="1">
      <c r="A103" s="9">
        <v>4</v>
      </c>
      <c r="B103" s="10" t="s">
        <v>193</v>
      </c>
      <c r="C103" s="23">
        <f>L103/100*100</f>
        <v>40</v>
      </c>
      <c r="D103" s="24">
        <f>C103/100*390</f>
        <v>156</v>
      </c>
      <c r="E103" s="25"/>
      <c r="F103" s="25"/>
      <c r="G103" s="25"/>
      <c r="H103" s="25"/>
      <c r="I103" s="25">
        <f>C103/100*97.4</f>
        <v>38.960000000000008</v>
      </c>
      <c r="J103" s="27">
        <f>C103/100*178</f>
        <v>71.2</v>
      </c>
      <c r="K103" s="27">
        <f>C103/100*0.05</f>
        <v>2.0000000000000004E-2</v>
      </c>
      <c r="L103" s="138">
        <v>40</v>
      </c>
      <c r="M103" s="75">
        <v>25</v>
      </c>
      <c r="N103" s="28">
        <f t="shared" si="5"/>
        <v>1000</v>
      </c>
      <c r="O103" s="397"/>
    </row>
    <row r="104" spans="1:20" s="2" customFormat="1" ht="17.399999999999999" customHeight="1">
      <c r="A104" s="9">
        <v>5</v>
      </c>
      <c r="B104" s="10" t="s">
        <v>155</v>
      </c>
      <c r="C104" s="23">
        <f>L104/100*60</f>
        <v>1836</v>
      </c>
      <c r="D104" s="24">
        <f>C104/100*97</f>
        <v>1780.9199999999998</v>
      </c>
      <c r="E104" s="120">
        <f>C104/100*18.2</f>
        <v>334.15199999999999</v>
      </c>
      <c r="F104" s="25"/>
      <c r="G104" s="25">
        <f>C104/100*2.7</f>
        <v>49.572000000000003</v>
      </c>
      <c r="H104" s="25"/>
      <c r="I104" s="25"/>
      <c r="J104" s="81">
        <f>C104/100*90</f>
        <v>1652.3999999999999</v>
      </c>
      <c r="K104" s="27">
        <f>C104/100*0.04</f>
        <v>0.73439999999999994</v>
      </c>
      <c r="L104" s="138">
        <v>3060</v>
      </c>
      <c r="M104" s="75">
        <v>95</v>
      </c>
      <c r="N104" s="28">
        <f t="shared" si="5"/>
        <v>290700</v>
      </c>
      <c r="O104" s="154"/>
    </row>
    <row r="105" spans="1:20" s="2" customFormat="1" ht="17.399999999999999" customHeight="1">
      <c r="A105" s="9">
        <v>6</v>
      </c>
      <c r="B105" s="5" t="s">
        <v>69</v>
      </c>
      <c r="C105" s="23">
        <f>L105/100*48</f>
        <v>369.6</v>
      </c>
      <c r="D105" s="24">
        <f>C105/100*199</f>
        <v>735.50400000000002</v>
      </c>
      <c r="E105" s="25">
        <f>C105/100*20.3</f>
        <v>75.028800000000004</v>
      </c>
      <c r="F105" s="25"/>
      <c r="G105" s="25">
        <f>C105/100*13.1</f>
        <v>48.4176</v>
      </c>
      <c r="H105" s="25"/>
      <c r="I105" s="25"/>
      <c r="J105" s="27">
        <f>C105/100*12</f>
        <v>44.352000000000004</v>
      </c>
      <c r="K105" s="27">
        <f>C105/100*0.15</f>
        <v>0.5544</v>
      </c>
      <c r="L105" s="138">
        <v>770</v>
      </c>
      <c r="M105" s="26">
        <v>84</v>
      </c>
      <c r="N105" s="28">
        <f t="shared" si="5"/>
        <v>64680</v>
      </c>
      <c r="O105" s="154"/>
      <c r="Q105" s="3"/>
      <c r="R105" s="3"/>
      <c r="S105" s="4"/>
    </row>
    <row r="106" spans="1:20" s="2" customFormat="1" ht="17.399999999999999" customHeight="1">
      <c r="A106" s="9">
        <v>7</v>
      </c>
      <c r="B106" s="5" t="s">
        <v>3</v>
      </c>
      <c r="C106" s="23">
        <f>L106/100*98</f>
        <v>499.79999999999995</v>
      </c>
      <c r="D106" s="24">
        <f>C106/100*118</f>
        <v>589.7639999999999</v>
      </c>
      <c r="E106" s="25">
        <f>C106/100*21</f>
        <v>104.95799999999998</v>
      </c>
      <c r="F106" s="25"/>
      <c r="G106" s="25">
        <f>C106/100*3.8</f>
        <v>18.992399999999996</v>
      </c>
      <c r="H106" s="25"/>
      <c r="I106" s="25"/>
      <c r="J106" s="27">
        <f>C106/100*12</f>
        <v>59.975999999999992</v>
      </c>
      <c r="K106" s="27">
        <f>C106/100*0.1</f>
        <v>0.49979999999999997</v>
      </c>
      <c r="L106" s="138">
        <v>510</v>
      </c>
      <c r="M106" s="26">
        <v>250</v>
      </c>
      <c r="N106" s="125">
        <f t="shared" si="5"/>
        <v>127500</v>
      </c>
      <c r="O106" s="154"/>
      <c r="Q106" s="3"/>
      <c r="R106" s="3"/>
      <c r="S106" s="4"/>
    </row>
    <row r="107" spans="1:20" s="2" customFormat="1" ht="17.399999999999999" customHeight="1">
      <c r="A107" s="9">
        <v>8</v>
      </c>
      <c r="B107" s="5" t="s">
        <v>20</v>
      </c>
      <c r="C107" s="23">
        <f>L107/100*95</f>
        <v>484.49999999999994</v>
      </c>
      <c r="D107" s="24">
        <f>C107/100*20</f>
        <v>96.899999999999991</v>
      </c>
      <c r="E107" s="25"/>
      <c r="F107" s="25">
        <f>C107/100*0.6</f>
        <v>2.9069999999999996</v>
      </c>
      <c r="G107" s="25"/>
      <c r="H107" s="25">
        <f>C107/100*0.2</f>
        <v>0.96899999999999997</v>
      </c>
      <c r="I107" s="25">
        <f>C107/100*4</f>
        <v>19.38</v>
      </c>
      <c r="J107" s="27">
        <f>C107/100*12</f>
        <v>58.14</v>
      </c>
      <c r="K107" s="24">
        <f>C107/100*0.04</f>
        <v>0.1938</v>
      </c>
      <c r="L107" s="138">
        <v>510</v>
      </c>
      <c r="M107" s="77">
        <v>30</v>
      </c>
      <c r="N107" s="28">
        <f t="shared" si="5"/>
        <v>15300</v>
      </c>
      <c r="O107" s="397"/>
      <c r="Q107" s="3"/>
      <c r="R107" s="3"/>
      <c r="S107" s="4"/>
    </row>
    <row r="108" spans="1:20" s="2" customFormat="1" ht="17.399999999999999" customHeight="1">
      <c r="A108" s="9">
        <v>9</v>
      </c>
      <c r="B108" s="5" t="s">
        <v>72</v>
      </c>
      <c r="C108" s="23">
        <f>L108/100*75</f>
        <v>75</v>
      </c>
      <c r="D108" s="24">
        <f>C108/100*17</f>
        <v>12.75</v>
      </c>
      <c r="E108" s="29"/>
      <c r="F108" s="29">
        <f>C108/100*1.9</f>
        <v>1.4249999999999998</v>
      </c>
      <c r="G108" s="29"/>
      <c r="H108" s="29"/>
      <c r="I108" s="29">
        <f>C108/100*2.2</f>
        <v>1.6500000000000001</v>
      </c>
      <c r="J108" s="27">
        <f>C108/100*150</f>
        <v>112.5</v>
      </c>
      <c r="K108" s="24">
        <f>C108/100*0.04</f>
        <v>0.03</v>
      </c>
      <c r="L108" s="374">
        <v>100</v>
      </c>
      <c r="M108" s="77">
        <v>30</v>
      </c>
      <c r="N108" s="28">
        <f t="shared" si="5"/>
        <v>3000</v>
      </c>
      <c r="O108" s="397"/>
      <c r="Q108" s="3"/>
      <c r="R108" s="3"/>
      <c r="S108" s="4"/>
    </row>
    <row r="109" spans="1:20" s="2" customFormat="1" ht="17.399999999999999" customHeight="1">
      <c r="A109" s="9">
        <v>10</v>
      </c>
      <c r="B109" s="5" t="s">
        <v>179</v>
      </c>
      <c r="C109" s="23">
        <f>L109/100*78</f>
        <v>1271.4000000000001</v>
      </c>
      <c r="D109" s="24">
        <f>C109/100*37</f>
        <v>470.41800000000001</v>
      </c>
      <c r="E109" s="29"/>
      <c r="F109" s="29">
        <f>C109/100*2.8</f>
        <v>35.599199999999996</v>
      </c>
      <c r="G109" s="29"/>
      <c r="H109" s="29">
        <f>C109/100*0.1</f>
        <v>1.2714000000000001</v>
      </c>
      <c r="I109" s="29">
        <f>C109/100*6.2</f>
        <v>78.826800000000006</v>
      </c>
      <c r="J109" s="29">
        <f>C109/100*46</f>
        <v>584.84400000000005</v>
      </c>
      <c r="K109" s="29">
        <f>C109/100*0.06</f>
        <v>0.76283999999999996</v>
      </c>
      <c r="L109" s="374">
        <v>1630</v>
      </c>
      <c r="M109" s="26">
        <v>20</v>
      </c>
      <c r="N109" s="28">
        <f t="shared" si="5"/>
        <v>32600</v>
      </c>
      <c r="O109" s="154"/>
      <c r="Q109" s="3"/>
      <c r="R109" s="3"/>
      <c r="S109" s="4"/>
    </row>
    <row r="110" spans="1:20" s="2" customFormat="1" ht="17.399999999999999" customHeight="1">
      <c r="A110" s="9">
        <v>11</v>
      </c>
      <c r="B110" s="5" t="s">
        <v>154</v>
      </c>
      <c r="C110" s="23">
        <f>L110/100*81</f>
        <v>826.19999999999993</v>
      </c>
      <c r="D110" s="24">
        <f>C110/100*17</f>
        <v>140.45399999999998</v>
      </c>
      <c r="E110" s="29"/>
      <c r="F110" s="29">
        <f>C110/100*0.9</f>
        <v>7.4357999999999986</v>
      </c>
      <c r="G110" s="29"/>
      <c r="H110" s="29">
        <f>C110/100*0.2</f>
        <v>1.6523999999999999</v>
      </c>
      <c r="I110" s="29">
        <f>C110/100*2.8</f>
        <v>23.133599999999994</v>
      </c>
      <c r="J110" s="25">
        <f>C110/100*28</f>
        <v>231.33599999999996</v>
      </c>
      <c r="K110" s="27">
        <f>C110/100*0.04</f>
        <v>0.33047999999999994</v>
      </c>
      <c r="L110" s="374">
        <v>1020</v>
      </c>
      <c r="M110" s="75">
        <v>20</v>
      </c>
      <c r="N110" s="28">
        <f t="shared" si="5"/>
        <v>20400</v>
      </c>
      <c r="O110" s="154"/>
      <c r="P110" s="3"/>
    </row>
    <row r="111" spans="1:20" s="2" customFormat="1" ht="17.399999999999999" customHeight="1">
      <c r="A111" s="9">
        <v>12</v>
      </c>
      <c r="B111" s="5" t="s">
        <v>136</v>
      </c>
      <c r="C111" s="23">
        <f>L111/100*100</f>
        <v>40</v>
      </c>
      <c r="D111" s="24">
        <f>C111/100*247</f>
        <v>98.800000000000011</v>
      </c>
      <c r="E111" s="29"/>
      <c r="F111" s="29">
        <f>C111/100*17.5</f>
        <v>7</v>
      </c>
      <c r="G111" s="29"/>
      <c r="H111" s="29">
        <f>C111/100*1.6</f>
        <v>0.64000000000000012</v>
      </c>
      <c r="I111" s="29">
        <f>C111/100*39.2</f>
        <v>15.680000000000001</v>
      </c>
      <c r="J111" s="71"/>
      <c r="K111" s="71"/>
      <c r="L111" s="374">
        <v>40</v>
      </c>
      <c r="M111" s="75">
        <v>50</v>
      </c>
      <c r="N111" s="28">
        <f t="shared" si="5"/>
        <v>2000</v>
      </c>
      <c r="O111" s="154"/>
      <c r="Q111" s="3"/>
      <c r="R111" s="3"/>
      <c r="S111" s="4"/>
      <c r="T111" s="3"/>
    </row>
    <row r="112" spans="1:20" s="2" customFormat="1" ht="17.399999999999999" customHeight="1">
      <c r="A112" s="9">
        <v>13</v>
      </c>
      <c r="B112" s="6" t="s">
        <v>123</v>
      </c>
      <c r="C112" s="23"/>
      <c r="D112" s="24"/>
      <c r="E112" s="29"/>
      <c r="F112" s="29"/>
      <c r="G112" s="29"/>
      <c r="H112" s="29"/>
      <c r="I112" s="29"/>
      <c r="J112" s="29"/>
      <c r="K112" s="29"/>
      <c r="L112" s="30"/>
      <c r="M112" s="77"/>
      <c r="N112" s="28">
        <v>3400</v>
      </c>
      <c r="O112" s="154"/>
    </row>
    <row r="113" spans="1:22" s="2" customFormat="1" ht="17.399999999999999" customHeight="1">
      <c r="A113" s="232" t="s">
        <v>108</v>
      </c>
      <c r="B113" s="232"/>
      <c r="C113" s="34"/>
      <c r="D113" s="35">
        <f>SUM(D100:D112)</f>
        <v>15712.929999999998</v>
      </c>
      <c r="E113" s="43"/>
      <c r="F113" s="43"/>
      <c r="G113" s="43"/>
      <c r="H113" s="43"/>
      <c r="I113" s="43"/>
      <c r="J113" s="43"/>
      <c r="K113" s="43"/>
      <c r="L113" s="44"/>
      <c r="M113" s="44"/>
      <c r="N113" s="281">
        <f>SUM(N100:N112)</f>
        <v>632054</v>
      </c>
      <c r="O113" s="154"/>
    </row>
    <row r="114" spans="1:22" ht="17.399999999999999" customHeight="1">
      <c r="A114" s="232" t="s">
        <v>37</v>
      </c>
      <c r="B114" s="232"/>
      <c r="C114" s="45"/>
      <c r="D114" s="46">
        <f>D113/D94</f>
        <v>308.09666666666664</v>
      </c>
      <c r="E114" s="46"/>
      <c r="F114" s="46"/>
      <c r="G114" s="46"/>
      <c r="H114" s="46"/>
      <c r="I114" s="46"/>
      <c r="J114" s="46"/>
      <c r="K114" s="46"/>
      <c r="L114" s="47"/>
      <c r="M114" s="47"/>
      <c r="N114" s="283"/>
      <c r="O114" s="4"/>
      <c r="P114" s="2"/>
      <c r="Q114" s="2"/>
      <c r="R114" s="2"/>
      <c r="S114" s="2"/>
      <c r="T114" s="2"/>
      <c r="U114" s="2"/>
      <c r="V114" s="2"/>
    </row>
    <row r="115" spans="1:22" ht="17.399999999999999" customHeight="1">
      <c r="A115" s="206" t="s">
        <v>44</v>
      </c>
      <c r="B115" s="207"/>
      <c r="C115" s="375" t="s">
        <v>151</v>
      </c>
      <c r="D115" s="20" t="s">
        <v>45</v>
      </c>
      <c r="E115" s="46"/>
      <c r="F115" s="46"/>
      <c r="G115" s="46"/>
      <c r="H115" s="46"/>
      <c r="I115" s="46"/>
      <c r="J115" s="48"/>
      <c r="K115" s="48"/>
      <c r="L115" s="47"/>
      <c r="M115" s="47"/>
      <c r="N115" s="175"/>
      <c r="O115" s="4"/>
      <c r="P115" s="2"/>
      <c r="Q115" s="2"/>
      <c r="R115" s="2"/>
      <c r="S115" s="2"/>
      <c r="T115" s="2"/>
      <c r="U115" s="2"/>
      <c r="V115" s="2"/>
    </row>
    <row r="116" spans="1:22" ht="17.399999999999999" customHeight="1">
      <c r="A116" s="208"/>
      <c r="B116" s="209"/>
      <c r="C116" s="19" t="s">
        <v>59</v>
      </c>
      <c r="D116" s="78">
        <f>D114*100/930</f>
        <v>33.128673835125447</v>
      </c>
      <c r="E116" s="46"/>
      <c r="F116" s="46"/>
      <c r="G116" s="46"/>
      <c r="H116" s="46"/>
      <c r="I116" s="46"/>
      <c r="J116" s="48"/>
      <c r="K116" s="48"/>
      <c r="L116" s="47"/>
      <c r="M116" s="47"/>
      <c r="N116" s="175"/>
      <c r="O116" s="4"/>
      <c r="P116" s="2"/>
      <c r="Q116" s="2"/>
      <c r="R116" s="2"/>
      <c r="S116" s="2"/>
      <c r="T116" s="2"/>
      <c r="U116" s="2"/>
      <c r="V116" s="2"/>
    </row>
    <row r="117" spans="1:22" s="2" customFormat="1" ht="17.399999999999999" customHeight="1">
      <c r="A117" s="276" t="s">
        <v>38</v>
      </c>
      <c r="B117" s="276"/>
      <c r="C117" s="56"/>
      <c r="D117" s="57"/>
      <c r="E117" s="58"/>
      <c r="F117" s="58"/>
      <c r="G117" s="58"/>
      <c r="H117" s="58"/>
      <c r="I117" s="58"/>
      <c r="J117" s="58"/>
      <c r="K117" s="58"/>
      <c r="L117" s="59"/>
      <c r="M117" s="59"/>
      <c r="N117" s="60"/>
      <c r="O117" s="154"/>
    </row>
    <row r="118" spans="1:22" s="2" customFormat="1" ht="17.399999999999999" customHeight="1">
      <c r="A118" s="15">
        <v>1</v>
      </c>
      <c r="B118" s="16" t="s">
        <v>2</v>
      </c>
      <c r="C118" s="51">
        <f>L118/100*100</f>
        <v>60</v>
      </c>
      <c r="D118" s="52">
        <f>C118/100*60</f>
        <v>36</v>
      </c>
      <c r="E118" s="53">
        <f>C118/100*15</f>
        <v>9</v>
      </c>
      <c r="F118" s="53"/>
      <c r="G118" s="53"/>
      <c r="H118" s="53"/>
      <c r="I118" s="53"/>
      <c r="J118" s="25">
        <f>C118/100*387</f>
        <v>232.2</v>
      </c>
      <c r="K118" s="25">
        <f>C118/100*0.09</f>
        <v>5.3999999999999999E-2</v>
      </c>
      <c r="L118" s="407">
        <v>60</v>
      </c>
      <c r="M118" s="77">
        <v>20</v>
      </c>
      <c r="N118" s="28">
        <f>L118*M118</f>
        <v>1200</v>
      </c>
      <c r="O118" s="154"/>
    </row>
    <row r="119" spans="1:22" s="2" customFormat="1" ht="17.399999999999999" customHeight="1">
      <c r="A119" s="9">
        <v>2</v>
      </c>
      <c r="B119" s="149" t="s">
        <v>146</v>
      </c>
      <c r="C119" s="23">
        <f>L119/100*100</f>
        <v>70</v>
      </c>
      <c r="D119" s="121">
        <f>C119/100*900</f>
        <v>630</v>
      </c>
      <c r="E119" s="25"/>
      <c r="F119" s="25"/>
      <c r="G119" s="120"/>
      <c r="H119" s="25">
        <f>C119/100*100</f>
        <v>70</v>
      </c>
      <c r="I119" s="25"/>
      <c r="J119" s="25"/>
      <c r="K119" s="25"/>
      <c r="L119" s="138">
        <v>70</v>
      </c>
      <c r="M119" s="75">
        <v>63.5</v>
      </c>
      <c r="N119" s="28">
        <f t="shared" ref="N119" si="6">L119*M119</f>
        <v>4445</v>
      </c>
      <c r="O119" s="376"/>
    </row>
    <row r="120" spans="1:22" s="2" customFormat="1" ht="17.399999999999999" customHeight="1">
      <c r="A120" s="9">
        <v>3</v>
      </c>
      <c r="B120" s="5" t="s">
        <v>1</v>
      </c>
      <c r="C120" s="23">
        <f>L120/100*100</f>
        <v>2142</v>
      </c>
      <c r="D120" s="24">
        <f>C120/100*344</f>
        <v>7368.4800000000005</v>
      </c>
      <c r="E120" s="25"/>
      <c r="F120" s="25">
        <f>C120/100*7.9</f>
        <v>169.21800000000002</v>
      </c>
      <c r="G120" s="25"/>
      <c r="H120" s="25">
        <f>C120/100*1</f>
        <v>21.42</v>
      </c>
      <c r="I120" s="120">
        <f>C120/100*72</f>
        <v>1542.2400000000002</v>
      </c>
      <c r="J120" s="25">
        <f>C120/100*30</f>
        <v>642.6</v>
      </c>
      <c r="K120" s="25">
        <f>C120/100*0.1</f>
        <v>2.1420000000000003</v>
      </c>
      <c r="L120" s="138">
        <v>2142</v>
      </c>
      <c r="M120" s="77">
        <v>18</v>
      </c>
      <c r="N120" s="28">
        <f t="shared" ref="N120:N126" si="7">L120*M120</f>
        <v>38556</v>
      </c>
      <c r="O120" s="154"/>
    </row>
    <row r="121" spans="1:22" s="2" customFormat="1" ht="17.399999999999999" customHeight="1">
      <c r="A121" s="9">
        <v>4</v>
      </c>
      <c r="B121" s="5" t="s">
        <v>136</v>
      </c>
      <c r="C121" s="23">
        <f>L121/100*100</f>
        <v>40</v>
      </c>
      <c r="D121" s="24">
        <f>C121/100*247</f>
        <v>98.800000000000011</v>
      </c>
      <c r="E121" s="29"/>
      <c r="F121" s="29">
        <f>C121/100*17.5</f>
        <v>7</v>
      </c>
      <c r="G121" s="29"/>
      <c r="H121" s="29">
        <f>C121/100*1.6</f>
        <v>0.64000000000000012</v>
      </c>
      <c r="I121" s="29">
        <f>C121/100*39.2</f>
        <v>15.680000000000001</v>
      </c>
      <c r="J121" s="71"/>
      <c r="K121" s="71"/>
      <c r="L121" s="374">
        <v>40</v>
      </c>
      <c r="M121" s="75">
        <v>50</v>
      </c>
      <c r="N121" s="28">
        <f t="shared" si="7"/>
        <v>2000</v>
      </c>
      <c r="O121" s="154"/>
      <c r="Q121" s="3"/>
      <c r="R121" s="3"/>
      <c r="S121" s="4"/>
      <c r="T121" s="3"/>
    </row>
    <row r="122" spans="1:22" s="2" customFormat="1" ht="17.399999999999999" customHeight="1">
      <c r="A122" s="9">
        <v>5</v>
      </c>
      <c r="B122" s="10" t="s">
        <v>5</v>
      </c>
      <c r="C122" s="23">
        <f>L122/100*90</f>
        <v>62.999999999999993</v>
      </c>
      <c r="D122" s="24">
        <f>C122/100*281</f>
        <v>177.02999999999997</v>
      </c>
      <c r="E122" s="25"/>
      <c r="F122" s="25">
        <f>C122/100*9.5</f>
        <v>5.9849999999999994</v>
      </c>
      <c r="G122" s="25"/>
      <c r="H122" s="25">
        <f>C122/100*0.2</f>
        <v>0.12599999999999997</v>
      </c>
      <c r="I122" s="25">
        <f>D122/100*58.5</f>
        <v>103.56254999999999</v>
      </c>
      <c r="J122" s="27">
        <f>C122/100*321</f>
        <v>202.22999999999996</v>
      </c>
      <c r="K122" s="27">
        <f>C122/100*0.14</f>
        <v>8.8199999999999987E-2</v>
      </c>
      <c r="L122" s="138">
        <v>70</v>
      </c>
      <c r="M122" s="77">
        <v>120</v>
      </c>
      <c r="N122" s="28">
        <f t="shared" si="7"/>
        <v>8400</v>
      </c>
      <c r="O122" s="397"/>
    </row>
    <row r="123" spans="1:22" s="2" customFormat="1" ht="17.399999999999999" customHeight="1">
      <c r="A123" s="9">
        <v>6</v>
      </c>
      <c r="B123" s="10" t="s">
        <v>27</v>
      </c>
      <c r="C123" s="23">
        <f>L123/100*90</f>
        <v>54</v>
      </c>
      <c r="D123" s="24">
        <f>C123/100*253</f>
        <v>136.62</v>
      </c>
      <c r="E123" s="25"/>
      <c r="F123" s="25">
        <f>C123/100*32.4</f>
        <v>17.495999999999999</v>
      </c>
      <c r="G123" s="25"/>
      <c r="H123" s="25">
        <f>C123/100*3.6</f>
        <v>1.9440000000000002</v>
      </c>
      <c r="I123" s="25">
        <f>C123/100*21.1</f>
        <v>11.394000000000002</v>
      </c>
      <c r="J123" s="27">
        <f>C123/100*165</f>
        <v>89.100000000000009</v>
      </c>
      <c r="K123" s="27">
        <f>C123/100*0.14</f>
        <v>7.5600000000000014E-2</v>
      </c>
      <c r="L123" s="138">
        <v>60</v>
      </c>
      <c r="M123" s="77">
        <v>275</v>
      </c>
      <c r="N123" s="28">
        <f t="shared" si="7"/>
        <v>16500</v>
      </c>
      <c r="O123" s="397"/>
    </row>
    <row r="124" spans="1:22" s="2" customFormat="1" ht="17.399999999999999" customHeight="1">
      <c r="A124" s="9">
        <v>7</v>
      </c>
      <c r="B124" s="10" t="s">
        <v>63</v>
      </c>
      <c r="C124" s="23">
        <f>L124/100*86</f>
        <v>1539.3999999999999</v>
      </c>
      <c r="D124" s="24">
        <f>C124/100*166</f>
        <v>2555.4039999999995</v>
      </c>
      <c r="E124" s="25">
        <f>C124/100*14.8</f>
        <v>227.8312</v>
      </c>
      <c r="F124" s="25"/>
      <c r="G124" s="25">
        <f>C124/100*11.6</f>
        <v>178.57039999999998</v>
      </c>
      <c r="H124" s="25"/>
      <c r="I124" s="25">
        <f>C124/100*0.5</f>
        <v>7.6969999999999992</v>
      </c>
      <c r="J124" s="25">
        <f>C124/100*55</f>
        <v>846.67</v>
      </c>
      <c r="K124" s="25">
        <f>C124/100*0.16</f>
        <v>2.4630399999999999</v>
      </c>
      <c r="L124" s="138">
        <v>1790</v>
      </c>
      <c r="M124" s="77">
        <v>62</v>
      </c>
      <c r="N124" s="28">
        <f t="shared" si="7"/>
        <v>110980</v>
      </c>
      <c r="O124" s="154"/>
      <c r="Q124" s="3"/>
      <c r="R124" s="3"/>
      <c r="S124" s="4"/>
      <c r="T124" s="3"/>
    </row>
    <row r="125" spans="1:22" s="2" customFormat="1" ht="17.399999999999999" customHeight="1">
      <c r="A125" s="9">
        <v>8</v>
      </c>
      <c r="B125" s="149" t="s">
        <v>74</v>
      </c>
      <c r="C125" s="23">
        <f>L125/100*98</f>
        <v>509.6</v>
      </c>
      <c r="D125" s="24">
        <f>C125/100*139</f>
        <v>708.34400000000005</v>
      </c>
      <c r="E125" s="25">
        <f>C125/100*19</f>
        <v>96.823999999999998</v>
      </c>
      <c r="F125" s="25"/>
      <c r="G125" s="25">
        <f>C125/100*7</f>
        <v>35.671999999999997</v>
      </c>
      <c r="H125" s="25"/>
      <c r="I125" s="25"/>
      <c r="J125" s="25">
        <f>C125/100*7</f>
        <v>35.671999999999997</v>
      </c>
      <c r="K125" s="25">
        <f>C125/100*0.9</f>
        <v>4.5864000000000003</v>
      </c>
      <c r="L125" s="138">
        <v>520</v>
      </c>
      <c r="M125" s="75">
        <v>137</v>
      </c>
      <c r="N125" s="28">
        <f t="shared" si="7"/>
        <v>71240</v>
      </c>
      <c r="O125" s="154"/>
    </row>
    <row r="126" spans="1:22" s="2" customFormat="1" ht="17.399999999999999" customHeight="1">
      <c r="A126" s="9">
        <v>9</v>
      </c>
      <c r="B126" s="5" t="s">
        <v>180</v>
      </c>
      <c r="C126" s="23">
        <f>L126/100*90</f>
        <v>1242</v>
      </c>
      <c r="D126" s="24">
        <f>C126/100*29</f>
        <v>360.18</v>
      </c>
      <c r="E126" s="25"/>
      <c r="F126" s="25">
        <f>C126/100*1.8</f>
        <v>22.356000000000002</v>
      </c>
      <c r="G126" s="25"/>
      <c r="H126" s="25">
        <f>C126/100*0.1</f>
        <v>1.242</v>
      </c>
      <c r="I126" s="25">
        <f>C126/100*5.3</f>
        <v>65.825999999999993</v>
      </c>
      <c r="J126" s="25">
        <f>C126/100*48</f>
        <v>596.16</v>
      </c>
      <c r="K126" s="25">
        <f>C126/100*0.05</f>
        <v>0.621</v>
      </c>
      <c r="L126" s="138">
        <v>1380</v>
      </c>
      <c r="M126" s="75">
        <v>13</v>
      </c>
      <c r="N126" s="28">
        <f t="shared" si="7"/>
        <v>17940</v>
      </c>
      <c r="O126" s="154"/>
    </row>
    <row r="127" spans="1:22" s="2" customFormat="1" ht="17.399999999999999" customHeight="1">
      <c r="A127" s="9">
        <v>10</v>
      </c>
      <c r="B127" s="6" t="s">
        <v>123</v>
      </c>
      <c r="C127" s="23"/>
      <c r="D127" s="24"/>
      <c r="E127" s="25"/>
      <c r="F127" s="25"/>
      <c r="G127" s="25"/>
      <c r="H127" s="25"/>
      <c r="I127" s="25"/>
      <c r="J127" s="25"/>
      <c r="K127" s="25"/>
      <c r="L127" s="26"/>
      <c r="M127" s="26"/>
      <c r="N127" s="28">
        <v>3200</v>
      </c>
      <c r="O127" s="154"/>
      <c r="S127" s="168"/>
    </row>
    <row r="128" spans="1:22" s="2" customFormat="1" ht="17.399999999999999" customHeight="1">
      <c r="A128" s="21" t="s">
        <v>109</v>
      </c>
      <c r="B128" s="22"/>
      <c r="C128" s="34"/>
      <c r="D128" s="35">
        <f>SUM(D118:D127)</f>
        <v>12070.858000000004</v>
      </c>
      <c r="E128" s="43"/>
      <c r="F128" s="43"/>
      <c r="G128" s="43"/>
      <c r="H128" s="43"/>
      <c r="I128" s="43"/>
      <c r="J128" s="43"/>
      <c r="K128" s="43"/>
      <c r="L128" s="44"/>
      <c r="M128" s="44"/>
      <c r="N128" s="281">
        <f>SUM(N118:N127)</f>
        <v>274461</v>
      </c>
      <c r="O128" s="154"/>
    </row>
    <row r="129" spans="1:22" ht="17.399999999999999" customHeight="1">
      <c r="A129" s="21" t="s">
        <v>36</v>
      </c>
      <c r="B129" s="22"/>
      <c r="C129" s="61"/>
      <c r="D129" s="48">
        <f>D128/D94</f>
        <v>236.68349019607851</v>
      </c>
      <c r="E129" s="48"/>
      <c r="F129" s="48"/>
      <c r="G129" s="48"/>
      <c r="H129" s="48"/>
      <c r="I129" s="48"/>
      <c r="J129" s="48"/>
      <c r="K129" s="48"/>
      <c r="L129" s="62"/>
      <c r="M129" s="47"/>
      <c r="N129" s="282"/>
      <c r="O129" s="4"/>
      <c r="P129" s="168"/>
      <c r="Q129" s="2"/>
      <c r="R129" s="2"/>
      <c r="S129" s="2"/>
      <c r="T129" s="2"/>
      <c r="U129" s="2"/>
      <c r="V129" s="2"/>
    </row>
    <row r="130" spans="1:22" ht="17.399999999999999" customHeight="1">
      <c r="A130" s="206" t="s">
        <v>49</v>
      </c>
      <c r="B130" s="207"/>
      <c r="C130" s="375" t="s">
        <v>151</v>
      </c>
      <c r="D130" s="20" t="s">
        <v>46</v>
      </c>
      <c r="E130" s="46"/>
      <c r="F130" s="46"/>
      <c r="G130" s="46"/>
      <c r="H130" s="46"/>
      <c r="I130" s="46"/>
      <c r="J130" s="48"/>
      <c r="K130" s="48"/>
      <c r="L130" s="47"/>
      <c r="M130" s="47"/>
      <c r="N130" s="175"/>
      <c r="O130" s="4"/>
      <c r="P130" s="2"/>
      <c r="Q130" s="2"/>
      <c r="R130" s="2"/>
      <c r="S130" s="2"/>
      <c r="T130" s="2"/>
      <c r="U130" s="2"/>
      <c r="V130" s="2"/>
    </row>
    <row r="131" spans="1:22" ht="17.399999999999999" customHeight="1">
      <c r="A131" s="208"/>
      <c r="B131" s="209"/>
      <c r="C131" s="19" t="s">
        <v>60</v>
      </c>
      <c r="D131" s="78">
        <f>D129*100/930</f>
        <v>25.44983765549231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5"/>
      <c r="O131" s="4"/>
      <c r="P131" s="2"/>
      <c r="Q131" s="2"/>
      <c r="R131" s="2"/>
      <c r="S131" s="2"/>
      <c r="T131" s="2"/>
      <c r="U131" s="2"/>
      <c r="V131" s="2"/>
    </row>
    <row r="132" spans="1:22" ht="17.399999999999999" customHeight="1">
      <c r="A132" s="276" t="s">
        <v>35</v>
      </c>
      <c r="B132" s="276"/>
      <c r="C132" s="63"/>
      <c r="D132" s="64"/>
      <c r="E132" s="64"/>
      <c r="F132" s="64"/>
      <c r="G132" s="64"/>
      <c r="H132" s="64"/>
      <c r="I132" s="64"/>
      <c r="J132" s="64"/>
      <c r="K132" s="64"/>
      <c r="L132" s="65"/>
      <c r="M132" s="65"/>
      <c r="N132" s="66"/>
      <c r="O132" s="4"/>
      <c r="P132" s="2"/>
      <c r="Q132" s="2"/>
      <c r="R132" s="2"/>
      <c r="S132" s="2"/>
      <c r="T132" s="2"/>
      <c r="U132" s="2"/>
      <c r="V132" s="2"/>
    </row>
    <row r="133" spans="1:22" s="2" customFormat="1" ht="17.399999999999999" customHeight="1">
      <c r="A133" s="110">
        <v>1</v>
      </c>
      <c r="B133" s="155" t="s">
        <v>149</v>
      </c>
      <c r="C133" s="34">
        <f>L133/100*100</f>
        <v>830.00000000000011</v>
      </c>
      <c r="D133" s="111">
        <f>C133/100*487</f>
        <v>4042.1000000000004</v>
      </c>
      <c r="E133" s="36"/>
      <c r="F133" s="36">
        <f>C133/100*19.5</f>
        <v>161.85000000000002</v>
      </c>
      <c r="G133" s="36"/>
      <c r="H133" s="36">
        <f>C133/100*23.2</f>
        <v>192.56</v>
      </c>
      <c r="I133" s="36">
        <f>C133/100*46</f>
        <v>381.8</v>
      </c>
      <c r="J133" s="130">
        <f>C133/100*680</f>
        <v>5644.0000000000009</v>
      </c>
      <c r="K133" s="36">
        <f>C133/100*0.55</f>
        <v>4.5650000000000004</v>
      </c>
      <c r="L133" s="37">
        <v>830</v>
      </c>
      <c r="M133" s="156">
        <v>260</v>
      </c>
      <c r="N133" s="112">
        <f t="shared" ref="N133" si="8">L133*M133</f>
        <v>215800</v>
      </c>
      <c r="O133" s="154"/>
      <c r="P133" s="3"/>
    </row>
    <row r="134" spans="1:22" ht="17.399999999999999" customHeight="1">
      <c r="A134" s="186" t="s">
        <v>0</v>
      </c>
      <c r="B134" s="196" t="s">
        <v>19</v>
      </c>
      <c r="C134" s="199" t="s">
        <v>8</v>
      </c>
      <c r="D134" s="199" t="s">
        <v>9</v>
      </c>
      <c r="E134" s="189" t="s">
        <v>11</v>
      </c>
      <c r="F134" s="190"/>
      <c r="G134" s="189" t="s">
        <v>43</v>
      </c>
      <c r="H134" s="190"/>
      <c r="I134" s="193" t="s">
        <v>16</v>
      </c>
      <c r="J134" s="193" t="s">
        <v>41</v>
      </c>
      <c r="K134" s="193" t="s">
        <v>42</v>
      </c>
      <c r="L134" s="193" t="s">
        <v>17</v>
      </c>
      <c r="M134" s="193" t="s">
        <v>40</v>
      </c>
      <c r="N134" s="186" t="s">
        <v>18</v>
      </c>
      <c r="O134" s="373"/>
    </row>
    <row r="135" spans="1:22" ht="17.399999999999999" customHeight="1">
      <c r="A135" s="187"/>
      <c r="B135" s="197"/>
      <c r="C135" s="200"/>
      <c r="D135" s="200"/>
      <c r="E135" s="191"/>
      <c r="F135" s="192"/>
      <c r="G135" s="191"/>
      <c r="H135" s="192"/>
      <c r="I135" s="194"/>
      <c r="J135" s="194"/>
      <c r="K135" s="194"/>
      <c r="L135" s="194"/>
      <c r="M135" s="194"/>
      <c r="N135" s="187"/>
      <c r="O135" s="174"/>
    </row>
    <row r="136" spans="1:22" ht="17.399999999999999" customHeight="1">
      <c r="A136" s="187"/>
      <c r="B136" s="197"/>
      <c r="C136" s="200"/>
      <c r="D136" s="200"/>
      <c r="E136" s="193" t="s">
        <v>10</v>
      </c>
      <c r="F136" s="193" t="s">
        <v>12</v>
      </c>
      <c r="G136" s="193" t="s">
        <v>14</v>
      </c>
      <c r="H136" s="193" t="s">
        <v>15</v>
      </c>
      <c r="I136" s="194"/>
      <c r="J136" s="194"/>
      <c r="K136" s="194"/>
      <c r="L136" s="194"/>
      <c r="M136" s="194"/>
      <c r="N136" s="187"/>
      <c r="O136" s="174"/>
    </row>
    <row r="137" spans="1:22" ht="17.399999999999999" customHeight="1">
      <c r="A137" s="188"/>
      <c r="B137" s="198"/>
      <c r="C137" s="201"/>
      <c r="D137" s="201"/>
      <c r="E137" s="195"/>
      <c r="F137" s="195"/>
      <c r="G137" s="195"/>
      <c r="H137" s="195"/>
      <c r="I137" s="195"/>
      <c r="J137" s="195"/>
      <c r="K137" s="195"/>
      <c r="L137" s="195"/>
      <c r="M137" s="195"/>
      <c r="N137" s="188"/>
      <c r="O137" s="174"/>
    </row>
    <row r="138" spans="1:22" s="2" customFormat="1" ht="21.6" customHeight="1">
      <c r="A138" s="232" t="s">
        <v>110</v>
      </c>
      <c r="B138" s="232"/>
      <c r="C138" s="34"/>
      <c r="D138" s="35">
        <f>SUM(D133:D133)</f>
        <v>4042.1000000000004</v>
      </c>
      <c r="E138" s="43"/>
      <c r="F138" s="43"/>
      <c r="G138" s="43"/>
      <c r="H138" s="43"/>
      <c r="I138" s="43"/>
      <c r="J138" s="43"/>
      <c r="K138" s="43"/>
      <c r="L138" s="44"/>
      <c r="M138" s="67"/>
      <c r="N138" s="281">
        <f>SUM(N133:N133)</f>
        <v>215800</v>
      </c>
      <c r="O138" s="154"/>
    </row>
    <row r="139" spans="1:22" ht="21.6" customHeight="1">
      <c r="A139" s="232" t="s">
        <v>7</v>
      </c>
      <c r="B139" s="232"/>
      <c r="C139" s="45"/>
      <c r="D139" s="46">
        <f>D138/D94</f>
        <v>79.256862745098047</v>
      </c>
      <c r="E139" s="46"/>
      <c r="F139" s="46"/>
      <c r="G139" s="46"/>
      <c r="H139" s="46"/>
      <c r="I139" s="46"/>
      <c r="J139" s="46"/>
      <c r="K139" s="46"/>
      <c r="L139" s="47"/>
      <c r="M139" s="68"/>
      <c r="N139" s="283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06" t="s">
        <v>47</v>
      </c>
      <c r="B140" s="207"/>
      <c r="C140" s="375" t="s">
        <v>151</v>
      </c>
      <c r="D140" s="20" t="s">
        <v>50</v>
      </c>
      <c r="E140" s="46"/>
      <c r="F140" s="46"/>
      <c r="G140" s="46"/>
      <c r="H140" s="46"/>
      <c r="I140" s="46"/>
      <c r="J140" s="48"/>
      <c r="K140" s="48"/>
      <c r="L140" s="47"/>
      <c r="M140" s="47"/>
      <c r="N140" s="175"/>
      <c r="O140" s="4"/>
      <c r="P140" s="2"/>
      <c r="Q140" s="2"/>
      <c r="R140" s="2"/>
      <c r="S140" s="2"/>
      <c r="T140" s="2"/>
      <c r="U140" s="2"/>
      <c r="V140" s="2"/>
    </row>
    <row r="141" spans="1:22" ht="21.6" customHeight="1">
      <c r="A141" s="208"/>
      <c r="B141" s="209"/>
      <c r="C141" s="19" t="s">
        <v>59</v>
      </c>
      <c r="D141" s="20">
        <f>D139*100/930</f>
        <v>8.5222433059245208</v>
      </c>
      <c r="E141" s="46"/>
      <c r="F141" s="46"/>
      <c r="G141" s="46"/>
      <c r="H141" s="46"/>
      <c r="I141" s="46"/>
      <c r="J141" s="48"/>
      <c r="K141" s="48"/>
      <c r="L141" s="47"/>
      <c r="M141" s="47"/>
      <c r="N141" s="175"/>
      <c r="O141" s="4"/>
      <c r="P141" s="2"/>
      <c r="Q141" s="2"/>
      <c r="R141" s="2"/>
      <c r="S141" s="2"/>
      <c r="T141" s="2"/>
      <c r="U141" s="2"/>
      <c r="V141" s="2"/>
    </row>
    <row r="142" spans="1:22" ht="21.6" customHeight="1">
      <c r="A142" s="223" t="s">
        <v>111</v>
      </c>
      <c r="B142" s="224"/>
      <c r="C142" s="227"/>
      <c r="D142" s="229">
        <f>D113+D128+D138</f>
        <v>31825.887999999999</v>
      </c>
      <c r="E142" s="7">
        <f t="shared" ref="E142:K142" si="9">SUM(E100:E133)</f>
        <v>858.29399999999987</v>
      </c>
      <c r="F142" s="7">
        <f t="shared" si="9"/>
        <v>611.51900000000001</v>
      </c>
      <c r="G142" s="7">
        <f t="shared" si="9"/>
        <v>781.22439999999995</v>
      </c>
      <c r="H142" s="7">
        <f t="shared" si="9"/>
        <v>314.39480000000003</v>
      </c>
      <c r="I142" s="212">
        <f t="shared" si="9"/>
        <v>3884.7899500000008</v>
      </c>
      <c r="J142" s="212">
        <f t="shared" si="9"/>
        <v>12032.18</v>
      </c>
      <c r="K142" s="210">
        <f t="shared" si="9"/>
        <v>19.976959999999998</v>
      </c>
      <c r="L142" s="239"/>
      <c r="M142" s="239"/>
      <c r="N142" s="240">
        <f>N113+N128+N138</f>
        <v>1122315</v>
      </c>
      <c r="U142" s="12"/>
      <c r="V142" s="12"/>
    </row>
    <row r="143" spans="1:22" ht="21.6" customHeight="1">
      <c r="A143" s="225"/>
      <c r="B143" s="226"/>
      <c r="C143" s="228"/>
      <c r="D143" s="230"/>
      <c r="E143" s="221">
        <f>E142+F142</f>
        <v>1469.8129999999999</v>
      </c>
      <c r="F143" s="222"/>
      <c r="G143" s="221">
        <f>G142+H142</f>
        <v>1095.6192000000001</v>
      </c>
      <c r="H143" s="222"/>
      <c r="I143" s="213"/>
      <c r="J143" s="213"/>
      <c r="K143" s="211"/>
      <c r="L143" s="239"/>
      <c r="M143" s="239"/>
      <c r="N143" s="241"/>
      <c r="U143" s="12"/>
      <c r="V143" s="12"/>
    </row>
    <row r="144" spans="1:22" ht="21.6" customHeight="1">
      <c r="A144" s="243" t="s">
        <v>77</v>
      </c>
      <c r="B144" s="244"/>
      <c r="C144" s="245"/>
      <c r="D144" s="134">
        <f>D142/D94</f>
        <v>624.03701960784315</v>
      </c>
      <c r="E144" s="394">
        <f>E142/D94</f>
        <v>16.829294117647056</v>
      </c>
      <c r="F144" s="382">
        <f>F142/D94</f>
        <v>11.99056862745098</v>
      </c>
      <c r="G144" s="394">
        <f>G142/D94</f>
        <v>15.318125490196078</v>
      </c>
      <c r="H144" s="382">
        <f>H142/D94</f>
        <v>6.1646039215686281</v>
      </c>
      <c r="I144" s="204">
        <f>I142/D94</f>
        <v>76.172351960784326</v>
      </c>
      <c r="J144" s="302">
        <f>J142/D94</f>
        <v>235.9250980392157</v>
      </c>
      <c r="K144" s="302">
        <f>K142/D94</f>
        <v>0.39170509803921566</v>
      </c>
      <c r="L144" s="239"/>
      <c r="M144" s="239"/>
      <c r="N144" s="241"/>
      <c r="Q144" s="419"/>
      <c r="R144" s="419"/>
      <c r="S144" s="419"/>
      <c r="T144" s="419"/>
      <c r="U144" s="420"/>
      <c r="V144" s="12"/>
    </row>
    <row r="145" spans="1:22" ht="21.6" customHeight="1">
      <c r="A145" s="246"/>
      <c r="B145" s="247"/>
      <c r="C145" s="248"/>
      <c r="D145" s="128"/>
      <c r="E145" s="383">
        <f>E144+F144</f>
        <v>28.819862745098035</v>
      </c>
      <c r="F145" s="384"/>
      <c r="G145" s="383">
        <f>G144+H144</f>
        <v>21.482729411764705</v>
      </c>
      <c r="H145" s="384"/>
      <c r="I145" s="205"/>
      <c r="J145" s="303"/>
      <c r="K145" s="303"/>
      <c r="L145" s="239"/>
      <c r="M145" s="239"/>
      <c r="N145" s="241"/>
      <c r="P145" s="388"/>
      <c r="Q145" s="421"/>
      <c r="R145" s="421"/>
      <c r="S145" s="422"/>
      <c r="T145" s="422"/>
      <c r="U145" s="423"/>
      <c r="V145" s="12"/>
    </row>
    <row r="146" spans="1:22" ht="21.6" customHeight="1">
      <c r="A146" s="214" t="s">
        <v>80</v>
      </c>
      <c r="B146" s="215"/>
      <c r="C146" s="216"/>
      <c r="D146" s="179" t="s">
        <v>29</v>
      </c>
      <c r="E146" s="361" t="s">
        <v>24</v>
      </c>
      <c r="F146" s="361"/>
      <c r="G146" s="361" t="s">
        <v>25</v>
      </c>
      <c r="H146" s="361"/>
      <c r="I146" s="400" t="s">
        <v>26</v>
      </c>
      <c r="J146" s="177">
        <v>500</v>
      </c>
      <c r="K146" s="177">
        <v>0.5</v>
      </c>
      <c r="L146" s="239"/>
      <c r="M146" s="239"/>
      <c r="N146" s="241"/>
      <c r="O146" s="387"/>
      <c r="P146" s="142"/>
      <c r="Q146" s="369"/>
      <c r="R146" s="369"/>
      <c r="S146" s="369"/>
      <c r="T146" s="96"/>
    </row>
    <row r="147" spans="1:22" ht="21.6" customHeight="1">
      <c r="A147" s="214" t="s">
        <v>78</v>
      </c>
      <c r="B147" s="215"/>
      <c r="C147" s="216"/>
      <c r="D147" s="49"/>
      <c r="E147" s="202">
        <f>E145*4.1</f>
        <v>118.16143725490194</v>
      </c>
      <c r="F147" s="203"/>
      <c r="G147" s="202">
        <f>G145*9</f>
        <v>193.34456470588233</v>
      </c>
      <c r="H147" s="203"/>
      <c r="I147" s="85">
        <f>I144*4.1</f>
        <v>312.30664303921571</v>
      </c>
      <c r="J147" s="249"/>
      <c r="K147" s="249"/>
      <c r="L147" s="239"/>
      <c r="M147" s="239"/>
      <c r="N147" s="241"/>
      <c r="O147" s="387"/>
      <c r="P147" s="379"/>
      <c r="Q147" s="142"/>
      <c r="R147" s="142"/>
      <c r="S147" s="142"/>
    </row>
    <row r="148" spans="1:22" ht="21.6" customHeight="1">
      <c r="A148" s="217" t="s">
        <v>81</v>
      </c>
      <c r="B148" s="218"/>
      <c r="C148" s="214" t="s">
        <v>59</v>
      </c>
      <c r="D148" s="216"/>
      <c r="E148" s="251">
        <f>E147*100/D144</f>
        <v>18.935004421557693</v>
      </c>
      <c r="F148" s="252"/>
      <c r="G148" s="251">
        <f>G147*100/D144</f>
        <v>30.982867783610622</v>
      </c>
      <c r="H148" s="252"/>
      <c r="I148" s="170">
        <f>I147*100/D144</f>
        <v>50.046172458722914</v>
      </c>
      <c r="J148" s="250"/>
      <c r="K148" s="250"/>
      <c r="L148" s="239"/>
      <c r="M148" s="239"/>
      <c r="N148" s="241"/>
      <c r="O148" s="387"/>
    </row>
    <row r="149" spans="1:22" ht="21.6" customHeight="1">
      <c r="A149" s="219"/>
      <c r="B149" s="220"/>
      <c r="C149" s="214" t="s">
        <v>79</v>
      </c>
      <c r="D149" s="216"/>
      <c r="E149" s="214" t="s">
        <v>82</v>
      </c>
      <c r="F149" s="216"/>
      <c r="G149" s="214" t="s">
        <v>85</v>
      </c>
      <c r="H149" s="216"/>
      <c r="I149" s="179" t="s">
        <v>86</v>
      </c>
      <c r="J149" s="230"/>
      <c r="K149" s="230"/>
      <c r="L149" s="239"/>
      <c r="M149" s="239"/>
      <c r="N149" s="242"/>
      <c r="O149" s="387"/>
      <c r="P149" s="133"/>
    </row>
    <row r="150" spans="1:22" ht="21.6" customHeight="1">
      <c r="A150" s="90"/>
      <c r="B150" s="93"/>
      <c r="C150" s="90"/>
      <c r="D150" s="90"/>
      <c r="E150" s="90"/>
      <c r="F150" s="90"/>
      <c r="G150" s="90"/>
      <c r="H150" s="90"/>
      <c r="I150" s="90"/>
      <c r="J150" s="90"/>
      <c r="K150" s="90"/>
      <c r="L150" s="91"/>
      <c r="M150" s="91"/>
      <c r="N150" s="92"/>
      <c r="O150" s="387"/>
      <c r="P150" s="133"/>
    </row>
    <row r="151" spans="1:22" ht="21" customHeight="1">
      <c r="A151" s="296" t="s">
        <v>114</v>
      </c>
      <c r="B151" s="296"/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387"/>
    </row>
    <row r="152" spans="1:22" ht="21" customHeight="1">
      <c r="A152" s="118" t="s">
        <v>115</v>
      </c>
      <c r="B152" s="297" t="s">
        <v>116</v>
      </c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87"/>
    </row>
    <row r="153" spans="1:22" ht="21" customHeight="1">
      <c r="A153" s="119"/>
      <c r="B153" s="257" t="s">
        <v>208</v>
      </c>
      <c r="C153" s="257"/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387"/>
    </row>
    <row r="154" spans="1:22" ht="21" customHeight="1">
      <c r="A154" s="119"/>
      <c r="B154" s="257" t="s">
        <v>209</v>
      </c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387"/>
    </row>
    <row r="155" spans="1:22" ht="21" customHeight="1">
      <c r="A155" s="119"/>
      <c r="B155" s="257" t="s">
        <v>210</v>
      </c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387"/>
    </row>
    <row r="156" spans="1:22" ht="21" customHeight="1">
      <c r="A156" s="90"/>
      <c r="B156" s="258" t="s">
        <v>135</v>
      </c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387"/>
    </row>
    <row r="157" spans="1:22" ht="21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4"/>
      <c r="M157" s="94"/>
      <c r="N157" s="95"/>
      <c r="O157" s="387"/>
    </row>
    <row r="158" spans="1:22" ht="21" customHeight="1">
      <c r="A158" s="259" t="s">
        <v>62</v>
      </c>
      <c r="B158" s="259"/>
      <c r="C158" s="259"/>
      <c r="D158" s="259"/>
      <c r="E158" s="389"/>
      <c r="F158" s="389"/>
      <c r="G158" s="389"/>
      <c r="H158" s="389"/>
      <c r="I158" s="389"/>
      <c r="J158" s="390" t="s">
        <v>33</v>
      </c>
      <c r="K158" s="390"/>
      <c r="L158" s="390"/>
      <c r="M158" s="390"/>
      <c r="N158" s="390"/>
      <c r="O158" s="387"/>
    </row>
    <row r="159" spans="1:22" ht="21" customHeight="1">
      <c r="A159" s="174"/>
      <c r="B159" s="174"/>
      <c r="C159" s="174"/>
      <c r="D159" s="389"/>
      <c r="E159" s="389"/>
      <c r="F159" s="389"/>
      <c r="G159" s="389"/>
      <c r="H159" s="391"/>
      <c r="I159" s="391"/>
      <c r="J159" s="391"/>
      <c r="K159" s="391"/>
      <c r="L159" s="391"/>
      <c r="M159" s="391"/>
      <c r="N159" s="391"/>
      <c r="O159" s="387"/>
    </row>
    <row r="160" spans="1:22" ht="21" customHeight="1">
      <c r="A160" s="174"/>
      <c r="B160" s="174"/>
      <c r="C160" s="174"/>
      <c r="D160" s="389"/>
      <c r="E160" s="389"/>
      <c r="F160" s="389"/>
      <c r="G160" s="389"/>
      <c r="H160" s="391"/>
      <c r="I160" s="391"/>
      <c r="J160" s="391"/>
      <c r="K160" s="391"/>
      <c r="L160" s="391"/>
      <c r="M160" s="391"/>
      <c r="N160" s="391"/>
      <c r="O160" s="387"/>
    </row>
    <row r="161" spans="1:15" ht="21" customHeight="1">
      <c r="A161" s="174"/>
      <c r="B161" s="174"/>
      <c r="C161" s="174"/>
      <c r="D161" s="389"/>
      <c r="E161" s="389"/>
      <c r="F161" s="389"/>
      <c r="G161" s="389"/>
      <c r="H161" s="391"/>
      <c r="I161" s="391"/>
      <c r="J161" s="392" t="s">
        <v>124</v>
      </c>
      <c r="K161" s="392"/>
      <c r="L161" s="392"/>
      <c r="M161" s="392"/>
      <c r="N161" s="392"/>
      <c r="O161" s="387"/>
    </row>
    <row r="162" spans="1:15" ht="21" customHeight="1">
      <c r="A162" s="260" t="s">
        <v>91</v>
      </c>
      <c r="B162" s="260"/>
      <c r="C162" s="260"/>
      <c r="D162" s="260"/>
      <c r="E162" s="389"/>
      <c r="F162" s="389"/>
      <c r="G162" s="389"/>
      <c r="H162" s="391"/>
      <c r="I162" s="391"/>
      <c r="J162" s="392"/>
      <c r="K162" s="392"/>
      <c r="L162" s="392"/>
      <c r="M162" s="392"/>
      <c r="N162" s="392"/>
      <c r="O162" s="387"/>
    </row>
    <row r="165" spans="1:15" ht="21.6" customHeight="1">
      <c r="J165" s="392" t="s">
        <v>127</v>
      </c>
      <c r="K165" s="392"/>
      <c r="L165" s="392"/>
      <c r="M165" s="392"/>
      <c r="N165" s="392"/>
    </row>
  </sheetData>
  <mergeCells count="207">
    <mergeCell ref="A162:D162"/>
    <mergeCell ref="J162:N162"/>
    <mergeCell ref="I53:I54"/>
    <mergeCell ref="D51:D52"/>
    <mergeCell ref="A151:N151"/>
    <mergeCell ref="B152:N152"/>
    <mergeCell ref="B153:N153"/>
    <mergeCell ref="B154:N154"/>
    <mergeCell ref="B155:N155"/>
    <mergeCell ref="B156:N156"/>
    <mergeCell ref="A158:D158"/>
    <mergeCell ref="J158:N158"/>
    <mergeCell ref="G58:H58"/>
    <mergeCell ref="A60:N60"/>
    <mergeCell ref="B61:N61"/>
    <mergeCell ref="B62:N62"/>
    <mergeCell ref="B63:N63"/>
    <mergeCell ref="G148:H148"/>
    <mergeCell ref="C149:D149"/>
    <mergeCell ref="E149:F149"/>
    <mergeCell ref="G149:H149"/>
    <mergeCell ref="A86:N86"/>
    <mergeCell ref="A87:N87"/>
    <mergeCell ref="N138:N139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N43:N46"/>
    <mergeCell ref="A91:D91"/>
    <mergeCell ref="J91:N91"/>
    <mergeCell ref="A93:D93"/>
    <mergeCell ref="J93:N93"/>
    <mergeCell ref="I95:I98"/>
    <mergeCell ref="E134:F135"/>
    <mergeCell ref="G134:H135"/>
    <mergeCell ref="M95:M98"/>
    <mergeCell ref="A94:C94"/>
    <mergeCell ref="G97:G98"/>
    <mergeCell ref="H97:H98"/>
    <mergeCell ref="N128:N129"/>
    <mergeCell ref="A132:B132"/>
    <mergeCell ref="A114:B114"/>
    <mergeCell ref="A117:B117"/>
    <mergeCell ref="A95:A98"/>
    <mergeCell ref="B95:B98"/>
    <mergeCell ref="C95:C98"/>
    <mergeCell ref="L134:L137"/>
    <mergeCell ref="N113:N114"/>
    <mergeCell ref="N134:N137"/>
    <mergeCell ref="E136:E137"/>
    <mergeCell ref="D95:D98"/>
    <mergeCell ref="A15:N15"/>
    <mergeCell ref="E97:E98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90:D90"/>
    <mergeCell ref="A49:B50"/>
    <mergeCell ref="E90:I93"/>
    <mergeCell ref="J90:N90"/>
    <mergeCell ref="F97:F98"/>
    <mergeCell ref="A53:C54"/>
    <mergeCell ref="A55:C55"/>
    <mergeCell ref="A33:B33"/>
    <mergeCell ref="Q53:R53"/>
    <mergeCell ref="S53:T53"/>
    <mergeCell ref="Q54:R54"/>
    <mergeCell ref="S54:T54"/>
    <mergeCell ref="L95:L98"/>
    <mergeCell ref="N95:N98"/>
    <mergeCell ref="L51:L58"/>
    <mergeCell ref="M51:M58"/>
    <mergeCell ref="J56:J58"/>
    <mergeCell ref="K56:K58"/>
    <mergeCell ref="J51:J52"/>
    <mergeCell ref="J95:J98"/>
    <mergeCell ref="K95:K98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8:D89"/>
    <mergeCell ref="U53:V53"/>
    <mergeCell ref="U54:V54"/>
    <mergeCell ref="A140:B141"/>
    <mergeCell ref="J144:J145"/>
    <mergeCell ref="K144:K145"/>
    <mergeCell ref="J142:J143"/>
    <mergeCell ref="C51:C52"/>
    <mergeCell ref="E54:F54"/>
    <mergeCell ref="E52:F52"/>
    <mergeCell ref="A51:B52"/>
    <mergeCell ref="L142:L149"/>
    <mergeCell ref="M142:M149"/>
    <mergeCell ref="N142:N149"/>
    <mergeCell ref="A144:C145"/>
    <mergeCell ref="A146:C146"/>
    <mergeCell ref="A147:C147"/>
    <mergeCell ref="E147:F147"/>
    <mergeCell ref="G147:H147"/>
    <mergeCell ref="J147:J149"/>
    <mergeCell ref="K147:K149"/>
    <mergeCell ref="A148:B149"/>
    <mergeCell ref="C148:D148"/>
    <mergeCell ref="E148:F148"/>
    <mergeCell ref="E143:F143"/>
    <mergeCell ref="A139:B139"/>
    <mergeCell ref="A113:B113"/>
    <mergeCell ref="E95:F96"/>
    <mergeCell ref="G95:H96"/>
    <mergeCell ref="A99:N99"/>
    <mergeCell ref="I134:I137"/>
    <mergeCell ref="J134:J137"/>
    <mergeCell ref="K134:K137"/>
    <mergeCell ref="F136:F137"/>
    <mergeCell ref="G136:G137"/>
    <mergeCell ref="H136:H137"/>
    <mergeCell ref="B134:B137"/>
    <mergeCell ref="C134:C137"/>
    <mergeCell ref="D134:D137"/>
    <mergeCell ref="M134:M137"/>
    <mergeCell ref="J53:J54"/>
    <mergeCell ref="E146:F146"/>
    <mergeCell ref="G146:H146"/>
    <mergeCell ref="A115:B116"/>
    <mergeCell ref="A130:B131"/>
    <mergeCell ref="K142:K143"/>
    <mergeCell ref="G54:H54"/>
    <mergeCell ref="I142:I143"/>
    <mergeCell ref="I144:I145"/>
    <mergeCell ref="E145:F145"/>
    <mergeCell ref="G145:H145"/>
    <mergeCell ref="A56:C56"/>
    <mergeCell ref="A57:B58"/>
    <mergeCell ref="G143:H143"/>
    <mergeCell ref="A142:B143"/>
    <mergeCell ref="C142:C143"/>
    <mergeCell ref="D142:D143"/>
    <mergeCell ref="E88:N88"/>
    <mergeCell ref="E89:I89"/>
    <mergeCell ref="J89:N89"/>
    <mergeCell ref="A134:A137"/>
    <mergeCell ref="J70:N70"/>
    <mergeCell ref="J74:N74"/>
    <mergeCell ref="A138:B138"/>
    <mergeCell ref="A92:D92"/>
    <mergeCell ref="J92:N92"/>
    <mergeCell ref="J161:N161"/>
    <mergeCell ref="J165:N165"/>
    <mergeCell ref="F1:N1"/>
    <mergeCell ref="F83:N83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</mergeCells>
  <pageMargins left="0.34833333333333333" right="8.3333333333333332E-3" top="0.44791666666666702" bottom="0.42708333333333298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view="pageLayout" workbookViewId="0">
      <selection activeCell="E6" sqref="E6:I9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T1" s="2"/>
    </row>
    <row r="2" spans="1:20" ht="12" customHeight="1">
      <c r="A2" s="11"/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T2" s="2"/>
    </row>
    <row r="3" spans="1:20" ht="22.2" customHeight="1">
      <c r="A3" s="8" t="s">
        <v>201</v>
      </c>
      <c r="B3" s="8"/>
      <c r="C3" s="8"/>
      <c r="D3" s="8"/>
      <c r="E3" s="8"/>
      <c r="F3" s="178"/>
      <c r="G3" s="178"/>
      <c r="H3" s="178"/>
      <c r="I3" s="178"/>
      <c r="J3" s="178"/>
      <c r="K3" s="178"/>
      <c r="L3" s="178"/>
      <c r="M3" s="178"/>
      <c r="N3" s="178"/>
      <c r="O3" s="371"/>
      <c r="P3" s="371"/>
      <c r="T3" s="2"/>
    </row>
    <row r="4" spans="1:20" ht="12" customHeight="1">
      <c r="A4" s="8"/>
      <c r="B4" s="8"/>
      <c r="C4" s="8"/>
      <c r="D4" s="8"/>
      <c r="E4" s="8"/>
      <c r="F4" s="178"/>
      <c r="G4" s="178"/>
      <c r="H4" s="178"/>
      <c r="I4" s="178"/>
      <c r="J4" s="178"/>
      <c r="K4" s="178"/>
      <c r="L4" s="178"/>
      <c r="M4" s="178"/>
      <c r="N4" s="178"/>
      <c r="O4" s="371"/>
      <c r="P4" s="371"/>
      <c r="T4" s="2"/>
    </row>
    <row r="5" spans="1:20" s="2" customFormat="1" ht="19.2" customHeight="1">
      <c r="A5" s="231" t="s">
        <v>97</v>
      </c>
      <c r="B5" s="231"/>
      <c r="C5" s="231"/>
      <c r="D5" s="231"/>
      <c r="E5" s="231" t="s">
        <v>98</v>
      </c>
      <c r="F5" s="231"/>
      <c r="G5" s="231"/>
      <c r="H5" s="231"/>
      <c r="I5" s="231"/>
      <c r="J5" s="231"/>
      <c r="K5" s="231"/>
      <c r="L5" s="231"/>
      <c r="M5" s="231"/>
      <c r="N5" s="231"/>
      <c r="O5" s="372"/>
    </row>
    <row r="6" spans="1:20" s="2" customFormat="1" ht="19.2" customHeight="1">
      <c r="A6" s="268" t="s">
        <v>90</v>
      </c>
      <c r="B6" s="268"/>
      <c r="C6" s="268"/>
      <c r="D6" s="268"/>
      <c r="E6" s="269" t="s">
        <v>148</v>
      </c>
      <c r="F6" s="269"/>
      <c r="G6" s="269"/>
      <c r="H6" s="269"/>
      <c r="I6" s="269"/>
      <c r="J6" s="284" t="s">
        <v>144</v>
      </c>
      <c r="K6" s="285"/>
      <c r="L6" s="285"/>
      <c r="M6" s="285"/>
      <c r="N6" s="286"/>
      <c r="O6" s="372"/>
    </row>
    <row r="7" spans="1:20" s="2" customFormat="1" ht="19.2" customHeight="1">
      <c r="A7" s="183" t="s">
        <v>134</v>
      </c>
      <c r="B7" s="183"/>
      <c r="C7" s="183"/>
      <c r="D7" s="183"/>
      <c r="E7" s="269"/>
      <c r="F7" s="269"/>
      <c r="G7" s="269"/>
      <c r="H7" s="269"/>
      <c r="I7" s="269"/>
      <c r="J7" s="287"/>
      <c r="K7" s="288"/>
      <c r="L7" s="288"/>
      <c r="M7" s="288"/>
      <c r="N7" s="289"/>
      <c r="O7" s="372"/>
    </row>
    <row r="8" spans="1:20" s="2" customFormat="1" ht="19.2" customHeight="1">
      <c r="A8" s="180" t="s">
        <v>156</v>
      </c>
      <c r="B8" s="181"/>
      <c r="C8" s="181"/>
      <c r="D8" s="182"/>
      <c r="E8" s="269"/>
      <c r="F8" s="269"/>
      <c r="G8" s="269"/>
      <c r="H8" s="269"/>
      <c r="I8" s="269"/>
      <c r="J8" s="287"/>
      <c r="K8" s="288"/>
      <c r="L8" s="288"/>
      <c r="M8" s="288"/>
      <c r="N8" s="289"/>
      <c r="O8" s="372"/>
    </row>
    <row r="9" spans="1:20" s="2" customFormat="1" ht="19.2" customHeight="1">
      <c r="A9" s="277" t="s">
        <v>166</v>
      </c>
      <c r="B9" s="277"/>
      <c r="C9" s="277"/>
      <c r="D9" s="277"/>
      <c r="E9" s="269"/>
      <c r="F9" s="269"/>
      <c r="G9" s="269"/>
      <c r="H9" s="269"/>
      <c r="I9" s="269"/>
      <c r="J9" s="290"/>
      <c r="K9" s="291"/>
      <c r="L9" s="291"/>
      <c r="M9" s="291"/>
      <c r="N9" s="292"/>
      <c r="O9" s="372"/>
    </row>
    <row r="10" spans="1:20" ht="19.2" customHeight="1">
      <c r="A10" s="278" t="s">
        <v>122</v>
      </c>
      <c r="B10" s="279"/>
      <c r="C10" s="280"/>
      <c r="D10" s="129">
        <v>214</v>
      </c>
      <c r="E10" s="8"/>
      <c r="F10" s="178"/>
      <c r="G10" s="178"/>
      <c r="H10" s="178"/>
      <c r="I10" s="178"/>
      <c r="J10" s="178"/>
      <c r="K10" s="178"/>
      <c r="L10" s="178"/>
      <c r="M10" s="178"/>
      <c r="N10" s="178"/>
      <c r="O10" s="371"/>
      <c r="P10" s="371"/>
      <c r="T10" s="2"/>
    </row>
    <row r="11" spans="1:20" ht="22.2" customHeight="1">
      <c r="A11" s="186" t="s">
        <v>0</v>
      </c>
      <c r="B11" s="196" t="s">
        <v>19</v>
      </c>
      <c r="C11" s="199" t="s">
        <v>8</v>
      </c>
      <c r="D11" s="199" t="s">
        <v>9</v>
      </c>
      <c r="E11" s="189" t="s">
        <v>11</v>
      </c>
      <c r="F11" s="190"/>
      <c r="G11" s="189" t="s">
        <v>13</v>
      </c>
      <c r="H11" s="190"/>
      <c r="I11" s="193" t="s">
        <v>16</v>
      </c>
      <c r="J11" s="193" t="s">
        <v>41</v>
      </c>
      <c r="K11" s="193" t="s">
        <v>42</v>
      </c>
      <c r="L11" s="193" t="s">
        <v>17</v>
      </c>
      <c r="M11" s="193" t="s">
        <v>40</v>
      </c>
      <c r="N11" s="186" t="s">
        <v>18</v>
      </c>
      <c r="O11" s="373"/>
    </row>
    <row r="12" spans="1:20" ht="22.2" customHeight="1">
      <c r="A12" s="187"/>
      <c r="B12" s="197"/>
      <c r="C12" s="200"/>
      <c r="D12" s="200"/>
      <c r="E12" s="191"/>
      <c r="F12" s="192"/>
      <c r="G12" s="191"/>
      <c r="H12" s="192"/>
      <c r="I12" s="194"/>
      <c r="J12" s="194"/>
      <c r="K12" s="194"/>
      <c r="L12" s="194"/>
      <c r="M12" s="194"/>
      <c r="N12" s="187"/>
      <c r="O12" s="174"/>
    </row>
    <row r="13" spans="1:20" ht="22.2" customHeight="1">
      <c r="A13" s="187"/>
      <c r="B13" s="197"/>
      <c r="C13" s="200"/>
      <c r="D13" s="200"/>
      <c r="E13" s="193" t="s">
        <v>10</v>
      </c>
      <c r="F13" s="193" t="s">
        <v>12</v>
      </c>
      <c r="G13" s="193" t="s">
        <v>14</v>
      </c>
      <c r="H13" s="193" t="s">
        <v>15</v>
      </c>
      <c r="I13" s="194"/>
      <c r="J13" s="194"/>
      <c r="K13" s="194"/>
      <c r="L13" s="194"/>
      <c r="M13" s="194"/>
      <c r="N13" s="187"/>
      <c r="O13" s="174"/>
    </row>
    <row r="14" spans="1:20" ht="22.2" customHeight="1">
      <c r="A14" s="188"/>
      <c r="B14" s="198"/>
      <c r="C14" s="201"/>
      <c r="D14" s="201"/>
      <c r="E14" s="195"/>
      <c r="F14" s="195"/>
      <c r="G14" s="195"/>
      <c r="H14" s="195"/>
      <c r="I14" s="195"/>
      <c r="J14" s="195"/>
      <c r="K14" s="195"/>
      <c r="L14" s="195"/>
      <c r="M14" s="195"/>
      <c r="N14" s="188"/>
      <c r="O14" s="174"/>
    </row>
    <row r="15" spans="1:20" ht="19.8" customHeight="1">
      <c r="A15" s="233" t="s">
        <v>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174"/>
    </row>
    <row r="16" spans="1:20" s="2" customFormat="1" ht="19.8" customHeight="1">
      <c r="A16" s="15">
        <v>1</v>
      </c>
      <c r="B16" s="16" t="s">
        <v>2</v>
      </c>
      <c r="C16" s="51">
        <f>L16/100*100</f>
        <v>280</v>
      </c>
      <c r="D16" s="52">
        <f>C16/100*60</f>
        <v>168</v>
      </c>
      <c r="E16" s="53">
        <f>C16/100*15</f>
        <v>42</v>
      </c>
      <c r="F16" s="53"/>
      <c r="G16" s="53"/>
      <c r="H16" s="53"/>
      <c r="I16" s="53"/>
      <c r="J16" s="97">
        <f>C16/100*387</f>
        <v>1083.5999999999999</v>
      </c>
      <c r="K16" s="97">
        <f>C16/100*0.09</f>
        <v>0.252</v>
      </c>
      <c r="L16" s="407">
        <v>280</v>
      </c>
      <c r="M16" s="77">
        <v>20</v>
      </c>
      <c r="N16" s="55">
        <f>L16*M16</f>
        <v>5600</v>
      </c>
      <c r="O16" s="397"/>
    </row>
    <row r="17" spans="1:20" s="2" customFormat="1" ht="19.8" customHeight="1">
      <c r="A17" s="9">
        <v>2</v>
      </c>
      <c r="B17" s="147" t="s">
        <v>141</v>
      </c>
      <c r="C17" s="23">
        <f>L17/100*100</f>
        <v>640</v>
      </c>
      <c r="D17" s="24">
        <f>C17/100*899</f>
        <v>5753.6</v>
      </c>
      <c r="E17" s="25"/>
      <c r="F17" s="25"/>
      <c r="G17" s="25">
        <f>C17/100*100</f>
        <v>640</v>
      </c>
      <c r="H17" s="25"/>
      <c r="I17" s="25"/>
      <c r="J17" s="27"/>
      <c r="K17" s="27"/>
      <c r="L17" s="138">
        <v>640</v>
      </c>
      <c r="M17" s="75">
        <v>68</v>
      </c>
      <c r="N17" s="28">
        <f t="shared" ref="N17:N26" si="0">L17*M17</f>
        <v>43520</v>
      </c>
      <c r="O17" s="154"/>
    </row>
    <row r="18" spans="1:20" s="2" customFormat="1" ht="19.8" customHeight="1">
      <c r="A18" s="9">
        <v>3</v>
      </c>
      <c r="B18" s="5" t="s">
        <v>1</v>
      </c>
      <c r="C18" s="23">
        <f>L18/100*100</f>
        <v>20330</v>
      </c>
      <c r="D18" s="121">
        <f>C18/100*344</f>
        <v>69935.199999999997</v>
      </c>
      <c r="E18" s="137"/>
      <c r="F18" s="120">
        <f>C18/100*7.9</f>
        <v>1606.0700000000002</v>
      </c>
      <c r="G18" s="137"/>
      <c r="H18" s="25">
        <f>C18/100*1</f>
        <v>203.3</v>
      </c>
      <c r="I18" s="120">
        <f>C18/100*72</f>
        <v>14637.6</v>
      </c>
      <c r="J18" s="27">
        <f>C18/100*30</f>
        <v>6099</v>
      </c>
      <c r="K18" s="27">
        <f>C18/100*0.1</f>
        <v>20.330000000000002</v>
      </c>
      <c r="L18" s="138">
        <v>20330</v>
      </c>
      <c r="M18" s="77">
        <v>18</v>
      </c>
      <c r="N18" s="28">
        <f t="shared" si="0"/>
        <v>365940</v>
      </c>
      <c r="O18" s="397"/>
    </row>
    <row r="19" spans="1:20" s="2" customFormat="1" ht="19.8" customHeight="1">
      <c r="A19" s="9">
        <v>4</v>
      </c>
      <c r="B19" s="5" t="s">
        <v>93</v>
      </c>
      <c r="C19" s="23">
        <f>L19/100*81.7</f>
        <v>6111.16</v>
      </c>
      <c r="D19" s="24">
        <f>C19/100*27</f>
        <v>1650.0131999999999</v>
      </c>
      <c r="E19" s="29"/>
      <c r="F19" s="29">
        <f>C19/100*0.3</f>
        <v>18.333479999999998</v>
      </c>
      <c r="G19" s="29"/>
      <c r="H19" s="29">
        <f>C19/100*0.1</f>
        <v>6.1111599999999999</v>
      </c>
      <c r="I19" s="29">
        <f>C19/100*6.1</f>
        <v>372.78075999999993</v>
      </c>
      <c r="J19" s="71">
        <f>C19/100*24</f>
        <v>1466.6783999999998</v>
      </c>
      <c r="K19" s="71">
        <f>C19/100*0.06</f>
        <v>3.6666959999999995</v>
      </c>
      <c r="L19" s="374">
        <v>7480</v>
      </c>
      <c r="M19" s="26">
        <v>22</v>
      </c>
      <c r="N19" s="28">
        <f t="shared" si="0"/>
        <v>164560</v>
      </c>
      <c r="O19" s="154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3">
        <f>L20/100*98.5</f>
        <v>2107.8999999999996</v>
      </c>
      <c r="D20" s="24">
        <f>C20/100*39</f>
        <v>822.0809999999999</v>
      </c>
      <c r="E20" s="29"/>
      <c r="F20" s="29">
        <f>C20/100*1.5</f>
        <v>31.618499999999997</v>
      </c>
      <c r="G20" s="29"/>
      <c r="H20" s="29">
        <f>C20/100*0.2</f>
        <v>4.2157999999999998</v>
      </c>
      <c r="I20" s="29">
        <f>C20/100*7.8</f>
        <v>164.41619999999998</v>
      </c>
      <c r="J20" s="29">
        <f>C20/100*43</f>
        <v>906.39699999999982</v>
      </c>
      <c r="K20" s="29">
        <f>C20/100*0.06</f>
        <v>1.2647399999999998</v>
      </c>
      <c r="L20" s="374">
        <v>2140</v>
      </c>
      <c r="M20" s="26">
        <v>17</v>
      </c>
      <c r="N20" s="28">
        <f t="shared" si="0"/>
        <v>36380</v>
      </c>
      <c r="O20" s="154"/>
      <c r="Q20" s="3"/>
      <c r="R20" s="3"/>
      <c r="S20" s="4"/>
    </row>
    <row r="21" spans="1:20" s="2" customFormat="1" ht="19.8" customHeight="1">
      <c r="A21" s="9">
        <v>6</v>
      </c>
      <c r="B21" s="5" t="s">
        <v>75</v>
      </c>
      <c r="C21" s="23">
        <f>L21/100*75</f>
        <v>1605</v>
      </c>
      <c r="D21" s="24">
        <f>C21/100*12</f>
        <v>192.60000000000002</v>
      </c>
      <c r="E21" s="25"/>
      <c r="F21" s="25">
        <f>C21/100*0.6</f>
        <v>9.6300000000000008</v>
      </c>
      <c r="G21" s="25"/>
      <c r="H21" s="25"/>
      <c r="I21" s="25">
        <f>C21/100*2.4</f>
        <v>38.520000000000003</v>
      </c>
      <c r="J21" s="25">
        <f>C21/100*26</f>
        <v>417.3</v>
      </c>
      <c r="K21" s="25">
        <f>C21/100*0.02</f>
        <v>0.32100000000000001</v>
      </c>
      <c r="L21" s="138">
        <v>2140</v>
      </c>
      <c r="M21" s="75">
        <v>30</v>
      </c>
      <c r="N21" s="28">
        <f t="shared" si="0"/>
        <v>64200</v>
      </c>
      <c r="O21" s="154"/>
    </row>
    <row r="22" spans="1:20" s="2" customFormat="1" ht="19.8" customHeight="1">
      <c r="A22" s="9">
        <v>7</v>
      </c>
      <c r="B22" s="5" t="s">
        <v>136</v>
      </c>
      <c r="C22" s="23">
        <f>L22/100*100</f>
        <v>220.00000000000003</v>
      </c>
      <c r="D22" s="24">
        <f>C22/100*247</f>
        <v>543.40000000000009</v>
      </c>
      <c r="E22" s="29"/>
      <c r="F22" s="29">
        <f>C22/100*17.5</f>
        <v>38.5</v>
      </c>
      <c r="G22" s="29"/>
      <c r="H22" s="29">
        <f>C22/100*1.6</f>
        <v>3.5200000000000005</v>
      </c>
      <c r="I22" s="29">
        <f>C22/100*39.2</f>
        <v>86.240000000000009</v>
      </c>
      <c r="J22" s="71"/>
      <c r="K22" s="71"/>
      <c r="L22" s="374">
        <v>220</v>
      </c>
      <c r="M22" s="75">
        <v>50</v>
      </c>
      <c r="N22" s="28">
        <f t="shared" si="0"/>
        <v>11000</v>
      </c>
      <c r="O22" s="154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3">
        <f>L23/100*95</f>
        <v>2441.5</v>
      </c>
      <c r="D23" s="24">
        <f>C23/100*20</f>
        <v>488.29999999999995</v>
      </c>
      <c r="E23" s="25"/>
      <c r="F23" s="25">
        <f>C23/100*0.6</f>
        <v>14.648999999999999</v>
      </c>
      <c r="G23" s="25"/>
      <c r="H23" s="25">
        <f>C23/100*0.2</f>
        <v>4.883</v>
      </c>
      <c r="I23" s="25">
        <f>C23/100*4</f>
        <v>97.66</v>
      </c>
      <c r="J23" s="71">
        <f>C23/100*12</f>
        <v>292.98</v>
      </c>
      <c r="K23" s="71">
        <f>C23/100*0.04</f>
        <v>0.97660000000000002</v>
      </c>
      <c r="L23" s="374">
        <v>2570</v>
      </c>
      <c r="M23" s="75">
        <v>30</v>
      </c>
      <c r="N23" s="28">
        <f t="shared" si="0"/>
        <v>77100</v>
      </c>
      <c r="O23" s="154"/>
      <c r="Q23" s="3"/>
      <c r="R23" s="3"/>
    </row>
    <row r="24" spans="1:20" s="2" customFormat="1" ht="19.8" customHeight="1">
      <c r="A24" s="9">
        <v>9</v>
      </c>
      <c r="B24" s="5" t="s">
        <v>69</v>
      </c>
      <c r="C24" s="23">
        <f>L24/100*48</f>
        <v>1886.3999999999999</v>
      </c>
      <c r="D24" s="24">
        <f>C24/100*199</f>
        <v>3753.9359999999992</v>
      </c>
      <c r="E24" s="25">
        <f>C24/100*20.3</f>
        <v>382.93919999999997</v>
      </c>
      <c r="F24" s="25"/>
      <c r="G24" s="25">
        <f>C24/100*13.1</f>
        <v>247.11839999999995</v>
      </c>
      <c r="H24" s="25"/>
      <c r="I24" s="25"/>
      <c r="J24" s="27">
        <f>C24/100*12</f>
        <v>226.36799999999997</v>
      </c>
      <c r="K24" s="27">
        <f>C24/100*0.15</f>
        <v>2.8295999999999997</v>
      </c>
      <c r="L24" s="138">
        <v>3930</v>
      </c>
      <c r="M24" s="26">
        <v>84</v>
      </c>
      <c r="N24" s="28">
        <f t="shared" si="0"/>
        <v>330120</v>
      </c>
      <c r="O24" s="154"/>
      <c r="Q24" s="3"/>
      <c r="R24" s="3"/>
      <c r="S24" s="4"/>
    </row>
    <row r="25" spans="1:20" s="2" customFormat="1" ht="19.8" customHeight="1">
      <c r="A25" s="9">
        <v>10</v>
      </c>
      <c r="B25" s="10" t="s">
        <v>74</v>
      </c>
      <c r="C25" s="23">
        <f>L25/100*98</f>
        <v>2097.1999999999998</v>
      </c>
      <c r="D25" s="24">
        <f>C25/100*139</f>
        <v>2915.1079999999997</v>
      </c>
      <c r="E25" s="25">
        <f>C25/100*19</f>
        <v>398.46799999999996</v>
      </c>
      <c r="F25" s="25"/>
      <c r="G25" s="25">
        <f>C25/100*7</f>
        <v>146.80399999999997</v>
      </c>
      <c r="H25" s="25"/>
      <c r="I25" s="25"/>
      <c r="J25" s="25">
        <f>C25/100*7</f>
        <v>146.80399999999997</v>
      </c>
      <c r="K25" s="25">
        <f>C25/100*0.9</f>
        <v>18.874799999999997</v>
      </c>
      <c r="L25" s="138">
        <v>2140</v>
      </c>
      <c r="M25" s="75">
        <v>137</v>
      </c>
      <c r="N25" s="28">
        <f t="shared" si="0"/>
        <v>293180</v>
      </c>
      <c r="O25" s="154"/>
    </row>
    <row r="26" spans="1:20" s="2" customFormat="1" ht="19.8" customHeight="1">
      <c r="A26" s="9">
        <v>11</v>
      </c>
      <c r="B26" s="5" t="s">
        <v>3</v>
      </c>
      <c r="C26" s="23">
        <f>L26/100*98</f>
        <v>6811</v>
      </c>
      <c r="D26" s="24">
        <f>C26/100*118</f>
        <v>8036.98</v>
      </c>
      <c r="E26" s="120">
        <f>C26/100*27</f>
        <v>1838.97</v>
      </c>
      <c r="F26" s="25"/>
      <c r="G26" s="25">
        <f>C26/100*3.8</f>
        <v>258.81799999999998</v>
      </c>
      <c r="H26" s="25"/>
      <c r="I26" s="25"/>
      <c r="J26" s="71">
        <f>C26/100*12</f>
        <v>817.31999999999994</v>
      </c>
      <c r="K26" s="71">
        <f>C26/100*0.1</f>
        <v>6.8109999999999999</v>
      </c>
      <c r="L26" s="374">
        <v>6950</v>
      </c>
      <c r="M26" s="77">
        <v>250</v>
      </c>
      <c r="N26" s="125">
        <f t="shared" si="0"/>
        <v>1737500</v>
      </c>
      <c r="O26" s="397"/>
      <c r="Q26" s="3"/>
      <c r="R26" s="3"/>
    </row>
    <row r="27" spans="1:20" s="2" customFormat="1" ht="19.8" customHeight="1">
      <c r="A27" s="9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5"/>
      <c r="K27" s="25"/>
      <c r="L27" s="26"/>
      <c r="M27" s="26"/>
      <c r="N27" s="28">
        <v>16500</v>
      </c>
      <c r="O27" s="154"/>
    </row>
    <row r="28" spans="1:20" s="2" customFormat="1" ht="19.8" customHeight="1">
      <c r="A28" s="21" t="s">
        <v>105</v>
      </c>
      <c r="B28" s="22"/>
      <c r="C28" s="34"/>
      <c r="D28" s="122">
        <f>SUM(D16:D26)</f>
        <v>94259.218200000003</v>
      </c>
      <c r="E28" s="36"/>
      <c r="F28" s="36"/>
      <c r="G28" s="36"/>
      <c r="H28" s="36"/>
      <c r="I28" s="36"/>
      <c r="J28" s="36"/>
      <c r="K28" s="36"/>
      <c r="L28" s="37"/>
      <c r="M28" s="37"/>
      <c r="N28" s="262">
        <f>SUM(N16:N27)</f>
        <v>3145600</v>
      </c>
      <c r="O28" s="154"/>
    </row>
    <row r="29" spans="1:20" s="2" customFormat="1" ht="19.8" customHeight="1">
      <c r="A29" s="21" t="s">
        <v>6</v>
      </c>
      <c r="B29" s="22"/>
      <c r="C29" s="34"/>
      <c r="D29" s="35">
        <f>D28/D10</f>
        <v>440.46363644859815</v>
      </c>
      <c r="E29" s="36"/>
      <c r="F29" s="36"/>
      <c r="G29" s="36"/>
      <c r="H29" s="36"/>
      <c r="I29" s="36"/>
      <c r="J29" s="36"/>
      <c r="K29" s="36"/>
      <c r="L29" s="37"/>
      <c r="M29" s="37"/>
      <c r="N29" s="263"/>
      <c r="O29" s="154"/>
    </row>
    <row r="30" spans="1:20" s="2" customFormat="1" ht="19.8" customHeight="1">
      <c r="A30" s="304" t="s">
        <v>51</v>
      </c>
      <c r="B30" s="207"/>
      <c r="C30" s="375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4"/>
    </row>
    <row r="31" spans="1:20" s="2" customFormat="1" ht="19.8" customHeight="1">
      <c r="A31" s="208"/>
      <c r="B31" s="209"/>
      <c r="C31" s="76" t="s">
        <v>59</v>
      </c>
      <c r="D31" s="20">
        <f>D29*100/1320</f>
        <v>33.368457306711981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4"/>
    </row>
    <row r="32" spans="1:20" s="2" customFormat="1" ht="19.8" customHeight="1">
      <c r="A32" s="276" t="s">
        <v>35</v>
      </c>
      <c r="B32" s="27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4"/>
    </row>
    <row r="33" spans="1:22" s="2" customFormat="1" ht="19.8" customHeight="1">
      <c r="A33" s="15">
        <v>1</v>
      </c>
      <c r="B33" s="6" t="s">
        <v>123</v>
      </c>
      <c r="C33" s="51"/>
      <c r="D33" s="52"/>
      <c r="E33" s="53"/>
      <c r="F33" s="53"/>
      <c r="G33" s="53"/>
      <c r="H33" s="53"/>
      <c r="I33" s="53"/>
      <c r="J33" s="53"/>
      <c r="K33" s="53"/>
      <c r="L33" s="54"/>
      <c r="M33" s="54"/>
      <c r="N33" s="55">
        <v>13750</v>
      </c>
      <c r="O33" s="154"/>
    </row>
    <row r="34" spans="1:22" s="2" customFormat="1" ht="19.8" customHeight="1">
      <c r="A34" s="9">
        <v>2</v>
      </c>
      <c r="B34" s="5" t="s">
        <v>1</v>
      </c>
      <c r="C34" s="23">
        <f t="shared" ref="C34:C39" si="1">L34/100*100</f>
        <v>3210</v>
      </c>
      <c r="D34" s="121">
        <f>C34/100*344</f>
        <v>11042.4</v>
      </c>
      <c r="E34" s="25"/>
      <c r="F34" s="25">
        <f>C34/100*7.9</f>
        <v>253.59000000000003</v>
      </c>
      <c r="G34" s="25"/>
      <c r="H34" s="25">
        <f>C34/100*1</f>
        <v>32.1</v>
      </c>
      <c r="I34" s="25">
        <f>C34/100*72</f>
        <v>2311.2000000000003</v>
      </c>
      <c r="J34" s="27">
        <f>C34/100*30</f>
        <v>963</v>
      </c>
      <c r="K34" s="27">
        <f>C34/100*0.1</f>
        <v>3.2100000000000004</v>
      </c>
      <c r="L34" s="138">
        <v>3210</v>
      </c>
      <c r="M34" s="77">
        <v>18</v>
      </c>
      <c r="N34" s="28">
        <f t="shared" ref="N34:N42" si="2">L34*M34</f>
        <v>57780</v>
      </c>
      <c r="O34" s="397"/>
    </row>
    <row r="35" spans="1:22" s="2" customFormat="1" ht="19.8" customHeight="1">
      <c r="A35" s="9">
        <v>3</v>
      </c>
      <c r="B35" s="5" t="s">
        <v>73</v>
      </c>
      <c r="C35" s="23">
        <f t="shared" si="1"/>
        <v>2140</v>
      </c>
      <c r="D35" s="24">
        <f>C35/100*344</f>
        <v>7361.5999999999995</v>
      </c>
      <c r="E35" s="25"/>
      <c r="F35" s="25">
        <f>C35/100*8.6</f>
        <v>184.04</v>
      </c>
      <c r="G35" s="25"/>
      <c r="H35" s="25">
        <f>C35/100*1.5</f>
        <v>32.099999999999994</v>
      </c>
      <c r="I35" s="25">
        <f>C35/100*74.5</f>
        <v>1594.3</v>
      </c>
      <c r="J35" s="25">
        <f>C35/100*32</f>
        <v>684.8</v>
      </c>
      <c r="K35" s="25">
        <f>C35/100*0.14</f>
        <v>2.996</v>
      </c>
      <c r="L35" s="138">
        <v>2140</v>
      </c>
      <c r="M35" s="75">
        <v>30</v>
      </c>
      <c r="N35" s="28">
        <f t="shared" si="2"/>
        <v>64200</v>
      </c>
      <c r="O35" s="154"/>
      <c r="P35" s="18"/>
    </row>
    <row r="36" spans="1:22" s="2" customFormat="1" ht="19.8" customHeight="1">
      <c r="A36" s="9">
        <v>4</v>
      </c>
      <c r="B36" s="16" t="s">
        <v>2</v>
      </c>
      <c r="C36" s="51">
        <f t="shared" si="1"/>
        <v>260</v>
      </c>
      <c r="D36" s="52">
        <f>C36/100*60</f>
        <v>156</v>
      </c>
      <c r="E36" s="53">
        <f>C36/100*15</f>
        <v>39</v>
      </c>
      <c r="F36" s="53"/>
      <c r="G36" s="53"/>
      <c r="H36" s="53"/>
      <c r="I36" s="53"/>
      <c r="J36" s="97">
        <f>C36/100*387</f>
        <v>1006.2</v>
      </c>
      <c r="K36" s="97">
        <f>C36/100*0.09</f>
        <v>0.23399999999999999</v>
      </c>
      <c r="L36" s="407">
        <v>260</v>
      </c>
      <c r="M36" s="77">
        <v>20</v>
      </c>
      <c r="N36" s="28">
        <f t="shared" si="2"/>
        <v>5200</v>
      </c>
      <c r="O36" s="154"/>
    </row>
    <row r="37" spans="1:22" s="2" customFormat="1" ht="19.8" customHeight="1">
      <c r="A37" s="9">
        <v>5</v>
      </c>
      <c r="B37" s="5" t="s">
        <v>136</v>
      </c>
      <c r="C37" s="23">
        <f t="shared" si="1"/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4">
        <v>130</v>
      </c>
      <c r="M37" s="75">
        <v>50</v>
      </c>
      <c r="N37" s="28">
        <f t="shared" si="2"/>
        <v>6500</v>
      </c>
      <c r="O37" s="154"/>
      <c r="Q37" s="3"/>
      <c r="R37" s="3"/>
      <c r="S37" s="4"/>
      <c r="T37" s="3"/>
    </row>
    <row r="38" spans="1:22" s="2" customFormat="1" ht="19.8" customHeight="1">
      <c r="A38" s="9">
        <v>6</v>
      </c>
      <c r="B38" s="79" t="s">
        <v>141</v>
      </c>
      <c r="C38" s="23">
        <f t="shared" si="1"/>
        <v>1530</v>
      </c>
      <c r="D38" s="121">
        <f>C38/100*899</f>
        <v>13754.7</v>
      </c>
      <c r="E38" s="25"/>
      <c r="F38" s="25"/>
      <c r="G38" s="120">
        <f>C38/100*99.6</f>
        <v>1523.8799999999999</v>
      </c>
      <c r="H38" s="25"/>
      <c r="I38" s="25"/>
      <c r="J38" s="25"/>
      <c r="K38" s="25"/>
      <c r="L38" s="138">
        <v>1530</v>
      </c>
      <c r="M38" s="24">
        <v>68</v>
      </c>
      <c r="N38" s="28">
        <f t="shared" si="2"/>
        <v>104040</v>
      </c>
      <c r="O38" s="376"/>
    </row>
    <row r="39" spans="1:22" s="2" customFormat="1" ht="19.8" customHeight="1">
      <c r="A39" s="9">
        <v>7</v>
      </c>
      <c r="B39" s="149" t="s">
        <v>146</v>
      </c>
      <c r="C39" s="23">
        <f t="shared" si="1"/>
        <v>220.00000000000003</v>
      </c>
      <c r="D39" s="121">
        <f>C39/100*900</f>
        <v>1980.0000000000002</v>
      </c>
      <c r="E39" s="25"/>
      <c r="F39" s="25"/>
      <c r="G39" s="120"/>
      <c r="H39" s="25">
        <f>C39/100*100</f>
        <v>220.00000000000003</v>
      </c>
      <c r="I39" s="25"/>
      <c r="J39" s="25"/>
      <c r="K39" s="25"/>
      <c r="L39" s="138">
        <v>220</v>
      </c>
      <c r="M39" s="75">
        <v>63.5</v>
      </c>
      <c r="N39" s="28">
        <f t="shared" si="2"/>
        <v>13970</v>
      </c>
      <c r="O39" s="376"/>
    </row>
    <row r="40" spans="1:22" s="2" customFormat="1" ht="19.8" customHeight="1">
      <c r="A40" s="9">
        <v>8</v>
      </c>
      <c r="B40" s="5" t="s">
        <v>4</v>
      </c>
      <c r="C40" s="23">
        <f>L40/100*98.5</f>
        <v>2107.8999999999996</v>
      </c>
      <c r="D40" s="24">
        <f>C40/100*39</f>
        <v>822.0809999999999</v>
      </c>
      <c r="E40" s="29"/>
      <c r="F40" s="29">
        <f>C40/100*1.5</f>
        <v>31.618499999999997</v>
      </c>
      <c r="G40" s="29"/>
      <c r="H40" s="29">
        <f>C40/100*0.2</f>
        <v>4.2157999999999998</v>
      </c>
      <c r="I40" s="29">
        <f>C40/100*7.8</f>
        <v>164.41619999999998</v>
      </c>
      <c r="J40" s="71">
        <f>C40/100*43</f>
        <v>906.39699999999982</v>
      </c>
      <c r="K40" s="71">
        <f>C40/100*0.06</f>
        <v>1.2647399999999998</v>
      </c>
      <c r="L40" s="374">
        <v>2140</v>
      </c>
      <c r="M40" s="26">
        <v>17</v>
      </c>
      <c r="N40" s="28">
        <f t="shared" si="2"/>
        <v>36380</v>
      </c>
      <c r="O40" s="154"/>
      <c r="Q40" s="3"/>
      <c r="R40" s="3"/>
      <c r="S40" s="4"/>
    </row>
    <row r="41" spans="1:22" s="2" customFormat="1" ht="19.8" customHeight="1">
      <c r="A41" s="9">
        <v>9</v>
      </c>
      <c r="B41" s="10" t="s">
        <v>64</v>
      </c>
      <c r="C41" s="23">
        <f>L41/100*40</f>
        <v>1992</v>
      </c>
      <c r="D41" s="24">
        <f>C41/100*276</f>
        <v>5497.92</v>
      </c>
      <c r="E41" s="25">
        <f>C41/100*17.8</f>
        <v>354.57600000000002</v>
      </c>
      <c r="F41" s="137"/>
      <c r="G41" s="25">
        <f>C41/100*21.8</f>
        <v>434.25600000000003</v>
      </c>
      <c r="H41" s="25"/>
      <c r="I41" s="25"/>
      <c r="J41" s="27">
        <f>C41/100*13</f>
        <v>258.96000000000004</v>
      </c>
      <c r="K41" s="27">
        <f>C41/100*0.07</f>
        <v>1.3944000000000003</v>
      </c>
      <c r="L41" s="138">
        <v>4980</v>
      </c>
      <c r="M41" s="75">
        <v>63</v>
      </c>
      <c r="N41" s="136">
        <f t="shared" si="2"/>
        <v>313740</v>
      </c>
      <c r="O41" s="154"/>
    </row>
    <row r="42" spans="1:22" s="2" customFormat="1" ht="19.8" customHeight="1">
      <c r="A42" s="104">
        <v>10</v>
      </c>
      <c r="B42" s="157" t="s">
        <v>149</v>
      </c>
      <c r="C42" s="105">
        <f>L42/100*100</f>
        <v>3640</v>
      </c>
      <c r="D42" s="171">
        <f>C42/100*487</f>
        <v>17726.8</v>
      </c>
      <c r="E42" s="107"/>
      <c r="F42" s="107">
        <f>C42/100*19.5</f>
        <v>709.8</v>
      </c>
      <c r="G42" s="107"/>
      <c r="H42" s="107">
        <f>C42/100*23.2</f>
        <v>844.4799999999999</v>
      </c>
      <c r="I42" s="107">
        <f>C42/100*46</f>
        <v>1674.3999999999999</v>
      </c>
      <c r="J42" s="148">
        <f>C42/100*680</f>
        <v>24752</v>
      </c>
      <c r="K42" s="107">
        <f>C42/100*0.55</f>
        <v>20.02</v>
      </c>
      <c r="L42" s="108">
        <v>3640</v>
      </c>
      <c r="M42" s="158">
        <v>260</v>
      </c>
      <c r="N42" s="109">
        <f t="shared" si="2"/>
        <v>946400</v>
      </c>
      <c r="O42" s="154"/>
      <c r="P42" s="3"/>
    </row>
    <row r="43" spans="1:22" ht="21.6" customHeight="1">
      <c r="A43" s="186" t="s">
        <v>0</v>
      </c>
      <c r="B43" s="196" t="s">
        <v>19</v>
      </c>
      <c r="C43" s="199" t="s">
        <v>8</v>
      </c>
      <c r="D43" s="199" t="s">
        <v>9</v>
      </c>
      <c r="E43" s="189" t="s">
        <v>11</v>
      </c>
      <c r="F43" s="190"/>
      <c r="G43" s="189" t="s">
        <v>13</v>
      </c>
      <c r="H43" s="190"/>
      <c r="I43" s="193" t="s">
        <v>16</v>
      </c>
      <c r="J43" s="193" t="s">
        <v>41</v>
      </c>
      <c r="K43" s="193" t="s">
        <v>42</v>
      </c>
      <c r="L43" s="193" t="s">
        <v>17</v>
      </c>
      <c r="M43" s="193" t="s">
        <v>40</v>
      </c>
      <c r="N43" s="186" t="s">
        <v>18</v>
      </c>
      <c r="O43" s="373"/>
    </row>
    <row r="44" spans="1:22" ht="21.6" customHeight="1">
      <c r="A44" s="187"/>
      <c r="B44" s="197"/>
      <c r="C44" s="200"/>
      <c r="D44" s="200"/>
      <c r="E44" s="191"/>
      <c r="F44" s="192"/>
      <c r="G44" s="191"/>
      <c r="H44" s="192"/>
      <c r="I44" s="194"/>
      <c r="J44" s="194"/>
      <c r="K44" s="194"/>
      <c r="L44" s="194"/>
      <c r="M44" s="194"/>
      <c r="N44" s="187"/>
      <c r="O44" s="174"/>
    </row>
    <row r="45" spans="1:22" ht="21.6" customHeight="1">
      <c r="A45" s="187"/>
      <c r="B45" s="197"/>
      <c r="C45" s="200"/>
      <c r="D45" s="200"/>
      <c r="E45" s="193" t="s">
        <v>10</v>
      </c>
      <c r="F45" s="193" t="s">
        <v>12</v>
      </c>
      <c r="G45" s="193" t="s">
        <v>14</v>
      </c>
      <c r="H45" s="193" t="s">
        <v>15</v>
      </c>
      <c r="I45" s="194"/>
      <c r="J45" s="194"/>
      <c r="K45" s="194"/>
      <c r="L45" s="194"/>
      <c r="M45" s="194"/>
      <c r="N45" s="187"/>
      <c r="O45" s="174"/>
    </row>
    <row r="46" spans="1:22" ht="21.6" customHeight="1">
      <c r="A46" s="188"/>
      <c r="B46" s="198"/>
      <c r="C46" s="201"/>
      <c r="D46" s="201"/>
      <c r="E46" s="195"/>
      <c r="F46" s="195"/>
      <c r="G46" s="195"/>
      <c r="H46" s="195"/>
      <c r="I46" s="195"/>
      <c r="J46" s="195"/>
      <c r="K46" s="195"/>
      <c r="L46" s="195"/>
      <c r="M46" s="195"/>
      <c r="N46" s="188"/>
      <c r="O46" s="174"/>
    </row>
    <row r="47" spans="1:22" s="2" customFormat="1" ht="21.6" customHeight="1">
      <c r="A47" s="21" t="s">
        <v>106</v>
      </c>
      <c r="B47" s="22"/>
      <c r="C47" s="34"/>
      <c r="D47" s="122">
        <f>SUM(D33:D42)</f>
        <v>58662.600999999995</v>
      </c>
      <c r="E47" s="43"/>
      <c r="F47" s="43"/>
      <c r="G47" s="43"/>
      <c r="H47" s="43"/>
      <c r="I47" s="43"/>
      <c r="J47" s="43"/>
      <c r="K47" s="43"/>
      <c r="L47" s="44"/>
      <c r="M47" s="44"/>
      <c r="N47" s="264">
        <f>SUM(N33:N42)</f>
        <v>1561960</v>
      </c>
      <c r="O47" s="154"/>
    </row>
    <row r="48" spans="1:22" ht="21.6" customHeight="1">
      <c r="A48" s="21" t="s">
        <v>7</v>
      </c>
      <c r="B48" s="22"/>
      <c r="C48" s="45"/>
      <c r="D48" s="72">
        <f>D47/D10</f>
        <v>274.12430373831774</v>
      </c>
      <c r="E48" s="46"/>
      <c r="F48" s="46"/>
      <c r="G48" s="46"/>
      <c r="H48" s="46"/>
      <c r="I48" s="46"/>
      <c r="J48" s="46"/>
      <c r="K48" s="46"/>
      <c r="L48" s="47"/>
      <c r="M48" s="47"/>
      <c r="N48" s="265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304" t="s">
        <v>52</v>
      </c>
      <c r="B49" s="207"/>
      <c r="C49" s="375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5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208"/>
      <c r="B50" s="209"/>
      <c r="C50" s="76" t="s">
        <v>60</v>
      </c>
      <c r="D50" s="20">
        <f>D48*100/1320</f>
        <v>20.766992707448313</v>
      </c>
      <c r="E50" s="46"/>
      <c r="F50" s="46"/>
      <c r="G50" s="46"/>
      <c r="H50" s="46"/>
      <c r="I50" s="46"/>
      <c r="J50" s="48"/>
      <c r="K50" s="48"/>
      <c r="L50" s="47"/>
      <c r="M50" s="47"/>
      <c r="N50" s="175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23" t="s">
        <v>113</v>
      </c>
      <c r="B51" s="224"/>
      <c r="C51" s="227"/>
      <c r="D51" s="305">
        <f>D28+D47</f>
        <v>152921.8192</v>
      </c>
      <c r="E51" s="124">
        <f t="shared" ref="E51:K51" si="3">SUM(E16:E42)</f>
        <v>3055.9531999999999</v>
      </c>
      <c r="F51" s="124">
        <f t="shared" si="3"/>
        <v>2920.5994799999999</v>
      </c>
      <c r="G51" s="124">
        <f t="shared" si="3"/>
        <v>3250.8763999999996</v>
      </c>
      <c r="H51" s="124">
        <f t="shared" si="3"/>
        <v>1357.00576</v>
      </c>
      <c r="I51" s="212">
        <f t="shared" si="3"/>
        <v>21192.493159999998</v>
      </c>
      <c r="J51" s="210">
        <f t="shared" si="3"/>
        <v>40027.804399999994</v>
      </c>
      <c r="K51" s="210">
        <f t="shared" si="3"/>
        <v>84.445576000000003</v>
      </c>
      <c r="L51" s="210"/>
      <c r="M51" s="210"/>
      <c r="N51" s="254">
        <f>N28+N47</f>
        <v>4707560</v>
      </c>
      <c r="U51" s="12"/>
      <c r="V51" s="12"/>
    </row>
    <row r="52" spans="1:23" ht="21.6" customHeight="1">
      <c r="A52" s="225"/>
      <c r="B52" s="226"/>
      <c r="C52" s="228"/>
      <c r="D52" s="306"/>
      <c r="E52" s="221">
        <f>E51+F51</f>
        <v>5976.5526799999998</v>
      </c>
      <c r="F52" s="222"/>
      <c r="G52" s="221">
        <f>G51+H51</f>
        <v>4607.8821599999992</v>
      </c>
      <c r="H52" s="222"/>
      <c r="I52" s="213"/>
      <c r="J52" s="211"/>
      <c r="K52" s="211"/>
      <c r="L52" s="307"/>
      <c r="M52" s="307"/>
      <c r="N52" s="255"/>
      <c r="Q52" s="370"/>
      <c r="R52" s="370"/>
      <c r="S52" s="370"/>
      <c r="T52" s="370"/>
      <c r="U52" s="385"/>
      <c r="V52" s="385"/>
      <c r="W52" s="1">
        <f>Q52+S52+U52</f>
        <v>0</v>
      </c>
    </row>
    <row r="53" spans="1:23" ht="21.6" customHeight="1">
      <c r="A53" s="270" t="s">
        <v>77</v>
      </c>
      <c r="B53" s="271"/>
      <c r="C53" s="272"/>
      <c r="D53" s="135">
        <f>D51/D10</f>
        <v>714.58794018691583</v>
      </c>
      <c r="E53" s="380">
        <f>E51/D10</f>
        <v>14.280155140186915</v>
      </c>
      <c r="F53" s="381">
        <f>F51/D10</f>
        <v>13.647661121495327</v>
      </c>
      <c r="G53" s="380">
        <f>G51/D10</f>
        <v>15.191011214953269</v>
      </c>
      <c r="H53" s="382">
        <f>H51/D10</f>
        <v>6.3411484112149532</v>
      </c>
      <c r="I53" s="204">
        <f>I51/D10</f>
        <v>99.030341869158875</v>
      </c>
      <c r="J53" s="302">
        <f>J51/D10</f>
        <v>187.04581495327099</v>
      </c>
      <c r="K53" s="302">
        <f>K51/D10</f>
        <v>0.39460549532710282</v>
      </c>
      <c r="L53" s="307"/>
      <c r="M53" s="307"/>
      <c r="N53" s="255"/>
      <c r="P53" s="388"/>
      <c r="Q53" s="370"/>
      <c r="R53" s="370"/>
      <c r="S53" s="370"/>
      <c r="T53" s="370"/>
      <c r="U53" s="370"/>
      <c r="V53" s="370"/>
    </row>
    <row r="54" spans="1:23" ht="21.6" customHeight="1">
      <c r="A54" s="273"/>
      <c r="B54" s="274"/>
      <c r="C54" s="275"/>
      <c r="D54" s="128"/>
      <c r="E54" s="383">
        <f>E53+F53</f>
        <v>27.927816261682242</v>
      </c>
      <c r="F54" s="384"/>
      <c r="G54" s="383">
        <f>G53+H53</f>
        <v>21.532159626168223</v>
      </c>
      <c r="H54" s="384"/>
      <c r="I54" s="205"/>
      <c r="J54" s="303"/>
      <c r="K54" s="303"/>
      <c r="L54" s="307"/>
      <c r="M54" s="307"/>
      <c r="N54" s="255"/>
    </row>
    <row r="55" spans="1:23" ht="21.6" customHeight="1">
      <c r="A55" s="316" t="s">
        <v>80</v>
      </c>
      <c r="B55" s="317"/>
      <c r="C55" s="318"/>
      <c r="D55" s="179" t="s">
        <v>28</v>
      </c>
      <c r="E55" s="231" t="s">
        <v>21</v>
      </c>
      <c r="F55" s="231"/>
      <c r="G55" s="231" t="s">
        <v>22</v>
      </c>
      <c r="H55" s="231"/>
      <c r="I55" s="176" t="s">
        <v>23</v>
      </c>
      <c r="J55" s="386">
        <v>600</v>
      </c>
      <c r="K55" s="386">
        <v>0.7</v>
      </c>
      <c r="L55" s="307"/>
      <c r="M55" s="307"/>
      <c r="N55" s="255"/>
      <c r="O55" s="387"/>
    </row>
    <row r="56" spans="1:23" ht="21.6" customHeight="1">
      <c r="A56" s="214" t="s">
        <v>78</v>
      </c>
      <c r="B56" s="215"/>
      <c r="C56" s="216"/>
      <c r="D56" s="49"/>
      <c r="E56" s="202">
        <f>E54*4.1</f>
        <v>114.50404667289719</v>
      </c>
      <c r="F56" s="203"/>
      <c r="G56" s="202">
        <f>G54*9</f>
        <v>193.78943663551399</v>
      </c>
      <c r="H56" s="203"/>
      <c r="I56" s="85">
        <f>I53*4.1</f>
        <v>406.02440166355137</v>
      </c>
      <c r="J56" s="249"/>
      <c r="K56" s="249"/>
      <c r="L56" s="307"/>
      <c r="M56" s="307"/>
      <c r="N56" s="255"/>
      <c r="O56" s="387"/>
      <c r="P56" s="379"/>
      <c r="Q56" s="369"/>
      <c r="R56" s="369"/>
      <c r="S56" s="369"/>
      <c r="T56" s="96"/>
    </row>
    <row r="57" spans="1:23" ht="21.6" customHeight="1">
      <c r="A57" s="217" t="s">
        <v>81</v>
      </c>
      <c r="B57" s="218"/>
      <c r="C57" s="214" t="s">
        <v>59</v>
      </c>
      <c r="D57" s="216"/>
      <c r="E57" s="251">
        <f>E56*100/D53</f>
        <v>16.023786609517394</v>
      </c>
      <c r="F57" s="252"/>
      <c r="G57" s="251">
        <f>G56*100/D53</f>
        <v>27.119046619345998</v>
      </c>
      <c r="H57" s="252"/>
      <c r="I57" s="117">
        <f>I56*100/D53</f>
        <v>56.819375031342815</v>
      </c>
      <c r="J57" s="250"/>
      <c r="K57" s="250"/>
      <c r="L57" s="307"/>
      <c r="M57" s="307"/>
      <c r="N57" s="255"/>
      <c r="O57" s="387"/>
      <c r="P57" s="142"/>
      <c r="Q57" s="142"/>
      <c r="R57" s="142"/>
      <c r="S57" s="142"/>
    </row>
    <row r="58" spans="1:23" ht="18" customHeight="1">
      <c r="A58" s="219"/>
      <c r="B58" s="220"/>
      <c r="C58" s="214" t="s">
        <v>79</v>
      </c>
      <c r="D58" s="216"/>
      <c r="E58" s="214" t="s">
        <v>82</v>
      </c>
      <c r="F58" s="216"/>
      <c r="G58" s="214" t="s">
        <v>83</v>
      </c>
      <c r="H58" s="216"/>
      <c r="I58" s="179" t="s">
        <v>84</v>
      </c>
      <c r="J58" s="230"/>
      <c r="K58" s="230"/>
      <c r="L58" s="211"/>
      <c r="M58" s="211"/>
      <c r="N58" s="256"/>
      <c r="O58" s="387"/>
    </row>
    <row r="59" spans="1:23" ht="21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7"/>
      <c r="P59" s="133"/>
    </row>
    <row r="60" spans="1:23" ht="21" customHeight="1">
      <c r="A60" s="296" t="s">
        <v>114</v>
      </c>
      <c r="B60" s="296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387"/>
    </row>
    <row r="61" spans="1:23" ht="21" customHeight="1">
      <c r="A61" s="118" t="s">
        <v>115</v>
      </c>
      <c r="B61" s="297" t="s">
        <v>116</v>
      </c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387"/>
    </row>
    <row r="62" spans="1:23" ht="21" customHeight="1">
      <c r="A62" s="119"/>
      <c r="B62" s="257" t="s">
        <v>211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387"/>
    </row>
    <row r="63" spans="1:23" ht="21" customHeight="1">
      <c r="A63" s="119"/>
      <c r="B63" s="257" t="s">
        <v>212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387"/>
    </row>
    <row r="64" spans="1:23" ht="21" customHeight="1">
      <c r="A64" s="119"/>
      <c r="B64" s="257" t="s">
        <v>191</v>
      </c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387"/>
    </row>
    <row r="65" spans="1:15" ht="21" customHeight="1">
      <c r="A65" s="90"/>
      <c r="B65" s="258" t="s">
        <v>117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387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7"/>
    </row>
    <row r="67" spans="1:15" ht="22.2" customHeight="1">
      <c r="A67" s="259" t="s">
        <v>62</v>
      </c>
      <c r="B67" s="259"/>
      <c r="C67" s="259"/>
      <c r="D67" s="259"/>
      <c r="E67" s="389"/>
      <c r="F67" s="389"/>
      <c r="G67" s="389"/>
      <c r="H67" s="389"/>
      <c r="I67" s="389"/>
      <c r="J67" s="390" t="s">
        <v>33</v>
      </c>
      <c r="K67" s="390"/>
      <c r="L67" s="390"/>
      <c r="M67" s="390"/>
      <c r="N67" s="390"/>
      <c r="O67" s="387"/>
    </row>
    <row r="68" spans="1:15" ht="22.2" customHeight="1">
      <c r="A68" s="174"/>
      <c r="B68" s="174"/>
      <c r="C68" s="174"/>
      <c r="D68" s="389"/>
      <c r="E68" s="389"/>
      <c r="F68" s="389"/>
      <c r="G68" s="389"/>
      <c r="H68" s="391"/>
      <c r="I68" s="391"/>
      <c r="J68" s="391"/>
      <c r="K68" s="391"/>
      <c r="L68" s="391"/>
      <c r="M68" s="391"/>
      <c r="N68" s="391"/>
      <c r="O68" s="387"/>
    </row>
    <row r="69" spans="1:15" ht="22.2" customHeight="1">
      <c r="A69" s="174"/>
      <c r="B69" s="174"/>
      <c r="C69" s="174"/>
      <c r="D69" s="389"/>
      <c r="E69" s="389"/>
      <c r="F69" s="389"/>
      <c r="G69" s="389"/>
      <c r="H69" s="391"/>
      <c r="I69" s="391"/>
      <c r="J69" s="391"/>
      <c r="K69" s="391"/>
      <c r="L69" s="391"/>
      <c r="M69" s="391"/>
      <c r="N69" s="391"/>
      <c r="O69" s="387"/>
    </row>
    <row r="70" spans="1:15" ht="22.2" customHeight="1">
      <c r="A70" s="174"/>
      <c r="B70" s="174"/>
      <c r="C70" s="174"/>
      <c r="D70" s="389"/>
      <c r="E70" s="389"/>
      <c r="F70" s="389"/>
      <c r="G70" s="389"/>
      <c r="H70" s="391"/>
      <c r="I70" s="391"/>
      <c r="J70" s="392" t="s">
        <v>124</v>
      </c>
      <c r="K70" s="392"/>
      <c r="L70" s="392"/>
      <c r="M70" s="392"/>
      <c r="N70" s="392"/>
      <c r="O70" s="387"/>
    </row>
    <row r="71" spans="1:15" ht="22.2" customHeight="1">
      <c r="A71" s="260" t="s">
        <v>91</v>
      </c>
      <c r="B71" s="260"/>
      <c r="C71" s="260"/>
      <c r="D71" s="260"/>
      <c r="E71" s="389"/>
      <c r="F71" s="389"/>
      <c r="G71" s="389"/>
      <c r="H71" s="391"/>
      <c r="I71" s="391"/>
      <c r="J71" s="392"/>
      <c r="K71" s="392"/>
      <c r="L71" s="392"/>
      <c r="M71" s="392"/>
      <c r="N71" s="392"/>
      <c r="O71" s="387"/>
    </row>
    <row r="72" spans="1:15" ht="22.2" customHeight="1">
      <c r="A72" s="174"/>
      <c r="B72" s="174"/>
      <c r="C72" s="174"/>
      <c r="D72" s="389"/>
      <c r="E72" s="389"/>
      <c r="F72" s="389"/>
      <c r="G72" s="389"/>
      <c r="H72" s="391"/>
      <c r="I72" s="391"/>
      <c r="J72" s="391"/>
      <c r="K72" s="391"/>
      <c r="L72" s="391"/>
      <c r="M72" s="391"/>
      <c r="N72" s="391"/>
      <c r="O72" s="387"/>
    </row>
    <row r="73" spans="1:15" ht="18" customHeight="1">
      <c r="A73" s="174"/>
      <c r="B73" s="174"/>
      <c r="C73" s="174"/>
      <c r="D73" s="389"/>
      <c r="E73" s="389"/>
      <c r="F73" s="389"/>
      <c r="G73" s="389"/>
      <c r="H73" s="391"/>
      <c r="I73" s="391"/>
      <c r="J73" s="392" t="s">
        <v>127</v>
      </c>
      <c r="K73" s="392"/>
      <c r="L73" s="392"/>
      <c r="M73" s="392"/>
      <c r="N73" s="392"/>
      <c r="O73" s="387"/>
    </row>
    <row r="74" spans="1:15" ht="18" customHeight="1">
      <c r="A74" s="174"/>
      <c r="B74" s="174"/>
      <c r="C74" s="174"/>
      <c r="D74" s="389"/>
      <c r="E74" s="389"/>
      <c r="F74" s="389"/>
      <c r="G74" s="389"/>
      <c r="H74" s="391"/>
      <c r="I74" s="391"/>
      <c r="J74" s="392"/>
      <c r="K74" s="392"/>
      <c r="L74" s="392"/>
      <c r="M74" s="392"/>
      <c r="N74" s="392"/>
      <c r="O74" s="387"/>
    </row>
    <row r="75" spans="1:15" ht="18" customHeight="1">
      <c r="A75" s="174"/>
      <c r="B75" s="174"/>
      <c r="C75" s="174"/>
      <c r="D75" s="389"/>
      <c r="E75" s="389"/>
      <c r="F75" s="389"/>
      <c r="G75" s="389"/>
      <c r="H75" s="391"/>
      <c r="I75" s="391"/>
      <c r="J75" s="391"/>
      <c r="K75" s="391"/>
      <c r="L75" s="391"/>
      <c r="M75" s="391"/>
      <c r="N75" s="391"/>
      <c r="O75" s="387"/>
    </row>
    <row r="76" spans="1:15" ht="18" customHeight="1">
      <c r="A76" s="174"/>
      <c r="B76" s="174"/>
      <c r="C76" s="174"/>
      <c r="D76" s="389"/>
      <c r="E76" s="389"/>
      <c r="F76" s="389"/>
      <c r="G76" s="389"/>
      <c r="H76" s="391"/>
      <c r="I76" s="391"/>
      <c r="J76" s="391"/>
      <c r="K76" s="391"/>
      <c r="L76" s="391"/>
      <c r="M76" s="391"/>
      <c r="N76" s="391"/>
      <c r="O76" s="387"/>
    </row>
    <row r="77" spans="1:15" ht="18" customHeight="1">
      <c r="A77" s="174"/>
      <c r="B77" s="174"/>
      <c r="C77" s="174"/>
      <c r="D77" s="389"/>
      <c r="E77" s="389"/>
      <c r="F77" s="389"/>
      <c r="G77" s="389"/>
      <c r="H77" s="391"/>
      <c r="I77" s="391"/>
      <c r="J77" s="391"/>
      <c r="K77" s="391"/>
      <c r="L77" s="391"/>
      <c r="M77" s="391"/>
      <c r="N77" s="391"/>
      <c r="O77" s="387"/>
    </row>
    <row r="78" spans="1:15" ht="18" customHeight="1">
      <c r="A78" s="174"/>
      <c r="B78" s="174"/>
      <c r="C78" s="174"/>
      <c r="D78" s="389"/>
      <c r="E78" s="389"/>
      <c r="F78" s="389"/>
      <c r="G78" s="389"/>
      <c r="H78" s="391"/>
      <c r="I78" s="391"/>
      <c r="J78" s="391"/>
      <c r="K78" s="391"/>
      <c r="L78" s="391"/>
      <c r="M78" s="391"/>
      <c r="N78" s="391"/>
      <c r="O78" s="387"/>
    </row>
    <row r="79" spans="1:15" ht="18" customHeight="1">
      <c r="A79" s="174"/>
      <c r="B79" s="174"/>
      <c r="C79" s="174"/>
      <c r="D79" s="389"/>
      <c r="E79" s="389"/>
      <c r="F79" s="389"/>
      <c r="G79" s="389"/>
      <c r="H79" s="391"/>
      <c r="I79" s="391"/>
      <c r="J79" s="391"/>
      <c r="K79" s="391"/>
      <c r="L79" s="391"/>
      <c r="M79" s="391"/>
      <c r="N79" s="391"/>
      <c r="O79" s="387"/>
    </row>
    <row r="80" spans="1:15" ht="18" customHeight="1">
      <c r="A80" s="174"/>
      <c r="B80" s="174"/>
      <c r="C80" s="174"/>
      <c r="D80" s="389"/>
      <c r="E80" s="389"/>
      <c r="F80" s="389"/>
      <c r="G80" s="389"/>
      <c r="H80" s="391"/>
      <c r="I80" s="391"/>
      <c r="J80" s="391"/>
      <c r="K80" s="391"/>
      <c r="L80" s="391"/>
      <c r="M80" s="391"/>
      <c r="N80" s="391"/>
      <c r="O80" s="387"/>
    </row>
    <row r="81" spans="1:20" ht="18" customHeight="1">
      <c r="A81" s="174"/>
      <c r="B81" s="174"/>
      <c r="C81" s="174"/>
      <c r="D81" s="389"/>
      <c r="E81" s="389"/>
      <c r="F81" s="389"/>
      <c r="G81" s="389"/>
      <c r="H81" s="391"/>
      <c r="I81" s="391"/>
      <c r="J81" s="391"/>
      <c r="K81" s="391"/>
      <c r="L81" s="391"/>
      <c r="M81" s="391"/>
      <c r="N81" s="391"/>
      <c r="O81" s="387"/>
    </row>
    <row r="82" spans="1:20" ht="19.2" customHeight="1">
      <c r="A82" s="174"/>
      <c r="B82" s="174"/>
      <c r="C82" s="174"/>
      <c r="D82" s="389"/>
      <c r="E82" s="389"/>
      <c r="F82" s="389"/>
      <c r="G82" s="389"/>
      <c r="H82" s="391"/>
      <c r="I82" s="391"/>
      <c r="J82" s="391"/>
      <c r="K82" s="391"/>
      <c r="L82" s="391"/>
      <c r="M82" s="391"/>
      <c r="N82" s="391"/>
      <c r="O82" s="387"/>
    </row>
    <row r="83" spans="1:20" ht="19.2" customHeight="1">
      <c r="A83" s="11" t="s">
        <v>61</v>
      </c>
      <c r="B83" s="8"/>
      <c r="C83" s="8"/>
      <c r="D83" s="8"/>
      <c r="E83" s="8"/>
      <c r="F83" s="184" t="s">
        <v>32</v>
      </c>
      <c r="G83" s="184"/>
      <c r="H83" s="184"/>
      <c r="I83" s="184"/>
      <c r="J83" s="184"/>
      <c r="K83" s="184"/>
      <c r="L83" s="184"/>
      <c r="M83" s="184"/>
      <c r="N83" s="184"/>
      <c r="O83" s="371"/>
      <c r="P83" s="371"/>
      <c r="T83" s="2"/>
    </row>
    <row r="84" spans="1:20" ht="11.4" customHeight="1">
      <c r="A84" s="11"/>
      <c r="B84" s="8"/>
      <c r="C84" s="8"/>
      <c r="D84" s="8"/>
      <c r="E84" s="8"/>
      <c r="F84" s="178"/>
      <c r="G84" s="178"/>
      <c r="H84" s="178"/>
      <c r="I84" s="178"/>
      <c r="J84" s="178"/>
      <c r="K84" s="178"/>
      <c r="L84" s="178"/>
      <c r="M84" s="178"/>
      <c r="N84" s="178"/>
      <c r="O84" s="371"/>
      <c r="P84" s="371"/>
      <c r="T84" s="2"/>
    </row>
    <row r="85" spans="1:20" ht="19.2" customHeight="1">
      <c r="A85" s="8" t="s">
        <v>201</v>
      </c>
      <c r="B85" s="8"/>
      <c r="C85" s="8"/>
      <c r="D85" s="8"/>
      <c r="E85" s="8"/>
      <c r="F85" s="178"/>
      <c r="G85" s="178"/>
      <c r="H85" s="178"/>
      <c r="I85" s="178"/>
      <c r="J85" s="178"/>
      <c r="K85" s="178"/>
      <c r="L85" s="178"/>
      <c r="M85" s="178"/>
      <c r="N85" s="178"/>
      <c r="O85" s="371"/>
      <c r="P85" s="371"/>
      <c r="T85" s="2"/>
    </row>
    <row r="86" spans="1:20" ht="10.8" customHeight="1">
      <c r="A86" s="8"/>
      <c r="B86" s="8"/>
      <c r="C86" s="8"/>
      <c r="D86" s="8"/>
      <c r="E86" s="8"/>
      <c r="F86" s="178"/>
      <c r="G86" s="178"/>
      <c r="H86" s="178"/>
      <c r="I86" s="178"/>
      <c r="J86" s="178"/>
      <c r="K86" s="178"/>
      <c r="L86" s="178"/>
      <c r="M86" s="178"/>
      <c r="N86" s="178"/>
      <c r="O86" s="371"/>
      <c r="P86" s="371"/>
      <c r="T86" s="2"/>
    </row>
    <row r="87" spans="1:20" s="2" customFormat="1" ht="19.2" customHeight="1">
      <c r="A87" s="231" t="s">
        <v>97</v>
      </c>
      <c r="B87" s="231"/>
      <c r="C87" s="231"/>
      <c r="D87" s="231"/>
      <c r="E87" s="231" t="s">
        <v>89</v>
      </c>
      <c r="F87" s="231"/>
      <c r="G87" s="231"/>
      <c r="H87" s="231"/>
      <c r="I87" s="231"/>
      <c r="J87" s="231"/>
      <c r="K87" s="231"/>
      <c r="L87" s="231"/>
      <c r="M87" s="231"/>
      <c r="N87" s="231"/>
      <c r="O87" s="372"/>
    </row>
    <row r="88" spans="1:20" s="2" customFormat="1" ht="19.2" customHeight="1">
      <c r="A88" s="231"/>
      <c r="B88" s="231"/>
      <c r="C88" s="231"/>
      <c r="D88" s="231"/>
      <c r="E88" s="231" t="s">
        <v>100</v>
      </c>
      <c r="F88" s="231"/>
      <c r="G88" s="231"/>
      <c r="H88" s="231"/>
      <c r="I88" s="231"/>
      <c r="J88" s="231" t="s">
        <v>101</v>
      </c>
      <c r="K88" s="231"/>
      <c r="L88" s="231"/>
      <c r="M88" s="231"/>
      <c r="N88" s="231"/>
      <c r="O88" s="372"/>
    </row>
    <row r="89" spans="1:20" s="2" customFormat="1" ht="19.2" customHeight="1">
      <c r="A89" s="268" t="s">
        <v>90</v>
      </c>
      <c r="B89" s="268"/>
      <c r="C89" s="268"/>
      <c r="D89" s="268"/>
      <c r="E89" s="269" t="s">
        <v>148</v>
      </c>
      <c r="F89" s="269"/>
      <c r="G89" s="269"/>
      <c r="H89" s="269"/>
      <c r="I89" s="269"/>
      <c r="J89" s="268" t="s">
        <v>90</v>
      </c>
      <c r="K89" s="268"/>
      <c r="L89" s="268"/>
      <c r="M89" s="268"/>
      <c r="N89" s="268"/>
      <c r="O89" s="372"/>
    </row>
    <row r="90" spans="1:20" s="2" customFormat="1" ht="19.2" customHeight="1">
      <c r="A90" s="183" t="s">
        <v>134</v>
      </c>
      <c r="B90" s="183"/>
      <c r="C90" s="183"/>
      <c r="D90" s="183"/>
      <c r="E90" s="269"/>
      <c r="F90" s="269"/>
      <c r="G90" s="269"/>
      <c r="H90" s="269"/>
      <c r="I90" s="269"/>
      <c r="J90" s="183" t="s">
        <v>150</v>
      </c>
      <c r="K90" s="183"/>
      <c r="L90" s="183"/>
      <c r="M90" s="183"/>
      <c r="N90" s="183"/>
      <c r="O90" s="372"/>
    </row>
    <row r="91" spans="1:20" s="2" customFormat="1" ht="19.2" customHeight="1">
      <c r="A91" s="277" t="s">
        <v>166</v>
      </c>
      <c r="B91" s="277"/>
      <c r="C91" s="277"/>
      <c r="D91" s="277"/>
      <c r="E91" s="269"/>
      <c r="F91" s="269"/>
      <c r="G91" s="269"/>
      <c r="H91" s="269"/>
      <c r="I91" s="269"/>
      <c r="J91" s="277" t="s">
        <v>95</v>
      </c>
      <c r="K91" s="277"/>
      <c r="L91" s="277"/>
      <c r="M91" s="277"/>
      <c r="N91" s="277"/>
      <c r="O91" s="372"/>
    </row>
    <row r="92" spans="1:20" ht="19.2" customHeight="1">
      <c r="A92" s="278" t="s">
        <v>122</v>
      </c>
      <c r="B92" s="279"/>
      <c r="C92" s="280"/>
      <c r="D92" s="129">
        <v>52</v>
      </c>
      <c r="E92" s="8"/>
      <c r="F92" s="178"/>
      <c r="G92" s="178"/>
      <c r="H92" s="178"/>
      <c r="I92" s="178"/>
      <c r="J92" s="178"/>
      <c r="K92" s="178"/>
      <c r="L92" s="178"/>
      <c r="M92" s="178"/>
      <c r="N92" s="178"/>
      <c r="O92" s="371"/>
      <c r="P92" s="371"/>
      <c r="T92" s="2"/>
    </row>
    <row r="93" spans="1:20" ht="19.2" customHeight="1">
      <c r="A93" s="186" t="s">
        <v>0</v>
      </c>
      <c r="B93" s="196" t="s">
        <v>19</v>
      </c>
      <c r="C93" s="199" t="s">
        <v>8</v>
      </c>
      <c r="D93" s="199" t="s">
        <v>9</v>
      </c>
      <c r="E93" s="189" t="s">
        <v>11</v>
      </c>
      <c r="F93" s="190"/>
      <c r="G93" s="189" t="s">
        <v>13</v>
      </c>
      <c r="H93" s="190"/>
      <c r="I93" s="193" t="s">
        <v>16</v>
      </c>
      <c r="J93" s="193" t="s">
        <v>41</v>
      </c>
      <c r="K93" s="193" t="s">
        <v>42</v>
      </c>
      <c r="L93" s="193" t="s">
        <v>17</v>
      </c>
      <c r="M93" s="193" t="s">
        <v>40</v>
      </c>
      <c r="N93" s="186" t="s">
        <v>18</v>
      </c>
      <c r="O93" s="373"/>
    </row>
    <row r="94" spans="1:20" ht="19.2" customHeight="1">
      <c r="A94" s="187"/>
      <c r="B94" s="197"/>
      <c r="C94" s="200"/>
      <c r="D94" s="200"/>
      <c r="E94" s="191"/>
      <c r="F94" s="192"/>
      <c r="G94" s="191"/>
      <c r="H94" s="192"/>
      <c r="I94" s="194"/>
      <c r="J94" s="194"/>
      <c r="K94" s="194"/>
      <c r="L94" s="194"/>
      <c r="M94" s="194"/>
      <c r="N94" s="187"/>
      <c r="O94" s="174"/>
    </row>
    <row r="95" spans="1:20" ht="19.2" customHeight="1">
      <c r="A95" s="187"/>
      <c r="B95" s="197"/>
      <c r="C95" s="200"/>
      <c r="D95" s="200"/>
      <c r="E95" s="193" t="s">
        <v>10</v>
      </c>
      <c r="F95" s="193" t="s">
        <v>12</v>
      </c>
      <c r="G95" s="193" t="s">
        <v>14</v>
      </c>
      <c r="H95" s="193" t="s">
        <v>15</v>
      </c>
      <c r="I95" s="194"/>
      <c r="J95" s="194"/>
      <c r="K95" s="194"/>
      <c r="L95" s="194"/>
      <c r="M95" s="194"/>
      <c r="N95" s="187"/>
      <c r="O95" s="174"/>
    </row>
    <row r="96" spans="1:20" ht="19.2" customHeight="1">
      <c r="A96" s="188"/>
      <c r="B96" s="198"/>
      <c r="C96" s="201"/>
      <c r="D96" s="201"/>
      <c r="E96" s="195"/>
      <c r="F96" s="195"/>
      <c r="G96" s="195"/>
      <c r="H96" s="195"/>
      <c r="I96" s="195"/>
      <c r="J96" s="195"/>
      <c r="K96" s="195"/>
      <c r="L96" s="195"/>
      <c r="M96" s="195"/>
      <c r="N96" s="188"/>
      <c r="O96" s="174"/>
    </row>
    <row r="97" spans="1:23" ht="18.600000000000001" customHeight="1">
      <c r="A97" s="233" t="s">
        <v>39</v>
      </c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5"/>
      <c r="O97" s="174"/>
    </row>
    <row r="98" spans="1:23" ht="18.600000000000001" customHeight="1">
      <c r="A98" s="17">
        <v>1</v>
      </c>
      <c r="B98" s="6" t="s">
        <v>123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28">
        <v>3950</v>
      </c>
      <c r="O98" s="408"/>
    </row>
    <row r="99" spans="1:23" s="2" customFormat="1" ht="18.600000000000001" customHeight="1">
      <c r="A99" s="9">
        <v>2</v>
      </c>
      <c r="B99" s="10" t="s">
        <v>2</v>
      </c>
      <c r="C99" s="23">
        <f>L99/100*100</f>
        <v>70</v>
      </c>
      <c r="D99" s="24">
        <f>C99/100*60</f>
        <v>42</v>
      </c>
      <c r="E99" s="25">
        <f>C99/100*15</f>
        <v>10.5</v>
      </c>
      <c r="F99" s="25"/>
      <c r="G99" s="25"/>
      <c r="H99" s="25"/>
      <c r="I99" s="25"/>
      <c r="J99" s="27">
        <f>C99/100*387</f>
        <v>270.89999999999998</v>
      </c>
      <c r="K99" s="27">
        <f>C99/100*0.09</f>
        <v>6.3E-2</v>
      </c>
      <c r="L99" s="138">
        <v>70</v>
      </c>
      <c r="M99" s="75">
        <v>20</v>
      </c>
      <c r="N99" s="28">
        <f>L99*M99</f>
        <v>1400</v>
      </c>
      <c r="O99" s="397"/>
    </row>
    <row r="100" spans="1:23" s="2" customFormat="1" ht="18.600000000000001" customHeight="1">
      <c r="A100" s="9">
        <v>3</v>
      </c>
      <c r="B100" s="79" t="s">
        <v>141</v>
      </c>
      <c r="C100" s="23">
        <f>L100/100*100</f>
        <v>420</v>
      </c>
      <c r="D100" s="24">
        <f>C100/100*899</f>
        <v>3775.8</v>
      </c>
      <c r="E100" s="25"/>
      <c r="F100" s="25"/>
      <c r="G100" s="25">
        <f>C100/100*100</f>
        <v>420</v>
      </c>
      <c r="H100" s="25"/>
      <c r="I100" s="25"/>
      <c r="J100" s="25"/>
      <c r="K100" s="25"/>
      <c r="L100" s="138">
        <v>420</v>
      </c>
      <c r="M100" s="24">
        <v>68</v>
      </c>
      <c r="N100" s="28">
        <f t="shared" ref="N100:N107" si="4">L100*M100</f>
        <v>28560</v>
      </c>
      <c r="O100" s="376"/>
    </row>
    <row r="101" spans="1:23" s="2" customFormat="1" ht="18.600000000000001" customHeight="1">
      <c r="A101" s="9">
        <v>4</v>
      </c>
      <c r="B101" s="5" t="s">
        <v>1</v>
      </c>
      <c r="C101" s="23">
        <f>L101/100*100</f>
        <v>2236</v>
      </c>
      <c r="D101" s="24">
        <f>C101/100*366</f>
        <v>8183.76</v>
      </c>
      <c r="E101" s="25"/>
      <c r="F101" s="25">
        <f>C101/100*7.9</f>
        <v>176.64400000000001</v>
      </c>
      <c r="G101" s="25"/>
      <c r="H101" s="25">
        <f>C101/100*1</f>
        <v>22.36</v>
      </c>
      <c r="I101" s="25">
        <f>C101/100*73.9</f>
        <v>1652.404</v>
      </c>
      <c r="J101" s="27">
        <f>C101/100*30</f>
        <v>670.8</v>
      </c>
      <c r="K101" s="27">
        <f>C101/100*0.1</f>
        <v>2.2360000000000002</v>
      </c>
      <c r="L101" s="138">
        <v>2236</v>
      </c>
      <c r="M101" s="75">
        <v>18</v>
      </c>
      <c r="N101" s="28">
        <f t="shared" si="4"/>
        <v>40248</v>
      </c>
      <c r="O101" s="397"/>
    </row>
    <row r="102" spans="1:23" s="2" customFormat="1" ht="18.600000000000001" customHeight="1">
      <c r="A102" s="9">
        <v>5</v>
      </c>
      <c r="B102" s="5" t="s">
        <v>93</v>
      </c>
      <c r="C102" s="23">
        <f>L102/100*81.7</f>
        <v>947.72</v>
      </c>
      <c r="D102" s="24">
        <f>C102/100*27</f>
        <v>255.8844</v>
      </c>
      <c r="E102" s="29"/>
      <c r="F102" s="29">
        <f>C102/100*0.3</f>
        <v>2.8431599999999997</v>
      </c>
      <c r="G102" s="29"/>
      <c r="H102" s="29">
        <f>C102/100*0.1</f>
        <v>0.94772000000000001</v>
      </c>
      <c r="I102" s="29">
        <f>C102/100*6.1</f>
        <v>57.810919999999996</v>
      </c>
      <c r="J102" s="71">
        <f>C102/100*24</f>
        <v>227.4528</v>
      </c>
      <c r="K102" s="71">
        <f>C102/100*0.06</f>
        <v>0.56863199999999992</v>
      </c>
      <c r="L102" s="374">
        <v>1160</v>
      </c>
      <c r="M102" s="26">
        <v>22</v>
      </c>
      <c r="N102" s="28">
        <f t="shared" si="4"/>
        <v>25520</v>
      </c>
      <c r="O102" s="154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3">
        <f>L103/100*98.5</f>
        <v>413.70000000000005</v>
      </c>
      <c r="D103" s="24">
        <f>C103/100*39</f>
        <v>161.34300000000002</v>
      </c>
      <c r="E103" s="29"/>
      <c r="F103" s="29">
        <f>C103/100*1.5</f>
        <v>6.2055000000000007</v>
      </c>
      <c r="G103" s="29"/>
      <c r="H103" s="29">
        <f>C103/100*0.2</f>
        <v>0.82740000000000014</v>
      </c>
      <c r="I103" s="29">
        <f>C103/100*7.8</f>
        <v>32.268599999999999</v>
      </c>
      <c r="J103" s="71">
        <f>C103/100*43</f>
        <v>177.89100000000002</v>
      </c>
      <c r="K103" s="71">
        <f>C103/100*0.06</f>
        <v>0.24822000000000002</v>
      </c>
      <c r="L103" s="374">
        <v>420</v>
      </c>
      <c r="M103" s="26">
        <v>17</v>
      </c>
      <c r="N103" s="28">
        <f t="shared" si="4"/>
        <v>7140</v>
      </c>
      <c r="O103" s="154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136</v>
      </c>
      <c r="C104" s="23">
        <f>L104/100*100</f>
        <v>40</v>
      </c>
      <c r="D104" s="24">
        <f>C104/100*247</f>
        <v>98.800000000000011</v>
      </c>
      <c r="E104" s="29"/>
      <c r="F104" s="29">
        <f>C104/100*17.5</f>
        <v>7</v>
      </c>
      <c r="G104" s="29"/>
      <c r="H104" s="29">
        <f>C104/100*1.6</f>
        <v>0.64000000000000012</v>
      </c>
      <c r="I104" s="29">
        <f>C104/100*39.2</f>
        <v>15.680000000000001</v>
      </c>
      <c r="J104" s="71"/>
      <c r="K104" s="71"/>
      <c r="L104" s="374">
        <v>40</v>
      </c>
      <c r="M104" s="75">
        <v>50</v>
      </c>
      <c r="N104" s="28">
        <f t="shared" si="4"/>
        <v>2000</v>
      </c>
      <c r="O104" s="154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74</v>
      </c>
      <c r="C105" s="23">
        <f>L105/100*98</f>
        <v>411.6</v>
      </c>
      <c r="D105" s="24">
        <f>C105/100*139</f>
        <v>572.12400000000002</v>
      </c>
      <c r="E105" s="25">
        <f>C105/100*19</f>
        <v>78.204000000000008</v>
      </c>
      <c r="F105" s="25"/>
      <c r="G105" s="25">
        <f>C105/100*7</f>
        <v>28.812000000000005</v>
      </c>
      <c r="H105" s="25"/>
      <c r="I105" s="25"/>
      <c r="J105" s="25">
        <f>C105/100*7</f>
        <v>28.812000000000005</v>
      </c>
      <c r="K105" s="25">
        <f>C105/100*0.9</f>
        <v>3.7044000000000006</v>
      </c>
      <c r="L105" s="138">
        <v>420</v>
      </c>
      <c r="M105" s="75">
        <v>137</v>
      </c>
      <c r="N105" s="28">
        <f t="shared" si="4"/>
        <v>57540</v>
      </c>
      <c r="O105" s="154"/>
    </row>
    <row r="106" spans="1:23" s="2" customFormat="1" ht="18.600000000000001" customHeight="1">
      <c r="A106" s="9">
        <v>9</v>
      </c>
      <c r="B106" s="79" t="s">
        <v>3</v>
      </c>
      <c r="C106" s="23">
        <f>L106/100*98</f>
        <v>1587.6</v>
      </c>
      <c r="D106" s="24">
        <f>C106/100*118</f>
        <v>1873.3679999999999</v>
      </c>
      <c r="E106" s="25">
        <f>C106/100*21</f>
        <v>333.39600000000002</v>
      </c>
      <c r="F106" s="25"/>
      <c r="G106" s="25">
        <f>C106/100*3.8</f>
        <v>60.328799999999994</v>
      </c>
      <c r="H106" s="25"/>
      <c r="I106" s="25"/>
      <c r="J106" s="25">
        <f>C106/100*12</f>
        <v>190.512</v>
      </c>
      <c r="K106" s="25">
        <f>C106/100*0.1</f>
        <v>1.5876000000000001</v>
      </c>
      <c r="L106" s="138">
        <v>1620</v>
      </c>
      <c r="M106" s="75">
        <v>250</v>
      </c>
      <c r="N106" s="28">
        <f t="shared" si="4"/>
        <v>405000</v>
      </c>
      <c r="O106" s="154"/>
    </row>
    <row r="107" spans="1:23" s="2" customFormat="1" ht="18.600000000000001" customHeight="1">
      <c r="A107" s="9">
        <v>10</v>
      </c>
      <c r="B107" s="5" t="s">
        <v>20</v>
      </c>
      <c r="C107" s="23">
        <f>L107/100*95</f>
        <v>589</v>
      </c>
      <c r="D107" s="24">
        <f>C107/100*20</f>
        <v>117.8</v>
      </c>
      <c r="E107" s="25"/>
      <c r="F107" s="25">
        <f>C107/100*0.6</f>
        <v>3.5339999999999998</v>
      </c>
      <c r="G107" s="25"/>
      <c r="H107" s="25">
        <f>C107/100*0.2</f>
        <v>1.1779999999999999</v>
      </c>
      <c r="I107" s="25">
        <f>C107/100*4</f>
        <v>23.56</v>
      </c>
      <c r="J107" s="71">
        <f>C107/100*12</f>
        <v>70.679999999999993</v>
      </c>
      <c r="K107" s="71">
        <f>C107/100*0.04</f>
        <v>0.2356</v>
      </c>
      <c r="L107" s="30">
        <v>620</v>
      </c>
      <c r="M107" s="75">
        <v>30</v>
      </c>
      <c r="N107" s="28">
        <f t="shared" si="4"/>
        <v>18600</v>
      </c>
      <c r="O107" s="154"/>
      <c r="Q107" s="3"/>
      <c r="R107" s="3"/>
    </row>
    <row r="108" spans="1:23" s="2" customFormat="1" ht="18.600000000000001" customHeight="1">
      <c r="A108" s="21" t="s">
        <v>118</v>
      </c>
      <c r="B108" s="22"/>
      <c r="C108" s="34"/>
      <c r="D108" s="122">
        <f>SUM(D98:D107)</f>
        <v>15080.879400000002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281">
        <f>SUM(N98:N107)</f>
        <v>589958</v>
      </c>
      <c r="O108" s="154"/>
    </row>
    <row r="109" spans="1:23" ht="18.600000000000001" customHeight="1">
      <c r="A109" s="21" t="s">
        <v>37</v>
      </c>
      <c r="B109" s="22"/>
      <c r="C109" s="45"/>
      <c r="D109" s="46">
        <f>D108/D92</f>
        <v>290.01691153846156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283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304" t="s">
        <v>53</v>
      </c>
      <c r="B110" s="207"/>
      <c r="C110" s="375" t="s">
        <v>151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5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208"/>
      <c r="B111" s="209"/>
      <c r="C111" s="76" t="s">
        <v>60</v>
      </c>
      <c r="D111" s="78">
        <f>D109*100/930</f>
        <v>31.184614143920598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5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276" t="s">
        <v>38</v>
      </c>
      <c r="B112" s="276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4"/>
    </row>
    <row r="113" spans="1:23" s="2" customFormat="1" ht="18.600000000000001" customHeight="1">
      <c r="A113" s="14">
        <v>1</v>
      </c>
      <c r="B113" s="6" t="s">
        <v>123</v>
      </c>
      <c r="C113" s="39"/>
      <c r="D113" s="409"/>
      <c r="E113" s="40"/>
      <c r="F113" s="40"/>
      <c r="G113" s="40"/>
      <c r="H113" s="40"/>
      <c r="I113" s="40"/>
      <c r="J113" s="40"/>
      <c r="K113" s="40"/>
      <c r="L113" s="41"/>
      <c r="M113" s="41"/>
      <c r="N113" s="42">
        <v>3950</v>
      </c>
      <c r="O113" s="154"/>
    </row>
    <row r="114" spans="1:23" s="2" customFormat="1" ht="18.600000000000001" customHeight="1">
      <c r="A114" s="9">
        <v>2</v>
      </c>
      <c r="B114" s="5" t="s">
        <v>1</v>
      </c>
      <c r="C114" s="23">
        <f>L114/100*100</f>
        <v>2184</v>
      </c>
      <c r="D114" s="24">
        <f>C114/100*366</f>
        <v>7993.44</v>
      </c>
      <c r="E114" s="25"/>
      <c r="F114" s="25">
        <f>C114/100*7.9</f>
        <v>172.536</v>
      </c>
      <c r="G114" s="25"/>
      <c r="H114" s="25">
        <f>C114/100*1</f>
        <v>21.84</v>
      </c>
      <c r="I114" s="25">
        <f>C114/100*73.9</f>
        <v>1613.9760000000001</v>
      </c>
      <c r="J114" s="27">
        <f>C114/100*30</f>
        <v>655.20000000000005</v>
      </c>
      <c r="K114" s="27">
        <f>C114/100*0.1</f>
        <v>2.1840000000000002</v>
      </c>
      <c r="L114" s="26">
        <v>2184</v>
      </c>
      <c r="M114" s="75">
        <v>18</v>
      </c>
      <c r="N114" s="136">
        <f>L114*M114</f>
        <v>39312</v>
      </c>
      <c r="O114" s="397"/>
    </row>
    <row r="115" spans="1:23" s="2" customFormat="1" ht="18.600000000000001" customHeight="1">
      <c r="A115" s="9">
        <v>3</v>
      </c>
      <c r="B115" s="10" t="s">
        <v>2</v>
      </c>
      <c r="C115" s="23">
        <f>L115/100*100</f>
        <v>60</v>
      </c>
      <c r="D115" s="24">
        <f>C115/100*60</f>
        <v>36</v>
      </c>
      <c r="E115" s="25">
        <f>C115/100*15</f>
        <v>9</v>
      </c>
      <c r="F115" s="25"/>
      <c r="G115" s="25"/>
      <c r="H115" s="25"/>
      <c r="I115" s="25"/>
      <c r="J115" s="27">
        <f>C115/100*387</f>
        <v>232.2</v>
      </c>
      <c r="K115" s="27">
        <f>C115/100*0.09</f>
        <v>5.3999999999999999E-2</v>
      </c>
      <c r="L115" s="26">
        <v>60</v>
      </c>
      <c r="M115" s="75">
        <v>20</v>
      </c>
      <c r="N115" s="136">
        <f t="shared" ref="N115:N121" si="5">L115*M115</f>
        <v>1200</v>
      </c>
      <c r="O115" s="397"/>
    </row>
    <row r="116" spans="1:23" s="2" customFormat="1" ht="18.600000000000001" customHeight="1">
      <c r="A116" s="9">
        <v>4</v>
      </c>
      <c r="B116" s="79" t="s">
        <v>141</v>
      </c>
      <c r="C116" s="23">
        <f>L116/100*100</f>
        <v>100</v>
      </c>
      <c r="D116" s="24">
        <f>C116/100*900</f>
        <v>900</v>
      </c>
      <c r="E116" s="25"/>
      <c r="F116" s="25"/>
      <c r="G116" s="25">
        <f>C116/100*100</f>
        <v>100</v>
      </c>
      <c r="H116" s="25">
        <f>C116/100*100</f>
        <v>100</v>
      </c>
      <c r="I116" s="25"/>
      <c r="J116" s="27"/>
      <c r="K116" s="27"/>
      <c r="L116" s="26">
        <v>100</v>
      </c>
      <c r="M116" s="75">
        <v>68</v>
      </c>
      <c r="N116" s="136">
        <f t="shared" si="5"/>
        <v>6800</v>
      </c>
      <c r="O116" s="154"/>
    </row>
    <row r="117" spans="1:23" s="2" customFormat="1" ht="18.600000000000001" customHeight="1">
      <c r="A117" s="9">
        <v>5</v>
      </c>
      <c r="B117" s="10" t="s">
        <v>139</v>
      </c>
      <c r="C117" s="23">
        <f>L117/100*100</f>
        <v>270</v>
      </c>
      <c r="D117" s="24">
        <f>C117/100*53</f>
        <v>143.10000000000002</v>
      </c>
      <c r="E117" s="25"/>
      <c r="F117" s="25">
        <f>C117/100*6.3</f>
        <v>17.010000000000002</v>
      </c>
      <c r="G117" s="25"/>
      <c r="H117" s="25">
        <f>C117/100*0.04</f>
        <v>0.10800000000000001</v>
      </c>
      <c r="I117" s="25">
        <f>C117/100*6.8</f>
        <v>18.36</v>
      </c>
      <c r="J117" s="27">
        <f>C117/100*19</f>
        <v>51.300000000000004</v>
      </c>
      <c r="K117" s="27">
        <f>C117/100*0.03</f>
        <v>8.1000000000000003E-2</v>
      </c>
      <c r="L117" s="26">
        <v>270</v>
      </c>
      <c r="M117" s="75">
        <v>42.5</v>
      </c>
      <c r="N117" s="136">
        <f t="shared" si="5"/>
        <v>11475</v>
      </c>
      <c r="O117" s="397"/>
    </row>
    <row r="118" spans="1:23" s="2" customFormat="1" ht="18.600000000000001" customHeight="1">
      <c r="A118" s="9">
        <v>6</v>
      </c>
      <c r="B118" s="5" t="s">
        <v>75</v>
      </c>
      <c r="C118" s="23">
        <f>L118/100*75</f>
        <v>937.5</v>
      </c>
      <c r="D118" s="24">
        <f>C118/100*12</f>
        <v>112.5</v>
      </c>
      <c r="E118" s="25">
        <f>C118/100*0.6</f>
        <v>5.625</v>
      </c>
      <c r="F118" s="25"/>
      <c r="G118" s="25"/>
      <c r="H118" s="25"/>
      <c r="I118" s="25">
        <f>C118/100*2.4</f>
        <v>22.5</v>
      </c>
      <c r="J118" s="27">
        <f>C118/100*26</f>
        <v>243.75</v>
      </c>
      <c r="K118" s="27">
        <f>C118/100*0.02</f>
        <v>0.1875</v>
      </c>
      <c r="L118" s="26">
        <v>1250</v>
      </c>
      <c r="M118" s="26">
        <v>30</v>
      </c>
      <c r="N118" s="136">
        <f t="shared" si="5"/>
        <v>37500</v>
      </c>
      <c r="O118" s="154"/>
    </row>
    <row r="119" spans="1:23" s="2" customFormat="1" ht="18.600000000000001" customHeight="1">
      <c r="A119" s="9">
        <v>7</v>
      </c>
      <c r="B119" s="5" t="s">
        <v>4</v>
      </c>
      <c r="C119" s="23">
        <f>L119/100*98.5</f>
        <v>413.70000000000005</v>
      </c>
      <c r="D119" s="24">
        <f>C119/100*39</f>
        <v>161.34300000000002</v>
      </c>
      <c r="E119" s="29"/>
      <c r="F119" s="29">
        <f>C119/100*1.5</f>
        <v>6.2055000000000007</v>
      </c>
      <c r="G119" s="410"/>
      <c r="H119" s="29">
        <f>C119/100*0.2</f>
        <v>0.82740000000000014</v>
      </c>
      <c r="I119" s="29">
        <f>C119/100*7.8</f>
        <v>32.268599999999999</v>
      </c>
      <c r="J119" s="71">
        <f>C119/100*43</f>
        <v>177.89100000000002</v>
      </c>
      <c r="K119" s="71">
        <f>C119/100*0.06</f>
        <v>0.24822000000000002</v>
      </c>
      <c r="L119" s="30">
        <v>420</v>
      </c>
      <c r="M119" s="26">
        <v>17</v>
      </c>
      <c r="N119" s="136">
        <f t="shared" si="5"/>
        <v>7140</v>
      </c>
      <c r="O119" s="154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64</v>
      </c>
      <c r="C120" s="23">
        <f>L120/100*40</f>
        <v>1356</v>
      </c>
      <c r="D120" s="24">
        <f>C120/100*276</f>
        <v>3742.56</v>
      </c>
      <c r="E120" s="25">
        <f>C120/100*17.8</f>
        <v>241.36800000000002</v>
      </c>
      <c r="F120" s="137"/>
      <c r="G120" s="25">
        <f>C120/100*21.8</f>
        <v>295.608</v>
      </c>
      <c r="H120" s="25"/>
      <c r="I120" s="25"/>
      <c r="J120" s="27">
        <f>C120/100*13</f>
        <v>176.28</v>
      </c>
      <c r="K120" s="27">
        <f>C120/100*0.07</f>
        <v>0.94920000000000015</v>
      </c>
      <c r="L120" s="26">
        <v>3390</v>
      </c>
      <c r="M120" s="75">
        <v>63</v>
      </c>
      <c r="N120" s="136">
        <f t="shared" si="5"/>
        <v>213570</v>
      </c>
      <c r="O120" s="154"/>
    </row>
    <row r="121" spans="1:23" s="2" customFormat="1" ht="18.600000000000001" customHeight="1">
      <c r="A121" s="9">
        <v>9</v>
      </c>
      <c r="B121" s="5" t="s">
        <v>136</v>
      </c>
      <c r="C121" s="23">
        <f>L121/100*100</f>
        <v>40</v>
      </c>
      <c r="D121" s="24">
        <f>C121/100*247</f>
        <v>98.800000000000011</v>
      </c>
      <c r="E121" s="29"/>
      <c r="F121" s="29">
        <f>C121/100*17.5</f>
        <v>7</v>
      </c>
      <c r="G121" s="29"/>
      <c r="H121" s="29">
        <f>C121/100*1.6</f>
        <v>0.64000000000000012</v>
      </c>
      <c r="I121" s="29">
        <f>C121/100*39.2</f>
        <v>15.680000000000001</v>
      </c>
      <c r="J121" s="71"/>
      <c r="K121" s="71"/>
      <c r="L121" s="374">
        <v>40</v>
      </c>
      <c r="M121" s="75">
        <v>50</v>
      </c>
      <c r="N121" s="28">
        <f t="shared" si="5"/>
        <v>2000</v>
      </c>
      <c r="O121" s="154"/>
      <c r="Q121" s="3"/>
      <c r="R121" s="3"/>
      <c r="S121" s="4"/>
      <c r="T121" s="3"/>
    </row>
    <row r="122" spans="1:23" s="2" customFormat="1" ht="18.600000000000001" customHeight="1">
      <c r="A122" s="21" t="s">
        <v>119</v>
      </c>
      <c r="B122" s="22"/>
      <c r="C122" s="34"/>
      <c r="D122" s="122">
        <f>SUM(D113:D121)</f>
        <v>13187.742999999999</v>
      </c>
      <c r="E122" s="43"/>
      <c r="F122" s="43"/>
      <c r="G122" s="43"/>
      <c r="H122" s="43"/>
      <c r="I122" s="43"/>
      <c r="J122" s="43"/>
      <c r="K122" s="43"/>
      <c r="L122" s="44"/>
      <c r="M122" s="44"/>
      <c r="N122" s="281">
        <f>SUM(N113:N121)</f>
        <v>322947</v>
      </c>
      <c r="O122" s="154"/>
    </row>
    <row r="123" spans="1:23" ht="18.600000000000001" customHeight="1">
      <c r="A123" s="21" t="s">
        <v>36</v>
      </c>
      <c r="B123" s="22"/>
      <c r="C123" s="61"/>
      <c r="D123" s="48">
        <f>D122/D92</f>
        <v>253.61044230769227</v>
      </c>
      <c r="E123" s="48"/>
      <c r="F123" s="48"/>
      <c r="G123" s="48"/>
      <c r="H123" s="48"/>
      <c r="I123" s="48"/>
      <c r="J123" s="48"/>
      <c r="K123" s="48"/>
      <c r="L123" s="62"/>
      <c r="M123" s="47"/>
      <c r="N123" s="282"/>
      <c r="O123" s="4"/>
      <c r="P123" s="2"/>
      <c r="Q123" s="2"/>
      <c r="R123" s="2"/>
      <c r="S123" s="168"/>
      <c r="T123" s="2"/>
      <c r="U123" s="2"/>
      <c r="V123" s="2"/>
    </row>
    <row r="124" spans="1:23" ht="18.600000000000001" customHeight="1">
      <c r="A124" s="304" t="s">
        <v>54</v>
      </c>
      <c r="B124" s="207"/>
      <c r="C124" s="375" t="s">
        <v>151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5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208"/>
      <c r="B125" s="209"/>
      <c r="C125" s="76" t="s">
        <v>60</v>
      </c>
      <c r="D125" s="78">
        <f>D123*100/930</f>
        <v>27.269940033085192</v>
      </c>
      <c r="E125" s="46"/>
      <c r="F125" s="46"/>
      <c r="G125" s="46"/>
      <c r="H125" s="46">
        <v>13</v>
      </c>
      <c r="I125" s="46"/>
      <c r="J125" s="48"/>
      <c r="K125" s="48"/>
      <c r="L125" s="47"/>
      <c r="M125" s="47"/>
      <c r="N125" s="175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276" t="s">
        <v>35</v>
      </c>
      <c r="B126" s="276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104">
        <v>1</v>
      </c>
      <c r="B127" s="157" t="s">
        <v>149</v>
      </c>
      <c r="C127" s="105">
        <f>L127/100*100</f>
        <v>890</v>
      </c>
      <c r="D127" s="106">
        <f>C127/100*487</f>
        <v>4334.3</v>
      </c>
      <c r="E127" s="107"/>
      <c r="F127" s="107">
        <f>C127/100*19.5</f>
        <v>173.55</v>
      </c>
      <c r="G127" s="107"/>
      <c r="H127" s="107">
        <f>C127/100*23.2</f>
        <v>206.48</v>
      </c>
      <c r="I127" s="107">
        <f>C127/100*46</f>
        <v>409.40000000000003</v>
      </c>
      <c r="J127" s="148">
        <f>C127/100*680</f>
        <v>6052</v>
      </c>
      <c r="K127" s="107">
        <f>C127/100*0.55</f>
        <v>4.8950000000000005</v>
      </c>
      <c r="L127" s="108">
        <v>890</v>
      </c>
      <c r="M127" s="158">
        <v>260</v>
      </c>
      <c r="N127" s="109">
        <f t="shared" ref="N127" si="6">L127*M127</f>
        <v>231400</v>
      </c>
      <c r="O127" s="154"/>
      <c r="P127" s="3"/>
    </row>
    <row r="128" spans="1:23" ht="19.2" customHeight="1">
      <c r="A128" s="186" t="s">
        <v>0</v>
      </c>
      <c r="B128" s="196" t="s">
        <v>19</v>
      </c>
      <c r="C128" s="199" t="s">
        <v>8</v>
      </c>
      <c r="D128" s="199" t="s">
        <v>9</v>
      </c>
      <c r="E128" s="189" t="s">
        <v>11</v>
      </c>
      <c r="F128" s="190"/>
      <c r="G128" s="189" t="s">
        <v>13</v>
      </c>
      <c r="H128" s="190"/>
      <c r="I128" s="193" t="s">
        <v>16</v>
      </c>
      <c r="J128" s="193" t="s">
        <v>41</v>
      </c>
      <c r="K128" s="193" t="s">
        <v>42</v>
      </c>
      <c r="L128" s="193" t="s">
        <v>17</v>
      </c>
      <c r="M128" s="193" t="s">
        <v>40</v>
      </c>
      <c r="N128" s="186" t="s">
        <v>18</v>
      </c>
      <c r="O128" s="373"/>
    </row>
    <row r="129" spans="1:23" ht="19.2" customHeight="1">
      <c r="A129" s="187"/>
      <c r="B129" s="197"/>
      <c r="C129" s="200"/>
      <c r="D129" s="200"/>
      <c r="E129" s="191"/>
      <c r="F129" s="192"/>
      <c r="G129" s="191"/>
      <c r="H129" s="192"/>
      <c r="I129" s="194"/>
      <c r="J129" s="194"/>
      <c r="K129" s="194"/>
      <c r="L129" s="194"/>
      <c r="M129" s="194"/>
      <c r="N129" s="187"/>
      <c r="O129" s="174"/>
    </row>
    <row r="130" spans="1:23" ht="19.2" customHeight="1">
      <c r="A130" s="187"/>
      <c r="B130" s="197"/>
      <c r="C130" s="200"/>
      <c r="D130" s="200"/>
      <c r="E130" s="193" t="s">
        <v>10</v>
      </c>
      <c r="F130" s="193" t="s">
        <v>12</v>
      </c>
      <c r="G130" s="193" t="s">
        <v>14</v>
      </c>
      <c r="H130" s="193" t="s">
        <v>15</v>
      </c>
      <c r="I130" s="194"/>
      <c r="J130" s="194"/>
      <c r="K130" s="194"/>
      <c r="L130" s="194"/>
      <c r="M130" s="194"/>
      <c r="N130" s="187"/>
      <c r="O130" s="174"/>
    </row>
    <row r="131" spans="1:23" ht="19.2" customHeight="1">
      <c r="A131" s="188"/>
      <c r="B131" s="198"/>
      <c r="C131" s="201"/>
      <c r="D131" s="201"/>
      <c r="E131" s="195"/>
      <c r="F131" s="195"/>
      <c r="G131" s="195"/>
      <c r="H131" s="195"/>
      <c r="I131" s="195"/>
      <c r="J131" s="195"/>
      <c r="K131" s="195"/>
      <c r="L131" s="195"/>
      <c r="M131" s="195"/>
      <c r="N131" s="188"/>
      <c r="O131" s="174"/>
    </row>
    <row r="132" spans="1:23" s="2" customFormat="1" ht="19.2" customHeight="1">
      <c r="A132" s="21" t="s">
        <v>106</v>
      </c>
      <c r="B132" s="22"/>
      <c r="C132" s="34"/>
      <c r="D132" s="35">
        <f>SUM(D126:D127)</f>
        <v>4334.3</v>
      </c>
      <c r="E132" s="43"/>
      <c r="F132" s="43"/>
      <c r="G132" s="43"/>
      <c r="H132" s="43"/>
      <c r="I132" s="43"/>
      <c r="J132" s="43"/>
      <c r="K132" s="43"/>
      <c r="L132" s="44"/>
      <c r="M132" s="44"/>
      <c r="N132" s="281">
        <f>SUM(N126:N127)</f>
        <v>231400</v>
      </c>
      <c r="O132" s="154"/>
    </row>
    <row r="133" spans="1:23" ht="19.2" customHeight="1">
      <c r="A133" s="21" t="s">
        <v>7</v>
      </c>
      <c r="B133" s="22"/>
      <c r="C133" s="45"/>
      <c r="D133" s="46">
        <f>D132/D92</f>
        <v>83.351923076923086</v>
      </c>
      <c r="E133" s="46"/>
      <c r="F133" s="46"/>
      <c r="G133" s="46"/>
      <c r="H133" s="46"/>
      <c r="I133" s="46"/>
      <c r="J133" s="46"/>
      <c r="K133" s="46"/>
      <c r="L133" s="47"/>
      <c r="M133" s="47"/>
      <c r="N133" s="283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304" t="s">
        <v>52</v>
      </c>
      <c r="B134" s="207"/>
      <c r="C134" s="375" t="s">
        <v>151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5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08"/>
      <c r="B135" s="209"/>
      <c r="C135" s="76" t="s">
        <v>60</v>
      </c>
      <c r="D135" s="20">
        <f>D133*100/930</f>
        <v>8.962572373862697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5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23" t="s">
        <v>107</v>
      </c>
      <c r="B136" s="224"/>
      <c r="C136" s="227"/>
      <c r="D136" s="299">
        <f>D108+D122+D132</f>
        <v>32602.922399999999</v>
      </c>
      <c r="E136" s="7">
        <f>SUM(E99:E126)</f>
        <v>678.09300000000007</v>
      </c>
      <c r="F136" s="7">
        <f>SUM(F98:F127)</f>
        <v>572.52816000000007</v>
      </c>
      <c r="G136" s="7">
        <f t="shared" ref="G136" si="7">SUM(G99:G126)</f>
        <v>904.74880000000007</v>
      </c>
      <c r="H136" s="7">
        <f>SUM(H98:H127)</f>
        <v>368.84852000000001</v>
      </c>
      <c r="I136" s="210">
        <f>SUM(I98:I127)</f>
        <v>3893.9081200000001</v>
      </c>
      <c r="J136" s="210">
        <f>SUM(J98:J127)</f>
        <v>9225.6687999999995</v>
      </c>
      <c r="K136" s="210">
        <f>SUM(K98:K127)</f>
        <v>17.242372</v>
      </c>
      <c r="L136" s="239"/>
      <c r="M136" s="239"/>
      <c r="N136" s="301">
        <f>N108+N122+N132</f>
        <v>1144305</v>
      </c>
      <c r="U136" s="12"/>
      <c r="V136" s="12"/>
    </row>
    <row r="137" spans="1:23" ht="19.2" customHeight="1">
      <c r="A137" s="225"/>
      <c r="B137" s="226"/>
      <c r="C137" s="228"/>
      <c r="D137" s="300"/>
      <c r="E137" s="308">
        <f>E136+F136</f>
        <v>1250.6211600000001</v>
      </c>
      <c r="F137" s="309"/>
      <c r="G137" s="308">
        <f>G136+H136</f>
        <v>1273.5973200000001</v>
      </c>
      <c r="H137" s="309"/>
      <c r="I137" s="211"/>
      <c r="J137" s="211"/>
      <c r="K137" s="211"/>
      <c r="L137" s="239"/>
      <c r="M137" s="239"/>
      <c r="N137" s="301"/>
      <c r="U137" s="12"/>
      <c r="V137" s="12"/>
    </row>
    <row r="138" spans="1:23" ht="19.2" customHeight="1">
      <c r="A138" s="243" t="s">
        <v>77</v>
      </c>
      <c r="B138" s="244"/>
      <c r="C138" s="245"/>
      <c r="D138" s="134">
        <f>D136/D92</f>
        <v>626.9792769230769</v>
      </c>
      <c r="E138" s="394">
        <f>E136/D92</f>
        <v>13.040250000000002</v>
      </c>
      <c r="F138" s="382">
        <f>F136/D92</f>
        <v>11.010156923076924</v>
      </c>
      <c r="G138" s="394">
        <f>G136/D92</f>
        <v>17.399015384615385</v>
      </c>
      <c r="H138" s="382">
        <f>H136/D92</f>
        <v>7.0932407692307695</v>
      </c>
      <c r="I138" s="302">
        <f>I136/D92</f>
        <v>74.882848461538458</v>
      </c>
      <c r="J138" s="302">
        <f>J136/D92</f>
        <v>177.41670769230768</v>
      </c>
      <c r="K138" s="302">
        <f>K136/D92</f>
        <v>0.3315840769230769</v>
      </c>
      <c r="L138" s="239"/>
      <c r="M138" s="239"/>
      <c r="N138" s="301"/>
      <c r="Q138" s="370"/>
      <c r="R138" s="370"/>
      <c r="S138" s="370"/>
      <c r="T138" s="370"/>
      <c r="U138" s="385"/>
      <c r="V138" s="385"/>
      <c r="W138" s="1">
        <f>Q138+S138+U138</f>
        <v>0</v>
      </c>
    </row>
    <row r="139" spans="1:23" ht="19.2" customHeight="1">
      <c r="A139" s="246"/>
      <c r="B139" s="247"/>
      <c r="C139" s="248"/>
      <c r="D139" s="128"/>
      <c r="E139" s="383">
        <f>E138+F138</f>
        <v>24.050406923076928</v>
      </c>
      <c r="F139" s="384"/>
      <c r="G139" s="383">
        <f>G138+H138</f>
        <v>24.492256153846157</v>
      </c>
      <c r="H139" s="384"/>
      <c r="I139" s="303"/>
      <c r="J139" s="303"/>
      <c r="K139" s="303"/>
      <c r="L139" s="239"/>
      <c r="M139" s="239"/>
      <c r="N139" s="301"/>
      <c r="P139" s="388"/>
      <c r="Q139" s="395"/>
      <c r="R139" s="395"/>
      <c r="S139" s="396"/>
      <c r="T139" s="396"/>
      <c r="U139" s="395"/>
      <c r="V139" s="395"/>
    </row>
    <row r="140" spans="1:23" ht="19.2" customHeight="1">
      <c r="A140" s="316" t="s">
        <v>80</v>
      </c>
      <c r="B140" s="317"/>
      <c r="C140" s="318"/>
      <c r="D140" s="179" t="s">
        <v>29</v>
      </c>
      <c r="E140" s="361" t="s">
        <v>24</v>
      </c>
      <c r="F140" s="361"/>
      <c r="G140" s="361" t="s">
        <v>25</v>
      </c>
      <c r="H140" s="361"/>
      <c r="I140" s="179" t="s">
        <v>26</v>
      </c>
      <c r="J140" s="177">
        <v>500</v>
      </c>
      <c r="K140" s="177">
        <v>0.5</v>
      </c>
      <c r="L140" s="239"/>
      <c r="M140" s="239"/>
      <c r="N140" s="301"/>
      <c r="O140" s="387"/>
      <c r="P140" s="142"/>
      <c r="Q140" s="369"/>
      <c r="R140" s="369"/>
      <c r="S140" s="369"/>
      <c r="T140" s="96"/>
    </row>
    <row r="141" spans="1:23" ht="19.2" customHeight="1">
      <c r="A141" s="214" t="s">
        <v>78</v>
      </c>
      <c r="B141" s="215"/>
      <c r="C141" s="216"/>
      <c r="D141" s="49"/>
      <c r="E141" s="202">
        <f>E139*4.1</f>
        <v>98.606668384615389</v>
      </c>
      <c r="F141" s="203"/>
      <c r="G141" s="202">
        <f>G139*9</f>
        <v>220.43030538461539</v>
      </c>
      <c r="H141" s="203"/>
      <c r="I141" s="85">
        <f>I138*4.1</f>
        <v>307.01967869230765</v>
      </c>
      <c r="J141" s="249"/>
      <c r="K141" s="249"/>
      <c r="L141" s="239"/>
      <c r="M141" s="239"/>
      <c r="N141" s="301"/>
      <c r="O141" s="387"/>
      <c r="P141" s="379"/>
      <c r="Q141" s="142"/>
      <c r="R141" s="142"/>
      <c r="S141" s="142"/>
    </row>
    <row r="142" spans="1:23" ht="19.2" customHeight="1">
      <c r="A142" s="217" t="s">
        <v>87</v>
      </c>
      <c r="B142" s="218"/>
      <c r="C142" s="214" t="s">
        <v>59</v>
      </c>
      <c r="D142" s="216"/>
      <c r="E142" s="251">
        <f>E141*100/D138</f>
        <v>15.727261173372606</v>
      </c>
      <c r="F142" s="252"/>
      <c r="G142" s="251">
        <f>G141*100/D138</f>
        <v>35.157510542674544</v>
      </c>
      <c r="H142" s="252"/>
      <c r="I142" s="117">
        <f>I141*100/D138</f>
        <v>48.968074383417843</v>
      </c>
      <c r="J142" s="250"/>
      <c r="K142" s="250"/>
      <c r="L142" s="239"/>
      <c r="M142" s="239"/>
      <c r="N142" s="301"/>
      <c r="O142" s="387"/>
    </row>
    <row r="143" spans="1:23" ht="19.2" customHeight="1">
      <c r="A143" s="219"/>
      <c r="B143" s="220"/>
      <c r="C143" s="214" t="s">
        <v>79</v>
      </c>
      <c r="D143" s="216"/>
      <c r="E143" s="214" t="s">
        <v>82</v>
      </c>
      <c r="F143" s="216"/>
      <c r="G143" s="214" t="s">
        <v>85</v>
      </c>
      <c r="H143" s="216"/>
      <c r="I143" s="179" t="s">
        <v>86</v>
      </c>
      <c r="J143" s="230"/>
      <c r="K143" s="230"/>
      <c r="L143" s="239"/>
      <c r="M143" s="239"/>
      <c r="N143" s="301"/>
      <c r="O143" s="387"/>
      <c r="P143" s="133"/>
    </row>
    <row r="144" spans="1:23" ht="18" customHeight="1">
      <c r="A144" s="90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1"/>
      <c r="M144" s="91"/>
      <c r="N144" s="92"/>
      <c r="O144" s="387"/>
    </row>
    <row r="145" spans="1:15" ht="21" customHeight="1">
      <c r="A145" s="296" t="s">
        <v>114</v>
      </c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387"/>
    </row>
    <row r="146" spans="1:15" ht="21" customHeight="1">
      <c r="A146" s="118" t="s">
        <v>115</v>
      </c>
      <c r="B146" s="297" t="s">
        <v>116</v>
      </c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87"/>
    </row>
    <row r="147" spans="1:15" ht="21" customHeight="1">
      <c r="A147" s="119"/>
      <c r="B147" s="257" t="s">
        <v>213</v>
      </c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387"/>
    </row>
    <row r="148" spans="1:15" ht="21" customHeight="1">
      <c r="A148" s="119"/>
      <c r="B148" s="257" t="s">
        <v>192</v>
      </c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387"/>
    </row>
    <row r="149" spans="1:15" ht="21" customHeight="1">
      <c r="A149" s="119"/>
      <c r="B149" s="257" t="s">
        <v>214</v>
      </c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387"/>
    </row>
    <row r="150" spans="1:15" ht="21" customHeight="1">
      <c r="A150" s="90"/>
      <c r="B150" s="258" t="s">
        <v>130</v>
      </c>
      <c r="C150" s="258"/>
      <c r="D150" s="258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387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7"/>
    </row>
    <row r="152" spans="1:15" ht="21" customHeight="1">
      <c r="A152" s="259" t="s">
        <v>62</v>
      </c>
      <c r="B152" s="259"/>
      <c r="C152" s="259"/>
      <c r="D152" s="259"/>
      <c r="E152" s="389"/>
      <c r="F152" s="389"/>
      <c r="G152" s="389"/>
      <c r="H152" s="389"/>
      <c r="I152" s="389"/>
      <c r="J152" s="390" t="s">
        <v>33</v>
      </c>
      <c r="K152" s="390"/>
      <c r="L152" s="390"/>
      <c r="M152" s="390"/>
      <c r="N152" s="390"/>
      <c r="O152" s="387"/>
    </row>
    <row r="153" spans="1:15" ht="21" customHeight="1">
      <c r="A153" s="174"/>
      <c r="B153" s="174"/>
      <c r="C153" s="174"/>
      <c r="D153" s="389"/>
      <c r="E153" s="389"/>
      <c r="F153" s="389"/>
      <c r="G153" s="389"/>
      <c r="H153" s="391"/>
      <c r="I153" s="391"/>
      <c r="J153" s="391"/>
      <c r="K153" s="391"/>
      <c r="L153" s="391"/>
      <c r="M153" s="391"/>
      <c r="N153" s="391"/>
      <c r="O153" s="387"/>
    </row>
    <row r="154" spans="1:15" ht="21" customHeight="1">
      <c r="A154" s="174"/>
      <c r="B154" s="174"/>
      <c r="C154" s="174"/>
      <c r="D154" s="389"/>
      <c r="E154" s="389"/>
      <c r="F154" s="389"/>
      <c r="G154" s="389"/>
      <c r="H154" s="391"/>
      <c r="I154" s="391"/>
      <c r="J154" s="391"/>
      <c r="K154" s="391"/>
      <c r="L154" s="391"/>
      <c r="M154" s="391"/>
      <c r="N154" s="391"/>
      <c r="O154" s="387"/>
    </row>
    <row r="155" spans="1:15" ht="21" customHeight="1">
      <c r="A155" s="174"/>
      <c r="B155" s="174"/>
      <c r="C155" s="174"/>
      <c r="D155" s="389"/>
      <c r="E155" s="389"/>
      <c r="F155" s="389"/>
      <c r="G155" s="389"/>
      <c r="H155" s="391"/>
      <c r="I155" s="391"/>
      <c r="J155" s="392" t="s">
        <v>124</v>
      </c>
      <c r="K155" s="392"/>
      <c r="L155" s="392"/>
      <c r="M155" s="392"/>
      <c r="N155" s="392"/>
      <c r="O155" s="387"/>
    </row>
    <row r="156" spans="1:15" ht="21" customHeight="1">
      <c r="A156" s="260" t="s">
        <v>91</v>
      </c>
      <c r="B156" s="260"/>
      <c r="C156" s="260"/>
      <c r="D156" s="260"/>
      <c r="E156" s="389"/>
      <c r="F156" s="389"/>
      <c r="G156" s="389"/>
      <c r="H156" s="391"/>
      <c r="I156" s="391"/>
      <c r="J156" s="392"/>
      <c r="K156" s="392"/>
      <c r="L156" s="392"/>
      <c r="M156" s="392"/>
      <c r="N156" s="392"/>
      <c r="O156" s="387"/>
    </row>
    <row r="157" spans="1:15" ht="21" customHeight="1"/>
    <row r="158" spans="1:15" ht="21" customHeight="1">
      <c r="J158" s="392" t="s">
        <v>127</v>
      </c>
      <c r="K158" s="392"/>
      <c r="L158" s="392"/>
      <c r="M158" s="392"/>
      <c r="N158" s="392"/>
    </row>
  </sheetData>
  <mergeCells count="203"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view="pageLayout" workbookViewId="0">
      <selection activeCell="J131" sqref="J13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61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Q2" s="2"/>
      <c r="R2" s="2"/>
      <c r="S2" s="2"/>
      <c r="T2" s="2"/>
    </row>
    <row r="3" spans="1:20" ht="19.8" customHeight="1">
      <c r="A3" s="8" t="s">
        <v>202</v>
      </c>
      <c r="B3" s="8"/>
      <c r="C3" s="8"/>
      <c r="D3" s="8"/>
      <c r="E3" s="8"/>
      <c r="F3" s="178"/>
      <c r="G3" s="178"/>
      <c r="H3" s="178"/>
      <c r="I3" s="178"/>
      <c r="J3" s="178"/>
      <c r="K3" s="178"/>
      <c r="L3" s="178"/>
      <c r="M3" s="178"/>
      <c r="N3" s="178"/>
      <c r="O3" s="371"/>
      <c r="P3" s="371"/>
      <c r="T3" s="2"/>
    </row>
    <row r="4" spans="1:20" ht="19.8" customHeight="1">
      <c r="A4" s="8"/>
      <c r="B4" s="8"/>
      <c r="C4" s="8"/>
      <c r="D4" s="8"/>
      <c r="E4" s="8"/>
      <c r="F4" s="178"/>
      <c r="G4" s="178"/>
      <c r="H4" s="178"/>
      <c r="I4" s="178"/>
      <c r="J4" s="178"/>
      <c r="K4" s="178"/>
      <c r="L4" s="178"/>
      <c r="M4" s="178"/>
      <c r="N4" s="178"/>
      <c r="O4" s="371"/>
      <c r="P4" s="371"/>
      <c r="T4" s="2"/>
    </row>
    <row r="5" spans="1:20" s="2" customFormat="1" ht="19.8" customHeight="1">
      <c r="A5" s="231" t="s">
        <v>97</v>
      </c>
      <c r="B5" s="231"/>
      <c r="C5" s="231"/>
      <c r="D5" s="231"/>
      <c r="E5" s="231" t="s">
        <v>98</v>
      </c>
      <c r="F5" s="231"/>
      <c r="G5" s="231"/>
      <c r="H5" s="231"/>
      <c r="I5" s="231"/>
      <c r="J5" s="231"/>
      <c r="K5" s="231"/>
      <c r="L5" s="231"/>
      <c r="M5" s="231"/>
      <c r="N5" s="231"/>
      <c r="O5" s="372"/>
    </row>
    <row r="6" spans="1:20" s="2" customFormat="1" ht="19.8" customHeight="1">
      <c r="A6" s="268" t="s">
        <v>90</v>
      </c>
      <c r="B6" s="268"/>
      <c r="C6" s="268"/>
      <c r="D6" s="268"/>
      <c r="E6" s="269" t="s">
        <v>148</v>
      </c>
      <c r="F6" s="269"/>
      <c r="G6" s="269"/>
      <c r="H6" s="269"/>
      <c r="I6" s="269"/>
      <c r="J6" s="284" t="s">
        <v>145</v>
      </c>
      <c r="K6" s="285"/>
      <c r="L6" s="285"/>
      <c r="M6" s="285"/>
      <c r="N6" s="286"/>
      <c r="O6" s="372"/>
    </row>
    <row r="7" spans="1:20" s="2" customFormat="1" ht="19.8" customHeight="1">
      <c r="A7" s="310" t="s">
        <v>157</v>
      </c>
      <c r="B7" s="311"/>
      <c r="C7" s="311"/>
      <c r="D7" s="312"/>
      <c r="E7" s="269"/>
      <c r="F7" s="269"/>
      <c r="G7" s="269"/>
      <c r="H7" s="269"/>
      <c r="I7" s="269"/>
      <c r="J7" s="287"/>
      <c r="K7" s="288"/>
      <c r="L7" s="288"/>
      <c r="M7" s="288"/>
      <c r="N7" s="289"/>
      <c r="O7" s="372"/>
    </row>
    <row r="8" spans="1:20" s="2" customFormat="1" ht="19.8" customHeight="1">
      <c r="A8" s="183" t="s">
        <v>185</v>
      </c>
      <c r="B8" s="183"/>
      <c r="C8" s="183"/>
      <c r="D8" s="183"/>
      <c r="E8" s="269"/>
      <c r="F8" s="269"/>
      <c r="G8" s="269"/>
      <c r="H8" s="269"/>
      <c r="I8" s="269"/>
      <c r="J8" s="287"/>
      <c r="K8" s="288"/>
      <c r="L8" s="288"/>
      <c r="M8" s="288"/>
      <c r="N8" s="289"/>
      <c r="O8" s="372"/>
    </row>
    <row r="9" spans="1:20" s="2" customFormat="1" ht="19.8" customHeight="1">
      <c r="A9" s="277" t="s">
        <v>184</v>
      </c>
      <c r="B9" s="277"/>
      <c r="C9" s="277"/>
      <c r="D9" s="277"/>
      <c r="E9" s="269"/>
      <c r="F9" s="269"/>
      <c r="G9" s="269"/>
      <c r="H9" s="269"/>
      <c r="I9" s="269"/>
      <c r="J9" s="290"/>
      <c r="K9" s="291"/>
      <c r="L9" s="291"/>
      <c r="M9" s="291"/>
      <c r="N9" s="292"/>
      <c r="O9" s="372"/>
    </row>
    <row r="10" spans="1:20" s="2" customFormat="1" ht="19.8" customHeight="1">
      <c r="A10" s="278" t="s">
        <v>122</v>
      </c>
      <c r="B10" s="279"/>
      <c r="C10" s="280"/>
      <c r="D10" s="129">
        <v>207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8" customHeight="1">
      <c r="A11" s="186" t="s">
        <v>0</v>
      </c>
      <c r="B11" s="196" t="s">
        <v>19</v>
      </c>
      <c r="C11" s="199" t="s">
        <v>8</v>
      </c>
      <c r="D11" s="199" t="s">
        <v>9</v>
      </c>
      <c r="E11" s="189" t="s">
        <v>11</v>
      </c>
      <c r="F11" s="190"/>
      <c r="G11" s="189" t="s">
        <v>13</v>
      </c>
      <c r="H11" s="190"/>
      <c r="I11" s="193" t="s">
        <v>16</v>
      </c>
      <c r="J11" s="193" t="s">
        <v>41</v>
      </c>
      <c r="K11" s="193" t="s">
        <v>42</v>
      </c>
      <c r="L11" s="313" t="s">
        <v>17</v>
      </c>
      <c r="M11" s="193" t="s">
        <v>55</v>
      </c>
      <c r="N11" s="186" t="s">
        <v>18</v>
      </c>
      <c r="O11" s="373"/>
    </row>
    <row r="12" spans="1:20" ht="19.8" customHeight="1">
      <c r="A12" s="187"/>
      <c r="B12" s="197"/>
      <c r="C12" s="200"/>
      <c r="D12" s="200"/>
      <c r="E12" s="191"/>
      <c r="F12" s="192"/>
      <c r="G12" s="191"/>
      <c r="H12" s="192"/>
      <c r="I12" s="194"/>
      <c r="J12" s="194"/>
      <c r="K12" s="194"/>
      <c r="L12" s="314"/>
      <c r="M12" s="194"/>
      <c r="N12" s="187"/>
      <c r="O12" s="174"/>
    </row>
    <row r="13" spans="1:20" ht="19.8" customHeight="1">
      <c r="A13" s="187"/>
      <c r="B13" s="197"/>
      <c r="C13" s="200"/>
      <c r="D13" s="200"/>
      <c r="E13" s="193" t="s">
        <v>10</v>
      </c>
      <c r="F13" s="193" t="s">
        <v>12</v>
      </c>
      <c r="G13" s="193" t="s">
        <v>14</v>
      </c>
      <c r="H13" s="193" t="s">
        <v>15</v>
      </c>
      <c r="I13" s="194"/>
      <c r="J13" s="194"/>
      <c r="K13" s="194"/>
      <c r="L13" s="314"/>
      <c r="M13" s="194"/>
      <c r="N13" s="187"/>
      <c r="O13" s="174"/>
    </row>
    <row r="14" spans="1:20" ht="19.8" customHeight="1">
      <c r="A14" s="188"/>
      <c r="B14" s="198"/>
      <c r="C14" s="201"/>
      <c r="D14" s="201"/>
      <c r="E14" s="195"/>
      <c r="F14" s="195"/>
      <c r="G14" s="195"/>
      <c r="H14" s="195"/>
      <c r="I14" s="195"/>
      <c r="J14" s="195"/>
      <c r="K14" s="195"/>
      <c r="L14" s="315"/>
      <c r="M14" s="195"/>
      <c r="N14" s="188"/>
      <c r="O14" s="174"/>
    </row>
    <row r="15" spans="1:20" ht="20.399999999999999" customHeight="1">
      <c r="A15" s="233" t="s">
        <v>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174"/>
    </row>
    <row r="16" spans="1:20" s="2" customFormat="1" ht="20.399999999999999" customHeight="1">
      <c r="A16" s="9">
        <v>1</v>
      </c>
      <c r="B16" s="6" t="s">
        <v>123</v>
      </c>
      <c r="C16" s="23"/>
      <c r="D16" s="140"/>
      <c r="E16" s="25"/>
      <c r="F16" s="25"/>
      <c r="G16" s="25"/>
      <c r="H16" s="25"/>
      <c r="I16" s="25"/>
      <c r="J16" s="25"/>
      <c r="K16" s="25"/>
      <c r="L16" s="26"/>
      <c r="M16" s="26"/>
      <c r="N16" s="28">
        <v>15750.000000000004</v>
      </c>
      <c r="O16" s="154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270</v>
      </c>
      <c r="D17" s="24">
        <f>C17/100*60</f>
        <v>162</v>
      </c>
      <c r="E17" s="25">
        <f>C17/100*15</f>
        <v>40.5</v>
      </c>
      <c r="F17" s="25"/>
      <c r="G17" s="25"/>
      <c r="H17" s="25"/>
      <c r="I17" s="25"/>
      <c r="J17" s="27">
        <f>C17/100*387</f>
        <v>1044.9000000000001</v>
      </c>
      <c r="K17" s="27">
        <f>C17/100*0.09</f>
        <v>0.24299999999999999</v>
      </c>
      <c r="L17" s="138">
        <v>270</v>
      </c>
      <c r="M17" s="75">
        <v>20</v>
      </c>
      <c r="N17" s="28">
        <f>L17*M17</f>
        <v>5400</v>
      </c>
      <c r="O17" s="154"/>
    </row>
    <row r="18" spans="1:20" s="2" customFormat="1" ht="20.399999999999999" customHeight="1">
      <c r="A18" s="9">
        <v>3</v>
      </c>
      <c r="B18" s="10" t="s">
        <v>141</v>
      </c>
      <c r="C18" s="23">
        <f>L18/100*100</f>
        <v>1490</v>
      </c>
      <c r="D18" s="121">
        <f>C18/100*899</f>
        <v>13395.1</v>
      </c>
      <c r="E18" s="25"/>
      <c r="F18" s="25"/>
      <c r="G18" s="120">
        <f>C18/100*100</f>
        <v>1490</v>
      </c>
      <c r="H18" s="25"/>
      <c r="I18" s="25"/>
      <c r="J18" s="25"/>
      <c r="K18" s="25"/>
      <c r="L18" s="138">
        <v>1490</v>
      </c>
      <c r="M18" s="24">
        <v>68</v>
      </c>
      <c r="N18" s="28">
        <f t="shared" ref="N18:N27" si="0">L18*M18</f>
        <v>101320</v>
      </c>
      <c r="O18" s="376"/>
    </row>
    <row r="19" spans="1:20" s="2" customFormat="1" ht="20.399999999999999" customHeight="1">
      <c r="A19" s="9">
        <v>4</v>
      </c>
      <c r="B19" s="10" t="s">
        <v>5</v>
      </c>
      <c r="C19" s="23">
        <f>L19/100*90</f>
        <v>168.3</v>
      </c>
      <c r="D19" s="24">
        <f>C19/100*281</f>
        <v>472.923</v>
      </c>
      <c r="E19" s="25"/>
      <c r="F19" s="25">
        <f>C19/100*9.5</f>
        <v>15.9885</v>
      </c>
      <c r="G19" s="25"/>
      <c r="H19" s="25">
        <f>C19/100*0.2</f>
        <v>0.33660000000000001</v>
      </c>
      <c r="I19" s="25">
        <f>C19/100*58.5</f>
        <v>98.455500000000001</v>
      </c>
      <c r="J19" s="27">
        <f>C19/100*321.3</f>
        <v>540.74790000000007</v>
      </c>
      <c r="K19" s="27">
        <f>C19/100*0.14</f>
        <v>0.23562000000000002</v>
      </c>
      <c r="L19" s="138">
        <v>187</v>
      </c>
      <c r="M19" s="75">
        <v>120</v>
      </c>
      <c r="N19" s="28">
        <f t="shared" si="0"/>
        <v>22440</v>
      </c>
      <c r="O19" s="154"/>
    </row>
    <row r="20" spans="1:20" s="2" customFormat="1" ht="20.399999999999999" customHeight="1">
      <c r="A20" s="9">
        <v>5</v>
      </c>
      <c r="B20" s="10" t="s">
        <v>70</v>
      </c>
      <c r="C20" s="23">
        <f>L20/100*90</f>
        <v>108</v>
      </c>
      <c r="D20" s="24">
        <f>C20/100*253</f>
        <v>273.24</v>
      </c>
      <c r="E20" s="25"/>
      <c r="F20" s="25">
        <f>C20/100*32.4</f>
        <v>34.991999999999997</v>
      </c>
      <c r="G20" s="25"/>
      <c r="H20" s="25">
        <f>C20/100*3.6</f>
        <v>3.8880000000000003</v>
      </c>
      <c r="I20" s="25">
        <f>C20/100*21.1</f>
        <v>22.788000000000004</v>
      </c>
      <c r="J20" s="27">
        <f>C20/100*165.6</f>
        <v>178.84800000000001</v>
      </c>
      <c r="K20" s="27">
        <f>C20/100*0.14</f>
        <v>0.15120000000000003</v>
      </c>
      <c r="L20" s="138">
        <v>120</v>
      </c>
      <c r="M20" s="75">
        <v>275</v>
      </c>
      <c r="N20" s="28">
        <f t="shared" si="0"/>
        <v>33000</v>
      </c>
      <c r="O20" s="154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19665</v>
      </c>
      <c r="D21" s="121">
        <f>C21/100*344</f>
        <v>67647.600000000006</v>
      </c>
      <c r="E21" s="25"/>
      <c r="F21" s="141">
        <f>C21/100*7.9</f>
        <v>1553.5350000000001</v>
      </c>
      <c r="G21" s="25"/>
      <c r="H21" s="25">
        <f>C21/100*1</f>
        <v>196.65</v>
      </c>
      <c r="I21" s="141">
        <f>C21/100*73.3</f>
        <v>14414.445</v>
      </c>
      <c r="J21" s="27">
        <f>C21/100*30</f>
        <v>5899.5</v>
      </c>
      <c r="K21" s="27">
        <f>C21/100*0.1</f>
        <v>19.665000000000003</v>
      </c>
      <c r="L21" s="377">
        <v>19665</v>
      </c>
      <c r="M21" s="75">
        <v>18</v>
      </c>
      <c r="N21" s="28">
        <f t="shared" si="0"/>
        <v>353970</v>
      </c>
      <c r="O21" s="154"/>
      <c r="R21" s="18"/>
      <c r="S21" s="18"/>
    </row>
    <row r="22" spans="1:20" s="2" customFormat="1" ht="20.399999999999999" customHeight="1">
      <c r="A22" s="9">
        <v>7</v>
      </c>
      <c r="B22" s="5" t="s">
        <v>63</v>
      </c>
      <c r="C22" s="23">
        <f>L22/100*86</f>
        <v>2683.2</v>
      </c>
      <c r="D22" s="24">
        <f>C22/100*166</f>
        <v>4454.1119999999992</v>
      </c>
      <c r="E22" s="25">
        <f>C22/100*14.8</f>
        <v>397.11359999999996</v>
      </c>
      <c r="F22" s="25"/>
      <c r="G22" s="25">
        <f>C22/100*11.6</f>
        <v>311.25119999999998</v>
      </c>
      <c r="H22" s="25"/>
      <c r="I22" s="25">
        <f>C22/100*0.5</f>
        <v>13.415999999999999</v>
      </c>
      <c r="J22" s="27">
        <f>C22/100*55</f>
        <v>1475.7599999999998</v>
      </c>
      <c r="K22" s="27">
        <f>C22/100*0.16</f>
        <v>4.29312</v>
      </c>
      <c r="L22" s="138">
        <v>3120</v>
      </c>
      <c r="M22" s="75">
        <v>62</v>
      </c>
      <c r="N22" s="28">
        <f t="shared" si="0"/>
        <v>193440</v>
      </c>
      <c r="O22" s="154"/>
      <c r="Q22" s="3"/>
      <c r="R22" s="3"/>
      <c r="S22" s="4"/>
    </row>
    <row r="23" spans="1:20" s="2" customFormat="1" ht="20.399999999999999" customHeight="1">
      <c r="A23" s="9">
        <v>8</v>
      </c>
      <c r="B23" s="10" t="s">
        <v>71</v>
      </c>
      <c r="C23" s="23">
        <f>L23/100*98</f>
        <v>8124.2000000000007</v>
      </c>
      <c r="D23" s="121">
        <f>C23/100*139</f>
        <v>11292.638000000001</v>
      </c>
      <c r="E23" s="120">
        <f>C23/100*19</f>
        <v>1543.5980000000002</v>
      </c>
      <c r="F23" s="25"/>
      <c r="G23" s="25">
        <f>C23/100*7</f>
        <v>568.69400000000007</v>
      </c>
      <c r="H23" s="25"/>
      <c r="I23" s="25"/>
      <c r="J23" s="27">
        <f>C23/100*7</f>
        <v>568.69400000000007</v>
      </c>
      <c r="K23" s="27">
        <f>C23/100*0.9</f>
        <v>73.117800000000003</v>
      </c>
      <c r="L23" s="138">
        <v>8290</v>
      </c>
      <c r="M23" s="75">
        <v>137</v>
      </c>
      <c r="N23" s="125">
        <f t="shared" si="0"/>
        <v>1135730</v>
      </c>
      <c r="O23" s="154"/>
    </row>
    <row r="24" spans="1:20" s="2" customFormat="1" ht="20.399999999999999" customHeight="1">
      <c r="A24" s="9">
        <v>9</v>
      </c>
      <c r="B24" s="150" t="s">
        <v>96</v>
      </c>
      <c r="C24" s="23">
        <f>L24/100*90</f>
        <v>1520.9999999999998</v>
      </c>
      <c r="D24" s="24">
        <f>C24/100*90</f>
        <v>1368.8999999999999</v>
      </c>
      <c r="E24" s="25">
        <f>C24/100*18.4</f>
        <v>279.86399999999992</v>
      </c>
      <c r="F24" s="25"/>
      <c r="G24" s="25">
        <f>C24/100*1.8</f>
        <v>27.377999999999997</v>
      </c>
      <c r="H24" s="25"/>
      <c r="I24" s="25"/>
      <c r="J24" s="81">
        <f>C24/100*1120</f>
        <v>17035.199999999997</v>
      </c>
      <c r="K24" s="27">
        <f>C24/100*0.02</f>
        <v>0.30419999999999997</v>
      </c>
      <c r="L24" s="138">
        <v>1690</v>
      </c>
      <c r="M24" s="26">
        <v>260</v>
      </c>
      <c r="N24" s="125">
        <f t="shared" si="0"/>
        <v>439400</v>
      </c>
      <c r="O24" s="154"/>
      <c r="Q24" s="3"/>
      <c r="R24" s="3"/>
      <c r="S24" s="4"/>
    </row>
    <row r="25" spans="1:20" s="2" customFormat="1" ht="20.399999999999999" customHeight="1">
      <c r="A25" s="9">
        <v>10</v>
      </c>
      <c r="B25" s="5" t="s">
        <v>180</v>
      </c>
      <c r="C25" s="23">
        <f>L25/100*90</f>
        <v>6336.0000000000009</v>
      </c>
      <c r="D25" s="24">
        <f>C25/100*29</f>
        <v>1837.4400000000003</v>
      </c>
      <c r="E25" s="25"/>
      <c r="F25" s="25">
        <f>C25/100*1.8</f>
        <v>114.04800000000002</v>
      </c>
      <c r="G25" s="25"/>
      <c r="H25" s="25">
        <f>C25/100*0.1</f>
        <v>6.3360000000000012</v>
      </c>
      <c r="I25" s="25">
        <f>C25/100*5.3</f>
        <v>335.80800000000005</v>
      </c>
      <c r="J25" s="25">
        <f>C25/100*48</f>
        <v>3041.28</v>
      </c>
      <c r="K25" s="25">
        <f>C25/100*0.05</f>
        <v>3.1680000000000006</v>
      </c>
      <c r="L25" s="138">
        <v>7040</v>
      </c>
      <c r="M25" s="75">
        <v>13</v>
      </c>
      <c r="N25" s="28">
        <f t="shared" si="0"/>
        <v>91520</v>
      </c>
      <c r="O25" s="154"/>
    </row>
    <row r="26" spans="1:20" s="2" customFormat="1" ht="20.399999999999999" customHeight="1">
      <c r="A26" s="9">
        <v>11</v>
      </c>
      <c r="B26" s="5" t="s">
        <v>93</v>
      </c>
      <c r="C26" s="23">
        <f>L26/100*81.7</f>
        <v>3382.38</v>
      </c>
      <c r="D26" s="24">
        <f>C26/100*27</f>
        <v>913.24259999999992</v>
      </c>
      <c r="E26" s="29"/>
      <c r="F26" s="29">
        <f>C26/100*0.3</f>
        <v>10.147139999999998</v>
      </c>
      <c r="G26" s="29"/>
      <c r="H26" s="29">
        <f>C26/100*0.1</f>
        <v>3.3823799999999999</v>
      </c>
      <c r="I26" s="29">
        <f>C26/100*6.1</f>
        <v>206.32517999999999</v>
      </c>
      <c r="J26" s="71">
        <f>C26/100*24</f>
        <v>811.77119999999991</v>
      </c>
      <c r="K26" s="71">
        <f>C26/100*0.06</f>
        <v>2.0294279999999998</v>
      </c>
      <c r="L26" s="374">
        <v>4140</v>
      </c>
      <c r="M26" s="26">
        <v>22</v>
      </c>
      <c r="N26" s="28">
        <f t="shared" si="0"/>
        <v>91080</v>
      </c>
      <c r="O26" s="154"/>
      <c r="Q26" s="3"/>
      <c r="R26" s="3"/>
      <c r="S26" s="4"/>
    </row>
    <row r="27" spans="1:20" s="2" customFormat="1" ht="20.399999999999999" customHeight="1">
      <c r="A27" s="9">
        <v>12</v>
      </c>
      <c r="B27" s="5" t="s">
        <v>136</v>
      </c>
      <c r="C27" s="23">
        <f>L27/100*100</f>
        <v>210</v>
      </c>
      <c r="D27" s="24">
        <f>C27/100*247</f>
        <v>518.70000000000005</v>
      </c>
      <c r="E27" s="29"/>
      <c r="F27" s="29">
        <f>C27/100*17.5</f>
        <v>36.75</v>
      </c>
      <c r="G27" s="29"/>
      <c r="H27" s="29">
        <f>C27/100*1.6</f>
        <v>3.3600000000000003</v>
      </c>
      <c r="I27" s="29">
        <f>C27/100*39.2</f>
        <v>82.320000000000007</v>
      </c>
      <c r="J27" s="71"/>
      <c r="K27" s="71"/>
      <c r="L27" s="374">
        <v>210</v>
      </c>
      <c r="M27" s="75">
        <v>50</v>
      </c>
      <c r="N27" s="28">
        <f t="shared" si="0"/>
        <v>10500</v>
      </c>
      <c r="O27" s="154"/>
      <c r="Q27" s="3"/>
      <c r="R27" s="3"/>
      <c r="S27" s="4"/>
      <c r="T27" s="3"/>
    </row>
    <row r="28" spans="1:20" s="2" customFormat="1" ht="20.399999999999999" customHeight="1">
      <c r="A28" s="21" t="s">
        <v>105</v>
      </c>
      <c r="B28" s="22"/>
      <c r="C28" s="34"/>
      <c r="D28" s="172">
        <f>SUM(D16:D27)</f>
        <v>102335.8956</v>
      </c>
      <c r="E28" s="36"/>
      <c r="F28" s="36"/>
      <c r="G28" s="36"/>
      <c r="H28" s="36"/>
      <c r="I28" s="36"/>
      <c r="J28" s="36"/>
      <c r="K28" s="36"/>
      <c r="L28" s="37"/>
      <c r="M28" s="321"/>
      <c r="N28" s="262">
        <f>SUM(N16:N27)</f>
        <v>2493550</v>
      </c>
      <c r="O28" s="154"/>
    </row>
    <row r="29" spans="1:20" s="2" customFormat="1" ht="20.399999999999999" customHeight="1">
      <c r="A29" s="21" t="s">
        <v>6</v>
      </c>
      <c r="B29" s="22"/>
      <c r="C29" s="34"/>
      <c r="D29" s="35">
        <f>D28/D10</f>
        <v>494.37630724637683</v>
      </c>
      <c r="E29" s="36"/>
      <c r="F29" s="36"/>
      <c r="G29" s="36"/>
      <c r="H29" s="36"/>
      <c r="I29" s="36"/>
      <c r="J29" s="36"/>
      <c r="K29" s="36"/>
      <c r="L29" s="37"/>
      <c r="M29" s="322"/>
      <c r="N29" s="263"/>
      <c r="O29" s="154"/>
    </row>
    <row r="30" spans="1:20" s="2" customFormat="1" ht="20.399999999999999" customHeight="1">
      <c r="A30" s="304" t="s">
        <v>51</v>
      </c>
      <c r="B30" s="207"/>
      <c r="C30" s="375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4"/>
    </row>
    <row r="31" spans="1:20" s="2" customFormat="1" ht="20.399999999999999" customHeight="1">
      <c r="A31" s="208"/>
      <c r="B31" s="209"/>
      <c r="C31" s="76" t="s">
        <v>60</v>
      </c>
      <c r="D31" s="20">
        <f>D29*100/1320</f>
        <v>37.452750548967941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4"/>
    </row>
    <row r="32" spans="1:20" s="2" customFormat="1" ht="20.399999999999999" customHeight="1">
      <c r="A32" s="276" t="s">
        <v>35</v>
      </c>
      <c r="B32" s="27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4"/>
    </row>
    <row r="33" spans="1:23" s="2" customFormat="1" ht="20.399999999999999" customHeight="1">
      <c r="A33" s="9">
        <v>1</v>
      </c>
      <c r="B33" s="6" t="s">
        <v>123</v>
      </c>
      <c r="C33" s="23"/>
      <c r="D33" s="140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13550.000000000004</v>
      </c>
      <c r="O33" s="154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3105</v>
      </c>
      <c r="D34" s="121">
        <f>C34/100*344</f>
        <v>10681.2</v>
      </c>
      <c r="E34" s="25"/>
      <c r="F34" s="25">
        <f>C34/100*7.9</f>
        <v>245.29500000000002</v>
      </c>
      <c r="G34" s="25"/>
      <c r="H34" s="25">
        <f>C34/100*1</f>
        <v>31.05</v>
      </c>
      <c r="I34" s="25">
        <f>C34/100*73.3</f>
        <v>2275.9650000000001</v>
      </c>
      <c r="J34" s="27">
        <f>C34/100*30</f>
        <v>931.5</v>
      </c>
      <c r="K34" s="27">
        <f>C34/100*0.1</f>
        <v>3.1050000000000004</v>
      </c>
      <c r="L34" s="138">
        <v>3105</v>
      </c>
      <c r="M34" s="77">
        <v>18</v>
      </c>
      <c r="N34" s="28">
        <f t="shared" ref="N34:N35" si="1">L34*M34</f>
        <v>55890</v>
      </c>
      <c r="O34" s="154"/>
    </row>
    <row r="35" spans="1:23" s="2" customFormat="1" ht="20.399999999999999" customHeight="1">
      <c r="A35" s="9">
        <v>3</v>
      </c>
      <c r="B35" s="5" t="s">
        <v>73</v>
      </c>
      <c r="C35" s="23">
        <f>L35/100*100</f>
        <v>2070</v>
      </c>
      <c r="D35" s="24">
        <f>C35/100*344</f>
        <v>7120.8</v>
      </c>
      <c r="E35" s="25"/>
      <c r="F35" s="25">
        <f>C35/100*8.6</f>
        <v>178.01999999999998</v>
      </c>
      <c r="G35" s="25"/>
      <c r="H35" s="25">
        <f>C35/100*1.5</f>
        <v>31.049999999999997</v>
      </c>
      <c r="I35" s="25">
        <f>C35/100*74.5</f>
        <v>1542.1499999999999</v>
      </c>
      <c r="J35" s="25">
        <f>C35/100*32</f>
        <v>662.4</v>
      </c>
      <c r="K35" s="25">
        <f>C35/100*0.14</f>
        <v>2.8980000000000001</v>
      </c>
      <c r="L35" s="138">
        <v>2070</v>
      </c>
      <c r="M35" s="75">
        <v>30</v>
      </c>
      <c r="N35" s="28">
        <f t="shared" si="1"/>
        <v>62100</v>
      </c>
      <c r="O35" s="154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250</v>
      </c>
      <c r="D36" s="24">
        <f>C36/100*60</f>
        <v>150</v>
      </c>
      <c r="E36" s="25">
        <f>C36/100*15</f>
        <v>37.5</v>
      </c>
      <c r="F36" s="25"/>
      <c r="G36" s="25"/>
      <c r="H36" s="25"/>
      <c r="I36" s="25"/>
      <c r="J36" s="27">
        <f>C36/100*387</f>
        <v>967.5</v>
      </c>
      <c r="K36" s="27">
        <f>C36/100*0.09</f>
        <v>0.22499999999999998</v>
      </c>
      <c r="L36" s="138">
        <v>250</v>
      </c>
      <c r="M36" s="75">
        <v>20</v>
      </c>
      <c r="N36" s="28">
        <f>L36*M36</f>
        <v>5000</v>
      </c>
      <c r="O36" s="154"/>
    </row>
    <row r="37" spans="1:23" s="2" customFormat="1" ht="20.399999999999999" customHeight="1">
      <c r="A37" s="9">
        <v>5</v>
      </c>
      <c r="B37" s="149" t="s">
        <v>146</v>
      </c>
      <c r="C37" s="23">
        <f t="shared" ref="C37" si="2">L37/100*100</f>
        <v>210</v>
      </c>
      <c r="D37" s="121">
        <f>C37/100*900</f>
        <v>1890</v>
      </c>
      <c r="E37" s="25"/>
      <c r="F37" s="25"/>
      <c r="G37" s="120"/>
      <c r="H37" s="25">
        <f>C37/100*100</f>
        <v>210</v>
      </c>
      <c r="I37" s="25"/>
      <c r="J37" s="25"/>
      <c r="K37" s="25"/>
      <c r="L37" s="138">
        <v>210</v>
      </c>
      <c r="M37" s="75">
        <v>63.5</v>
      </c>
      <c r="N37" s="28">
        <f t="shared" ref="N37:N41" si="3">L37*M37</f>
        <v>13335</v>
      </c>
      <c r="O37" s="376"/>
    </row>
    <row r="38" spans="1:23" s="2" customFormat="1" ht="20.399999999999999" customHeight="1">
      <c r="A38" s="9">
        <v>6</v>
      </c>
      <c r="B38" s="5" t="s">
        <v>69</v>
      </c>
      <c r="C38" s="23">
        <f>L38/100*48</f>
        <v>4944</v>
      </c>
      <c r="D38" s="24">
        <f>C38/100*199</f>
        <v>9838.56</v>
      </c>
      <c r="E38" s="120">
        <f>C38/100*20.3</f>
        <v>1003.6319999999999</v>
      </c>
      <c r="F38" s="25"/>
      <c r="G38" s="25">
        <f>C38/100*13.1</f>
        <v>647.66399999999999</v>
      </c>
      <c r="H38" s="25"/>
      <c r="I38" s="25"/>
      <c r="J38" s="27">
        <f>C38/100*12</f>
        <v>593.28</v>
      </c>
      <c r="K38" s="27">
        <f>C38/100*0.15</f>
        <v>7.4159999999999995</v>
      </c>
      <c r="L38" s="403">
        <v>10300</v>
      </c>
      <c r="M38" s="138">
        <v>84</v>
      </c>
      <c r="N38" s="28">
        <f t="shared" si="3"/>
        <v>865200</v>
      </c>
      <c r="O38" s="154"/>
      <c r="Q38" s="3"/>
      <c r="R38" s="3"/>
      <c r="S38" s="4"/>
    </row>
    <row r="39" spans="1:23" s="2" customFormat="1" ht="20.399999999999999" customHeight="1">
      <c r="A39" s="9">
        <v>7</v>
      </c>
      <c r="B39" s="5" t="s">
        <v>136</v>
      </c>
      <c r="C39" s="23">
        <f>L39/100*100</f>
        <v>120</v>
      </c>
      <c r="D39" s="24">
        <f>C39/100*247</f>
        <v>296.39999999999998</v>
      </c>
      <c r="E39" s="29"/>
      <c r="F39" s="29">
        <f>C39/100*17.5</f>
        <v>21</v>
      </c>
      <c r="G39" s="29"/>
      <c r="H39" s="29">
        <f>C39/100*1.6</f>
        <v>1.92</v>
      </c>
      <c r="I39" s="29">
        <f>C39/100*39.2</f>
        <v>47.04</v>
      </c>
      <c r="J39" s="71"/>
      <c r="K39" s="71"/>
      <c r="L39" s="374">
        <v>120</v>
      </c>
      <c r="M39" s="75">
        <v>50</v>
      </c>
      <c r="N39" s="28">
        <f t="shared" si="3"/>
        <v>6000</v>
      </c>
      <c r="O39" s="154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75</v>
      </c>
      <c r="C40" s="23">
        <f>L40/100*75</f>
        <v>3105</v>
      </c>
      <c r="D40" s="24">
        <f>C40/100*12</f>
        <v>372.6</v>
      </c>
      <c r="E40" s="25"/>
      <c r="F40" s="25">
        <f>C40/100*0.6</f>
        <v>18.63</v>
      </c>
      <c r="G40" s="25"/>
      <c r="H40" s="25"/>
      <c r="I40" s="25">
        <f>C40/100*2.4</f>
        <v>74.52</v>
      </c>
      <c r="J40" s="25">
        <f>C40/100*26</f>
        <v>807.30000000000007</v>
      </c>
      <c r="K40" s="25">
        <f>C40/100*0.02</f>
        <v>0.621</v>
      </c>
      <c r="L40" s="138">
        <v>4140</v>
      </c>
      <c r="M40" s="75">
        <v>30</v>
      </c>
      <c r="N40" s="28">
        <f t="shared" si="3"/>
        <v>124200</v>
      </c>
      <c r="O40" s="154"/>
    </row>
    <row r="41" spans="1:23" s="2" customFormat="1" ht="20.399999999999999" customHeight="1">
      <c r="A41" s="104">
        <v>9</v>
      </c>
      <c r="B41" s="157" t="s">
        <v>149</v>
      </c>
      <c r="C41" s="105">
        <f>L41/100*100</f>
        <v>3520.0000000000005</v>
      </c>
      <c r="D41" s="171">
        <f>C41/100*487</f>
        <v>17142.400000000001</v>
      </c>
      <c r="E41" s="107"/>
      <c r="F41" s="107">
        <f>C41/100*19.5</f>
        <v>686.40000000000009</v>
      </c>
      <c r="G41" s="107"/>
      <c r="H41" s="107">
        <f>C41/100*23.2</f>
        <v>816.64</v>
      </c>
      <c r="I41" s="107">
        <f>C41/100*46</f>
        <v>1619.2</v>
      </c>
      <c r="J41" s="148">
        <f>C41/100*680</f>
        <v>23936.000000000004</v>
      </c>
      <c r="K41" s="107">
        <f>C41/100*0.55</f>
        <v>19.360000000000003</v>
      </c>
      <c r="L41" s="108">
        <v>3520</v>
      </c>
      <c r="M41" s="158">
        <v>260</v>
      </c>
      <c r="N41" s="109">
        <f t="shared" si="3"/>
        <v>915200</v>
      </c>
      <c r="O41" s="154"/>
      <c r="P41" s="3"/>
    </row>
    <row r="42" spans="1:23" ht="19.2" customHeight="1">
      <c r="A42" s="186" t="s">
        <v>0</v>
      </c>
      <c r="B42" s="196" t="s">
        <v>19</v>
      </c>
      <c r="C42" s="199" t="s">
        <v>8</v>
      </c>
      <c r="D42" s="199" t="s">
        <v>9</v>
      </c>
      <c r="E42" s="189" t="s">
        <v>11</v>
      </c>
      <c r="F42" s="190"/>
      <c r="G42" s="189" t="s">
        <v>13</v>
      </c>
      <c r="H42" s="190"/>
      <c r="I42" s="193" t="s">
        <v>16</v>
      </c>
      <c r="J42" s="193" t="s">
        <v>41</v>
      </c>
      <c r="K42" s="193" t="s">
        <v>42</v>
      </c>
      <c r="L42" s="193" t="s">
        <v>17</v>
      </c>
      <c r="M42" s="193" t="s">
        <v>55</v>
      </c>
      <c r="N42" s="186" t="s">
        <v>18</v>
      </c>
      <c r="O42" s="373"/>
    </row>
    <row r="43" spans="1:23" ht="19.2" customHeight="1">
      <c r="A43" s="187"/>
      <c r="B43" s="197"/>
      <c r="C43" s="200"/>
      <c r="D43" s="200"/>
      <c r="E43" s="191"/>
      <c r="F43" s="192"/>
      <c r="G43" s="191"/>
      <c r="H43" s="192"/>
      <c r="I43" s="194"/>
      <c r="J43" s="194"/>
      <c r="K43" s="194"/>
      <c r="L43" s="194"/>
      <c r="M43" s="194"/>
      <c r="N43" s="187"/>
      <c r="O43" s="174"/>
    </row>
    <row r="44" spans="1:23" ht="19.2" customHeight="1">
      <c r="A44" s="187"/>
      <c r="B44" s="197"/>
      <c r="C44" s="200"/>
      <c r="D44" s="200"/>
      <c r="E44" s="193" t="s">
        <v>10</v>
      </c>
      <c r="F44" s="193" t="s">
        <v>12</v>
      </c>
      <c r="G44" s="193" t="s">
        <v>14</v>
      </c>
      <c r="H44" s="193" t="s">
        <v>15</v>
      </c>
      <c r="I44" s="194"/>
      <c r="J44" s="194"/>
      <c r="K44" s="194"/>
      <c r="L44" s="194"/>
      <c r="M44" s="194"/>
      <c r="N44" s="187"/>
      <c r="O44" s="174"/>
    </row>
    <row r="45" spans="1:23" ht="30.6" customHeight="1">
      <c r="A45" s="188"/>
      <c r="B45" s="198"/>
      <c r="C45" s="201"/>
      <c r="D45" s="201"/>
      <c r="E45" s="195"/>
      <c r="F45" s="195"/>
      <c r="G45" s="195"/>
      <c r="H45" s="195"/>
      <c r="I45" s="195"/>
      <c r="J45" s="195"/>
      <c r="K45" s="195"/>
      <c r="L45" s="195"/>
      <c r="M45" s="195"/>
      <c r="N45" s="188"/>
      <c r="O45" s="174"/>
    </row>
    <row r="46" spans="1:23" s="2" customFormat="1" ht="22.2" customHeight="1">
      <c r="A46" s="21" t="s">
        <v>106</v>
      </c>
      <c r="B46" s="22"/>
      <c r="C46" s="34"/>
      <c r="D46" s="122">
        <f>SUM(D33:D41)</f>
        <v>47491.96</v>
      </c>
      <c r="E46" s="43"/>
      <c r="F46" s="43"/>
      <c r="G46" s="43"/>
      <c r="H46" s="43"/>
      <c r="I46" s="43"/>
      <c r="J46" s="43"/>
      <c r="K46" s="43"/>
      <c r="L46" s="44"/>
      <c r="M46" s="319"/>
      <c r="N46" s="264">
        <f>SUM(N33:N41)</f>
        <v>2060475</v>
      </c>
      <c r="O46" s="154"/>
    </row>
    <row r="47" spans="1:23" ht="22.2" customHeight="1">
      <c r="A47" s="21" t="s">
        <v>7</v>
      </c>
      <c r="B47" s="22"/>
      <c r="C47" s="45"/>
      <c r="D47" s="46">
        <f>D46/D10</f>
        <v>229.42975845410626</v>
      </c>
      <c r="E47" s="46"/>
      <c r="F47" s="46"/>
      <c r="G47" s="46"/>
      <c r="H47" s="46"/>
      <c r="I47" s="46"/>
      <c r="J47" s="46"/>
      <c r="K47" s="46"/>
      <c r="L47" s="47"/>
      <c r="M47" s="320"/>
      <c r="N47" s="265"/>
      <c r="O47" s="399"/>
      <c r="P47" s="2"/>
      <c r="Q47" s="2"/>
      <c r="R47" s="2"/>
      <c r="S47" s="2"/>
      <c r="T47" s="2"/>
      <c r="U47" s="2"/>
      <c r="V47" s="2"/>
    </row>
    <row r="48" spans="1:23" ht="22.2" customHeight="1">
      <c r="A48" s="304" t="s">
        <v>52</v>
      </c>
      <c r="B48" s="207"/>
      <c r="C48" s="375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5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08"/>
      <c r="B49" s="209"/>
      <c r="C49" s="76" t="s">
        <v>60</v>
      </c>
      <c r="D49" s="20">
        <f>D47*100/1320</f>
        <v>17.381042307129263</v>
      </c>
      <c r="E49" s="46"/>
      <c r="F49" s="46"/>
      <c r="G49" s="46"/>
      <c r="H49" s="46"/>
      <c r="I49" s="46"/>
      <c r="J49" s="48"/>
      <c r="K49" s="48"/>
      <c r="L49" s="47"/>
      <c r="M49" s="47"/>
      <c r="N49" s="175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23" t="s">
        <v>107</v>
      </c>
      <c r="B50" s="224"/>
      <c r="C50" s="227"/>
      <c r="D50" s="305">
        <f>D28+D46</f>
        <v>149827.85560000001</v>
      </c>
      <c r="E50" s="124">
        <f>SUM(E16:E41)</f>
        <v>3302.2076000000002</v>
      </c>
      <c r="F50" s="124">
        <f>SUM(F17:F41)</f>
        <v>2914.80564</v>
      </c>
      <c r="G50" s="124">
        <f>SUM(G17:G41)</f>
        <v>3044.9872000000005</v>
      </c>
      <c r="H50" s="124">
        <f>SUM(H17:H41)</f>
        <v>1304.6129800000001</v>
      </c>
      <c r="I50" s="212">
        <f>SUM(I17:I41)</f>
        <v>20781.432680000005</v>
      </c>
      <c r="J50" s="212">
        <f>SUM(J16:J41)</f>
        <v>58494.681100000002</v>
      </c>
      <c r="K50" s="210">
        <f>SUM(K16:K41)</f>
        <v>136.832368</v>
      </c>
      <c r="L50" s="239"/>
      <c r="M50" s="239"/>
      <c r="N50" s="301">
        <f>N28+N46</f>
        <v>4554025</v>
      </c>
      <c r="U50" s="12"/>
      <c r="V50" s="12"/>
    </row>
    <row r="51" spans="1:23" ht="22.2" customHeight="1">
      <c r="A51" s="225"/>
      <c r="B51" s="226"/>
      <c r="C51" s="228"/>
      <c r="D51" s="306"/>
      <c r="E51" s="221">
        <f>E50+F50</f>
        <v>6217.0132400000002</v>
      </c>
      <c r="F51" s="222"/>
      <c r="G51" s="221">
        <f>G50+H50</f>
        <v>4349.6001800000004</v>
      </c>
      <c r="H51" s="222"/>
      <c r="I51" s="213"/>
      <c r="J51" s="213"/>
      <c r="K51" s="211"/>
      <c r="L51" s="239"/>
      <c r="M51" s="239"/>
      <c r="N51" s="301"/>
      <c r="U51" s="12"/>
      <c r="V51" s="12"/>
    </row>
    <row r="52" spans="1:23" ht="22.2" customHeight="1">
      <c r="A52" s="270" t="s">
        <v>77</v>
      </c>
      <c r="B52" s="271"/>
      <c r="C52" s="272"/>
      <c r="D52" s="139">
        <f>D50/D10</f>
        <v>723.80606570048315</v>
      </c>
      <c r="E52" s="380">
        <f>E50/D10</f>
        <v>15.952693719806764</v>
      </c>
      <c r="F52" s="381">
        <f>F50/D10</f>
        <v>14.081186666666667</v>
      </c>
      <c r="G52" s="380">
        <f>G50/D10</f>
        <v>14.710083091787443</v>
      </c>
      <c r="H52" s="382">
        <f>H50/D10</f>
        <v>6.302478164251208</v>
      </c>
      <c r="I52" s="204">
        <f>I50/D10</f>
        <v>100.39339458937201</v>
      </c>
      <c r="J52" s="302">
        <f>J50/D10</f>
        <v>282.58300048309178</v>
      </c>
      <c r="K52" s="302">
        <f>K50/D10</f>
        <v>0.66102593236714979</v>
      </c>
      <c r="L52" s="239"/>
      <c r="M52" s="239"/>
      <c r="N52" s="301"/>
      <c r="Q52" s="370"/>
      <c r="R52" s="370"/>
      <c r="S52" s="370"/>
      <c r="T52" s="370"/>
      <c r="U52" s="385"/>
      <c r="V52" s="385"/>
    </row>
    <row r="53" spans="1:23" ht="22.2" customHeight="1">
      <c r="A53" s="273"/>
      <c r="B53" s="274"/>
      <c r="C53" s="275"/>
      <c r="D53" s="404"/>
      <c r="E53" s="383">
        <f>E52+F52</f>
        <v>30.033880386473431</v>
      </c>
      <c r="F53" s="384"/>
      <c r="G53" s="383">
        <f>G52+H52</f>
        <v>21.012561256038651</v>
      </c>
      <c r="H53" s="384"/>
      <c r="I53" s="205"/>
      <c r="J53" s="303"/>
      <c r="K53" s="303"/>
      <c r="L53" s="239"/>
      <c r="M53" s="239"/>
      <c r="N53" s="301"/>
      <c r="P53" s="388"/>
      <c r="Q53" s="370"/>
      <c r="R53" s="370"/>
      <c r="S53" s="370"/>
      <c r="T53" s="370"/>
      <c r="U53" s="370"/>
      <c r="V53" s="370"/>
    </row>
    <row r="54" spans="1:23" ht="22.2" customHeight="1">
      <c r="A54" s="316" t="s">
        <v>80</v>
      </c>
      <c r="B54" s="317"/>
      <c r="C54" s="318"/>
      <c r="D54" s="179" t="s">
        <v>28</v>
      </c>
      <c r="E54" s="231" t="s">
        <v>21</v>
      </c>
      <c r="F54" s="231"/>
      <c r="G54" s="231" t="s">
        <v>22</v>
      </c>
      <c r="H54" s="231"/>
      <c r="I54" s="176" t="s">
        <v>23</v>
      </c>
      <c r="J54" s="386">
        <v>600</v>
      </c>
      <c r="K54" s="386">
        <v>0.7</v>
      </c>
      <c r="L54" s="239"/>
      <c r="M54" s="239"/>
      <c r="N54" s="301"/>
      <c r="O54" s="387"/>
      <c r="P54" s="142"/>
      <c r="Q54" s="369"/>
      <c r="R54" s="369"/>
      <c r="S54" s="369"/>
      <c r="T54" s="96"/>
    </row>
    <row r="55" spans="1:23" ht="22.2" customHeight="1">
      <c r="A55" s="214" t="s">
        <v>78</v>
      </c>
      <c r="B55" s="215"/>
      <c r="C55" s="216"/>
      <c r="D55" s="49"/>
      <c r="E55" s="202">
        <f>E53*4.1</f>
        <v>123.13890958454105</v>
      </c>
      <c r="F55" s="203"/>
      <c r="G55" s="202">
        <f>G53*9</f>
        <v>189.11305130434786</v>
      </c>
      <c r="H55" s="203"/>
      <c r="I55" s="85">
        <f>I52*4.1</f>
        <v>411.61291781642518</v>
      </c>
      <c r="J55" s="249"/>
      <c r="K55" s="249"/>
      <c r="L55" s="239"/>
      <c r="M55" s="239"/>
      <c r="N55" s="301"/>
      <c r="O55" s="387"/>
      <c r="P55" s="379"/>
      <c r="Q55" s="142"/>
      <c r="R55" s="142"/>
      <c r="S55" s="142"/>
    </row>
    <row r="56" spans="1:23" ht="22.2" customHeight="1">
      <c r="A56" s="217" t="s">
        <v>81</v>
      </c>
      <c r="B56" s="218"/>
      <c r="C56" s="214" t="s">
        <v>59</v>
      </c>
      <c r="D56" s="216"/>
      <c r="E56" s="266">
        <f>E55*100/D52</f>
        <v>17.012693789098051</v>
      </c>
      <c r="F56" s="267"/>
      <c r="G56" s="266">
        <f>G55*100/D52</f>
        <v>26.127585863946653</v>
      </c>
      <c r="H56" s="267"/>
      <c r="I56" s="116">
        <f>I55*100/D52</f>
        <v>56.86784586670678</v>
      </c>
      <c r="J56" s="250"/>
      <c r="K56" s="250"/>
      <c r="L56" s="239"/>
      <c r="M56" s="239"/>
      <c r="N56" s="301"/>
      <c r="O56" s="387"/>
    </row>
    <row r="57" spans="1:23" ht="22.2" customHeight="1">
      <c r="A57" s="219"/>
      <c r="B57" s="220"/>
      <c r="C57" s="214" t="s">
        <v>79</v>
      </c>
      <c r="D57" s="216"/>
      <c r="E57" s="214" t="s">
        <v>82</v>
      </c>
      <c r="F57" s="216"/>
      <c r="G57" s="214" t="s">
        <v>83</v>
      </c>
      <c r="H57" s="216"/>
      <c r="I57" s="179" t="s">
        <v>84</v>
      </c>
      <c r="J57" s="230"/>
      <c r="K57" s="230"/>
      <c r="L57" s="239"/>
      <c r="M57" s="239"/>
      <c r="N57" s="301"/>
      <c r="O57" s="387"/>
      <c r="P57" s="133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387"/>
    </row>
    <row r="59" spans="1:23" ht="21" customHeight="1">
      <c r="A59" s="296" t="s">
        <v>114</v>
      </c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387"/>
    </row>
    <row r="60" spans="1:23" ht="21" customHeight="1">
      <c r="A60" s="118" t="s">
        <v>115</v>
      </c>
      <c r="B60" s="297" t="s">
        <v>125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87"/>
    </row>
    <row r="61" spans="1:23" ht="21" customHeight="1">
      <c r="A61" s="119"/>
      <c r="B61" s="257" t="s">
        <v>194</v>
      </c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387"/>
    </row>
    <row r="62" spans="1:23" ht="21" customHeight="1">
      <c r="A62" s="119"/>
      <c r="B62" s="257" t="s">
        <v>195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387"/>
    </row>
    <row r="63" spans="1:23" ht="21" customHeight="1">
      <c r="A63" s="119"/>
      <c r="B63" s="257" t="s">
        <v>196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387"/>
    </row>
    <row r="64" spans="1:23" ht="21" customHeight="1">
      <c r="A64" s="90"/>
      <c r="B64" s="258" t="s">
        <v>117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7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7"/>
    </row>
    <row r="66" spans="1:20" ht="21" customHeight="1">
      <c r="A66" s="259" t="s">
        <v>62</v>
      </c>
      <c r="B66" s="259"/>
      <c r="C66" s="259"/>
      <c r="D66" s="259"/>
      <c r="E66" s="389"/>
      <c r="F66" s="389"/>
      <c r="G66" s="389"/>
      <c r="H66" s="389"/>
      <c r="I66" s="389"/>
      <c r="J66" s="390" t="s">
        <v>33</v>
      </c>
      <c r="K66" s="390"/>
      <c r="L66" s="390"/>
      <c r="M66" s="390"/>
      <c r="N66" s="390"/>
      <c r="O66" s="387"/>
    </row>
    <row r="67" spans="1:20" ht="21" customHeight="1">
      <c r="A67" s="174"/>
      <c r="B67" s="174"/>
      <c r="C67" s="174"/>
      <c r="D67" s="389"/>
      <c r="E67" s="389"/>
      <c r="F67" s="389"/>
      <c r="G67" s="389"/>
      <c r="H67" s="391"/>
      <c r="I67" s="391"/>
      <c r="J67" s="391"/>
      <c r="K67" s="391"/>
      <c r="L67" s="391"/>
      <c r="M67" s="391"/>
      <c r="N67" s="391"/>
      <c r="O67" s="387"/>
    </row>
    <row r="68" spans="1:20" ht="21" customHeight="1">
      <c r="A68" s="174"/>
      <c r="B68" s="174"/>
      <c r="C68" s="174"/>
      <c r="D68" s="389"/>
      <c r="E68" s="389"/>
      <c r="F68" s="389"/>
      <c r="G68" s="389"/>
      <c r="H68" s="391"/>
      <c r="I68" s="391"/>
      <c r="J68" s="391"/>
      <c r="K68" s="391"/>
      <c r="L68" s="391"/>
      <c r="M68" s="391"/>
      <c r="N68" s="391"/>
      <c r="O68" s="387"/>
    </row>
    <row r="69" spans="1:20" ht="21" customHeight="1">
      <c r="A69" s="174"/>
      <c r="B69" s="174"/>
      <c r="C69" s="174"/>
      <c r="D69" s="389"/>
      <c r="E69" s="389"/>
      <c r="F69" s="389"/>
      <c r="G69" s="389"/>
      <c r="H69" s="391"/>
      <c r="I69" s="391"/>
      <c r="J69" s="392" t="s">
        <v>124</v>
      </c>
      <c r="K69" s="392"/>
      <c r="L69" s="392"/>
      <c r="M69" s="392"/>
      <c r="N69" s="392"/>
      <c r="O69" s="387"/>
    </row>
    <row r="70" spans="1:20" ht="22.2" customHeight="1">
      <c r="A70" s="260" t="s">
        <v>91</v>
      </c>
      <c r="B70" s="260"/>
      <c r="C70" s="260"/>
      <c r="D70" s="260"/>
      <c r="E70" s="389"/>
      <c r="F70" s="389"/>
      <c r="G70" s="389"/>
      <c r="H70" s="391"/>
      <c r="I70" s="391"/>
      <c r="J70" s="392"/>
      <c r="K70" s="392"/>
      <c r="L70" s="392"/>
      <c r="M70" s="392"/>
      <c r="N70" s="392"/>
      <c r="O70" s="387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387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92" t="s">
        <v>127</v>
      </c>
      <c r="K72" s="392"/>
      <c r="L72" s="392"/>
      <c r="M72" s="392"/>
      <c r="N72" s="392"/>
      <c r="O72" s="387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387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387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387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387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387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387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387"/>
    </row>
    <row r="80" spans="1:20" ht="17.399999999999999" customHeight="1">
      <c r="A80" s="11" t="s">
        <v>61</v>
      </c>
      <c r="B80" s="8"/>
      <c r="C80" s="8"/>
      <c r="D80" s="8"/>
      <c r="E80" s="8"/>
      <c r="F80" s="184" t="s">
        <v>32</v>
      </c>
      <c r="G80" s="184"/>
      <c r="H80" s="184"/>
      <c r="I80" s="184"/>
      <c r="J80" s="184"/>
      <c r="K80" s="184"/>
      <c r="L80" s="184"/>
      <c r="M80" s="184"/>
      <c r="N80" s="184"/>
      <c r="O80" s="371"/>
      <c r="P80" s="405"/>
      <c r="Q80" s="405"/>
      <c r="R80" s="142"/>
      <c r="S80" s="142"/>
      <c r="T80" s="2"/>
    </row>
    <row r="81" spans="1:20" ht="17.399999999999999" customHeight="1">
      <c r="A81" s="8" t="s">
        <v>202</v>
      </c>
      <c r="B81" s="8"/>
      <c r="C81" s="8"/>
      <c r="D81" s="8"/>
      <c r="E81" s="8"/>
      <c r="F81" s="178"/>
      <c r="G81" s="178"/>
      <c r="H81" s="178"/>
      <c r="I81" s="178"/>
      <c r="J81" s="178"/>
      <c r="K81" s="178"/>
      <c r="L81" s="178"/>
      <c r="M81" s="178"/>
      <c r="N81" s="178"/>
      <c r="O81" s="371"/>
      <c r="P81" s="371"/>
      <c r="T81" s="2"/>
    </row>
    <row r="82" spans="1:20" s="2" customFormat="1" ht="17.399999999999999" customHeight="1">
      <c r="A82" s="231" t="s">
        <v>97</v>
      </c>
      <c r="B82" s="231"/>
      <c r="C82" s="231"/>
      <c r="D82" s="231"/>
      <c r="E82" s="231" t="s">
        <v>89</v>
      </c>
      <c r="F82" s="231"/>
      <c r="G82" s="231"/>
      <c r="H82" s="231"/>
      <c r="I82" s="231"/>
      <c r="J82" s="231"/>
      <c r="K82" s="231"/>
      <c r="L82" s="231"/>
      <c r="M82" s="231"/>
      <c r="N82" s="231"/>
      <c r="O82" s="372"/>
    </row>
    <row r="83" spans="1:20" s="2" customFormat="1" ht="17.399999999999999" customHeight="1">
      <c r="A83" s="231"/>
      <c r="B83" s="231"/>
      <c r="C83" s="231"/>
      <c r="D83" s="231"/>
      <c r="E83" s="231" t="s">
        <v>100</v>
      </c>
      <c r="F83" s="231"/>
      <c r="G83" s="231"/>
      <c r="H83" s="231"/>
      <c r="I83" s="231"/>
      <c r="J83" s="231" t="s">
        <v>101</v>
      </c>
      <c r="K83" s="231"/>
      <c r="L83" s="231"/>
      <c r="M83" s="231"/>
      <c r="N83" s="231"/>
      <c r="O83" s="372"/>
    </row>
    <row r="84" spans="1:20" s="2" customFormat="1" ht="17.399999999999999" customHeight="1">
      <c r="A84" s="268" t="s">
        <v>90</v>
      </c>
      <c r="B84" s="268"/>
      <c r="C84" s="268"/>
      <c r="D84" s="268"/>
      <c r="E84" s="269" t="s">
        <v>148</v>
      </c>
      <c r="F84" s="269"/>
      <c r="G84" s="269"/>
      <c r="H84" s="269"/>
      <c r="I84" s="269"/>
      <c r="J84" s="268" t="s">
        <v>90</v>
      </c>
      <c r="K84" s="268"/>
      <c r="L84" s="268"/>
      <c r="M84" s="268"/>
      <c r="N84" s="268"/>
      <c r="O84" s="372"/>
    </row>
    <row r="85" spans="1:20" s="2" customFormat="1" ht="17.399999999999999" customHeight="1">
      <c r="A85" s="310" t="s">
        <v>157</v>
      </c>
      <c r="B85" s="311"/>
      <c r="C85" s="311"/>
      <c r="D85" s="312"/>
      <c r="E85" s="269"/>
      <c r="F85" s="269"/>
      <c r="G85" s="269"/>
      <c r="H85" s="269"/>
      <c r="I85" s="269"/>
      <c r="J85" s="183" t="s">
        <v>102</v>
      </c>
      <c r="K85" s="183"/>
      <c r="L85" s="183"/>
      <c r="M85" s="183"/>
      <c r="N85" s="183"/>
      <c r="O85" s="372"/>
    </row>
    <row r="86" spans="1:20" s="2" customFormat="1" ht="17.399999999999999" customHeight="1">
      <c r="A86" s="277" t="s">
        <v>184</v>
      </c>
      <c r="B86" s="277"/>
      <c r="C86" s="277"/>
      <c r="D86" s="277"/>
      <c r="E86" s="269"/>
      <c r="F86" s="269"/>
      <c r="G86" s="269"/>
      <c r="H86" s="269"/>
      <c r="I86" s="269"/>
      <c r="J86" s="277" t="s">
        <v>165</v>
      </c>
      <c r="K86" s="277"/>
      <c r="L86" s="277"/>
      <c r="M86" s="277"/>
      <c r="N86" s="277"/>
      <c r="O86" s="288"/>
      <c r="P86" s="288"/>
      <c r="Q86" s="288"/>
      <c r="R86" s="288"/>
    </row>
    <row r="87" spans="1:20" ht="17.399999999999999" customHeight="1">
      <c r="A87" s="278" t="s">
        <v>122</v>
      </c>
      <c r="B87" s="279"/>
      <c r="C87" s="280"/>
      <c r="D87" s="129">
        <v>52</v>
      </c>
      <c r="E87" s="8"/>
      <c r="F87" s="178"/>
      <c r="G87" s="178"/>
      <c r="H87" s="178"/>
      <c r="I87" s="178"/>
      <c r="J87" s="178"/>
      <c r="K87" s="178"/>
      <c r="L87" s="178"/>
      <c r="M87" s="178"/>
      <c r="N87" s="178"/>
      <c r="O87" s="371"/>
      <c r="P87" s="371"/>
      <c r="T87" s="2"/>
    </row>
    <row r="88" spans="1:20" ht="17.399999999999999" customHeight="1">
      <c r="A88" s="186" t="s">
        <v>0</v>
      </c>
      <c r="B88" s="196" t="s">
        <v>19</v>
      </c>
      <c r="C88" s="199" t="s">
        <v>8</v>
      </c>
      <c r="D88" s="199" t="s">
        <v>9</v>
      </c>
      <c r="E88" s="189" t="s">
        <v>11</v>
      </c>
      <c r="F88" s="190"/>
      <c r="G88" s="189" t="s">
        <v>13</v>
      </c>
      <c r="H88" s="190"/>
      <c r="I88" s="193" t="s">
        <v>16</v>
      </c>
      <c r="J88" s="193" t="s">
        <v>41</v>
      </c>
      <c r="K88" s="193" t="s">
        <v>42</v>
      </c>
      <c r="L88" s="193" t="s">
        <v>17</v>
      </c>
      <c r="M88" s="193" t="s">
        <v>55</v>
      </c>
      <c r="N88" s="186" t="s">
        <v>18</v>
      </c>
      <c r="O88" s="373"/>
    </row>
    <row r="89" spans="1:20" ht="17.399999999999999" customHeight="1">
      <c r="A89" s="187"/>
      <c r="B89" s="197"/>
      <c r="C89" s="200"/>
      <c r="D89" s="200"/>
      <c r="E89" s="191"/>
      <c r="F89" s="192"/>
      <c r="G89" s="191"/>
      <c r="H89" s="192"/>
      <c r="I89" s="194"/>
      <c r="J89" s="194"/>
      <c r="K89" s="194"/>
      <c r="L89" s="194"/>
      <c r="M89" s="194"/>
      <c r="N89" s="187"/>
      <c r="O89" s="174"/>
    </row>
    <row r="90" spans="1:20" ht="17.399999999999999" customHeight="1">
      <c r="A90" s="187"/>
      <c r="B90" s="197"/>
      <c r="C90" s="200"/>
      <c r="D90" s="200"/>
      <c r="E90" s="193" t="s">
        <v>10</v>
      </c>
      <c r="F90" s="193" t="s">
        <v>12</v>
      </c>
      <c r="G90" s="193" t="s">
        <v>14</v>
      </c>
      <c r="H90" s="193" t="s">
        <v>15</v>
      </c>
      <c r="I90" s="194"/>
      <c r="J90" s="194"/>
      <c r="K90" s="194"/>
      <c r="L90" s="194"/>
      <c r="M90" s="194"/>
      <c r="N90" s="187"/>
      <c r="O90" s="174"/>
    </row>
    <row r="91" spans="1:20" ht="17.399999999999999" customHeight="1">
      <c r="A91" s="188"/>
      <c r="B91" s="198"/>
      <c r="C91" s="201"/>
      <c r="D91" s="201"/>
      <c r="E91" s="195"/>
      <c r="F91" s="195"/>
      <c r="G91" s="195"/>
      <c r="H91" s="195"/>
      <c r="I91" s="195"/>
      <c r="J91" s="195"/>
      <c r="K91" s="195"/>
      <c r="L91" s="195"/>
      <c r="M91" s="195"/>
      <c r="N91" s="188"/>
      <c r="O91" s="174"/>
    </row>
    <row r="92" spans="1:20" ht="18.600000000000001" customHeight="1">
      <c r="A92" s="233" t="s">
        <v>39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5"/>
      <c r="O92" s="174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70</v>
      </c>
      <c r="D93" s="24">
        <f>C93/100*60</f>
        <v>42</v>
      </c>
      <c r="E93" s="25">
        <f>C93/100*15</f>
        <v>10.5</v>
      </c>
      <c r="F93" s="25"/>
      <c r="G93" s="25"/>
      <c r="H93" s="25"/>
      <c r="I93" s="25"/>
      <c r="J93" s="27">
        <f>C93/100*387</f>
        <v>270.89999999999998</v>
      </c>
      <c r="K93" s="27">
        <f>C93/100*0.09</f>
        <v>6.3E-2</v>
      </c>
      <c r="L93" s="138">
        <v>70</v>
      </c>
      <c r="M93" s="75">
        <v>20</v>
      </c>
      <c r="N93" s="28">
        <f>L93*M93</f>
        <v>1400</v>
      </c>
      <c r="O93" s="154"/>
    </row>
    <row r="94" spans="1:20" s="2" customFormat="1" ht="18.600000000000001" customHeight="1">
      <c r="A94" s="9">
        <v>2</v>
      </c>
      <c r="B94" s="149" t="s">
        <v>141</v>
      </c>
      <c r="C94" s="23">
        <f>L94/100*100</f>
        <v>260</v>
      </c>
      <c r="D94" s="24">
        <f>C94/100*899</f>
        <v>2337.4</v>
      </c>
      <c r="E94" s="25"/>
      <c r="F94" s="25"/>
      <c r="G94" s="25">
        <f>C94/100*100</f>
        <v>260</v>
      </c>
      <c r="H94" s="25"/>
      <c r="I94" s="25"/>
      <c r="J94" s="25"/>
      <c r="K94" s="25"/>
      <c r="L94" s="138">
        <v>260</v>
      </c>
      <c r="M94" s="24">
        <v>68</v>
      </c>
      <c r="N94" s="28">
        <f t="shared" ref="N94:N103" si="4">L94*M94</f>
        <v>17680</v>
      </c>
      <c r="O94" s="376"/>
    </row>
    <row r="95" spans="1:20" s="2" customFormat="1" ht="18.600000000000001" customHeight="1">
      <c r="A95" s="9">
        <v>3</v>
      </c>
      <c r="B95" s="149" t="s">
        <v>146</v>
      </c>
      <c r="C95" s="23">
        <f>L95/100*100</f>
        <v>120</v>
      </c>
      <c r="D95" s="121">
        <f>C95/100*900</f>
        <v>1080</v>
      </c>
      <c r="E95" s="25"/>
      <c r="F95" s="25"/>
      <c r="G95" s="120"/>
      <c r="H95" s="25">
        <f>C95/100*100</f>
        <v>120</v>
      </c>
      <c r="I95" s="25"/>
      <c r="J95" s="25"/>
      <c r="K95" s="25"/>
      <c r="L95" s="138">
        <v>120</v>
      </c>
      <c r="M95" s="75">
        <v>63.5</v>
      </c>
      <c r="N95" s="28">
        <f t="shared" si="4"/>
        <v>7620</v>
      </c>
      <c r="O95" s="376"/>
    </row>
    <row r="96" spans="1:20" s="2" customFormat="1" ht="18.600000000000001" customHeight="1">
      <c r="A96" s="9">
        <v>3</v>
      </c>
      <c r="B96" s="150" t="s">
        <v>1</v>
      </c>
      <c r="C96" s="23">
        <f>L96/100*100</f>
        <v>2236</v>
      </c>
      <c r="D96" s="121">
        <f>C96/100*352.7</f>
        <v>7886.3719999999994</v>
      </c>
      <c r="E96" s="25"/>
      <c r="F96" s="120">
        <f>C96/100*7.9</f>
        <v>176.64400000000001</v>
      </c>
      <c r="G96" s="25"/>
      <c r="H96" s="25">
        <f>C96/100*1</f>
        <v>22.36</v>
      </c>
      <c r="I96" s="120">
        <f>C96/100*75.9</f>
        <v>1697.124</v>
      </c>
      <c r="J96" s="27">
        <f>C96/100*30</f>
        <v>670.8</v>
      </c>
      <c r="K96" s="27">
        <f>C96/100*0.1</f>
        <v>2.2360000000000002</v>
      </c>
      <c r="L96" s="377">
        <v>2236</v>
      </c>
      <c r="M96" s="75">
        <v>18</v>
      </c>
      <c r="N96" s="28">
        <f t="shared" si="4"/>
        <v>40248</v>
      </c>
      <c r="O96" s="154"/>
    </row>
    <row r="97" spans="1:23" s="2" customFormat="1" ht="18.600000000000001" customHeight="1">
      <c r="A97" s="9">
        <v>4</v>
      </c>
      <c r="B97" s="149" t="s">
        <v>5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8">
        <v>13</v>
      </c>
      <c r="M97" s="75">
        <v>120</v>
      </c>
      <c r="N97" s="28">
        <f t="shared" si="4"/>
        <v>1560</v>
      </c>
      <c r="O97" s="154"/>
    </row>
    <row r="98" spans="1:23" s="2" customFormat="1" ht="18.600000000000001" customHeight="1">
      <c r="A98" s="9">
        <v>5</v>
      </c>
      <c r="B98" s="149" t="s">
        <v>70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8">
        <v>15</v>
      </c>
      <c r="M98" s="75">
        <v>275</v>
      </c>
      <c r="N98" s="28">
        <f t="shared" si="4"/>
        <v>4125</v>
      </c>
      <c r="O98" s="154"/>
    </row>
    <row r="99" spans="1:23" s="2" customFormat="1" ht="18.600000000000001" customHeight="1">
      <c r="A99" s="9">
        <v>7</v>
      </c>
      <c r="B99" s="150" t="s">
        <v>63</v>
      </c>
      <c r="C99" s="23">
        <f>L99/100*86</f>
        <v>584.79999999999995</v>
      </c>
      <c r="D99" s="24">
        <f>C99/100*166</f>
        <v>970.76800000000003</v>
      </c>
      <c r="E99" s="25">
        <f>C99/100*14.8</f>
        <v>86.550399999999996</v>
      </c>
      <c r="F99" s="25"/>
      <c r="G99" s="25">
        <f>C99/100*11.6</f>
        <v>67.836799999999997</v>
      </c>
      <c r="H99" s="25"/>
      <c r="I99" s="25">
        <f>C99/100*0.5</f>
        <v>2.9239999999999999</v>
      </c>
      <c r="J99" s="27">
        <f>C99/100*55</f>
        <v>321.64</v>
      </c>
      <c r="K99" s="27">
        <f>C99/100*0.16</f>
        <v>0.93567999999999996</v>
      </c>
      <c r="L99" s="138">
        <v>680</v>
      </c>
      <c r="M99" s="75">
        <v>62</v>
      </c>
      <c r="N99" s="28">
        <f t="shared" si="4"/>
        <v>42160</v>
      </c>
      <c r="O99" s="154"/>
      <c r="Q99" s="3"/>
      <c r="R99" s="3"/>
      <c r="S99" s="4"/>
    </row>
    <row r="100" spans="1:23" s="2" customFormat="1" ht="18.600000000000001" customHeight="1">
      <c r="A100" s="9">
        <v>8</v>
      </c>
      <c r="B100" s="149" t="s">
        <v>71</v>
      </c>
      <c r="C100" s="23">
        <f>L100/100*98</f>
        <v>1342.6</v>
      </c>
      <c r="D100" s="24">
        <f>C100/100*139</f>
        <v>1866.2139999999997</v>
      </c>
      <c r="E100" s="25">
        <f>C100/100*19</f>
        <v>255.09399999999997</v>
      </c>
      <c r="F100" s="25"/>
      <c r="G100" s="25">
        <f>C100/100*7</f>
        <v>93.981999999999985</v>
      </c>
      <c r="H100" s="25"/>
      <c r="I100" s="25"/>
      <c r="J100" s="27">
        <f>C100/100*7</f>
        <v>93.981999999999985</v>
      </c>
      <c r="K100" s="27">
        <f>C100/100*0.9</f>
        <v>12.083399999999999</v>
      </c>
      <c r="L100" s="138">
        <v>1370</v>
      </c>
      <c r="M100" s="75">
        <v>137</v>
      </c>
      <c r="N100" s="28">
        <f t="shared" si="4"/>
        <v>187690</v>
      </c>
      <c r="O100" s="154"/>
    </row>
    <row r="101" spans="1:23" s="2" customFormat="1" ht="18.600000000000001" customHeight="1">
      <c r="A101" s="9">
        <v>9</v>
      </c>
      <c r="B101" s="150" t="s">
        <v>96</v>
      </c>
      <c r="C101" s="23">
        <f>L101/100*90</f>
        <v>342</v>
      </c>
      <c r="D101" s="24">
        <f>C101/100*90</f>
        <v>307.8</v>
      </c>
      <c r="E101" s="25">
        <f>C101/100*18.4</f>
        <v>62.927999999999997</v>
      </c>
      <c r="F101" s="25"/>
      <c r="G101" s="25">
        <f>C101/100*1.8</f>
        <v>6.1559999999999997</v>
      </c>
      <c r="H101" s="25"/>
      <c r="I101" s="25"/>
      <c r="J101" s="81">
        <f>C101/100*1120</f>
        <v>3830.4</v>
      </c>
      <c r="K101" s="27">
        <f>C101/100*0.02</f>
        <v>6.8400000000000002E-2</v>
      </c>
      <c r="L101" s="138">
        <v>380</v>
      </c>
      <c r="M101" s="26">
        <v>260</v>
      </c>
      <c r="N101" s="125">
        <f t="shared" si="4"/>
        <v>98800</v>
      </c>
      <c r="O101" s="154"/>
      <c r="Q101" s="3"/>
      <c r="R101" s="3"/>
      <c r="S101" s="4"/>
    </row>
    <row r="102" spans="1:23" s="2" customFormat="1" ht="18" customHeight="1">
      <c r="A102" s="9">
        <v>10</v>
      </c>
      <c r="B102" s="5" t="s">
        <v>180</v>
      </c>
      <c r="C102" s="23">
        <f>L102/100*90</f>
        <v>1260</v>
      </c>
      <c r="D102" s="24">
        <f>C102/100*29</f>
        <v>365.4</v>
      </c>
      <c r="E102" s="25"/>
      <c r="F102" s="25">
        <f>C102/100*1.8</f>
        <v>22.68</v>
      </c>
      <c r="G102" s="25"/>
      <c r="H102" s="25">
        <f>C102/100*0.1</f>
        <v>1.26</v>
      </c>
      <c r="I102" s="25">
        <f>C102/100*5.3</f>
        <v>66.78</v>
      </c>
      <c r="J102" s="25">
        <f>C102/100*48</f>
        <v>604.79999999999995</v>
      </c>
      <c r="K102" s="25">
        <f>C102/100*0.05</f>
        <v>0.63</v>
      </c>
      <c r="L102" s="138">
        <v>1400</v>
      </c>
      <c r="M102" s="75">
        <v>13</v>
      </c>
      <c r="N102" s="28">
        <f t="shared" si="4"/>
        <v>18200</v>
      </c>
      <c r="O102" s="154"/>
    </row>
    <row r="103" spans="1:23" s="2" customFormat="1" ht="18.600000000000001" customHeight="1">
      <c r="A103" s="9">
        <v>11</v>
      </c>
      <c r="B103" s="5" t="s">
        <v>136</v>
      </c>
      <c r="C103" s="23">
        <f>L103/100*100</f>
        <v>40</v>
      </c>
      <c r="D103" s="24">
        <f>C103/100*247</f>
        <v>98.800000000000011</v>
      </c>
      <c r="E103" s="29"/>
      <c r="F103" s="29">
        <f>C103/100*17.5</f>
        <v>7</v>
      </c>
      <c r="G103" s="29"/>
      <c r="H103" s="29">
        <f>C103/100*1.6</f>
        <v>0.64000000000000012</v>
      </c>
      <c r="I103" s="29">
        <f>C103/100*39.2</f>
        <v>15.680000000000001</v>
      </c>
      <c r="J103" s="71"/>
      <c r="K103" s="71"/>
      <c r="L103" s="374">
        <v>40</v>
      </c>
      <c r="M103" s="75">
        <v>50</v>
      </c>
      <c r="N103" s="28">
        <f t="shared" si="4"/>
        <v>2000</v>
      </c>
      <c r="O103" s="154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123</v>
      </c>
      <c r="C104" s="23"/>
      <c r="D104" s="140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3400</v>
      </c>
      <c r="O104" s="154"/>
    </row>
    <row r="105" spans="1:23" s="2" customFormat="1" ht="18.600000000000001" customHeight="1">
      <c r="A105" s="21" t="s">
        <v>118</v>
      </c>
      <c r="B105" s="22"/>
      <c r="C105" s="34"/>
      <c r="D105" s="122">
        <f>SUM(D93:D104)</f>
        <v>15021.785999999998</v>
      </c>
      <c r="E105" s="43"/>
      <c r="F105" s="43"/>
      <c r="G105" s="43"/>
      <c r="H105" s="43"/>
      <c r="I105" s="43"/>
      <c r="J105" s="43"/>
      <c r="K105" s="43"/>
      <c r="L105" s="44"/>
      <c r="M105" s="319"/>
      <c r="N105" s="281">
        <f>SUM(N93:N104)</f>
        <v>424883</v>
      </c>
      <c r="O105" s="154"/>
    </row>
    <row r="106" spans="1:23" ht="18.600000000000001" customHeight="1">
      <c r="A106" s="21" t="s">
        <v>37</v>
      </c>
      <c r="B106" s="22"/>
      <c r="C106" s="45"/>
      <c r="D106" s="46">
        <f>D105/D87</f>
        <v>288.88049999999998</v>
      </c>
      <c r="E106" s="46"/>
      <c r="F106" s="46"/>
      <c r="G106" s="46"/>
      <c r="H106" s="46"/>
      <c r="I106" s="46"/>
      <c r="J106" s="46"/>
      <c r="K106" s="46"/>
      <c r="L106" s="47"/>
      <c r="M106" s="320"/>
      <c r="N106" s="283"/>
      <c r="O106" s="399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304" t="s">
        <v>53</v>
      </c>
      <c r="B107" s="207"/>
      <c r="C107" s="375" t="s">
        <v>151</v>
      </c>
      <c r="D107" s="20" t="s">
        <v>45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5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08"/>
      <c r="B108" s="209"/>
      <c r="C108" s="76" t="s">
        <v>60</v>
      </c>
      <c r="D108" s="78">
        <f>D106*100/930</f>
        <v>31.06241935483871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75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76" t="s">
        <v>38</v>
      </c>
      <c r="B109" s="276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4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60</v>
      </c>
      <c r="D110" s="24">
        <f>C110/100*60</f>
        <v>36</v>
      </c>
      <c r="E110" s="25">
        <f>C110/100*15</f>
        <v>9</v>
      </c>
      <c r="F110" s="25"/>
      <c r="G110" s="25"/>
      <c r="H110" s="25"/>
      <c r="I110" s="25"/>
      <c r="J110" s="27">
        <f>C110/100*387</f>
        <v>232.2</v>
      </c>
      <c r="K110" s="27">
        <f>C110/100*0.09</f>
        <v>5.3999999999999999E-2</v>
      </c>
      <c r="L110" s="138">
        <v>60</v>
      </c>
      <c r="M110" s="75">
        <v>20</v>
      </c>
      <c r="N110" s="28">
        <f>L110*M110</f>
        <v>1200</v>
      </c>
      <c r="O110" s="154"/>
    </row>
    <row r="111" spans="1:23" s="2" customFormat="1" ht="18.600000000000001" customHeight="1">
      <c r="A111" s="9">
        <v>2</v>
      </c>
      <c r="B111" s="10" t="s">
        <v>141</v>
      </c>
      <c r="C111" s="23">
        <f>L111/100*100</f>
        <v>200</v>
      </c>
      <c r="D111" s="24">
        <f>C111/100*899</f>
        <v>1798</v>
      </c>
      <c r="E111" s="25"/>
      <c r="F111" s="25"/>
      <c r="G111" s="25">
        <f>C111/100*100</f>
        <v>200</v>
      </c>
      <c r="H111" s="25"/>
      <c r="I111" s="25"/>
      <c r="J111" s="27"/>
      <c r="K111" s="27"/>
      <c r="L111" s="138">
        <v>200</v>
      </c>
      <c r="M111" s="75">
        <v>68</v>
      </c>
      <c r="N111" s="28">
        <f t="shared" ref="N111:N117" si="5">L111*M111</f>
        <v>13600</v>
      </c>
      <c r="O111" s="154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2184</v>
      </c>
      <c r="D112" s="24">
        <f>C112/100*352.7</f>
        <v>7702.9679999999998</v>
      </c>
      <c r="E112" s="25"/>
      <c r="F112" s="25">
        <f>C112/100*7.9</f>
        <v>172.536</v>
      </c>
      <c r="G112" s="25"/>
      <c r="H112" s="25">
        <f>C112/100*1</f>
        <v>21.84</v>
      </c>
      <c r="I112" s="25">
        <f>C112/100*75.9</f>
        <v>1657.6560000000002</v>
      </c>
      <c r="J112" s="27">
        <f>C112/100*30</f>
        <v>655.20000000000005</v>
      </c>
      <c r="K112" s="27">
        <f>C112/100*0.1</f>
        <v>2.1840000000000002</v>
      </c>
      <c r="L112" s="138">
        <v>2184</v>
      </c>
      <c r="M112" s="75">
        <v>18</v>
      </c>
      <c r="N112" s="28">
        <f t="shared" si="5"/>
        <v>39312</v>
      </c>
      <c r="O112" s="154"/>
    </row>
    <row r="113" spans="1:23" s="2" customFormat="1" ht="18.600000000000001" customHeight="1">
      <c r="A113" s="9">
        <v>4</v>
      </c>
      <c r="B113" s="5" t="s">
        <v>136</v>
      </c>
      <c r="C113" s="23">
        <f>L113/100*100</f>
        <v>40</v>
      </c>
      <c r="D113" s="24">
        <f>C113/100*247</f>
        <v>98.800000000000011</v>
      </c>
      <c r="E113" s="29"/>
      <c r="F113" s="29">
        <f>C113/100*17.5</f>
        <v>7</v>
      </c>
      <c r="G113" s="29"/>
      <c r="H113" s="29">
        <f>C113/100*1.6</f>
        <v>0.64000000000000012</v>
      </c>
      <c r="I113" s="29">
        <f>C113/100*39.2</f>
        <v>15.680000000000001</v>
      </c>
      <c r="J113" s="71"/>
      <c r="K113" s="71"/>
      <c r="L113" s="374">
        <v>40</v>
      </c>
      <c r="M113" s="75">
        <v>50</v>
      </c>
      <c r="N113" s="28">
        <f t="shared" si="5"/>
        <v>2000</v>
      </c>
      <c r="O113" s="154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70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8">
        <v>15</v>
      </c>
      <c r="M114" s="75">
        <v>275</v>
      </c>
      <c r="N114" s="28">
        <f t="shared" si="5"/>
        <v>4125</v>
      </c>
      <c r="O114" s="154"/>
    </row>
    <row r="115" spans="1:23" s="2" customFormat="1" ht="18.600000000000001" customHeight="1">
      <c r="A115" s="9">
        <v>6</v>
      </c>
      <c r="B115" s="5" t="s">
        <v>75</v>
      </c>
      <c r="C115" s="23">
        <f>L115/100*75</f>
        <v>1245</v>
      </c>
      <c r="D115" s="24">
        <f>C115/100*12</f>
        <v>149.39999999999998</v>
      </c>
      <c r="E115" s="25"/>
      <c r="F115" s="25">
        <f>C115/100*0.6</f>
        <v>7.4699999999999989</v>
      </c>
      <c r="G115" s="25"/>
      <c r="H115" s="25"/>
      <c r="I115" s="25">
        <f>C115/100*2.4</f>
        <v>29.879999999999995</v>
      </c>
      <c r="J115" s="25">
        <f>C115/100*26</f>
        <v>323.7</v>
      </c>
      <c r="K115" s="25">
        <f>C115/100*0.02</f>
        <v>0.249</v>
      </c>
      <c r="L115" s="138">
        <v>1660</v>
      </c>
      <c r="M115" s="75">
        <v>30</v>
      </c>
      <c r="N115" s="28">
        <f t="shared" si="5"/>
        <v>49800</v>
      </c>
      <c r="O115" s="154"/>
    </row>
    <row r="116" spans="1:23" s="2" customFormat="1" ht="18.600000000000001" customHeight="1">
      <c r="A116" s="9">
        <v>7</v>
      </c>
      <c r="B116" s="10" t="s">
        <v>71</v>
      </c>
      <c r="C116" s="23">
        <f>L116/100*98</f>
        <v>509.6</v>
      </c>
      <c r="D116" s="24">
        <f>C116/100*139</f>
        <v>708.34400000000005</v>
      </c>
      <c r="E116" s="25">
        <f>C116/100*19</f>
        <v>96.823999999999998</v>
      </c>
      <c r="F116" s="25"/>
      <c r="G116" s="25">
        <f>C116/100*7</f>
        <v>35.671999999999997</v>
      </c>
      <c r="H116" s="25"/>
      <c r="I116" s="25"/>
      <c r="J116" s="27">
        <f>C116/100*7</f>
        <v>35.671999999999997</v>
      </c>
      <c r="K116" s="27">
        <f>C116/100*0.9</f>
        <v>4.5864000000000003</v>
      </c>
      <c r="L116" s="138">
        <v>520</v>
      </c>
      <c r="M116" s="75">
        <v>137</v>
      </c>
      <c r="N116" s="28">
        <f t="shared" si="5"/>
        <v>71240</v>
      </c>
      <c r="O116" s="154"/>
    </row>
    <row r="117" spans="1:23" s="2" customFormat="1" ht="18.600000000000001" customHeight="1">
      <c r="A117" s="9">
        <v>8</v>
      </c>
      <c r="B117" s="10" t="s">
        <v>92</v>
      </c>
      <c r="C117" s="23">
        <f>L117/100*48</f>
        <v>1747.1999999999998</v>
      </c>
      <c r="D117" s="24">
        <f>C117/100*199</f>
        <v>3476.9279999999994</v>
      </c>
      <c r="E117" s="25">
        <f>C117/100*20.3</f>
        <v>354.68159999999995</v>
      </c>
      <c r="F117" s="25"/>
      <c r="G117" s="25">
        <f>C117/100*13.1</f>
        <v>228.88319999999996</v>
      </c>
      <c r="H117" s="25"/>
      <c r="I117" s="25"/>
      <c r="J117" s="27">
        <f>C117/100*12</f>
        <v>209.66399999999999</v>
      </c>
      <c r="K117" s="27">
        <f>C117/100*0.15</f>
        <v>2.6207999999999996</v>
      </c>
      <c r="L117" s="138">
        <v>3640</v>
      </c>
      <c r="M117" s="75">
        <v>84</v>
      </c>
      <c r="N117" s="28">
        <f t="shared" si="5"/>
        <v>305760</v>
      </c>
      <c r="O117" s="154"/>
      <c r="Q117" s="154"/>
    </row>
    <row r="118" spans="1:23" s="2" customFormat="1" ht="18.600000000000001" customHeight="1">
      <c r="A118" s="9">
        <v>9</v>
      </c>
      <c r="B118" s="6" t="s">
        <v>123</v>
      </c>
      <c r="C118" s="23"/>
      <c r="D118" s="140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3400</v>
      </c>
      <c r="O118" s="154"/>
    </row>
    <row r="119" spans="1:23" s="2" customFormat="1" ht="18.600000000000001" customHeight="1">
      <c r="A119" s="21" t="s">
        <v>119</v>
      </c>
      <c r="B119" s="22"/>
      <c r="C119" s="34"/>
      <c r="D119" s="122">
        <f>SUM(D110:D118)</f>
        <v>14004.595000000001</v>
      </c>
      <c r="E119" s="43"/>
      <c r="F119" s="43"/>
      <c r="G119" s="43"/>
      <c r="H119" s="43"/>
      <c r="I119" s="43"/>
      <c r="J119" s="43"/>
      <c r="K119" s="43"/>
      <c r="L119" s="44"/>
      <c r="M119" s="319"/>
      <c r="N119" s="281">
        <f>SUM(N110:N118)</f>
        <v>490437</v>
      </c>
      <c r="O119" s="154"/>
    </row>
    <row r="120" spans="1:23" ht="18.600000000000001" customHeight="1">
      <c r="A120" s="21" t="s">
        <v>36</v>
      </c>
      <c r="B120" s="22"/>
      <c r="C120" s="61"/>
      <c r="D120" s="48">
        <f>D119/D87</f>
        <v>269.31913461538466</v>
      </c>
      <c r="E120" s="48"/>
      <c r="F120" s="48"/>
      <c r="G120" s="48"/>
      <c r="H120" s="48"/>
      <c r="I120" s="48"/>
      <c r="J120" s="48"/>
      <c r="K120" s="48"/>
      <c r="L120" s="62"/>
      <c r="M120" s="320"/>
      <c r="N120" s="282"/>
      <c r="O120" s="399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304" t="s">
        <v>54</v>
      </c>
      <c r="B121" s="207"/>
      <c r="C121" s="375" t="s">
        <v>151</v>
      </c>
      <c r="D121" s="20" t="s">
        <v>46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75"/>
      <c r="O121" s="4"/>
      <c r="P121" s="2"/>
      <c r="Q121" s="2"/>
      <c r="R121" s="2"/>
      <c r="S121" s="168"/>
      <c r="T121" s="2"/>
      <c r="U121" s="2"/>
      <c r="V121" s="2"/>
      <c r="W121" s="2"/>
    </row>
    <row r="122" spans="1:23" ht="18.600000000000001" customHeight="1">
      <c r="A122" s="208"/>
      <c r="B122" s="209"/>
      <c r="C122" s="76" t="s">
        <v>60</v>
      </c>
      <c r="D122" s="78">
        <f>D120*100/930</f>
        <v>28.959046732837059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5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76" t="s">
        <v>35</v>
      </c>
      <c r="B123" s="276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399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4">
        <v>1</v>
      </c>
      <c r="B124" s="157" t="s">
        <v>149</v>
      </c>
      <c r="C124" s="105">
        <f>L124/100*100</f>
        <v>880.00000000000011</v>
      </c>
      <c r="D124" s="106">
        <f>C124/100*487</f>
        <v>4285.6000000000004</v>
      </c>
      <c r="E124" s="107"/>
      <c r="F124" s="107">
        <f>C124/100*19.5</f>
        <v>171.60000000000002</v>
      </c>
      <c r="G124" s="107"/>
      <c r="H124" s="107">
        <f>C124/100*23.2</f>
        <v>204.16</v>
      </c>
      <c r="I124" s="107">
        <f>C124/100*46</f>
        <v>404.8</v>
      </c>
      <c r="J124" s="148">
        <f>C124/100*680</f>
        <v>5984.0000000000009</v>
      </c>
      <c r="K124" s="107">
        <f>C124/100*0.55</f>
        <v>4.8400000000000007</v>
      </c>
      <c r="L124" s="108">
        <v>880</v>
      </c>
      <c r="M124" s="158">
        <v>260</v>
      </c>
      <c r="N124" s="109">
        <f t="shared" ref="N124" si="6">L124*M124</f>
        <v>228800</v>
      </c>
      <c r="O124" s="154"/>
      <c r="P124" s="3"/>
    </row>
    <row r="125" spans="1:23" ht="17.399999999999999" customHeight="1">
      <c r="A125" s="186" t="s">
        <v>0</v>
      </c>
      <c r="B125" s="196" t="s">
        <v>19</v>
      </c>
      <c r="C125" s="199" t="s">
        <v>8</v>
      </c>
      <c r="D125" s="199" t="s">
        <v>9</v>
      </c>
      <c r="E125" s="189" t="s">
        <v>11</v>
      </c>
      <c r="F125" s="190"/>
      <c r="G125" s="189" t="s">
        <v>13</v>
      </c>
      <c r="H125" s="190"/>
      <c r="I125" s="193" t="s">
        <v>16</v>
      </c>
      <c r="J125" s="193" t="s">
        <v>41</v>
      </c>
      <c r="K125" s="193" t="s">
        <v>42</v>
      </c>
      <c r="L125" s="193" t="s">
        <v>17</v>
      </c>
      <c r="M125" s="193" t="s">
        <v>55</v>
      </c>
      <c r="N125" s="186" t="s">
        <v>18</v>
      </c>
      <c r="O125" s="373"/>
    </row>
    <row r="126" spans="1:23" ht="17.399999999999999" customHeight="1">
      <c r="A126" s="187"/>
      <c r="B126" s="197"/>
      <c r="C126" s="200"/>
      <c r="D126" s="200"/>
      <c r="E126" s="191"/>
      <c r="F126" s="192"/>
      <c r="G126" s="191"/>
      <c r="H126" s="192"/>
      <c r="I126" s="194"/>
      <c r="J126" s="194"/>
      <c r="K126" s="194"/>
      <c r="L126" s="194"/>
      <c r="M126" s="194"/>
      <c r="N126" s="187"/>
      <c r="O126" s="174"/>
    </row>
    <row r="127" spans="1:23" ht="17.399999999999999" customHeight="1">
      <c r="A127" s="187"/>
      <c r="B127" s="197"/>
      <c r="C127" s="200"/>
      <c r="D127" s="200"/>
      <c r="E127" s="193" t="s">
        <v>10</v>
      </c>
      <c r="F127" s="193" t="s">
        <v>12</v>
      </c>
      <c r="G127" s="193" t="s">
        <v>14</v>
      </c>
      <c r="H127" s="193" t="s">
        <v>15</v>
      </c>
      <c r="I127" s="194"/>
      <c r="J127" s="194"/>
      <c r="K127" s="194"/>
      <c r="L127" s="194"/>
      <c r="M127" s="194"/>
      <c r="N127" s="187"/>
      <c r="O127" s="174"/>
    </row>
    <row r="128" spans="1:23" ht="17.399999999999999" customHeight="1">
      <c r="A128" s="188"/>
      <c r="B128" s="198"/>
      <c r="C128" s="201"/>
      <c r="D128" s="201"/>
      <c r="E128" s="195"/>
      <c r="F128" s="195"/>
      <c r="G128" s="195"/>
      <c r="H128" s="195"/>
      <c r="I128" s="195"/>
      <c r="J128" s="195"/>
      <c r="K128" s="195"/>
      <c r="L128" s="195"/>
      <c r="M128" s="195"/>
      <c r="N128" s="188"/>
      <c r="O128" s="174"/>
    </row>
    <row r="129" spans="1:23" s="2" customFormat="1" ht="18" customHeight="1">
      <c r="A129" s="21" t="s">
        <v>106</v>
      </c>
      <c r="B129" s="22"/>
      <c r="C129" s="34"/>
      <c r="D129" s="35">
        <f>SUM(D123:D124)</f>
        <v>4285.6000000000004</v>
      </c>
      <c r="E129" s="43"/>
      <c r="F129" s="43"/>
      <c r="G129" s="43"/>
      <c r="H129" s="43"/>
      <c r="I129" s="43"/>
      <c r="J129" s="43"/>
      <c r="K129" s="43"/>
      <c r="L129" s="44"/>
      <c r="M129" s="319"/>
      <c r="N129" s="281">
        <f>SUM(N123:N124)</f>
        <v>228800</v>
      </c>
      <c r="O129" s="154"/>
    </row>
    <row r="130" spans="1:23" ht="18" customHeight="1">
      <c r="A130" s="21" t="s">
        <v>7</v>
      </c>
      <c r="B130" s="22"/>
      <c r="C130" s="45"/>
      <c r="D130" s="46">
        <f>D129/D87</f>
        <v>82.415384615384625</v>
      </c>
      <c r="E130" s="46"/>
      <c r="F130" s="46"/>
      <c r="G130" s="46"/>
      <c r="H130" s="46"/>
      <c r="I130" s="46"/>
      <c r="J130" s="46"/>
      <c r="K130" s="46"/>
      <c r="L130" s="47"/>
      <c r="M130" s="320"/>
      <c r="N130" s="283"/>
      <c r="O130" s="399"/>
      <c r="P130" s="2"/>
      <c r="Q130" s="2"/>
      <c r="R130" s="2"/>
      <c r="S130" s="2"/>
      <c r="T130" s="2"/>
      <c r="U130" s="2"/>
      <c r="V130" s="2"/>
    </row>
    <row r="131" spans="1:23" ht="18" customHeight="1">
      <c r="A131" s="304" t="s">
        <v>52</v>
      </c>
      <c r="B131" s="207"/>
      <c r="C131" s="375" t="s">
        <v>151</v>
      </c>
      <c r="D131" s="20" t="s">
        <v>50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5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08"/>
      <c r="B132" s="209"/>
      <c r="C132" s="76" t="s">
        <v>60</v>
      </c>
      <c r="D132" s="20">
        <f>D130*100/930</f>
        <v>8.8618693134822184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5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23" t="s">
        <v>107</v>
      </c>
      <c r="B133" s="224"/>
      <c r="C133" s="227"/>
      <c r="D133" s="299">
        <f>D105+D119+D129</f>
        <v>33311.981</v>
      </c>
      <c r="E133" s="7">
        <f>SUM(E93:E130)</f>
        <v>875.57799999999997</v>
      </c>
      <c r="F133" s="7">
        <f>SUM(F93:F130)</f>
        <v>574.78950000000009</v>
      </c>
      <c r="G133" s="7">
        <f>SUM(G93:G130)</f>
        <v>892.53</v>
      </c>
      <c r="H133" s="7">
        <f>SUM(H93:H130)</f>
        <v>371.8954</v>
      </c>
      <c r="I133" s="210">
        <f>SUM(I93:I130)</f>
        <v>3903.0655000000002</v>
      </c>
      <c r="J133" s="212">
        <f>SUM(J93:J124)</f>
        <v>13315.2621</v>
      </c>
      <c r="K133" s="210">
        <f>SUM(K93:K124)</f>
        <v>30.604859999999995</v>
      </c>
      <c r="L133" s="239"/>
      <c r="M133" s="239"/>
      <c r="N133" s="301">
        <f>N105+N119+N129</f>
        <v>1144120</v>
      </c>
      <c r="U133" s="12"/>
      <c r="V133" s="12"/>
    </row>
    <row r="134" spans="1:23" ht="18" customHeight="1">
      <c r="A134" s="225"/>
      <c r="B134" s="226"/>
      <c r="C134" s="228"/>
      <c r="D134" s="300"/>
      <c r="E134" s="221">
        <f>E133+F133</f>
        <v>1450.3675000000001</v>
      </c>
      <c r="F134" s="222"/>
      <c r="G134" s="221">
        <f>G133+H133</f>
        <v>1264.4254000000001</v>
      </c>
      <c r="H134" s="222"/>
      <c r="I134" s="406"/>
      <c r="J134" s="323"/>
      <c r="K134" s="406"/>
      <c r="L134" s="239"/>
      <c r="M134" s="239"/>
      <c r="N134" s="301"/>
      <c r="Q134" s="370"/>
      <c r="R134" s="370"/>
      <c r="S134" s="370"/>
      <c r="T134" s="370"/>
      <c r="U134" s="385"/>
      <c r="V134" s="385"/>
    </row>
    <row r="135" spans="1:23" ht="18" customHeight="1">
      <c r="A135" s="243" t="s">
        <v>77</v>
      </c>
      <c r="B135" s="244"/>
      <c r="C135" s="245"/>
      <c r="D135" s="139">
        <f>D133/D87</f>
        <v>640.61501923076924</v>
      </c>
      <c r="E135" s="394">
        <f>E133/D87</f>
        <v>16.83803846153846</v>
      </c>
      <c r="F135" s="382">
        <f>F133/D87</f>
        <v>11.053644230769233</v>
      </c>
      <c r="G135" s="394">
        <f>G133/D87</f>
        <v>17.16403846153846</v>
      </c>
      <c r="H135" s="382">
        <f>H133/D87</f>
        <v>7.1518346153846153</v>
      </c>
      <c r="I135" s="302">
        <f>I133/D87</f>
        <v>75.058951923076933</v>
      </c>
      <c r="J135" s="302">
        <f>J133/D87</f>
        <v>256.06273269230769</v>
      </c>
      <c r="K135" s="302">
        <f>K133/D87</f>
        <v>0.58855499999999994</v>
      </c>
      <c r="L135" s="239"/>
      <c r="M135" s="239"/>
      <c r="N135" s="301"/>
      <c r="P135" s="388"/>
      <c r="Q135" s="395"/>
      <c r="R135" s="395"/>
      <c r="S135" s="396"/>
      <c r="T135" s="396"/>
      <c r="U135" s="395"/>
      <c r="V135" s="395"/>
    </row>
    <row r="136" spans="1:23" ht="18" customHeight="1">
      <c r="A136" s="246"/>
      <c r="B136" s="247"/>
      <c r="C136" s="248"/>
      <c r="D136" s="128"/>
      <c r="E136" s="383">
        <f>E135+F135</f>
        <v>27.891682692307693</v>
      </c>
      <c r="F136" s="384"/>
      <c r="G136" s="383">
        <f>G135+H135</f>
        <v>24.315873076923076</v>
      </c>
      <c r="H136" s="384"/>
      <c r="I136" s="406"/>
      <c r="J136" s="406"/>
      <c r="K136" s="406"/>
      <c r="L136" s="239"/>
      <c r="M136" s="239"/>
      <c r="N136" s="301"/>
    </row>
    <row r="137" spans="1:23" ht="18" customHeight="1">
      <c r="A137" s="316" t="s">
        <v>80</v>
      </c>
      <c r="B137" s="317"/>
      <c r="C137" s="318"/>
      <c r="D137" s="179" t="s">
        <v>29</v>
      </c>
      <c r="E137" s="361" t="s">
        <v>24</v>
      </c>
      <c r="F137" s="361"/>
      <c r="G137" s="361" t="s">
        <v>25</v>
      </c>
      <c r="H137" s="361"/>
      <c r="I137" s="179" t="s">
        <v>26</v>
      </c>
      <c r="J137" s="177">
        <v>500</v>
      </c>
      <c r="K137" s="177">
        <v>0.5</v>
      </c>
      <c r="L137" s="239"/>
      <c r="M137" s="239"/>
      <c r="N137" s="301"/>
      <c r="O137" s="387"/>
      <c r="P137" s="142"/>
      <c r="Q137" s="369"/>
      <c r="R137" s="369"/>
      <c r="S137" s="369"/>
    </row>
    <row r="138" spans="1:23" ht="18" customHeight="1">
      <c r="A138" s="214" t="s">
        <v>78</v>
      </c>
      <c r="B138" s="215"/>
      <c r="C138" s="216"/>
      <c r="D138" s="49"/>
      <c r="E138" s="202">
        <f>E136*4.1</f>
        <v>114.35589903846153</v>
      </c>
      <c r="F138" s="203"/>
      <c r="G138" s="202">
        <f>G136*9</f>
        <v>218.84285769230769</v>
      </c>
      <c r="H138" s="203"/>
      <c r="I138" s="85">
        <f>I135*4.1</f>
        <v>307.74170288461539</v>
      </c>
      <c r="J138" s="249"/>
      <c r="K138" s="249"/>
      <c r="L138" s="239"/>
      <c r="M138" s="239"/>
      <c r="N138" s="301"/>
      <c r="O138" s="387"/>
      <c r="P138" s="379"/>
      <c r="Q138" s="142"/>
      <c r="R138" s="142"/>
      <c r="S138" s="142"/>
    </row>
    <row r="139" spans="1:23" ht="18" customHeight="1">
      <c r="A139" s="217" t="s">
        <v>87</v>
      </c>
      <c r="B139" s="218"/>
      <c r="C139" s="214" t="s">
        <v>59</v>
      </c>
      <c r="D139" s="216"/>
      <c r="E139" s="251">
        <f>E138*100/D135</f>
        <v>17.850955036267582</v>
      </c>
      <c r="F139" s="252"/>
      <c r="G139" s="251">
        <f>G138*100/D135</f>
        <v>34.161368547850699</v>
      </c>
      <c r="H139" s="252"/>
      <c r="I139" s="117">
        <f>I138*100/D135</f>
        <v>48.038477657633152</v>
      </c>
      <c r="J139" s="250"/>
      <c r="K139" s="250"/>
      <c r="L139" s="239"/>
      <c r="M139" s="239"/>
      <c r="N139" s="301"/>
      <c r="O139" s="387"/>
    </row>
    <row r="140" spans="1:23" ht="18" customHeight="1">
      <c r="A140" s="219"/>
      <c r="B140" s="220"/>
      <c r="C140" s="214" t="s">
        <v>79</v>
      </c>
      <c r="D140" s="216"/>
      <c r="E140" s="214" t="s">
        <v>82</v>
      </c>
      <c r="F140" s="216"/>
      <c r="G140" s="214" t="s">
        <v>85</v>
      </c>
      <c r="H140" s="216"/>
      <c r="I140" s="179" t="s">
        <v>86</v>
      </c>
      <c r="J140" s="230"/>
      <c r="K140" s="230"/>
      <c r="L140" s="239"/>
      <c r="M140" s="239"/>
      <c r="N140" s="301"/>
      <c r="O140" s="387"/>
      <c r="P140" s="133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387"/>
    </row>
    <row r="142" spans="1:23" ht="21" customHeight="1">
      <c r="A142" s="296" t="s">
        <v>114</v>
      </c>
      <c r="B142" s="296"/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387"/>
    </row>
    <row r="143" spans="1:23" ht="21" customHeight="1">
      <c r="A143" s="118" t="s">
        <v>115</v>
      </c>
      <c r="B143" s="297" t="s">
        <v>126</v>
      </c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87"/>
    </row>
    <row r="144" spans="1:23" ht="21" customHeight="1">
      <c r="A144" s="119"/>
      <c r="B144" s="257" t="s">
        <v>215</v>
      </c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387"/>
    </row>
    <row r="145" spans="1:15" ht="21" customHeight="1">
      <c r="A145" s="119"/>
      <c r="B145" s="257" t="s">
        <v>217</v>
      </c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387"/>
    </row>
    <row r="146" spans="1:15" ht="21" customHeight="1">
      <c r="A146" s="119"/>
      <c r="B146" s="257" t="s">
        <v>216</v>
      </c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387"/>
    </row>
    <row r="147" spans="1:15" ht="21" customHeight="1">
      <c r="A147" s="90"/>
      <c r="B147" s="258" t="s">
        <v>117</v>
      </c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387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387"/>
    </row>
    <row r="149" spans="1:15" ht="21" customHeight="1">
      <c r="A149" s="259" t="s">
        <v>62</v>
      </c>
      <c r="B149" s="259"/>
      <c r="C149" s="259"/>
      <c r="D149" s="259"/>
      <c r="E149" s="389"/>
      <c r="F149" s="389"/>
      <c r="G149" s="389"/>
      <c r="H149" s="389"/>
      <c r="I149" s="389"/>
      <c r="J149" s="390" t="s">
        <v>33</v>
      </c>
      <c r="K149" s="390"/>
      <c r="L149" s="390"/>
      <c r="M149" s="390"/>
      <c r="N149" s="390"/>
      <c r="O149" s="387"/>
    </row>
    <row r="150" spans="1:15" ht="21" customHeight="1">
      <c r="A150" s="174"/>
      <c r="B150" s="174"/>
      <c r="C150" s="174"/>
      <c r="D150" s="389"/>
      <c r="E150" s="389"/>
      <c r="F150" s="389"/>
      <c r="G150" s="389"/>
      <c r="H150" s="391"/>
      <c r="I150" s="391"/>
      <c r="J150" s="391"/>
      <c r="K150" s="391"/>
      <c r="L150" s="391"/>
      <c r="M150" s="391"/>
      <c r="N150" s="391"/>
      <c r="O150" s="387"/>
    </row>
    <row r="151" spans="1:15" ht="21" customHeight="1">
      <c r="A151" s="174"/>
      <c r="B151" s="174"/>
      <c r="C151" s="174"/>
      <c r="D151" s="389"/>
      <c r="E151" s="389"/>
      <c r="F151" s="389"/>
      <c r="G151" s="389"/>
      <c r="H151" s="391"/>
      <c r="I151" s="391"/>
      <c r="J151" s="391"/>
      <c r="K151" s="391"/>
      <c r="L151" s="391"/>
      <c r="M151" s="391"/>
      <c r="N151" s="391"/>
      <c r="O151" s="387"/>
    </row>
    <row r="152" spans="1:15" ht="21" customHeight="1">
      <c r="A152" s="174"/>
      <c r="B152" s="174"/>
      <c r="C152" s="174"/>
      <c r="D152" s="389"/>
      <c r="E152" s="389"/>
      <c r="F152" s="389"/>
      <c r="G152" s="389"/>
      <c r="H152" s="391"/>
      <c r="I152" s="391"/>
      <c r="J152" s="392" t="s">
        <v>124</v>
      </c>
      <c r="K152" s="392"/>
      <c r="L152" s="392"/>
      <c r="M152" s="392"/>
      <c r="N152" s="392"/>
      <c r="O152" s="387"/>
    </row>
    <row r="153" spans="1:15" ht="22.2" customHeight="1">
      <c r="A153" s="260" t="s">
        <v>91</v>
      </c>
      <c r="B153" s="260"/>
      <c r="C153" s="260"/>
      <c r="D153" s="260"/>
      <c r="E153" s="389"/>
      <c r="F153" s="389"/>
      <c r="G153" s="389"/>
      <c r="H153" s="391"/>
      <c r="I153" s="391"/>
      <c r="O153" s="387"/>
    </row>
    <row r="155" spans="1:15" ht="22.2" customHeight="1">
      <c r="J155" s="392" t="s">
        <v>127</v>
      </c>
      <c r="K155" s="392"/>
      <c r="L155" s="392"/>
      <c r="M155" s="392"/>
      <c r="N155" s="392"/>
    </row>
    <row r="156" spans="1:15" ht="22.2" customHeight="1">
      <c r="J156" s="392"/>
      <c r="K156" s="392"/>
      <c r="L156" s="392"/>
      <c r="M156" s="392"/>
      <c r="N156" s="392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7"/>
  <sheetViews>
    <sheetView view="pageLayout" zoomScaleNormal="106" workbookViewId="0">
      <selection activeCell="E16" sqref="E16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9.1093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65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T1" s="2"/>
    </row>
    <row r="2" spans="1:20" ht="10.199999999999999" customHeight="1">
      <c r="A2" s="11"/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T2" s="2"/>
    </row>
    <row r="3" spans="1:20" ht="19.8" customHeight="1">
      <c r="A3" s="8" t="s">
        <v>203</v>
      </c>
      <c r="B3" s="8"/>
      <c r="C3" s="8"/>
      <c r="D3" s="8"/>
      <c r="E3" s="8"/>
      <c r="F3" s="178"/>
      <c r="G3" s="178"/>
      <c r="H3" s="178"/>
      <c r="I3" s="178"/>
      <c r="J3" s="178"/>
      <c r="K3" s="178"/>
      <c r="L3" s="178"/>
      <c r="M3" s="178"/>
      <c r="N3" s="178"/>
      <c r="O3" s="371"/>
      <c r="P3" s="371"/>
      <c r="T3" s="2"/>
    </row>
    <row r="4" spans="1:20" ht="10.199999999999999" customHeight="1">
      <c r="A4" s="8"/>
      <c r="B4" s="8"/>
      <c r="C4" s="8"/>
      <c r="D4" s="8"/>
      <c r="E4" s="8"/>
      <c r="F4" s="178"/>
      <c r="G4" s="178"/>
      <c r="H4" s="178"/>
      <c r="I4" s="178"/>
      <c r="J4" s="178"/>
      <c r="K4" s="178"/>
      <c r="L4" s="178"/>
      <c r="M4" s="178"/>
      <c r="N4" s="178"/>
      <c r="O4" s="371"/>
      <c r="P4" s="371"/>
      <c r="T4" s="2"/>
    </row>
    <row r="5" spans="1:20" s="2" customFormat="1" ht="19.8" customHeight="1">
      <c r="A5" s="231" t="s">
        <v>97</v>
      </c>
      <c r="B5" s="231"/>
      <c r="C5" s="231"/>
      <c r="D5" s="231"/>
      <c r="E5" s="231" t="s">
        <v>98</v>
      </c>
      <c r="F5" s="231"/>
      <c r="G5" s="231"/>
      <c r="H5" s="231"/>
      <c r="I5" s="231"/>
      <c r="J5" s="231"/>
      <c r="K5" s="231"/>
      <c r="L5" s="231"/>
      <c r="M5" s="231"/>
      <c r="N5" s="231"/>
      <c r="O5" s="372"/>
    </row>
    <row r="6" spans="1:20" s="2" customFormat="1" ht="19.8" customHeight="1">
      <c r="A6" s="268" t="s">
        <v>90</v>
      </c>
      <c r="B6" s="268"/>
      <c r="C6" s="268"/>
      <c r="D6" s="268"/>
      <c r="E6" s="269" t="s">
        <v>76</v>
      </c>
      <c r="F6" s="269"/>
      <c r="G6" s="269"/>
      <c r="H6" s="269"/>
      <c r="I6" s="269"/>
      <c r="J6" s="343" t="s">
        <v>160</v>
      </c>
      <c r="K6" s="285"/>
      <c r="L6" s="285"/>
      <c r="M6" s="285"/>
      <c r="N6" s="286"/>
      <c r="O6" s="372"/>
    </row>
    <row r="7" spans="1:20" s="2" customFormat="1" ht="19.8" customHeight="1">
      <c r="A7" s="180" t="s">
        <v>161</v>
      </c>
      <c r="B7" s="181"/>
      <c r="C7" s="181"/>
      <c r="D7" s="182"/>
      <c r="E7" s="269"/>
      <c r="F7" s="269"/>
      <c r="G7" s="269"/>
      <c r="H7" s="269"/>
      <c r="I7" s="269"/>
      <c r="J7" s="287"/>
      <c r="K7" s="288"/>
      <c r="L7" s="288"/>
      <c r="M7" s="288"/>
      <c r="N7" s="289"/>
      <c r="O7" s="372"/>
    </row>
    <row r="8" spans="1:20" s="2" customFormat="1" ht="19.8" customHeight="1">
      <c r="A8" s="183" t="s">
        <v>158</v>
      </c>
      <c r="B8" s="183"/>
      <c r="C8" s="183"/>
      <c r="D8" s="183"/>
      <c r="E8" s="269"/>
      <c r="F8" s="269"/>
      <c r="G8" s="269"/>
      <c r="H8" s="269"/>
      <c r="I8" s="269"/>
      <c r="J8" s="287"/>
      <c r="K8" s="288"/>
      <c r="L8" s="288"/>
      <c r="M8" s="288"/>
      <c r="N8" s="289"/>
      <c r="O8" s="372"/>
    </row>
    <row r="9" spans="1:20" s="2" customFormat="1" ht="19.8" customHeight="1">
      <c r="A9" s="277" t="s">
        <v>159</v>
      </c>
      <c r="B9" s="277"/>
      <c r="C9" s="277"/>
      <c r="D9" s="277"/>
      <c r="E9" s="269"/>
      <c r="F9" s="269"/>
      <c r="G9" s="269"/>
      <c r="H9" s="269"/>
      <c r="I9" s="269"/>
      <c r="J9" s="290"/>
      <c r="K9" s="291"/>
      <c r="L9" s="291"/>
      <c r="M9" s="291"/>
      <c r="N9" s="292"/>
      <c r="O9" s="372"/>
    </row>
    <row r="10" spans="1:20" s="2" customFormat="1" ht="19.8" customHeight="1">
      <c r="A10" s="278" t="s">
        <v>122</v>
      </c>
      <c r="B10" s="279"/>
      <c r="C10" s="280"/>
      <c r="D10" s="129">
        <v>209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8" customHeight="1">
      <c r="A11" s="186" t="s">
        <v>66</v>
      </c>
      <c r="B11" s="196" t="s">
        <v>19</v>
      </c>
      <c r="C11" s="329" t="s">
        <v>8</v>
      </c>
      <c r="D11" s="199" t="s">
        <v>9</v>
      </c>
      <c r="E11" s="189" t="s">
        <v>11</v>
      </c>
      <c r="F11" s="190"/>
      <c r="G11" s="189" t="s">
        <v>13</v>
      </c>
      <c r="H11" s="190"/>
      <c r="I11" s="193" t="s">
        <v>16</v>
      </c>
      <c r="J11" s="193" t="s">
        <v>41</v>
      </c>
      <c r="K11" s="193" t="s">
        <v>42</v>
      </c>
      <c r="L11" s="193" t="s">
        <v>17</v>
      </c>
      <c r="M11" s="193" t="s">
        <v>55</v>
      </c>
      <c r="N11" s="186" t="s">
        <v>18</v>
      </c>
      <c r="O11" s="373"/>
    </row>
    <row r="12" spans="1:20" ht="19.8" customHeight="1">
      <c r="A12" s="187"/>
      <c r="B12" s="197"/>
      <c r="C12" s="330"/>
      <c r="D12" s="200"/>
      <c r="E12" s="191"/>
      <c r="F12" s="192"/>
      <c r="G12" s="191"/>
      <c r="H12" s="192"/>
      <c r="I12" s="194"/>
      <c r="J12" s="194"/>
      <c r="K12" s="194"/>
      <c r="L12" s="194"/>
      <c r="M12" s="194"/>
      <c r="N12" s="187"/>
      <c r="O12" s="174"/>
    </row>
    <row r="13" spans="1:20" ht="19.8" customHeight="1">
      <c r="A13" s="187"/>
      <c r="B13" s="197"/>
      <c r="C13" s="330"/>
      <c r="D13" s="200"/>
      <c r="E13" s="193" t="s">
        <v>10</v>
      </c>
      <c r="F13" s="193" t="s">
        <v>12</v>
      </c>
      <c r="G13" s="193" t="s">
        <v>14</v>
      </c>
      <c r="H13" s="193" t="s">
        <v>15</v>
      </c>
      <c r="I13" s="194"/>
      <c r="J13" s="194"/>
      <c r="K13" s="194"/>
      <c r="L13" s="194"/>
      <c r="M13" s="194"/>
      <c r="N13" s="187"/>
      <c r="O13" s="174"/>
    </row>
    <row r="14" spans="1:20" ht="19.8" customHeight="1">
      <c r="A14" s="188"/>
      <c r="B14" s="198"/>
      <c r="C14" s="331"/>
      <c r="D14" s="201"/>
      <c r="E14" s="195"/>
      <c r="F14" s="195"/>
      <c r="G14" s="195"/>
      <c r="H14" s="195"/>
      <c r="I14" s="195"/>
      <c r="J14" s="195"/>
      <c r="K14" s="195"/>
      <c r="L14" s="195"/>
      <c r="M14" s="195"/>
      <c r="N14" s="188"/>
      <c r="O14" s="174"/>
    </row>
    <row r="15" spans="1:20" ht="19.8" customHeight="1">
      <c r="A15" s="233" t="s">
        <v>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174"/>
    </row>
    <row r="16" spans="1:20" s="2" customFormat="1" ht="21" customHeight="1">
      <c r="A16" s="9">
        <v>1</v>
      </c>
      <c r="B16" s="10" t="s">
        <v>2</v>
      </c>
      <c r="C16" s="23">
        <f>L16/100*100</f>
        <v>280</v>
      </c>
      <c r="D16" s="24">
        <f>C16/100*60</f>
        <v>168</v>
      </c>
      <c r="E16" s="25">
        <f>C16/100*15</f>
        <v>42</v>
      </c>
      <c r="F16" s="25"/>
      <c r="G16" s="25"/>
      <c r="H16" s="25"/>
      <c r="I16" s="25"/>
      <c r="J16" s="27">
        <f>C16/100*387</f>
        <v>1083.5999999999999</v>
      </c>
      <c r="K16" s="27">
        <f>C16/100*0.09</f>
        <v>0.252</v>
      </c>
      <c r="L16" s="138">
        <v>280</v>
      </c>
      <c r="M16" s="75">
        <v>20</v>
      </c>
      <c r="N16" s="136">
        <f>L16*M16</f>
        <v>5600</v>
      </c>
      <c r="O16" s="154"/>
    </row>
    <row r="17" spans="1:20" s="2" customFormat="1" ht="21" customHeight="1">
      <c r="A17" s="9">
        <v>2</v>
      </c>
      <c r="B17" s="147" t="s">
        <v>141</v>
      </c>
      <c r="C17" s="23">
        <f>L17/100*100</f>
        <v>880.00000000000011</v>
      </c>
      <c r="D17" s="24">
        <f>C17/100*899</f>
        <v>7911.2000000000007</v>
      </c>
      <c r="E17" s="25"/>
      <c r="F17" s="25"/>
      <c r="G17" s="25">
        <f>C17/100*100</f>
        <v>880.00000000000011</v>
      </c>
      <c r="H17" s="25"/>
      <c r="I17" s="25"/>
      <c r="J17" s="27"/>
      <c r="K17" s="27"/>
      <c r="L17" s="138">
        <v>880</v>
      </c>
      <c r="M17" s="75">
        <v>68</v>
      </c>
      <c r="N17" s="136">
        <f t="shared" ref="N17:N26" si="0">L17*M17</f>
        <v>59840</v>
      </c>
      <c r="O17" s="154"/>
    </row>
    <row r="18" spans="1:20" s="2" customFormat="1" ht="21" customHeight="1">
      <c r="A18" s="9">
        <v>3</v>
      </c>
      <c r="B18" s="5" t="s">
        <v>1</v>
      </c>
      <c r="C18" s="23">
        <f>L18/100*100</f>
        <v>19855</v>
      </c>
      <c r="D18" s="121">
        <f>C18/100*331</f>
        <v>65720.05</v>
      </c>
      <c r="E18" s="25"/>
      <c r="F18" s="131">
        <f>C18/100*7.9</f>
        <v>1568.5450000000001</v>
      </c>
      <c r="G18" s="25"/>
      <c r="H18" s="25">
        <f>C18/100*1</f>
        <v>198.55</v>
      </c>
      <c r="I18" s="120">
        <f>C18/100*75.9</f>
        <v>15069.945000000002</v>
      </c>
      <c r="J18" s="27">
        <f>C18/100*30</f>
        <v>5956.5</v>
      </c>
      <c r="K18" s="27">
        <f>C18/100*0.1</f>
        <v>19.855000000000004</v>
      </c>
      <c r="L18" s="138">
        <v>19855</v>
      </c>
      <c r="M18" s="75">
        <v>18</v>
      </c>
      <c r="N18" s="136">
        <f t="shared" si="0"/>
        <v>357390</v>
      </c>
      <c r="O18" s="154"/>
    </row>
    <row r="19" spans="1:20" s="2" customFormat="1" ht="21" customHeight="1">
      <c r="A19" s="9">
        <v>4</v>
      </c>
      <c r="B19" s="10" t="s">
        <v>71</v>
      </c>
      <c r="C19" s="23">
        <f>L19/100*98</f>
        <v>4498.2</v>
      </c>
      <c r="D19" s="24">
        <f>C19/100*139</f>
        <v>6252.4979999999996</v>
      </c>
      <c r="E19" s="120">
        <f>C19/100*19</f>
        <v>854.65800000000002</v>
      </c>
      <c r="F19" s="25"/>
      <c r="G19" s="25">
        <f>C19/100*7</f>
        <v>314.87400000000002</v>
      </c>
      <c r="H19" s="25"/>
      <c r="I19" s="25"/>
      <c r="J19" s="27">
        <f>C19/100*7</f>
        <v>314.87400000000002</v>
      </c>
      <c r="K19" s="27">
        <f>C19/100*0.9</f>
        <v>40.483800000000002</v>
      </c>
      <c r="L19" s="138">
        <v>4590</v>
      </c>
      <c r="M19" s="144">
        <v>137</v>
      </c>
      <c r="N19" s="136">
        <f t="shared" si="0"/>
        <v>628830</v>
      </c>
      <c r="O19" s="154"/>
    </row>
    <row r="20" spans="1:20" s="2" customFormat="1" ht="21" customHeight="1">
      <c r="A20" s="9">
        <v>5</v>
      </c>
      <c r="B20" s="10" t="s">
        <v>143</v>
      </c>
      <c r="C20" s="23">
        <f>L20/100*43</f>
        <v>993.30000000000007</v>
      </c>
      <c r="D20" s="24">
        <f>C20/100*83</f>
        <v>824.43899999999996</v>
      </c>
      <c r="E20" s="25">
        <f>C20/100*7.7</f>
        <v>76.484099999999998</v>
      </c>
      <c r="F20" s="25"/>
      <c r="G20" s="25">
        <f>C20/100*5.5</f>
        <v>54.631500000000003</v>
      </c>
      <c r="H20" s="25"/>
      <c r="I20" s="25"/>
      <c r="J20" s="27"/>
      <c r="K20" s="27"/>
      <c r="L20" s="138">
        <v>2310</v>
      </c>
      <c r="M20" s="144">
        <v>137</v>
      </c>
      <c r="N20" s="136">
        <f>L20*M20</f>
        <v>316470</v>
      </c>
      <c r="O20" s="154"/>
    </row>
    <row r="21" spans="1:20" s="2" customFormat="1" ht="21" customHeight="1">
      <c r="A21" s="9">
        <v>6</v>
      </c>
      <c r="B21" s="5" t="s">
        <v>30</v>
      </c>
      <c r="C21" s="23">
        <f>L21/100*88</f>
        <v>5156.8</v>
      </c>
      <c r="D21" s="24">
        <f>C21/100*184</f>
        <v>9488.5120000000006</v>
      </c>
      <c r="E21" s="120">
        <f>C21/100*13</f>
        <v>670.38400000000001</v>
      </c>
      <c r="F21" s="25"/>
      <c r="G21" s="25">
        <f>C21/100*14.2</f>
        <v>732.26560000000006</v>
      </c>
      <c r="H21" s="25"/>
      <c r="I21" s="25">
        <f>C21/100*1</f>
        <v>51.568000000000005</v>
      </c>
      <c r="J21" s="27">
        <f>C21/100*71</f>
        <v>3661.3280000000004</v>
      </c>
      <c r="K21" s="27">
        <f>C21/100*0.15</f>
        <v>7.7352000000000007</v>
      </c>
      <c r="L21" s="138">
        <v>5860</v>
      </c>
      <c r="M21" s="75">
        <v>62</v>
      </c>
      <c r="N21" s="136">
        <f t="shared" si="0"/>
        <v>363320</v>
      </c>
      <c r="O21" s="154"/>
      <c r="Q21" s="3"/>
      <c r="R21" s="3"/>
      <c r="S21" s="4"/>
    </row>
    <row r="22" spans="1:20" s="2" customFormat="1" ht="21" customHeight="1">
      <c r="A22" s="9">
        <v>7</v>
      </c>
      <c r="B22" s="10" t="s">
        <v>3</v>
      </c>
      <c r="C22" s="23">
        <f>L22/100*98</f>
        <v>2048.1999999999998</v>
      </c>
      <c r="D22" s="24">
        <f>C22/100*118</f>
        <v>2416.8759999999997</v>
      </c>
      <c r="E22" s="120">
        <f>C22/100*21</f>
        <v>430.12199999999996</v>
      </c>
      <c r="F22" s="25"/>
      <c r="G22" s="25">
        <f>C22/100*3.8</f>
        <v>77.831599999999995</v>
      </c>
      <c r="H22" s="25"/>
      <c r="I22" s="25"/>
      <c r="J22" s="25">
        <f>C22/100*12</f>
        <v>245.78399999999999</v>
      </c>
      <c r="K22" s="25">
        <f>C22/100*0.1</f>
        <v>2.0482</v>
      </c>
      <c r="L22" s="138">
        <v>2090</v>
      </c>
      <c r="M22" s="144">
        <v>250</v>
      </c>
      <c r="N22" s="136">
        <f t="shared" si="0"/>
        <v>522500</v>
      </c>
      <c r="O22" s="154"/>
    </row>
    <row r="23" spans="1:20" s="2" customFormat="1" ht="21" customHeight="1">
      <c r="A23" s="9">
        <v>8</v>
      </c>
      <c r="B23" s="5" t="s">
        <v>4</v>
      </c>
      <c r="C23" s="23">
        <f>L23/100*98.5</f>
        <v>2029.1000000000001</v>
      </c>
      <c r="D23" s="24">
        <f>C23/100*39</f>
        <v>791.34900000000005</v>
      </c>
      <c r="E23" s="29"/>
      <c r="F23" s="29">
        <f>C23/100*1.5</f>
        <v>30.436500000000002</v>
      </c>
      <c r="G23" s="29"/>
      <c r="H23" s="29">
        <f>C23/100*0.2</f>
        <v>4.0582000000000003</v>
      </c>
      <c r="I23" s="29">
        <f>C23/100*7.8</f>
        <v>158.2698</v>
      </c>
      <c r="J23" s="29">
        <f>C23/100*43</f>
        <v>872.51300000000003</v>
      </c>
      <c r="K23" s="29">
        <f>C23/100*0.06</f>
        <v>1.21746</v>
      </c>
      <c r="L23" s="374">
        <v>2060</v>
      </c>
      <c r="M23" s="26">
        <v>17</v>
      </c>
      <c r="N23" s="136">
        <f t="shared" si="0"/>
        <v>35020</v>
      </c>
      <c r="O23" s="154"/>
      <c r="Q23" s="3"/>
      <c r="R23" s="3"/>
      <c r="S23" s="4"/>
    </row>
    <row r="24" spans="1:20" s="2" customFormat="1" ht="21" customHeight="1">
      <c r="A24" s="9">
        <v>9</v>
      </c>
      <c r="B24" s="5" t="s">
        <v>142</v>
      </c>
      <c r="C24" s="23">
        <f>L24/100*87</f>
        <v>5454.9000000000005</v>
      </c>
      <c r="D24" s="24">
        <f>C24/100*21</f>
        <v>1145.5290000000002</v>
      </c>
      <c r="E24" s="29"/>
      <c r="F24" s="29">
        <f>C24/100*1.5</f>
        <v>81.82350000000001</v>
      </c>
      <c r="G24" s="29"/>
      <c r="H24" s="29">
        <f>C24/100*0.1</f>
        <v>5.4549000000000012</v>
      </c>
      <c r="I24" s="29">
        <f>C24/100*3.6</f>
        <v>196.37640000000002</v>
      </c>
      <c r="J24" s="29">
        <f>C24/100*40</f>
        <v>2181.96</v>
      </c>
      <c r="K24" s="29">
        <f>C24/100*0.06</f>
        <v>3.2729400000000002</v>
      </c>
      <c r="L24" s="374">
        <v>6270</v>
      </c>
      <c r="M24" s="26">
        <v>18</v>
      </c>
      <c r="N24" s="136">
        <f t="shared" si="0"/>
        <v>112860</v>
      </c>
      <c r="O24" s="154"/>
      <c r="Q24" s="3"/>
      <c r="R24" s="3"/>
      <c r="S24" s="4"/>
    </row>
    <row r="25" spans="1:20" s="2" customFormat="1" ht="21" customHeight="1">
      <c r="A25" s="86">
        <v>10</v>
      </c>
      <c r="B25" s="5" t="s">
        <v>75</v>
      </c>
      <c r="C25" s="23">
        <f>L25/100*75</f>
        <v>3135</v>
      </c>
      <c r="D25" s="24">
        <f>C25/100*12</f>
        <v>376.20000000000005</v>
      </c>
      <c r="E25" s="25"/>
      <c r="F25" s="25">
        <f>C25/100*0.6</f>
        <v>18.809999999999999</v>
      </c>
      <c r="G25" s="25"/>
      <c r="H25" s="25"/>
      <c r="I25" s="25">
        <f>C25/100*2.4</f>
        <v>75.239999999999995</v>
      </c>
      <c r="J25" s="25">
        <f>C25/100*26</f>
        <v>815.1</v>
      </c>
      <c r="K25" s="25">
        <f>C25/100*0.02</f>
        <v>0.627</v>
      </c>
      <c r="L25" s="138">
        <v>4180</v>
      </c>
      <c r="M25" s="75">
        <v>30</v>
      </c>
      <c r="N25" s="136">
        <f t="shared" si="0"/>
        <v>125400</v>
      </c>
      <c r="O25" s="154"/>
    </row>
    <row r="26" spans="1:20" s="2" customFormat="1" ht="21" customHeight="1">
      <c r="A26" s="86">
        <v>11</v>
      </c>
      <c r="B26" s="5" t="s">
        <v>136</v>
      </c>
      <c r="C26" s="23">
        <f>L26/100*100</f>
        <v>210</v>
      </c>
      <c r="D26" s="24">
        <f>C26/100*247</f>
        <v>518.70000000000005</v>
      </c>
      <c r="E26" s="29"/>
      <c r="F26" s="29">
        <f>C26/100*17.5</f>
        <v>36.75</v>
      </c>
      <c r="G26" s="29"/>
      <c r="H26" s="29">
        <f>C26/100*1.6</f>
        <v>3.3600000000000003</v>
      </c>
      <c r="I26" s="29">
        <f>C26/100*39.2</f>
        <v>82.320000000000007</v>
      </c>
      <c r="J26" s="71"/>
      <c r="K26" s="71"/>
      <c r="L26" s="374">
        <v>210</v>
      </c>
      <c r="M26" s="75">
        <v>50</v>
      </c>
      <c r="N26" s="28">
        <f t="shared" si="0"/>
        <v>10500</v>
      </c>
      <c r="O26" s="154"/>
      <c r="Q26" s="3"/>
      <c r="R26" s="3"/>
      <c r="S26" s="4"/>
      <c r="T26" s="3"/>
    </row>
    <row r="27" spans="1:20" s="2" customFormat="1" ht="21" customHeight="1">
      <c r="A27" s="86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7"/>
      <c r="K27" s="27"/>
      <c r="L27" s="26"/>
      <c r="M27" s="26"/>
      <c r="N27" s="28">
        <v>15750</v>
      </c>
      <c r="O27" s="154"/>
    </row>
    <row r="28" spans="1:20" s="2" customFormat="1" ht="21" customHeight="1">
      <c r="A28" s="21" t="s">
        <v>120</v>
      </c>
      <c r="B28" s="22"/>
      <c r="C28" s="34"/>
      <c r="D28" s="122">
        <f>SUM(D16:D27)</f>
        <v>95613.352999999988</v>
      </c>
      <c r="E28" s="36"/>
      <c r="F28" s="36"/>
      <c r="G28" s="36"/>
      <c r="H28" s="36"/>
      <c r="I28" s="36"/>
      <c r="J28" s="36"/>
      <c r="K28" s="36"/>
      <c r="L28" s="37"/>
      <c r="M28" s="73"/>
      <c r="N28" s="262">
        <f>SUM(N16:N27)</f>
        <v>2553480</v>
      </c>
      <c r="O28" s="154"/>
    </row>
    <row r="29" spans="1:20" s="2" customFormat="1" ht="21" customHeight="1">
      <c r="A29" s="21" t="s">
        <v>6</v>
      </c>
      <c r="B29" s="22"/>
      <c r="C29" s="34"/>
      <c r="D29" s="35">
        <f>D28/D10</f>
        <v>457.48015789473681</v>
      </c>
      <c r="E29" s="36"/>
      <c r="F29" s="36"/>
      <c r="G29" s="36"/>
      <c r="H29" s="36"/>
      <c r="I29" s="36"/>
      <c r="J29" s="36"/>
      <c r="K29" s="36"/>
      <c r="L29" s="37"/>
      <c r="M29" s="74"/>
      <c r="N29" s="263"/>
      <c r="O29" s="154"/>
    </row>
    <row r="30" spans="1:20" s="2" customFormat="1" ht="21" customHeight="1">
      <c r="A30" s="304" t="s">
        <v>51</v>
      </c>
      <c r="B30" s="207"/>
      <c r="C30" s="375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4"/>
    </row>
    <row r="31" spans="1:20" s="2" customFormat="1" ht="21" customHeight="1">
      <c r="A31" s="208"/>
      <c r="B31" s="209"/>
      <c r="C31" s="76" t="s">
        <v>60</v>
      </c>
      <c r="D31" s="20">
        <f>D29*100/1320</f>
        <v>34.657587719298249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4"/>
    </row>
    <row r="32" spans="1:20" s="2" customFormat="1" ht="21" customHeight="1">
      <c r="A32" s="276" t="s">
        <v>35</v>
      </c>
      <c r="B32" s="27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4"/>
    </row>
    <row r="33" spans="1:23" s="2" customFormat="1" ht="21" customHeight="1">
      <c r="A33" s="9">
        <v>1</v>
      </c>
      <c r="B33" s="10" t="s">
        <v>2</v>
      </c>
      <c r="C33" s="23">
        <f>L33/100*100</f>
        <v>250</v>
      </c>
      <c r="D33" s="24">
        <f>C33/100*60</f>
        <v>150</v>
      </c>
      <c r="E33" s="25">
        <f>C33/100*15</f>
        <v>37.5</v>
      </c>
      <c r="F33" s="25"/>
      <c r="G33" s="25"/>
      <c r="H33" s="25"/>
      <c r="I33" s="25"/>
      <c r="J33" s="27">
        <f>C33/100*387</f>
        <v>967.5</v>
      </c>
      <c r="K33" s="27">
        <f>C33/100*0.09</f>
        <v>0.22499999999999998</v>
      </c>
      <c r="L33" s="138">
        <v>250</v>
      </c>
      <c r="M33" s="75">
        <v>20</v>
      </c>
      <c r="N33" s="28">
        <f>L33*M33</f>
        <v>5000</v>
      </c>
      <c r="O33" s="154"/>
    </row>
    <row r="34" spans="1:23" s="2" customFormat="1" ht="20.399999999999999" customHeight="1">
      <c r="A34" s="9">
        <v>2</v>
      </c>
      <c r="B34" s="5" t="s">
        <v>73</v>
      </c>
      <c r="C34" s="23">
        <f>L34/100*100</f>
        <v>5856</v>
      </c>
      <c r="D34" s="121">
        <f>C34/100*344</f>
        <v>20144.64</v>
      </c>
      <c r="E34" s="25"/>
      <c r="F34" s="120">
        <f>C34/100*8.6</f>
        <v>503.61599999999999</v>
      </c>
      <c r="G34" s="25"/>
      <c r="H34" s="25">
        <f>C34/100*1.5</f>
        <v>87.84</v>
      </c>
      <c r="I34" s="25">
        <f>C34/100*74.5</f>
        <v>4362.72</v>
      </c>
      <c r="J34" s="25">
        <f>C34/100*32</f>
        <v>1873.92</v>
      </c>
      <c r="K34" s="25">
        <f>C34/100*0.14</f>
        <v>8.1984000000000012</v>
      </c>
      <c r="L34" s="138">
        <v>5856</v>
      </c>
      <c r="M34" s="75">
        <v>30</v>
      </c>
      <c r="N34" s="28">
        <f t="shared" ref="N34:N40" si="1">L34*M34</f>
        <v>175680</v>
      </c>
      <c r="O34" s="154"/>
      <c r="P34" s="18"/>
    </row>
    <row r="35" spans="1:23" s="2" customFormat="1" ht="21" customHeight="1">
      <c r="A35" s="9">
        <v>3</v>
      </c>
      <c r="B35" s="147" t="s">
        <v>141</v>
      </c>
      <c r="C35" s="23">
        <f>L35/100*100</f>
        <v>480</v>
      </c>
      <c r="D35" s="24">
        <f>C35/100*899</f>
        <v>4315.2</v>
      </c>
      <c r="E35" s="25"/>
      <c r="F35" s="25"/>
      <c r="G35" s="25">
        <f>C35/100*100</f>
        <v>480</v>
      </c>
      <c r="H35" s="25"/>
      <c r="I35" s="25"/>
      <c r="J35" s="25"/>
      <c r="K35" s="25"/>
      <c r="L35" s="138">
        <v>480</v>
      </c>
      <c r="M35" s="145">
        <v>68</v>
      </c>
      <c r="N35" s="28">
        <f t="shared" si="1"/>
        <v>32640</v>
      </c>
      <c r="O35" s="376"/>
    </row>
    <row r="36" spans="1:23" s="2" customFormat="1" ht="19.2" customHeight="1">
      <c r="A36" s="9">
        <v>4</v>
      </c>
      <c r="B36" s="149" t="s">
        <v>146</v>
      </c>
      <c r="C36" s="23">
        <f>L36/100*100</f>
        <v>930.00000000000011</v>
      </c>
      <c r="D36" s="121">
        <f>C36/100*900</f>
        <v>8370</v>
      </c>
      <c r="E36" s="25"/>
      <c r="F36" s="25"/>
      <c r="G36" s="120"/>
      <c r="H36" s="25">
        <f>C36/100*100</f>
        <v>930.00000000000011</v>
      </c>
      <c r="I36" s="25"/>
      <c r="J36" s="25"/>
      <c r="K36" s="25"/>
      <c r="L36" s="138">
        <v>930</v>
      </c>
      <c r="M36" s="75">
        <v>63.5</v>
      </c>
      <c r="N36" s="28">
        <f>L36*M36</f>
        <v>59055</v>
      </c>
      <c r="O36" s="376"/>
    </row>
    <row r="37" spans="1:23" s="2" customFormat="1" ht="21" customHeight="1">
      <c r="A37" s="9">
        <v>5</v>
      </c>
      <c r="B37" s="5" t="s">
        <v>136</v>
      </c>
      <c r="C37" s="23">
        <f>L37/100*100</f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4">
        <v>130</v>
      </c>
      <c r="M37" s="75">
        <v>50</v>
      </c>
      <c r="N37" s="28">
        <f>L37*M37</f>
        <v>6500</v>
      </c>
      <c r="O37" s="154"/>
      <c r="Q37" s="3"/>
      <c r="R37" s="3"/>
      <c r="S37" s="4"/>
      <c r="T37" s="3"/>
    </row>
    <row r="38" spans="1:23" s="2" customFormat="1" ht="20.399999999999999" customHeight="1">
      <c r="A38" s="165">
        <v>6</v>
      </c>
      <c r="B38" s="150" t="s">
        <v>186</v>
      </c>
      <c r="C38" s="23">
        <f>L38/100*20</f>
        <v>1046</v>
      </c>
      <c r="D38" s="24">
        <f>C38/100*26</f>
        <v>271.96000000000004</v>
      </c>
      <c r="E38" s="25"/>
      <c r="F38" s="25">
        <f>C38/100*0.4</f>
        <v>4.1840000000000002</v>
      </c>
      <c r="G38" s="25"/>
      <c r="H38" s="25">
        <f>C38/100*1.6</f>
        <v>16.736000000000001</v>
      </c>
      <c r="I38" s="25">
        <f>C38/100*2.1</f>
        <v>21.966000000000001</v>
      </c>
      <c r="J38" s="25"/>
      <c r="K38" s="25"/>
      <c r="L38" s="377">
        <v>5230</v>
      </c>
      <c r="M38" s="75">
        <v>25</v>
      </c>
      <c r="N38" s="28">
        <f t="shared" ref="N38" si="2">L38*M38</f>
        <v>130750</v>
      </c>
      <c r="O38" s="378"/>
      <c r="P38" s="379"/>
    </row>
    <row r="39" spans="1:23" s="2" customFormat="1" ht="21" customHeight="1">
      <c r="A39" s="9">
        <v>7</v>
      </c>
      <c r="B39" s="10" t="s">
        <v>71</v>
      </c>
      <c r="C39" s="23">
        <f>L39/100*98</f>
        <v>5135.2</v>
      </c>
      <c r="D39" s="24">
        <f>C39/100*139</f>
        <v>7137.9279999999999</v>
      </c>
      <c r="E39" s="120">
        <f>C39/100*19</f>
        <v>975.68799999999999</v>
      </c>
      <c r="F39" s="120"/>
      <c r="G39" s="25">
        <f>C39/100*7</f>
        <v>359.464</v>
      </c>
      <c r="H39" s="25"/>
      <c r="I39" s="25"/>
      <c r="J39" s="27">
        <f>C39/100*7</f>
        <v>359.464</v>
      </c>
      <c r="K39" s="27">
        <f>C39/100*0.9</f>
        <v>46.216799999999999</v>
      </c>
      <c r="L39" s="138">
        <v>5240</v>
      </c>
      <c r="M39" s="144">
        <v>137</v>
      </c>
      <c r="N39" s="28">
        <f t="shared" si="1"/>
        <v>717880</v>
      </c>
      <c r="O39" s="154"/>
    </row>
    <row r="40" spans="1:23" s="2" customFormat="1" ht="20.399999999999999" customHeight="1">
      <c r="A40" s="9">
        <v>8</v>
      </c>
      <c r="B40" s="5" t="s">
        <v>76</v>
      </c>
      <c r="C40" s="23">
        <f>L40/100*80</f>
        <v>22576</v>
      </c>
      <c r="D40" s="24">
        <f>C40/100*40</f>
        <v>9030.4</v>
      </c>
      <c r="E40" s="120"/>
      <c r="F40" s="120">
        <f>C40/100*1.3</f>
        <v>293.488</v>
      </c>
      <c r="G40" s="25"/>
      <c r="H40" s="25"/>
      <c r="I40" s="25">
        <f>C40/100*2.8</f>
        <v>632.12799999999993</v>
      </c>
      <c r="J40" s="25">
        <f>C40/100*11</f>
        <v>2483.3599999999997</v>
      </c>
      <c r="K40" s="25"/>
      <c r="L40" s="377">
        <v>28220</v>
      </c>
      <c r="M40" s="75">
        <v>32</v>
      </c>
      <c r="N40" s="28">
        <f t="shared" si="1"/>
        <v>903040</v>
      </c>
      <c r="O40" s="378"/>
      <c r="P40" s="379"/>
    </row>
    <row r="41" spans="1:23" s="2" customFormat="1" ht="21" customHeight="1">
      <c r="A41" s="114">
        <v>9</v>
      </c>
      <c r="B41" s="113" t="s">
        <v>123</v>
      </c>
      <c r="C41" s="105"/>
      <c r="D41" s="106"/>
      <c r="E41" s="107"/>
      <c r="F41" s="107"/>
      <c r="G41" s="107"/>
      <c r="H41" s="107"/>
      <c r="I41" s="107"/>
      <c r="J41" s="107"/>
      <c r="K41" s="107"/>
      <c r="L41" s="108"/>
      <c r="M41" s="108"/>
      <c r="N41" s="109">
        <v>13000</v>
      </c>
      <c r="O41" s="154"/>
    </row>
    <row r="42" spans="1:23" ht="19.8" customHeight="1">
      <c r="A42" s="186" t="s">
        <v>66</v>
      </c>
      <c r="B42" s="196" t="s">
        <v>19</v>
      </c>
      <c r="C42" s="329" t="s">
        <v>8</v>
      </c>
      <c r="D42" s="199" t="s">
        <v>9</v>
      </c>
      <c r="E42" s="189" t="s">
        <v>11</v>
      </c>
      <c r="F42" s="190"/>
      <c r="G42" s="189" t="s">
        <v>13</v>
      </c>
      <c r="H42" s="190"/>
      <c r="I42" s="193" t="s">
        <v>16</v>
      </c>
      <c r="J42" s="193" t="s">
        <v>41</v>
      </c>
      <c r="K42" s="193" t="s">
        <v>42</v>
      </c>
      <c r="L42" s="193" t="s">
        <v>17</v>
      </c>
      <c r="M42" s="193" t="s">
        <v>55</v>
      </c>
      <c r="N42" s="186" t="s">
        <v>18</v>
      </c>
      <c r="O42" s="373"/>
    </row>
    <row r="43" spans="1:23" ht="19.8" customHeight="1">
      <c r="A43" s="187"/>
      <c r="B43" s="197"/>
      <c r="C43" s="330"/>
      <c r="D43" s="200"/>
      <c r="E43" s="191"/>
      <c r="F43" s="192"/>
      <c r="G43" s="191"/>
      <c r="H43" s="192"/>
      <c r="I43" s="194"/>
      <c r="J43" s="194"/>
      <c r="K43" s="194"/>
      <c r="L43" s="194"/>
      <c r="M43" s="194"/>
      <c r="N43" s="187"/>
      <c r="O43" s="174"/>
    </row>
    <row r="44" spans="1:23" ht="19.8" customHeight="1">
      <c r="A44" s="187"/>
      <c r="B44" s="197"/>
      <c r="C44" s="330"/>
      <c r="D44" s="200"/>
      <c r="E44" s="193" t="s">
        <v>10</v>
      </c>
      <c r="F44" s="193" t="s">
        <v>12</v>
      </c>
      <c r="G44" s="193" t="s">
        <v>14</v>
      </c>
      <c r="H44" s="193" t="s">
        <v>15</v>
      </c>
      <c r="I44" s="194"/>
      <c r="J44" s="194"/>
      <c r="K44" s="194"/>
      <c r="L44" s="194"/>
      <c r="M44" s="194"/>
      <c r="N44" s="187"/>
      <c r="O44" s="174"/>
    </row>
    <row r="45" spans="1:23" ht="19.8" customHeight="1">
      <c r="A45" s="188"/>
      <c r="B45" s="198"/>
      <c r="C45" s="331"/>
      <c r="D45" s="201"/>
      <c r="E45" s="195"/>
      <c r="F45" s="195"/>
      <c r="G45" s="195"/>
      <c r="H45" s="195"/>
      <c r="I45" s="195"/>
      <c r="J45" s="195"/>
      <c r="K45" s="195"/>
      <c r="L45" s="195"/>
      <c r="M45" s="195"/>
      <c r="N45" s="188"/>
      <c r="O45" s="174"/>
    </row>
    <row r="46" spans="1:23" s="2" customFormat="1" ht="19.2" customHeight="1">
      <c r="A46" s="21" t="s">
        <v>110</v>
      </c>
      <c r="B46" s="22"/>
      <c r="C46" s="34"/>
      <c r="D46" s="122">
        <f>SUM(D33:D41)</f>
        <v>49741.227999999996</v>
      </c>
      <c r="E46" s="43"/>
      <c r="F46" s="43"/>
      <c r="G46" s="43"/>
      <c r="H46" s="43"/>
      <c r="I46" s="43"/>
      <c r="J46" s="43"/>
      <c r="K46" s="43"/>
      <c r="L46" s="44"/>
      <c r="M46" s="319"/>
      <c r="N46" s="264">
        <f>SUM(N33:N41)</f>
        <v>2043545</v>
      </c>
      <c r="O46" s="154"/>
    </row>
    <row r="47" spans="1:23" ht="19.2" customHeight="1">
      <c r="A47" s="21" t="s">
        <v>7</v>
      </c>
      <c r="B47" s="22"/>
      <c r="C47" s="45"/>
      <c r="D47" s="46">
        <f>D46/D10</f>
        <v>237.99630622009568</v>
      </c>
      <c r="E47" s="46"/>
      <c r="F47" s="46"/>
      <c r="G47" s="46"/>
      <c r="H47" s="46"/>
      <c r="I47" s="46"/>
      <c r="J47" s="46"/>
      <c r="K47" s="46"/>
      <c r="L47" s="47"/>
      <c r="M47" s="320"/>
      <c r="N47" s="265"/>
      <c r="O47" s="4"/>
      <c r="P47" s="2"/>
      <c r="Q47" s="2"/>
      <c r="R47" s="2"/>
      <c r="S47" s="2"/>
      <c r="T47" s="2"/>
      <c r="U47" s="2"/>
      <c r="V47" s="2"/>
    </row>
    <row r="48" spans="1:23" ht="19.2" customHeight="1">
      <c r="A48" s="304" t="s">
        <v>52</v>
      </c>
      <c r="B48" s="207"/>
      <c r="C48" s="375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5"/>
      <c r="O48" s="4"/>
      <c r="P48" s="2"/>
      <c r="Q48" s="2"/>
      <c r="R48" s="2"/>
      <c r="S48" s="2"/>
      <c r="T48" s="2"/>
      <c r="U48" s="2"/>
      <c r="V48" s="2"/>
      <c r="W48" s="2"/>
    </row>
    <row r="49" spans="1:23" ht="19.2" customHeight="1">
      <c r="A49" s="208"/>
      <c r="B49" s="209"/>
      <c r="C49" s="76" t="s">
        <v>60</v>
      </c>
      <c r="D49" s="20">
        <f>D47*100/1320</f>
        <v>18.030023198492096</v>
      </c>
      <c r="E49" s="46"/>
      <c r="F49" s="46"/>
      <c r="G49" s="46"/>
      <c r="H49" s="46"/>
      <c r="I49" s="46"/>
      <c r="J49" s="48"/>
      <c r="K49" s="48"/>
      <c r="L49" s="47"/>
      <c r="M49" s="47"/>
      <c r="N49" s="175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338" t="s">
        <v>107</v>
      </c>
      <c r="B50" s="339"/>
      <c r="C50" s="227"/>
      <c r="D50" s="305">
        <f>D28+D46</f>
        <v>145354.58099999998</v>
      </c>
      <c r="E50" s="124">
        <f>SUM(E16:E41)</f>
        <v>3086.8361</v>
      </c>
      <c r="F50" s="124">
        <f t="shared" ref="F50:H50" si="3">SUM(F16:F41)</f>
        <v>2560.4029999999998</v>
      </c>
      <c r="G50" s="124">
        <f t="shared" si="3"/>
        <v>2899.0667000000003</v>
      </c>
      <c r="H50" s="124">
        <f t="shared" si="3"/>
        <v>1248.0791000000002</v>
      </c>
      <c r="I50" s="212">
        <f>SUM(I16:I41)</f>
        <v>20701.493200000001</v>
      </c>
      <c r="J50" s="212">
        <f>SUM(J16:J41)</f>
        <v>20815.903000000002</v>
      </c>
      <c r="K50" s="210">
        <f>SUM(K16:K41)</f>
        <v>130.1318</v>
      </c>
      <c r="L50" s="239"/>
      <c r="M50" s="239"/>
      <c r="N50" s="301">
        <f>N28+N46</f>
        <v>4597025</v>
      </c>
      <c r="P50" s="2"/>
      <c r="Q50" s="2"/>
      <c r="R50" s="2"/>
      <c r="S50" s="2"/>
      <c r="T50" s="2"/>
      <c r="U50" s="2"/>
      <c r="V50" s="2"/>
    </row>
    <row r="51" spans="1:23" ht="19.2" customHeight="1">
      <c r="A51" s="340"/>
      <c r="B51" s="341"/>
      <c r="C51" s="228"/>
      <c r="D51" s="306"/>
      <c r="E51" s="324">
        <f>E50+F50</f>
        <v>5647.2390999999998</v>
      </c>
      <c r="F51" s="325"/>
      <c r="G51" s="221">
        <f>G50+H50</f>
        <v>4147.1458000000002</v>
      </c>
      <c r="H51" s="222"/>
      <c r="I51" s="213"/>
      <c r="J51" s="253"/>
      <c r="K51" s="307"/>
      <c r="L51" s="239"/>
      <c r="M51" s="239"/>
      <c r="N51" s="301"/>
      <c r="U51" s="12"/>
      <c r="V51" s="12"/>
    </row>
    <row r="52" spans="1:23" ht="19.2" customHeight="1">
      <c r="A52" s="270" t="s">
        <v>77</v>
      </c>
      <c r="B52" s="271"/>
      <c r="C52" s="272"/>
      <c r="D52" s="139">
        <f>D50/D10</f>
        <v>695.47646411483242</v>
      </c>
      <c r="E52" s="380">
        <f>E50/D10</f>
        <v>14.76955071770335</v>
      </c>
      <c r="F52" s="381">
        <f>F50/D10</f>
        <v>12.250732057416267</v>
      </c>
      <c r="G52" s="380">
        <f>G50/D10</f>
        <v>13.871132535885168</v>
      </c>
      <c r="H52" s="382">
        <f>H50/D10</f>
        <v>5.9716703349282305</v>
      </c>
      <c r="I52" s="204">
        <f>I50/D10</f>
        <v>99.050206698564594</v>
      </c>
      <c r="J52" s="342">
        <f>J50/D10</f>
        <v>99.597622009569392</v>
      </c>
      <c r="K52" s="342">
        <f>K50/D10</f>
        <v>0.62264019138755977</v>
      </c>
      <c r="L52" s="239"/>
      <c r="M52" s="239"/>
      <c r="N52" s="301"/>
      <c r="U52" s="12"/>
      <c r="V52" s="12"/>
    </row>
    <row r="53" spans="1:23" ht="19.2" customHeight="1">
      <c r="A53" s="273"/>
      <c r="B53" s="274"/>
      <c r="C53" s="275"/>
      <c r="D53" s="128"/>
      <c r="E53" s="383">
        <f>E52+F52</f>
        <v>27.020282775119618</v>
      </c>
      <c r="F53" s="384"/>
      <c r="G53" s="383">
        <f>G52+H52</f>
        <v>19.842802870813401</v>
      </c>
      <c r="H53" s="384"/>
      <c r="I53" s="205"/>
      <c r="J53" s="342"/>
      <c r="K53" s="342"/>
      <c r="L53" s="239"/>
      <c r="M53" s="239"/>
      <c r="N53" s="301"/>
      <c r="Q53" s="370"/>
      <c r="R53" s="370"/>
      <c r="S53" s="370"/>
      <c r="T53" s="370"/>
      <c r="U53" s="385"/>
      <c r="V53" s="385"/>
    </row>
    <row r="54" spans="1:23" ht="19.2" customHeight="1">
      <c r="A54" s="316" t="s">
        <v>80</v>
      </c>
      <c r="B54" s="317"/>
      <c r="C54" s="318"/>
      <c r="D54" s="179" t="s">
        <v>28</v>
      </c>
      <c r="E54" s="231" t="s">
        <v>21</v>
      </c>
      <c r="F54" s="231"/>
      <c r="G54" s="231" t="s">
        <v>22</v>
      </c>
      <c r="H54" s="231"/>
      <c r="I54" s="176" t="s">
        <v>23</v>
      </c>
      <c r="J54" s="386">
        <v>600</v>
      </c>
      <c r="K54" s="386">
        <v>0.7</v>
      </c>
      <c r="L54" s="239"/>
      <c r="M54" s="239"/>
      <c r="N54" s="301"/>
      <c r="O54" s="387"/>
      <c r="P54" s="388"/>
      <c r="Q54" s="370"/>
      <c r="R54" s="370"/>
      <c r="S54" s="370"/>
      <c r="T54" s="370"/>
      <c r="U54" s="370"/>
      <c r="V54" s="370"/>
    </row>
    <row r="55" spans="1:23" ht="19.2" customHeight="1">
      <c r="A55" s="214" t="s">
        <v>78</v>
      </c>
      <c r="B55" s="215"/>
      <c r="C55" s="216"/>
      <c r="D55" s="49"/>
      <c r="E55" s="202">
        <f>E53*4.1</f>
        <v>110.78315937799043</v>
      </c>
      <c r="F55" s="203"/>
      <c r="G55" s="202">
        <f>G53*9</f>
        <v>178.58522583732059</v>
      </c>
      <c r="H55" s="203"/>
      <c r="I55" s="85">
        <f>I52*4.1</f>
        <v>406.10584746411479</v>
      </c>
      <c r="J55" s="249"/>
      <c r="K55" s="249"/>
      <c r="L55" s="239"/>
      <c r="M55" s="239"/>
      <c r="N55" s="301"/>
      <c r="O55" s="387"/>
      <c r="P55" s="379"/>
      <c r="Q55" s="369"/>
      <c r="R55" s="369"/>
      <c r="S55" s="369"/>
    </row>
    <row r="56" spans="1:23" ht="19.2" customHeight="1">
      <c r="A56" s="217" t="s">
        <v>87</v>
      </c>
      <c r="B56" s="218"/>
      <c r="C56" s="214" t="s">
        <v>59</v>
      </c>
      <c r="D56" s="216"/>
      <c r="E56" s="266">
        <f>E55*100/D52</f>
        <v>15.929102578473261</v>
      </c>
      <c r="F56" s="267"/>
      <c r="G56" s="266">
        <f>G55*100/D52</f>
        <v>25.678112064455682</v>
      </c>
      <c r="H56" s="267"/>
      <c r="I56" s="116">
        <f>I55*100/D52</f>
        <v>58.392464507190184</v>
      </c>
      <c r="J56" s="250"/>
      <c r="K56" s="250"/>
      <c r="L56" s="239"/>
      <c r="M56" s="239"/>
      <c r="N56" s="301"/>
      <c r="O56" s="387"/>
      <c r="P56" s="142"/>
      <c r="Q56" s="142"/>
      <c r="R56" s="142"/>
      <c r="S56" s="142"/>
    </row>
    <row r="57" spans="1:23" ht="19.2" customHeight="1">
      <c r="A57" s="219"/>
      <c r="B57" s="220"/>
      <c r="C57" s="214" t="s">
        <v>79</v>
      </c>
      <c r="D57" s="216"/>
      <c r="E57" s="214" t="s">
        <v>82</v>
      </c>
      <c r="F57" s="216"/>
      <c r="G57" s="214" t="s">
        <v>83</v>
      </c>
      <c r="H57" s="216"/>
      <c r="I57" s="179" t="s">
        <v>84</v>
      </c>
      <c r="J57" s="230"/>
      <c r="K57" s="230"/>
      <c r="L57" s="239"/>
      <c r="M57" s="239"/>
      <c r="N57" s="301"/>
      <c r="O57" s="387"/>
    </row>
    <row r="58" spans="1:23" ht="19.2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87"/>
      <c r="P58" s="133"/>
    </row>
    <row r="59" spans="1:23" ht="21" customHeight="1">
      <c r="A59" s="296" t="s">
        <v>114</v>
      </c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387"/>
    </row>
    <row r="60" spans="1:23" ht="21" customHeight="1">
      <c r="A60" s="118" t="s">
        <v>115</v>
      </c>
      <c r="B60" s="297" t="s">
        <v>116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87"/>
    </row>
    <row r="61" spans="1:23" ht="21" customHeight="1">
      <c r="A61" s="119"/>
      <c r="B61" s="257" t="s">
        <v>218</v>
      </c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387"/>
    </row>
    <row r="62" spans="1:23" ht="21" customHeight="1">
      <c r="A62" s="119"/>
      <c r="B62" s="257" t="s">
        <v>219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387"/>
    </row>
    <row r="63" spans="1:23" ht="21" customHeight="1">
      <c r="A63" s="119"/>
      <c r="B63" s="257" t="s">
        <v>196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387"/>
    </row>
    <row r="64" spans="1:23" ht="21" customHeight="1">
      <c r="A64" s="90"/>
      <c r="B64" s="258" t="s">
        <v>117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7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7"/>
    </row>
    <row r="66" spans="1:15" ht="21" customHeight="1">
      <c r="A66" s="259" t="s">
        <v>62</v>
      </c>
      <c r="B66" s="259"/>
      <c r="C66" s="259"/>
      <c r="D66" s="259"/>
      <c r="E66" s="389"/>
      <c r="F66" s="389"/>
      <c r="G66" s="389"/>
      <c r="H66" s="389"/>
      <c r="I66" s="389"/>
      <c r="J66" s="390" t="s">
        <v>33</v>
      </c>
      <c r="K66" s="390"/>
      <c r="L66" s="390"/>
      <c r="M66" s="390"/>
      <c r="N66" s="390"/>
      <c r="O66" s="387"/>
    </row>
    <row r="67" spans="1:15" ht="21" customHeight="1">
      <c r="A67" s="174"/>
      <c r="B67" s="174"/>
      <c r="C67" s="174"/>
      <c r="D67" s="389"/>
      <c r="E67" s="389"/>
      <c r="F67" s="389"/>
      <c r="G67" s="389"/>
      <c r="H67" s="391"/>
      <c r="I67" s="391"/>
      <c r="J67" s="391"/>
      <c r="K67" s="391"/>
      <c r="L67" s="391"/>
      <c r="M67" s="391"/>
      <c r="N67" s="391"/>
      <c r="O67" s="387"/>
    </row>
    <row r="68" spans="1:15" ht="21" customHeight="1">
      <c r="A68" s="174"/>
      <c r="B68" s="174"/>
      <c r="C68" s="174"/>
      <c r="D68" s="389"/>
      <c r="E68" s="389"/>
      <c r="F68" s="389"/>
      <c r="G68" s="389"/>
      <c r="H68" s="391"/>
      <c r="I68" s="391"/>
      <c r="J68" s="391"/>
      <c r="K68" s="391"/>
      <c r="L68" s="391"/>
      <c r="M68" s="391"/>
      <c r="N68" s="391"/>
      <c r="O68" s="387"/>
    </row>
    <row r="69" spans="1:15" ht="21" customHeight="1">
      <c r="A69" s="174"/>
      <c r="B69" s="174"/>
      <c r="C69" s="174"/>
      <c r="D69" s="389"/>
      <c r="E69" s="389"/>
      <c r="F69" s="389"/>
      <c r="G69" s="389"/>
      <c r="H69" s="391"/>
      <c r="I69" s="391"/>
      <c r="J69" s="392" t="s">
        <v>124</v>
      </c>
      <c r="K69" s="392"/>
      <c r="L69" s="392"/>
      <c r="M69" s="392"/>
      <c r="N69" s="392"/>
      <c r="O69" s="387"/>
    </row>
    <row r="70" spans="1:15" ht="21" customHeight="1">
      <c r="A70" s="260" t="s">
        <v>91</v>
      </c>
      <c r="B70" s="260"/>
      <c r="C70" s="260"/>
      <c r="D70" s="260"/>
      <c r="E70" s="389"/>
      <c r="F70" s="389"/>
      <c r="G70" s="389"/>
      <c r="H70" s="391"/>
      <c r="I70" s="391"/>
      <c r="O70" s="387"/>
    </row>
    <row r="71" spans="1:15" ht="19.2" customHeight="1">
      <c r="A71" s="174"/>
      <c r="B71" s="174"/>
      <c r="C71" s="174"/>
      <c r="D71" s="389"/>
      <c r="E71" s="389"/>
      <c r="F71" s="389"/>
      <c r="G71" s="389"/>
      <c r="H71" s="391"/>
      <c r="I71" s="391"/>
      <c r="J71" s="391"/>
      <c r="K71" s="391"/>
      <c r="L71" s="391"/>
      <c r="M71" s="391"/>
      <c r="N71" s="391"/>
      <c r="O71" s="387"/>
    </row>
    <row r="72" spans="1:15" ht="19.2" customHeight="1">
      <c r="A72" s="174"/>
      <c r="B72" s="174"/>
      <c r="C72" s="174"/>
      <c r="D72" s="389"/>
      <c r="E72" s="389"/>
      <c r="F72" s="389"/>
      <c r="G72" s="389"/>
      <c r="H72" s="391"/>
      <c r="I72" s="391"/>
      <c r="J72" s="391"/>
      <c r="K72" s="391"/>
      <c r="L72" s="391"/>
      <c r="M72" s="391"/>
      <c r="N72" s="391"/>
      <c r="O72" s="387"/>
    </row>
    <row r="73" spans="1:15" ht="19.2" customHeight="1">
      <c r="A73" s="174"/>
      <c r="B73" s="174"/>
      <c r="C73" s="174"/>
      <c r="D73" s="389"/>
      <c r="E73" s="389"/>
      <c r="F73" s="389"/>
      <c r="G73" s="389"/>
      <c r="H73" s="391"/>
      <c r="I73" s="391"/>
      <c r="J73" s="392" t="s">
        <v>127</v>
      </c>
      <c r="K73" s="392"/>
      <c r="L73" s="392"/>
      <c r="M73" s="392"/>
      <c r="N73" s="392"/>
      <c r="O73" s="387"/>
    </row>
    <row r="74" spans="1:15" ht="19.2" customHeight="1">
      <c r="A74" s="174"/>
      <c r="B74" s="174"/>
      <c r="C74" s="174"/>
      <c r="D74" s="389"/>
      <c r="E74" s="389"/>
      <c r="F74" s="389"/>
      <c r="G74" s="389"/>
      <c r="H74" s="391"/>
      <c r="I74" s="391"/>
      <c r="J74" s="391"/>
      <c r="K74" s="391"/>
      <c r="L74" s="391"/>
      <c r="M74" s="391"/>
      <c r="N74" s="391"/>
      <c r="O74" s="387"/>
    </row>
    <row r="75" spans="1:15" ht="19.2" customHeight="1">
      <c r="A75" s="174"/>
      <c r="B75" s="174"/>
      <c r="C75" s="174"/>
      <c r="D75" s="389"/>
      <c r="E75" s="389"/>
      <c r="F75" s="389"/>
      <c r="G75" s="389"/>
      <c r="H75" s="391"/>
      <c r="I75" s="391"/>
      <c r="J75" s="391"/>
      <c r="K75" s="391"/>
      <c r="L75" s="391"/>
      <c r="M75" s="391"/>
      <c r="N75" s="391"/>
      <c r="O75" s="387"/>
    </row>
    <row r="76" spans="1:15" ht="19.2" customHeight="1">
      <c r="A76" s="174"/>
      <c r="B76" s="174"/>
      <c r="C76" s="174"/>
      <c r="D76" s="389"/>
      <c r="E76" s="389"/>
      <c r="F76" s="389"/>
      <c r="G76" s="389"/>
      <c r="H76" s="391"/>
      <c r="I76" s="391"/>
      <c r="J76" s="391"/>
      <c r="K76" s="391"/>
      <c r="L76" s="391"/>
      <c r="M76" s="391"/>
      <c r="N76" s="391"/>
      <c r="O76" s="387"/>
    </row>
    <row r="77" spans="1:15" ht="19.2" customHeight="1">
      <c r="A77" s="174"/>
      <c r="B77" s="174"/>
      <c r="C77" s="174"/>
      <c r="D77" s="389"/>
      <c r="E77" s="389"/>
      <c r="F77" s="389"/>
      <c r="G77" s="389"/>
      <c r="H77" s="391"/>
      <c r="I77" s="391"/>
      <c r="J77" s="391"/>
      <c r="K77" s="391"/>
      <c r="L77" s="391"/>
      <c r="M77" s="391"/>
      <c r="N77" s="391"/>
      <c r="O77" s="387"/>
    </row>
    <row r="78" spans="1:15" ht="19.2" customHeight="1">
      <c r="A78" s="174"/>
      <c r="B78" s="174"/>
      <c r="C78" s="174"/>
      <c r="D78" s="389"/>
      <c r="E78" s="389"/>
      <c r="F78" s="389"/>
      <c r="G78" s="389"/>
      <c r="H78" s="391"/>
      <c r="I78" s="391"/>
      <c r="J78" s="391"/>
      <c r="K78" s="391"/>
      <c r="L78" s="391"/>
      <c r="M78" s="391"/>
      <c r="N78" s="391"/>
      <c r="O78" s="387"/>
    </row>
    <row r="79" spans="1:15" ht="19.2" customHeight="1">
      <c r="A79" s="174"/>
      <c r="B79" s="174"/>
      <c r="C79" s="174"/>
      <c r="D79" s="389"/>
      <c r="E79" s="389"/>
      <c r="F79" s="389"/>
      <c r="G79" s="389"/>
      <c r="H79" s="391"/>
      <c r="I79" s="391"/>
      <c r="J79" s="391"/>
      <c r="K79" s="391"/>
      <c r="L79" s="391"/>
      <c r="M79" s="391"/>
      <c r="N79" s="391"/>
      <c r="O79" s="387"/>
    </row>
    <row r="80" spans="1:15" ht="19.2" customHeight="1">
      <c r="A80" s="174"/>
      <c r="B80" s="174"/>
      <c r="C80" s="174"/>
      <c r="D80" s="389"/>
      <c r="E80" s="389"/>
      <c r="F80" s="389"/>
      <c r="G80" s="389"/>
      <c r="H80" s="391"/>
      <c r="I80" s="391"/>
      <c r="J80" s="391"/>
      <c r="K80" s="391"/>
      <c r="L80" s="391"/>
      <c r="M80" s="391"/>
      <c r="N80" s="391"/>
      <c r="O80" s="387"/>
    </row>
    <row r="81" spans="1:20" ht="19.2" customHeight="1">
      <c r="A81" s="174"/>
      <c r="B81" s="174"/>
      <c r="C81" s="174"/>
      <c r="D81" s="389"/>
      <c r="E81" s="389"/>
      <c r="F81" s="389"/>
      <c r="G81" s="389"/>
      <c r="H81" s="391"/>
      <c r="I81" s="391"/>
      <c r="J81" s="391"/>
      <c r="K81" s="391"/>
      <c r="L81" s="391"/>
      <c r="M81" s="391"/>
      <c r="N81" s="391"/>
      <c r="O81" s="387"/>
    </row>
    <row r="82" spans="1:20" ht="19.2" customHeight="1">
      <c r="A82" s="174"/>
      <c r="B82" s="174"/>
      <c r="C82" s="174"/>
      <c r="D82" s="389"/>
      <c r="E82" s="389"/>
      <c r="F82" s="389"/>
      <c r="G82" s="389"/>
      <c r="H82" s="391"/>
      <c r="I82" s="391"/>
      <c r="J82" s="391"/>
      <c r="K82" s="391"/>
      <c r="L82" s="391"/>
      <c r="M82" s="391"/>
      <c r="N82" s="391"/>
      <c r="O82" s="387"/>
    </row>
    <row r="83" spans="1:20" ht="19.2" customHeight="1">
      <c r="A83" s="174"/>
      <c r="B83" s="174"/>
      <c r="C83" s="174"/>
      <c r="D83" s="389"/>
      <c r="E83" s="389"/>
      <c r="F83" s="389"/>
      <c r="G83" s="389"/>
      <c r="H83" s="391"/>
      <c r="I83" s="391"/>
      <c r="J83" s="391"/>
      <c r="K83" s="391"/>
      <c r="L83" s="391"/>
      <c r="M83" s="391"/>
      <c r="N83" s="391"/>
      <c r="O83" s="387"/>
    </row>
    <row r="84" spans="1:20" ht="19.2" customHeight="1">
      <c r="A84" s="11" t="s">
        <v>61</v>
      </c>
      <c r="B84" s="8"/>
      <c r="C84" s="8"/>
      <c r="D84" s="8"/>
      <c r="E84" s="8"/>
      <c r="F84" s="184" t="s">
        <v>32</v>
      </c>
      <c r="G84" s="184"/>
      <c r="H84" s="184"/>
      <c r="I84" s="184"/>
      <c r="J84" s="184"/>
      <c r="K84" s="184"/>
      <c r="L84" s="184"/>
      <c r="M84" s="184"/>
      <c r="N84" s="184"/>
      <c r="O84" s="371"/>
      <c r="P84" s="371"/>
      <c r="T84" s="2"/>
    </row>
    <row r="85" spans="1:20" ht="19.2" customHeight="1">
      <c r="A85" s="8" t="s">
        <v>203</v>
      </c>
      <c r="B85" s="8"/>
      <c r="C85" s="8"/>
      <c r="D85" s="8"/>
      <c r="E85" s="8"/>
      <c r="F85" s="178"/>
      <c r="G85" s="178"/>
      <c r="H85" s="178"/>
      <c r="I85" s="178"/>
      <c r="J85" s="178"/>
      <c r="K85" s="178"/>
      <c r="L85" s="178"/>
      <c r="M85" s="178"/>
      <c r="N85" s="178"/>
      <c r="O85" s="371"/>
      <c r="P85" s="371"/>
      <c r="T85" s="2"/>
    </row>
    <row r="86" spans="1:20" s="2" customFormat="1" ht="19.2" customHeight="1">
      <c r="A86" s="231" t="s">
        <v>97</v>
      </c>
      <c r="B86" s="231"/>
      <c r="C86" s="231"/>
      <c r="D86" s="231"/>
      <c r="E86" s="231" t="s">
        <v>89</v>
      </c>
      <c r="F86" s="231"/>
      <c r="G86" s="231"/>
      <c r="H86" s="231"/>
      <c r="I86" s="231"/>
      <c r="J86" s="231"/>
      <c r="K86" s="231"/>
      <c r="L86" s="231"/>
      <c r="M86" s="231"/>
      <c r="N86" s="231"/>
      <c r="O86" s="372"/>
    </row>
    <row r="87" spans="1:20" s="2" customFormat="1" ht="19.2" customHeight="1">
      <c r="A87" s="231"/>
      <c r="B87" s="231"/>
      <c r="C87" s="231"/>
      <c r="D87" s="231"/>
      <c r="E87" s="231" t="s">
        <v>100</v>
      </c>
      <c r="F87" s="231"/>
      <c r="G87" s="231"/>
      <c r="H87" s="231"/>
      <c r="I87" s="231"/>
      <c r="J87" s="231" t="s">
        <v>101</v>
      </c>
      <c r="K87" s="231"/>
      <c r="L87" s="231"/>
      <c r="M87" s="231"/>
      <c r="N87" s="231"/>
      <c r="O87" s="372"/>
    </row>
    <row r="88" spans="1:20" s="2" customFormat="1" ht="19.2" customHeight="1">
      <c r="A88" s="268" t="s">
        <v>90</v>
      </c>
      <c r="B88" s="268"/>
      <c r="C88" s="268"/>
      <c r="D88" s="268"/>
      <c r="E88" s="269" t="s">
        <v>76</v>
      </c>
      <c r="F88" s="269"/>
      <c r="G88" s="269"/>
      <c r="H88" s="269"/>
      <c r="I88" s="269"/>
      <c r="J88" s="332" t="s">
        <v>90</v>
      </c>
      <c r="K88" s="333"/>
      <c r="L88" s="333"/>
      <c r="M88" s="333"/>
      <c r="N88" s="334"/>
      <c r="O88" s="372"/>
    </row>
    <row r="89" spans="1:20" s="2" customFormat="1" ht="19.2" customHeight="1">
      <c r="A89" s="180" t="s">
        <v>162</v>
      </c>
      <c r="B89" s="181"/>
      <c r="C89" s="181"/>
      <c r="D89" s="182"/>
      <c r="E89" s="269"/>
      <c r="F89" s="269"/>
      <c r="G89" s="269"/>
      <c r="H89" s="269"/>
      <c r="I89" s="269"/>
      <c r="J89" s="180" t="s">
        <v>163</v>
      </c>
      <c r="K89" s="181"/>
      <c r="L89" s="181"/>
      <c r="M89" s="181"/>
      <c r="N89" s="182"/>
      <c r="O89" s="372"/>
    </row>
    <row r="90" spans="1:20" s="2" customFormat="1" ht="19.2" customHeight="1">
      <c r="A90" s="277" t="s">
        <v>159</v>
      </c>
      <c r="B90" s="277"/>
      <c r="C90" s="277"/>
      <c r="D90" s="277"/>
      <c r="E90" s="269"/>
      <c r="F90" s="269"/>
      <c r="G90" s="269"/>
      <c r="H90" s="269"/>
      <c r="I90" s="269"/>
      <c r="J90" s="335" t="s">
        <v>164</v>
      </c>
      <c r="K90" s="336"/>
      <c r="L90" s="336"/>
      <c r="M90" s="336"/>
      <c r="N90" s="337"/>
      <c r="O90" s="372"/>
    </row>
    <row r="91" spans="1:20" ht="19.2" customHeight="1">
      <c r="A91" s="278" t="s">
        <v>122</v>
      </c>
      <c r="B91" s="279"/>
      <c r="C91" s="280"/>
      <c r="D91" s="129">
        <v>55</v>
      </c>
      <c r="E91" s="8"/>
      <c r="F91" s="178"/>
      <c r="G91" s="178"/>
      <c r="H91" s="178"/>
      <c r="I91" s="178"/>
      <c r="J91" s="178"/>
      <c r="K91" s="178"/>
      <c r="L91" s="178"/>
      <c r="M91" s="178"/>
      <c r="N91" s="178"/>
      <c r="O91" s="371"/>
      <c r="P91" s="371"/>
      <c r="T91" s="2"/>
    </row>
    <row r="92" spans="1:20" ht="19.2" customHeight="1">
      <c r="A92" s="186" t="s">
        <v>66</v>
      </c>
      <c r="B92" s="196" t="s">
        <v>19</v>
      </c>
      <c r="C92" s="329" t="s">
        <v>8</v>
      </c>
      <c r="D92" s="199" t="s">
        <v>9</v>
      </c>
      <c r="E92" s="189" t="s">
        <v>11</v>
      </c>
      <c r="F92" s="190"/>
      <c r="G92" s="189" t="s">
        <v>13</v>
      </c>
      <c r="H92" s="190"/>
      <c r="I92" s="193" t="s">
        <v>16</v>
      </c>
      <c r="J92" s="193" t="s">
        <v>41</v>
      </c>
      <c r="K92" s="193" t="s">
        <v>42</v>
      </c>
      <c r="L92" s="193" t="s">
        <v>17</v>
      </c>
      <c r="M92" s="193" t="s">
        <v>56</v>
      </c>
      <c r="N92" s="186" t="s">
        <v>18</v>
      </c>
      <c r="O92" s="373"/>
    </row>
    <row r="93" spans="1:20" ht="19.2" customHeight="1">
      <c r="A93" s="187"/>
      <c r="B93" s="197"/>
      <c r="C93" s="330"/>
      <c r="D93" s="200"/>
      <c r="E93" s="191"/>
      <c r="F93" s="192"/>
      <c r="G93" s="191"/>
      <c r="H93" s="192"/>
      <c r="I93" s="194"/>
      <c r="J93" s="194"/>
      <c r="K93" s="194"/>
      <c r="L93" s="194"/>
      <c r="M93" s="194"/>
      <c r="N93" s="187"/>
      <c r="O93" s="174"/>
    </row>
    <row r="94" spans="1:20" ht="19.2" customHeight="1">
      <c r="A94" s="187"/>
      <c r="B94" s="197"/>
      <c r="C94" s="330"/>
      <c r="D94" s="200"/>
      <c r="E94" s="193" t="s">
        <v>10</v>
      </c>
      <c r="F94" s="193" t="s">
        <v>12</v>
      </c>
      <c r="G94" s="193" t="s">
        <v>14</v>
      </c>
      <c r="H94" s="193" t="s">
        <v>15</v>
      </c>
      <c r="I94" s="194"/>
      <c r="J94" s="194"/>
      <c r="K94" s="194"/>
      <c r="L94" s="194"/>
      <c r="M94" s="194"/>
      <c r="N94" s="187"/>
      <c r="O94" s="174"/>
    </row>
    <row r="95" spans="1:20" ht="19.2" customHeight="1">
      <c r="A95" s="188"/>
      <c r="B95" s="198"/>
      <c r="C95" s="331"/>
      <c r="D95" s="201"/>
      <c r="E95" s="195"/>
      <c r="F95" s="195"/>
      <c r="G95" s="195"/>
      <c r="H95" s="195"/>
      <c r="I95" s="195"/>
      <c r="J95" s="195"/>
      <c r="K95" s="195"/>
      <c r="L95" s="195"/>
      <c r="M95" s="195"/>
      <c r="N95" s="188"/>
      <c r="O95" s="174"/>
    </row>
    <row r="96" spans="1:20" ht="19.2" customHeight="1">
      <c r="A96" s="233" t="s">
        <v>39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5"/>
      <c r="O96" s="174"/>
    </row>
    <row r="97" spans="1:23" s="2" customFormat="1" ht="19.2" customHeight="1">
      <c r="A97" s="9">
        <v>1</v>
      </c>
      <c r="B97" s="10" t="s">
        <v>2</v>
      </c>
      <c r="C97" s="23">
        <f>L97/100*100</f>
        <v>70</v>
      </c>
      <c r="D97" s="24">
        <f>C97/100*60</f>
        <v>42</v>
      </c>
      <c r="E97" s="25">
        <f>C97/100*15</f>
        <v>10.5</v>
      </c>
      <c r="F97" s="25"/>
      <c r="G97" s="25"/>
      <c r="H97" s="25"/>
      <c r="I97" s="25"/>
      <c r="J97" s="27">
        <f>C97/100*387</f>
        <v>270.89999999999998</v>
      </c>
      <c r="K97" s="27">
        <f>C97/100*0.09</f>
        <v>6.3E-2</v>
      </c>
      <c r="L97" s="138">
        <v>70</v>
      </c>
      <c r="M97" s="75">
        <v>20</v>
      </c>
      <c r="N97" s="28">
        <f>L97*M97</f>
        <v>1400</v>
      </c>
      <c r="O97" s="154"/>
    </row>
    <row r="98" spans="1:23" s="2" customFormat="1" ht="19.2" customHeight="1">
      <c r="A98" s="9">
        <v>2</v>
      </c>
      <c r="B98" s="147" t="s">
        <v>141</v>
      </c>
      <c r="C98" s="23">
        <f>L98/100*100</f>
        <v>360</v>
      </c>
      <c r="D98" s="24">
        <f>C98/100*899</f>
        <v>3236.4</v>
      </c>
      <c r="E98" s="25"/>
      <c r="F98" s="25"/>
      <c r="G98" s="25">
        <f>C98/100*100</f>
        <v>360</v>
      </c>
      <c r="H98" s="25"/>
      <c r="I98" s="25"/>
      <c r="J98" s="25"/>
      <c r="K98" s="25"/>
      <c r="L98" s="138">
        <v>360</v>
      </c>
      <c r="M98" s="145">
        <v>68</v>
      </c>
      <c r="N98" s="28">
        <f t="shared" ref="N98:N105" si="4">L98*M98</f>
        <v>24480</v>
      </c>
      <c r="O98" s="376"/>
    </row>
    <row r="99" spans="1:23" s="2" customFormat="1" ht="19.2" customHeight="1">
      <c r="A99" s="9">
        <v>3</v>
      </c>
      <c r="B99" s="5" t="s">
        <v>1</v>
      </c>
      <c r="C99" s="23">
        <f>L99/100*100</f>
        <v>2365</v>
      </c>
      <c r="D99" s="24">
        <f>C99/100*344</f>
        <v>8135.5999999999995</v>
      </c>
      <c r="E99" s="120"/>
      <c r="F99" s="120">
        <f>C99/100*7.9</f>
        <v>186.83500000000001</v>
      </c>
      <c r="G99" s="25"/>
      <c r="H99" s="25">
        <f>C99/100*1</f>
        <v>23.65</v>
      </c>
      <c r="I99" s="25">
        <f>C99/100*73</f>
        <v>1726.4499999999998</v>
      </c>
      <c r="J99" s="27">
        <f>C99/100*30</f>
        <v>709.5</v>
      </c>
      <c r="K99" s="27">
        <f>C99/100*0.1</f>
        <v>2.3649999999999998</v>
      </c>
      <c r="L99" s="138">
        <v>2365</v>
      </c>
      <c r="M99" s="75">
        <v>18</v>
      </c>
      <c r="N99" s="28">
        <f t="shared" si="4"/>
        <v>42570</v>
      </c>
      <c r="O99" s="154"/>
    </row>
    <row r="100" spans="1:23" s="2" customFormat="1" ht="19.2" customHeight="1">
      <c r="A100" s="9">
        <v>4</v>
      </c>
      <c r="B100" s="10" t="s">
        <v>71</v>
      </c>
      <c r="C100" s="23">
        <f>L100/100*98</f>
        <v>1185.8</v>
      </c>
      <c r="D100" s="24">
        <f>C100/100*139</f>
        <v>1648.2619999999997</v>
      </c>
      <c r="E100" s="120">
        <f>C100/100*19</f>
        <v>225.30199999999996</v>
      </c>
      <c r="F100" s="120"/>
      <c r="G100" s="25">
        <f>C100/100*7</f>
        <v>83.005999999999986</v>
      </c>
      <c r="H100" s="25"/>
      <c r="I100" s="25"/>
      <c r="J100" s="27">
        <f>C100/100*7</f>
        <v>83.005999999999986</v>
      </c>
      <c r="K100" s="27">
        <f>C100/100*0.9</f>
        <v>10.672199999999998</v>
      </c>
      <c r="L100" s="138">
        <v>1210</v>
      </c>
      <c r="M100" s="144">
        <v>137</v>
      </c>
      <c r="N100" s="28">
        <f t="shared" si="4"/>
        <v>165770</v>
      </c>
      <c r="O100" s="154"/>
    </row>
    <row r="101" spans="1:23" s="2" customFormat="1" ht="19.2" customHeight="1">
      <c r="A101" s="9">
        <v>5</v>
      </c>
      <c r="B101" s="5" t="s">
        <v>30</v>
      </c>
      <c r="C101" s="23">
        <f>L101/100*88</f>
        <v>1355.2</v>
      </c>
      <c r="D101" s="24">
        <f>C101/100*184</f>
        <v>2493.5679999999998</v>
      </c>
      <c r="E101" s="120">
        <f>C101/100*13</f>
        <v>176.17599999999999</v>
      </c>
      <c r="F101" s="120"/>
      <c r="G101" s="25">
        <f>C101/100*14.2</f>
        <v>192.43839999999997</v>
      </c>
      <c r="H101" s="25"/>
      <c r="I101" s="25">
        <f>C101/100*1</f>
        <v>13.552</v>
      </c>
      <c r="J101" s="27">
        <f>C101/100*71</f>
        <v>962.19200000000001</v>
      </c>
      <c r="K101" s="27">
        <f>C101/100*0.15</f>
        <v>2.0327999999999999</v>
      </c>
      <c r="L101" s="138">
        <v>1540</v>
      </c>
      <c r="M101" s="26">
        <v>62</v>
      </c>
      <c r="N101" s="28">
        <f t="shared" si="4"/>
        <v>95480</v>
      </c>
      <c r="O101" s="154"/>
      <c r="Q101" s="3"/>
      <c r="R101" s="3"/>
      <c r="S101" s="4"/>
    </row>
    <row r="102" spans="1:23" s="2" customFormat="1" ht="19.2" customHeight="1">
      <c r="A102" s="9">
        <v>5</v>
      </c>
      <c r="B102" s="10" t="s">
        <v>143</v>
      </c>
      <c r="C102" s="23">
        <f>L102/100*43</f>
        <v>365.5</v>
      </c>
      <c r="D102" s="24">
        <f>C102/100*83</f>
        <v>303.36500000000001</v>
      </c>
      <c r="E102" s="25">
        <f>C102/100*7.7</f>
        <v>28.1435</v>
      </c>
      <c r="F102" s="25"/>
      <c r="G102" s="25">
        <f>C102/100*5.5</f>
        <v>20.102499999999999</v>
      </c>
      <c r="H102" s="25"/>
      <c r="I102" s="25"/>
      <c r="J102" s="27"/>
      <c r="K102" s="27"/>
      <c r="L102" s="138">
        <v>850</v>
      </c>
      <c r="M102" s="144">
        <v>137</v>
      </c>
      <c r="N102" s="136">
        <f>L102*M102</f>
        <v>116450</v>
      </c>
      <c r="O102" s="154"/>
    </row>
    <row r="103" spans="1:23" s="2" customFormat="1" ht="19.2" customHeight="1">
      <c r="A103" s="9">
        <v>9</v>
      </c>
      <c r="B103" s="5" t="s">
        <v>142</v>
      </c>
      <c r="C103" s="23">
        <f>L103/100*87</f>
        <v>1148.3999999999999</v>
      </c>
      <c r="D103" s="24">
        <f>C103/100*21</f>
        <v>241.16399999999996</v>
      </c>
      <c r="E103" s="29"/>
      <c r="F103" s="29">
        <f>C103/100*1.5</f>
        <v>17.225999999999999</v>
      </c>
      <c r="G103" s="29"/>
      <c r="H103" s="29">
        <f>C103/100*0.1</f>
        <v>1.1483999999999999</v>
      </c>
      <c r="I103" s="29">
        <f>C103/100*3.6</f>
        <v>41.342399999999998</v>
      </c>
      <c r="J103" s="29">
        <f>C103/100*40</f>
        <v>459.3599999999999</v>
      </c>
      <c r="K103" s="29">
        <f>C103/100*0.06</f>
        <v>0.68903999999999987</v>
      </c>
      <c r="L103" s="374">
        <v>1320</v>
      </c>
      <c r="M103" s="26">
        <v>18</v>
      </c>
      <c r="N103" s="136">
        <f t="shared" ref="N103:N104" si="5">L103*M103</f>
        <v>23760</v>
      </c>
      <c r="O103" s="154"/>
      <c r="Q103" s="3"/>
      <c r="R103" s="3"/>
      <c r="S103" s="4"/>
    </row>
    <row r="104" spans="1:23" s="2" customFormat="1" ht="19.2" customHeight="1">
      <c r="A104" s="9">
        <v>8</v>
      </c>
      <c r="B104" s="5" t="s">
        <v>4</v>
      </c>
      <c r="C104" s="23">
        <f>L104/100*98.5</f>
        <v>433.40000000000003</v>
      </c>
      <c r="D104" s="24">
        <f>C104/100*39</f>
        <v>169.02600000000001</v>
      </c>
      <c r="E104" s="29"/>
      <c r="F104" s="29">
        <f>C104/100*1.5</f>
        <v>6.5010000000000012</v>
      </c>
      <c r="G104" s="29"/>
      <c r="H104" s="29">
        <f>C104/100*0.2</f>
        <v>0.86680000000000013</v>
      </c>
      <c r="I104" s="29">
        <f>C104/100*7.8</f>
        <v>33.805200000000006</v>
      </c>
      <c r="J104" s="29">
        <f>C104/100*43</f>
        <v>186.36200000000002</v>
      </c>
      <c r="K104" s="29">
        <f>C104/100*0.06</f>
        <v>0.26004000000000005</v>
      </c>
      <c r="L104" s="374">
        <v>440</v>
      </c>
      <c r="M104" s="26">
        <v>17</v>
      </c>
      <c r="N104" s="136">
        <f t="shared" si="5"/>
        <v>7480</v>
      </c>
      <c r="O104" s="154"/>
      <c r="Q104" s="3"/>
      <c r="R104" s="3"/>
      <c r="S104" s="4"/>
    </row>
    <row r="105" spans="1:23" s="2" customFormat="1" ht="19.2" customHeight="1">
      <c r="A105" s="9">
        <v>9</v>
      </c>
      <c r="B105" s="5" t="s">
        <v>136</v>
      </c>
      <c r="C105" s="23">
        <f>L105/100*100</f>
        <v>40</v>
      </c>
      <c r="D105" s="24">
        <f>C105/100*247</f>
        <v>98.800000000000011</v>
      </c>
      <c r="E105" s="29"/>
      <c r="F105" s="29">
        <f>C105/100*17.5</f>
        <v>7</v>
      </c>
      <c r="G105" s="29"/>
      <c r="H105" s="29">
        <f>C105/100*1.6</f>
        <v>0.64000000000000012</v>
      </c>
      <c r="I105" s="29">
        <f>C105/100*39.2</f>
        <v>15.680000000000001</v>
      </c>
      <c r="J105" s="71"/>
      <c r="K105" s="71"/>
      <c r="L105" s="374">
        <v>40</v>
      </c>
      <c r="M105" s="75">
        <v>50</v>
      </c>
      <c r="N105" s="28">
        <f t="shared" si="4"/>
        <v>2000</v>
      </c>
      <c r="O105" s="154"/>
      <c r="Q105" s="3"/>
      <c r="R105" s="3"/>
      <c r="S105" s="4"/>
      <c r="T105" s="3"/>
    </row>
    <row r="106" spans="1:23" s="2" customFormat="1" ht="19.2" customHeight="1">
      <c r="A106" s="80">
        <v>10</v>
      </c>
      <c r="B106" s="6" t="s">
        <v>123</v>
      </c>
      <c r="C106" s="23"/>
      <c r="D106" s="24"/>
      <c r="E106" s="25"/>
      <c r="F106" s="25"/>
      <c r="G106" s="25"/>
      <c r="H106" s="25"/>
      <c r="I106" s="25"/>
      <c r="J106" s="27"/>
      <c r="K106" s="27"/>
      <c r="L106" s="26"/>
      <c r="M106" s="26"/>
      <c r="N106" s="28">
        <v>3750</v>
      </c>
      <c r="O106" s="154"/>
    </row>
    <row r="107" spans="1:23" s="2" customFormat="1" ht="19.2" customHeight="1">
      <c r="A107" s="21" t="s">
        <v>118</v>
      </c>
      <c r="B107" s="22"/>
      <c r="C107" s="34"/>
      <c r="D107" s="122">
        <f>SUM(D97:D106)</f>
        <v>16368.184999999998</v>
      </c>
      <c r="E107" s="43"/>
      <c r="F107" s="43"/>
      <c r="G107" s="43"/>
      <c r="H107" s="43"/>
      <c r="I107" s="43"/>
      <c r="J107" s="43"/>
      <c r="K107" s="43"/>
      <c r="L107" s="44"/>
      <c r="M107" s="319"/>
      <c r="N107" s="326">
        <f>SUM(N97:N106)</f>
        <v>483140</v>
      </c>
      <c r="O107" s="154"/>
    </row>
    <row r="108" spans="1:23" ht="19.2" customHeight="1">
      <c r="A108" s="21" t="s">
        <v>37</v>
      </c>
      <c r="B108" s="22"/>
      <c r="C108" s="45"/>
      <c r="D108" s="46">
        <f>D107/D91</f>
        <v>297.60336363636361</v>
      </c>
      <c r="E108" s="46"/>
      <c r="F108" s="46"/>
      <c r="G108" s="46"/>
      <c r="H108" s="46"/>
      <c r="I108" s="46"/>
      <c r="J108" s="46"/>
      <c r="K108" s="46"/>
      <c r="L108" s="47"/>
      <c r="M108" s="320"/>
      <c r="N108" s="327"/>
      <c r="O108" s="4"/>
      <c r="P108" s="2"/>
      <c r="Q108" s="2"/>
      <c r="R108" s="2"/>
      <c r="S108" s="2"/>
      <c r="T108" s="2"/>
      <c r="U108" s="2"/>
      <c r="V108" s="2"/>
    </row>
    <row r="109" spans="1:23" ht="19.2" customHeight="1">
      <c r="A109" s="304" t="s">
        <v>53</v>
      </c>
      <c r="B109" s="207"/>
      <c r="C109" s="375" t="s">
        <v>151</v>
      </c>
      <c r="D109" s="20" t="s">
        <v>45</v>
      </c>
      <c r="E109" s="46"/>
      <c r="F109" s="46"/>
      <c r="G109" s="46"/>
      <c r="H109" s="46"/>
      <c r="I109" s="46"/>
      <c r="J109" s="48"/>
      <c r="K109" s="48"/>
      <c r="L109" s="47"/>
      <c r="M109" s="47"/>
      <c r="N109" s="175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9.2" customHeight="1">
      <c r="A110" s="208"/>
      <c r="B110" s="209"/>
      <c r="C110" s="76" t="s">
        <v>60</v>
      </c>
      <c r="D110" s="78">
        <f>D108*100/930</f>
        <v>32.000361681329423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5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9.2" customHeight="1">
      <c r="A111" s="276" t="s">
        <v>38</v>
      </c>
      <c r="B111" s="276"/>
      <c r="C111" s="56"/>
      <c r="D111" s="57"/>
      <c r="E111" s="58"/>
      <c r="F111" s="58"/>
      <c r="G111" s="58"/>
      <c r="H111" s="58"/>
      <c r="I111" s="58"/>
      <c r="J111" s="58"/>
      <c r="K111" s="58"/>
      <c r="L111" s="59"/>
      <c r="M111" s="59"/>
      <c r="N111" s="60"/>
      <c r="O111" s="154"/>
    </row>
    <row r="112" spans="1:23" s="2" customFormat="1" ht="19.2" customHeight="1">
      <c r="A112" s="9">
        <v>1</v>
      </c>
      <c r="B112" s="10" t="s">
        <v>2</v>
      </c>
      <c r="C112" s="23">
        <f>L112/100*100</f>
        <v>70</v>
      </c>
      <c r="D112" s="24">
        <f>C112/100*60</f>
        <v>42</v>
      </c>
      <c r="E112" s="25">
        <f>C112/100*15</f>
        <v>10.5</v>
      </c>
      <c r="F112" s="25"/>
      <c r="G112" s="25"/>
      <c r="H112" s="25"/>
      <c r="I112" s="25"/>
      <c r="J112" s="27">
        <f>C112/100*387</f>
        <v>270.89999999999998</v>
      </c>
      <c r="K112" s="27">
        <f>C112/100*0.09</f>
        <v>6.3E-2</v>
      </c>
      <c r="L112" s="138">
        <v>70</v>
      </c>
      <c r="M112" s="75">
        <v>20</v>
      </c>
      <c r="N112" s="28">
        <f>L112*M112</f>
        <v>1400</v>
      </c>
      <c r="O112" s="154"/>
    </row>
    <row r="113" spans="1:23" s="2" customFormat="1" ht="19.2" customHeight="1">
      <c r="A113" s="9">
        <v>2</v>
      </c>
      <c r="B113" s="151" t="s">
        <v>141</v>
      </c>
      <c r="C113" s="23">
        <f>L113/100*100</f>
        <v>90</v>
      </c>
      <c r="D113" s="24">
        <f>C113/100*899</f>
        <v>809.1</v>
      </c>
      <c r="E113" s="25"/>
      <c r="F113" s="25"/>
      <c r="G113" s="25">
        <f>C113/100*100</f>
        <v>90</v>
      </c>
      <c r="H113" s="25"/>
      <c r="I113" s="25"/>
      <c r="J113" s="27"/>
      <c r="K113" s="27"/>
      <c r="L113" s="138">
        <v>90</v>
      </c>
      <c r="M113" s="75">
        <v>68</v>
      </c>
      <c r="N113" s="28">
        <f t="shared" ref="N113:N119" si="6">L113*M113</f>
        <v>6120</v>
      </c>
      <c r="O113" s="154"/>
    </row>
    <row r="114" spans="1:23" s="2" customFormat="1" ht="19.2" customHeight="1">
      <c r="A114" s="9">
        <v>3</v>
      </c>
      <c r="B114" s="149" t="s">
        <v>146</v>
      </c>
      <c r="C114" s="23">
        <f>L114/100*100</f>
        <v>240</v>
      </c>
      <c r="D114" s="121">
        <f>C114/100*900</f>
        <v>2160</v>
      </c>
      <c r="E114" s="25"/>
      <c r="F114" s="25"/>
      <c r="G114" s="120"/>
      <c r="H114" s="25">
        <f>C114/100*100</f>
        <v>240</v>
      </c>
      <c r="I114" s="25"/>
      <c r="J114" s="25"/>
      <c r="K114" s="25"/>
      <c r="L114" s="138">
        <v>240</v>
      </c>
      <c r="M114" s="75">
        <v>63.5</v>
      </c>
      <c r="N114" s="28">
        <f t="shared" si="6"/>
        <v>15240</v>
      </c>
      <c r="O114" s="376"/>
    </row>
    <row r="115" spans="1:23" s="2" customFormat="1" ht="19.2" customHeight="1">
      <c r="A115" s="9">
        <v>4</v>
      </c>
      <c r="B115" s="150" t="s">
        <v>68</v>
      </c>
      <c r="C115" s="23">
        <f>L115/100*98</f>
        <v>215.60000000000002</v>
      </c>
      <c r="D115" s="24">
        <f>C115/100*573</f>
        <v>1235.3880000000001</v>
      </c>
      <c r="E115" s="29"/>
      <c r="F115" s="29">
        <f>C115/100*27.5</f>
        <v>59.290000000000006</v>
      </c>
      <c r="G115" s="29"/>
      <c r="H115" s="29">
        <f>C115/100*44.5</f>
        <v>95.942000000000007</v>
      </c>
      <c r="I115" s="29">
        <f>C115/100*15.5</f>
        <v>33.417999999999999</v>
      </c>
      <c r="J115" s="71">
        <f>C115/100*68</f>
        <v>146.608</v>
      </c>
      <c r="K115" s="71">
        <f>C115/100*0.44</f>
        <v>0.94864000000000004</v>
      </c>
      <c r="L115" s="374">
        <v>220</v>
      </c>
      <c r="M115" s="26">
        <v>70</v>
      </c>
      <c r="N115" s="28">
        <f t="shared" si="6"/>
        <v>15400</v>
      </c>
      <c r="O115" s="154"/>
      <c r="Q115" s="3"/>
      <c r="R115" s="3"/>
      <c r="S115" s="4"/>
    </row>
    <row r="116" spans="1:23" s="2" customFormat="1" ht="19.2" customHeight="1">
      <c r="A116" s="9">
        <v>5</v>
      </c>
      <c r="B116" s="150" t="s">
        <v>1</v>
      </c>
      <c r="C116" s="23">
        <f>L116/100*100</f>
        <v>2310</v>
      </c>
      <c r="D116" s="24">
        <f>C116/100*344</f>
        <v>7946.4000000000005</v>
      </c>
      <c r="E116" s="25"/>
      <c r="F116" s="120">
        <f>C116/100*7.9</f>
        <v>182.49</v>
      </c>
      <c r="G116" s="25"/>
      <c r="H116" s="25">
        <f>C116/100*1</f>
        <v>23.1</v>
      </c>
      <c r="I116" s="25">
        <f>C116/100*73</f>
        <v>1686.3000000000002</v>
      </c>
      <c r="J116" s="27">
        <f>C116/100*30</f>
        <v>693</v>
      </c>
      <c r="K116" s="27">
        <f>C116/100*0.1</f>
        <v>2.31</v>
      </c>
      <c r="L116" s="138">
        <v>2310</v>
      </c>
      <c r="M116" s="75">
        <v>18</v>
      </c>
      <c r="N116" s="28">
        <f t="shared" si="6"/>
        <v>41580</v>
      </c>
      <c r="O116" s="154"/>
    </row>
    <row r="117" spans="1:23" s="2" customFormat="1" ht="19.2" customHeight="1">
      <c r="A117" s="9">
        <v>6</v>
      </c>
      <c r="B117" s="150" t="s">
        <v>103</v>
      </c>
      <c r="C117" s="23">
        <f>L117/100*87</f>
        <v>1339.8</v>
      </c>
      <c r="D117" s="24">
        <f>C117/100*14</f>
        <v>187.572</v>
      </c>
      <c r="E117" s="25"/>
      <c r="F117" s="25">
        <f>C117/100*1.9</f>
        <v>25.456199999999999</v>
      </c>
      <c r="G117" s="25"/>
      <c r="H117" s="25"/>
      <c r="I117" s="25">
        <f>C117/100*1.6</f>
        <v>21.436800000000002</v>
      </c>
      <c r="J117" s="120">
        <f>C117/100*48.7</f>
        <v>652.48260000000005</v>
      </c>
      <c r="K117" s="25">
        <f>C117/100*0.03</f>
        <v>0.40193999999999996</v>
      </c>
      <c r="L117" s="26">
        <v>1540</v>
      </c>
      <c r="M117" s="75">
        <v>25</v>
      </c>
      <c r="N117" s="28">
        <f t="shared" si="6"/>
        <v>38500</v>
      </c>
      <c r="O117" s="154"/>
      <c r="S117" s="168"/>
    </row>
    <row r="118" spans="1:23" s="2" customFormat="1" ht="19.2" customHeight="1">
      <c r="A118" s="9">
        <v>7</v>
      </c>
      <c r="B118" s="5" t="s">
        <v>136</v>
      </c>
      <c r="C118" s="23">
        <f>L118/100*100</f>
        <v>40</v>
      </c>
      <c r="D118" s="24">
        <f>C118/100*247</f>
        <v>98.800000000000011</v>
      </c>
      <c r="E118" s="29"/>
      <c r="F118" s="29">
        <f>C118/100*17.5</f>
        <v>7</v>
      </c>
      <c r="G118" s="29"/>
      <c r="H118" s="29">
        <f>C118/100*1.6</f>
        <v>0.64000000000000012</v>
      </c>
      <c r="I118" s="29">
        <f>C118/100*39.2</f>
        <v>15.680000000000001</v>
      </c>
      <c r="J118" s="71"/>
      <c r="K118" s="71"/>
      <c r="L118" s="374">
        <v>40</v>
      </c>
      <c r="M118" s="75">
        <v>50</v>
      </c>
      <c r="N118" s="28">
        <f t="shared" si="6"/>
        <v>2000</v>
      </c>
      <c r="O118" s="154"/>
      <c r="Q118" s="3"/>
      <c r="R118" s="3"/>
      <c r="S118" s="4"/>
      <c r="T118" s="3"/>
    </row>
    <row r="119" spans="1:23" s="2" customFormat="1" ht="19.2" customHeight="1">
      <c r="A119" s="9">
        <v>8</v>
      </c>
      <c r="B119" s="10" t="s">
        <v>71</v>
      </c>
      <c r="C119" s="23">
        <f>L119/100*98</f>
        <v>2430.4</v>
      </c>
      <c r="D119" s="24">
        <f>C119/100*139</f>
        <v>3378.2560000000003</v>
      </c>
      <c r="E119" s="120">
        <f>C119/100*19</f>
        <v>461.77600000000007</v>
      </c>
      <c r="F119" s="25"/>
      <c r="G119" s="25">
        <f>C119/100*7</f>
        <v>170.12800000000001</v>
      </c>
      <c r="H119" s="25"/>
      <c r="I119" s="25"/>
      <c r="J119" s="27">
        <f>C119/100*7</f>
        <v>170.12800000000001</v>
      </c>
      <c r="K119" s="27">
        <f>C119/100*0.9</f>
        <v>21.873600000000003</v>
      </c>
      <c r="L119" s="138">
        <v>2480</v>
      </c>
      <c r="M119" s="144">
        <v>137</v>
      </c>
      <c r="N119" s="125">
        <f t="shared" si="6"/>
        <v>339760</v>
      </c>
      <c r="O119" s="154"/>
    </row>
    <row r="120" spans="1:23" s="2" customFormat="1" ht="19.2" customHeight="1">
      <c r="A120" s="80">
        <v>9</v>
      </c>
      <c r="B120" s="6" t="s">
        <v>123</v>
      </c>
      <c r="C120" s="23"/>
      <c r="D120" s="24"/>
      <c r="E120" s="25"/>
      <c r="F120" s="25"/>
      <c r="G120" s="25"/>
      <c r="H120" s="25"/>
      <c r="I120" s="25"/>
      <c r="J120" s="25"/>
      <c r="K120" s="25"/>
      <c r="L120" s="26"/>
      <c r="M120" s="26"/>
      <c r="N120" s="28">
        <v>3750</v>
      </c>
      <c r="O120" s="154"/>
    </row>
    <row r="121" spans="1:23" s="2" customFormat="1" ht="19.2" customHeight="1">
      <c r="A121" s="21" t="s">
        <v>119</v>
      </c>
      <c r="B121" s="22"/>
      <c r="C121" s="34"/>
      <c r="D121" s="122">
        <f>SUM(D112:D120)</f>
        <v>15857.516</v>
      </c>
      <c r="E121" s="43"/>
      <c r="F121" s="43"/>
      <c r="G121" s="43"/>
      <c r="H121" s="43"/>
      <c r="I121" s="43"/>
      <c r="J121" s="43"/>
      <c r="K121" s="43"/>
      <c r="L121" s="44"/>
      <c r="M121" s="319"/>
      <c r="N121" s="326">
        <f>SUM(N112:N120)</f>
        <v>463750</v>
      </c>
      <c r="O121" s="154"/>
    </row>
    <row r="122" spans="1:23" ht="19.2" customHeight="1">
      <c r="A122" s="21" t="s">
        <v>36</v>
      </c>
      <c r="B122" s="22"/>
      <c r="C122" s="61"/>
      <c r="D122" s="48">
        <f>D121/D91</f>
        <v>288.31847272727271</v>
      </c>
      <c r="E122" s="48"/>
      <c r="F122" s="48"/>
      <c r="G122" s="48"/>
      <c r="H122" s="48"/>
      <c r="I122" s="48"/>
      <c r="J122" s="48"/>
      <c r="K122" s="48"/>
      <c r="L122" s="62"/>
      <c r="M122" s="320"/>
      <c r="N122" s="328"/>
      <c r="O122" s="4"/>
      <c r="P122" s="2"/>
      <c r="Q122" s="2"/>
      <c r="R122" s="2"/>
      <c r="S122" s="2"/>
      <c r="T122" s="2"/>
      <c r="U122" s="2"/>
      <c r="V122" s="2"/>
    </row>
    <row r="123" spans="1:23" ht="19.2" customHeight="1">
      <c r="A123" s="304" t="s">
        <v>54</v>
      </c>
      <c r="B123" s="207"/>
      <c r="C123" s="375" t="s">
        <v>151</v>
      </c>
      <c r="D123" s="20" t="s">
        <v>46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5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08"/>
      <c r="B124" s="209"/>
      <c r="C124" s="76" t="s">
        <v>60</v>
      </c>
      <c r="D124" s="78">
        <f>D122*100/930</f>
        <v>31.001986314760508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5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76" t="s">
        <v>35</v>
      </c>
      <c r="B125" s="276"/>
      <c r="C125" s="63"/>
      <c r="D125" s="64"/>
      <c r="E125" s="64"/>
      <c r="F125" s="64"/>
      <c r="G125" s="64"/>
      <c r="H125" s="64"/>
      <c r="I125" s="64"/>
      <c r="J125" s="64"/>
      <c r="K125" s="64"/>
      <c r="L125" s="65"/>
      <c r="M125" s="65"/>
      <c r="N125" s="66"/>
      <c r="O125" s="4"/>
      <c r="P125" s="2"/>
      <c r="Q125" s="2"/>
      <c r="R125" s="2"/>
      <c r="S125" s="2"/>
      <c r="T125" s="2"/>
      <c r="U125" s="2"/>
      <c r="V125" s="2"/>
    </row>
    <row r="126" spans="1:23" s="2" customFormat="1" ht="19.2" customHeight="1">
      <c r="A126" s="104">
        <v>1</v>
      </c>
      <c r="B126" s="113" t="s">
        <v>76</v>
      </c>
      <c r="C126" s="105">
        <f>L126/100*80</f>
        <v>6600</v>
      </c>
      <c r="D126" s="106">
        <f>C126/100*40</f>
        <v>2640</v>
      </c>
      <c r="E126" s="107"/>
      <c r="F126" s="107">
        <f>C126/100*1.3</f>
        <v>85.8</v>
      </c>
      <c r="G126" s="107"/>
      <c r="H126" s="107"/>
      <c r="I126" s="107">
        <f>C126/100*8.7</f>
        <v>574.19999999999993</v>
      </c>
      <c r="J126" s="107">
        <f>C126/100*11</f>
        <v>726</v>
      </c>
      <c r="K126" s="107"/>
      <c r="L126" s="393">
        <v>8250</v>
      </c>
      <c r="M126" s="146">
        <v>32</v>
      </c>
      <c r="N126" s="109">
        <f t="shared" ref="N126" si="7">L126*M126</f>
        <v>264000</v>
      </c>
      <c r="O126" s="154"/>
      <c r="P126" s="3"/>
    </row>
    <row r="127" spans="1:23" ht="19.2" customHeight="1">
      <c r="A127" s="186" t="s">
        <v>66</v>
      </c>
      <c r="B127" s="196" t="s">
        <v>19</v>
      </c>
      <c r="C127" s="329" t="s">
        <v>8</v>
      </c>
      <c r="D127" s="199" t="s">
        <v>9</v>
      </c>
      <c r="E127" s="189" t="s">
        <v>11</v>
      </c>
      <c r="F127" s="190"/>
      <c r="G127" s="189" t="s">
        <v>13</v>
      </c>
      <c r="H127" s="190"/>
      <c r="I127" s="193" t="s">
        <v>16</v>
      </c>
      <c r="J127" s="193" t="s">
        <v>41</v>
      </c>
      <c r="K127" s="193" t="s">
        <v>42</v>
      </c>
      <c r="L127" s="193" t="s">
        <v>17</v>
      </c>
      <c r="M127" s="193" t="s">
        <v>56</v>
      </c>
      <c r="N127" s="186" t="s">
        <v>18</v>
      </c>
      <c r="O127" s="373"/>
    </row>
    <row r="128" spans="1:23" ht="19.2" customHeight="1">
      <c r="A128" s="187"/>
      <c r="B128" s="197"/>
      <c r="C128" s="330"/>
      <c r="D128" s="200"/>
      <c r="E128" s="191"/>
      <c r="F128" s="192"/>
      <c r="G128" s="191"/>
      <c r="H128" s="192"/>
      <c r="I128" s="194"/>
      <c r="J128" s="194"/>
      <c r="K128" s="194"/>
      <c r="L128" s="194"/>
      <c r="M128" s="194"/>
      <c r="N128" s="187"/>
      <c r="O128" s="174"/>
    </row>
    <row r="129" spans="1:23" ht="19.2" customHeight="1">
      <c r="A129" s="187"/>
      <c r="B129" s="197"/>
      <c r="C129" s="330"/>
      <c r="D129" s="200"/>
      <c r="E129" s="193" t="s">
        <v>10</v>
      </c>
      <c r="F129" s="193" t="s">
        <v>12</v>
      </c>
      <c r="G129" s="193" t="s">
        <v>14</v>
      </c>
      <c r="H129" s="193" t="s">
        <v>15</v>
      </c>
      <c r="I129" s="194"/>
      <c r="J129" s="194"/>
      <c r="K129" s="194"/>
      <c r="L129" s="194"/>
      <c r="M129" s="194"/>
      <c r="N129" s="187"/>
      <c r="O129" s="174"/>
    </row>
    <row r="130" spans="1:23" ht="19.2" customHeight="1">
      <c r="A130" s="188"/>
      <c r="B130" s="198"/>
      <c r="C130" s="331"/>
      <c r="D130" s="201"/>
      <c r="E130" s="195"/>
      <c r="F130" s="195"/>
      <c r="G130" s="195"/>
      <c r="H130" s="195"/>
      <c r="I130" s="195"/>
      <c r="J130" s="195"/>
      <c r="K130" s="195"/>
      <c r="L130" s="195"/>
      <c r="M130" s="195"/>
      <c r="N130" s="188"/>
      <c r="O130" s="174"/>
    </row>
    <row r="131" spans="1:23" s="2" customFormat="1" ht="19.2" customHeight="1">
      <c r="A131" s="21" t="s">
        <v>106</v>
      </c>
      <c r="B131" s="22"/>
      <c r="C131" s="34"/>
      <c r="D131" s="35">
        <f>SUM(D125:D126)</f>
        <v>2640</v>
      </c>
      <c r="E131" s="43"/>
      <c r="F131" s="43"/>
      <c r="G131" s="43"/>
      <c r="H131" s="43"/>
      <c r="I131" s="43"/>
      <c r="J131" s="43"/>
      <c r="K131" s="43"/>
      <c r="L131" s="44"/>
      <c r="M131" s="319"/>
      <c r="N131" s="281">
        <f>SUM(N125:N126)</f>
        <v>264000</v>
      </c>
      <c r="O131" s="154"/>
    </row>
    <row r="132" spans="1:23" ht="19.2" customHeight="1">
      <c r="A132" s="21" t="s">
        <v>7</v>
      </c>
      <c r="B132" s="22"/>
      <c r="C132" s="45"/>
      <c r="D132" s="46">
        <f>D131/D91</f>
        <v>48</v>
      </c>
      <c r="E132" s="46"/>
      <c r="F132" s="46"/>
      <c r="G132" s="46"/>
      <c r="H132" s="46"/>
      <c r="I132" s="46"/>
      <c r="J132" s="46"/>
      <c r="K132" s="46"/>
      <c r="L132" s="47"/>
      <c r="M132" s="320"/>
      <c r="N132" s="283"/>
      <c r="O132" s="4"/>
      <c r="P132" s="2"/>
      <c r="Q132" s="2"/>
      <c r="R132" s="2"/>
      <c r="S132" s="2"/>
      <c r="T132" s="2"/>
      <c r="U132" s="2"/>
      <c r="V132" s="2"/>
    </row>
    <row r="133" spans="1:23" ht="19.2" customHeight="1">
      <c r="A133" s="304" t="s">
        <v>52</v>
      </c>
      <c r="B133" s="207"/>
      <c r="C133" s="375" t="s">
        <v>151</v>
      </c>
      <c r="D133" s="20" t="s">
        <v>50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5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19.2" customHeight="1">
      <c r="A134" s="208"/>
      <c r="B134" s="209"/>
      <c r="C134" s="76" t="s">
        <v>60</v>
      </c>
      <c r="D134" s="78">
        <f>D132*100/930</f>
        <v>5.161290322580645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5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23" t="s">
        <v>113</v>
      </c>
      <c r="B135" s="224"/>
      <c r="C135" s="227"/>
      <c r="D135" s="299">
        <f>D107+D121+D131</f>
        <v>34865.701000000001</v>
      </c>
      <c r="E135" s="50">
        <f>SUM(E97:E132)</f>
        <v>912.39750000000004</v>
      </c>
      <c r="F135" s="50">
        <f>SUM(F97:F132)</f>
        <v>577.59820000000002</v>
      </c>
      <c r="G135" s="7">
        <f>SUM(G97:G132)</f>
        <v>915.67489999999998</v>
      </c>
      <c r="H135" s="7">
        <f>SUM(H97:H132)</f>
        <v>385.98720000000003</v>
      </c>
      <c r="I135" s="210">
        <f>SUM(I97:I132)</f>
        <v>4161.8643999999995</v>
      </c>
      <c r="J135" s="210">
        <f>SUM(J97:J126)</f>
        <v>5330.4385999999995</v>
      </c>
      <c r="K135" s="210">
        <f>SUM(K97:K126)</f>
        <v>41.679259999999999</v>
      </c>
      <c r="L135" s="239"/>
      <c r="M135" s="239"/>
      <c r="N135" s="301">
        <f>N107+N121+N131</f>
        <v>1210890</v>
      </c>
      <c r="U135" s="12"/>
      <c r="V135" s="12"/>
    </row>
    <row r="136" spans="1:23" ht="19.2" customHeight="1">
      <c r="A136" s="225"/>
      <c r="B136" s="226"/>
      <c r="C136" s="228"/>
      <c r="D136" s="300"/>
      <c r="E136" s="324">
        <f>E135+F135</f>
        <v>1489.9956999999999</v>
      </c>
      <c r="F136" s="325"/>
      <c r="G136" s="221">
        <f>G135+H135</f>
        <v>1301.6621</v>
      </c>
      <c r="H136" s="222"/>
      <c r="I136" s="211"/>
      <c r="J136" s="211"/>
      <c r="K136" s="211"/>
      <c r="L136" s="239"/>
      <c r="M136" s="239"/>
      <c r="N136" s="301"/>
      <c r="Q136" s="370"/>
      <c r="R136" s="370"/>
      <c r="S136" s="370"/>
      <c r="T136" s="370"/>
      <c r="U136" s="385"/>
      <c r="V136" s="385"/>
    </row>
    <row r="137" spans="1:23" ht="19.2" customHeight="1">
      <c r="A137" s="243" t="s">
        <v>77</v>
      </c>
      <c r="B137" s="244"/>
      <c r="C137" s="245"/>
      <c r="D137" s="139">
        <f>D135/D91</f>
        <v>633.92183636363643</v>
      </c>
      <c r="E137" s="380">
        <f>E135/D91</f>
        <v>16.589045454545456</v>
      </c>
      <c r="F137" s="381">
        <f>F135/D91</f>
        <v>10.501785454545455</v>
      </c>
      <c r="G137" s="394">
        <f>G135/D91</f>
        <v>16.648634545454545</v>
      </c>
      <c r="H137" s="382">
        <f>H135/D91</f>
        <v>7.0179490909090916</v>
      </c>
      <c r="I137" s="302">
        <f>I135/D91</f>
        <v>75.670261818181814</v>
      </c>
      <c r="J137" s="302">
        <f>J135/D91</f>
        <v>96.917065454545451</v>
      </c>
      <c r="K137" s="302">
        <f>K135/D91</f>
        <v>0.7578047272727273</v>
      </c>
      <c r="L137" s="239"/>
      <c r="M137" s="239"/>
      <c r="N137" s="301"/>
      <c r="P137" s="388"/>
      <c r="Q137" s="395"/>
      <c r="R137" s="395"/>
      <c r="S137" s="396"/>
      <c r="T137" s="396"/>
      <c r="U137" s="395"/>
      <c r="V137" s="395"/>
    </row>
    <row r="138" spans="1:23" ht="19.2" customHeight="1">
      <c r="A138" s="246"/>
      <c r="B138" s="247"/>
      <c r="C138" s="248"/>
      <c r="D138" s="128"/>
      <c r="E138" s="383">
        <f>E137+F137</f>
        <v>27.090830909090911</v>
      </c>
      <c r="F138" s="384"/>
      <c r="G138" s="383">
        <f>G137+H137</f>
        <v>23.666583636363637</v>
      </c>
      <c r="H138" s="384"/>
      <c r="I138" s="303"/>
      <c r="J138" s="303"/>
      <c r="K138" s="303"/>
      <c r="L138" s="239"/>
      <c r="M138" s="239"/>
      <c r="N138" s="301"/>
    </row>
    <row r="139" spans="1:23" ht="19.2" customHeight="1">
      <c r="A139" s="316" t="s">
        <v>80</v>
      </c>
      <c r="B139" s="317"/>
      <c r="C139" s="318"/>
      <c r="D139" s="179" t="s">
        <v>29</v>
      </c>
      <c r="E139" s="361" t="s">
        <v>24</v>
      </c>
      <c r="F139" s="361"/>
      <c r="G139" s="361" t="s">
        <v>25</v>
      </c>
      <c r="H139" s="361"/>
      <c r="I139" s="179" t="s">
        <v>26</v>
      </c>
      <c r="J139" s="177">
        <v>500</v>
      </c>
      <c r="K139" s="177">
        <v>0.5</v>
      </c>
      <c r="L139" s="239"/>
      <c r="M139" s="239"/>
      <c r="N139" s="301"/>
      <c r="O139" s="387"/>
    </row>
    <row r="140" spans="1:23" ht="19.2" customHeight="1">
      <c r="A140" s="214" t="s">
        <v>78</v>
      </c>
      <c r="B140" s="215"/>
      <c r="C140" s="216"/>
      <c r="D140" s="49"/>
      <c r="E140" s="202">
        <f>E138*4.1</f>
        <v>111.07240672727272</v>
      </c>
      <c r="F140" s="203"/>
      <c r="G140" s="202">
        <f>G138*9</f>
        <v>212.99925272727273</v>
      </c>
      <c r="H140" s="203"/>
      <c r="I140" s="85">
        <f>I137*4.1</f>
        <v>310.24807345454542</v>
      </c>
      <c r="J140" s="249"/>
      <c r="K140" s="249"/>
      <c r="L140" s="239"/>
      <c r="M140" s="239"/>
      <c r="N140" s="301"/>
      <c r="O140" s="387"/>
      <c r="P140" s="379"/>
      <c r="Q140" s="369"/>
      <c r="R140" s="369"/>
      <c r="S140" s="369"/>
    </row>
    <row r="141" spans="1:23" ht="19.2" customHeight="1">
      <c r="A141" s="217" t="s">
        <v>87</v>
      </c>
      <c r="B141" s="218"/>
      <c r="C141" s="214" t="s">
        <v>59</v>
      </c>
      <c r="D141" s="216"/>
      <c r="E141" s="266">
        <f>E140*100/D137</f>
        <v>17.521467215014546</v>
      </c>
      <c r="F141" s="267"/>
      <c r="G141" s="266">
        <f>G140*100/D137</f>
        <v>33.600239100312365</v>
      </c>
      <c r="H141" s="267"/>
      <c r="I141" s="116">
        <f>I140*100/D137</f>
        <v>48.941061130536269</v>
      </c>
      <c r="J141" s="250"/>
      <c r="K141" s="250"/>
      <c r="L141" s="239"/>
      <c r="M141" s="239"/>
      <c r="N141" s="301"/>
      <c r="O141" s="387"/>
      <c r="P141" s="142"/>
      <c r="Q141" s="142"/>
      <c r="R141" s="142"/>
      <c r="S141" s="142"/>
    </row>
    <row r="142" spans="1:23" ht="19.2" customHeight="1">
      <c r="A142" s="219"/>
      <c r="B142" s="220"/>
      <c r="C142" s="214" t="s">
        <v>79</v>
      </c>
      <c r="D142" s="216"/>
      <c r="E142" s="214" t="s">
        <v>82</v>
      </c>
      <c r="F142" s="216"/>
      <c r="G142" s="214" t="s">
        <v>85</v>
      </c>
      <c r="H142" s="216"/>
      <c r="I142" s="179" t="s">
        <v>86</v>
      </c>
      <c r="J142" s="230"/>
      <c r="K142" s="230"/>
      <c r="L142" s="239"/>
      <c r="M142" s="239"/>
      <c r="N142" s="301"/>
      <c r="O142" s="387"/>
      <c r="P142" s="133"/>
    </row>
    <row r="143" spans="1:23" ht="19.2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4"/>
      <c r="M143" s="94"/>
      <c r="N143" s="95"/>
      <c r="O143" s="387"/>
    </row>
    <row r="144" spans="1:23" ht="21" customHeight="1">
      <c r="A144" s="296" t="s">
        <v>114</v>
      </c>
      <c r="B144" s="296"/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387"/>
    </row>
    <row r="145" spans="1:15" ht="21" customHeight="1">
      <c r="A145" s="118" t="s">
        <v>115</v>
      </c>
      <c r="B145" s="297" t="s">
        <v>116</v>
      </c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87"/>
    </row>
    <row r="146" spans="1:15" ht="21" customHeight="1">
      <c r="A146" s="119"/>
      <c r="B146" s="257" t="s">
        <v>220</v>
      </c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387"/>
    </row>
    <row r="147" spans="1:15" ht="21" customHeight="1">
      <c r="A147" s="119"/>
      <c r="B147" s="257" t="s">
        <v>221</v>
      </c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387"/>
    </row>
    <row r="148" spans="1:15" ht="21" customHeight="1">
      <c r="A148" s="119"/>
      <c r="B148" s="257" t="s">
        <v>222</v>
      </c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387"/>
    </row>
    <row r="149" spans="1:15" ht="21" customHeight="1">
      <c r="A149" s="90"/>
      <c r="B149" s="258" t="s">
        <v>128</v>
      </c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387"/>
    </row>
    <row r="150" spans="1:15" ht="21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4"/>
      <c r="M150" s="94"/>
      <c r="N150" s="95"/>
      <c r="O150" s="387"/>
    </row>
    <row r="151" spans="1:15" ht="21" customHeight="1">
      <c r="A151" s="259" t="s">
        <v>62</v>
      </c>
      <c r="B151" s="259"/>
      <c r="C151" s="259"/>
      <c r="D151" s="259"/>
      <c r="E151" s="389"/>
      <c r="F151" s="389"/>
      <c r="G151" s="389"/>
      <c r="H151" s="389"/>
      <c r="I151" s="389"/>
      <c r="J151" s="390" t="s">
        <v>33</v>
      </c>
      <c r="K151" s="390"/>
      <c r="L151" s="390"/>
      <c r="M151" s="390"/>
      <c r="N151" s="390"/>
      <c r="O151" s="387"/>
    </row>
    <row r="152" spans="1:15" ht="21" customHeight="1">
      <c r="A152" s="174"/>
      <c r="B152" s="174"/>
      <c r="C152" s="174"/>
      <c r="D152" s="389"/>
      <c r="E152" s="389"/>
      <c r="F152" s="389"/>
      <c r="G152" s="389"/>
      <c r="H152" s="391"/>
      <c r="I152" s="391"/>
      <c r="J152" s="391"/>
      <c r="K152" s="391"/>
      <c r="L152" s="391"/>
      <c r="M152" s="391"/>
      <c r="N152" s="391"/>
      <c r="O152" s="387"/>
    </row>
    <row r="153" spans="1:15" ht="21" customHeight="1">
      <c r="A153" s="174"/>
      <c r="B153" s="174"/>
      <c r="C153" s="174"/>
      <c r="D153" s="389"/>
      <c r="E153" s="389"/>
      <c r="F153" s="389"/>
      <c r="G153" s="389"/>
      <c r="H153" s="391"/>
      <c r="I153" s="391"/>
      <c r="J153" s="391"/>
      <c r="K153" s="391"/>
      <c r="L153" s="391"/>
      <c r="M153" s="391"/>
      <c r="N153" s="391"/>
      <c r="O153" s="387"/>
    </row>
    <row r="154" spans="1:15" ht="21" customHeight="1">
      <c r="A154" s="174"/>
      <c r="B154" s="174"/>
      <c r="C154" s="174"/>
      <c r="D154" s="389"/>
      <c r="E154" s="389"/>
      <c r="F154" s="389"/>
      <c r="G154" s="389"/>
      <c r="H154" s="391"/>
      <c r="I154" s="391"/>
      <c r="J154" s="392" t="s">
        <v>124</v>
      </c>
      <c r="K154" s="392"/>
      <c r="L154" s="392"/>
      <c r="M154" s="392"/>
      <c r="N154" s="392"/>
      <c r="O154" s="387"/>
    </row>
    <row r="155" spans="1:15" ht="21" customHeight="1">
      <c r="A155" s="260" t="s">
        <v>91</v>
      </c>
      <c r="B155" s="260"/>
      <c r="C155" s="260"/>
      <c r="D155" s="260"/>
      <c r="E155" s="389"/>
      <c r="F155" s="389"/>
      <c r="G155" s="389"/>
      <c r="H155" s="391"/>
      <c r="I155" s="391"/>
      <c r="J155" s="392"/>
      <c r="K155" s="392"/>
      <c r="L155" s="392"/>
      <c r="M155" s="392"/>
      <c r="N155" s="392"/>
      <c r="O155" s="387"/>
    </row>
    <row r="157" spans="1:15" ht="19.2" customHeight="1">
      <c r="J157" s="392" t="s">
        <v>127</v>
      </c>
      <c r="K157" s="392"/>
      <c r="L157" s="392"/>
      <c r="M157" s="392"/>
      <c r="N157" s="392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view="pageLayout" workbookViewId="0">
      <selection activeCell="A9" sqref="A9:D9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9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61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T1" s="2"/>
    </row>
    <row r="2" spans="1:20" ht="12.6" customHeight="1">
      <c r="A2" s="11"/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T2" s="2"/>
    </row>
    <row r="3" spans="1:20" ht="23.4" customHeight="1">
      <c r="A3" s="8" t="s">
        <v>204</v>
      </c>
      <c r="B3" s="8"/>
      <c r="C3" s="8"/>
      <c r="D3" s="8"/>
      <c r="E3" s="8"/>
      <c r="F3" s="178"/>
      <c r="G3" s="178"/>
      <c r="H3" s="178"/>
      <c r="I3" s="178"/>
      <c r="J3" s="178"/>
      <c r="K3" s="178"/>
      <c r="L3" s="178"/>
      <c r="M3" s="178"/>
      <c r="N3" s="178"/>
      <c r="O3" s="371"/>
      <c r="P3" s="371"/>
      <c r="T3" s="2"/>
    </row>
    <row r="4" spans="1:20" ht="12.6" customHeight="1">
      <c r="A4" s="8"/>
      <c r="B4" s="8"/>
      <c r="C4" s="8"/>
      <c r="D4" s="8"/>
      <c r="E4" s="8"/>
      <c r="F4" s="178"/>
      <c r="G4" s="178"/>
      <c r="H4" s="178"/>
      <c r="I4" s="178"/>
      <c r="J4" s="178"/>
      <c r="K4" s="178"/>
      <c r="L4" s="178"/>
      <c r="M4" s="178"/>
      <c r="N4" s="178"/>
      <c r="O4" s="371"/>
      <c r="P4" s="371"/>
      <c r="T4" s="2"/>
    </row>
    <row r="5" spans="1:20" s="2" customFormat="1" ht="19.2" customHeight="1">
      <c r="A5" s="231" t="s">
        <v>97</v>
      </c>
      <c r="B5" s="231"/>
      <c r="C5" s="231"/>
      <c r="D5" s="231"/>
      <c r="E5" s="231" t="s">
        <v>98</v>
      </c>
      <c r="F5" s="231"/>
      <c r="G5" s="231"/>
      <c r="H5" s="231"/>
      <c r="I5" s="231"/>
      <c r="J5" s="231"/>
      <c r="K5" s="231"/>
      <c r="L5" s="231"/>
      <c r="M5" s="231"/>
      <c r="N5" s="231"/>
      <c r="O5" s="372"/>
    </row>
    <row r="6" spans="1:20" s="2" customFormat="1" ht="19.2" customHeight="1">
      <c r="A6" s="268" t="s">
        <v>90</v>
      </c>
      <c r="B6" s="268"/>
      <c r="C6" s="268"/>
      <c r="D6" s="268"/>
      <c r="E6" s="284" t="s">
        <v>168</v>
      </c>
      <c r="F6" s="285"/>
      <c r="G6" s="285"/>
      <c r="H6" s="285"/>
      <c r="I6" s="286"/>
      <c r="J6" s="284" t="s">
        <v>137</v>
      </c>
      <c r="K6" s="285"/>
      <c r="L6" s="285"/>
      <c r="M6" s="285"/>
      <c r="N6" s="286"/>
      <c r="O6" s="372"/>
    </row>
    <row r="7" spans="1:20" s="2" customFormat="1" ht="19.2" customHeight="1">
      <c r="A7" s="344" t="s">
        <v>167</v>
      </c>
      <c r="B7" s="345"/>
      <c r="C7" s="345"/>
      <c r="D7" s="346"/>
      <c r="E7" s="287"/>
      <c r="F7" s="288"/>
      <c r="G7" s="288"/>
      <c r="H7" s="288"/>
      <c r="I7" s="289"/>
      <c r="J7" s="287"/>
      <c r="K7" s="288"/>
      <c r="L7" s="288"/>
      <c r="M7" s="288"/>
      <c r="N7" s="289"/>
      <c r="O7" s="372"/>
    </row>
    <row r="8" spans="1:20" s="2" customFormat="1" ht="19.2" customHeight="1">
      <c r="A8" s="344" t="s">
        <v>187</v>
      </c>
      <c r="B8" s="345"/>
      <c r="C8" s="345"/>
      <c r="D8" s="346"/>
      <c r="E8" s="287"/>
      <c r="F8" s="288"/>
      <c r="G8" s="288"/>
      <c r="H8" s="288"/>
      <c r="I8" s="289"/>
      <c r="J8" s="287"/>
      <c r="K8" s="288"/>
      <c r="L8" s="288"/>
      <c r="M8" s="288"/>
      <c r="N8" s="289"/>
      <c r="O8" s="372"/>
    </row>
    <row r="9" spans="1:20" s="2" customFormat="1" ht="19.2" customHeight="1">
      <c r="A9" s="347" t="s">
        <v>188</v>
      </c>
      <c r="B9" s="347"/>
      <c r="C9" s="347"/>
      <c r="D9" s="347"/>
      <c r="E9" s="290"/>
      <c r="F9" s="291"/>
      <c r="G9" s="291"/>
      <c r="H9" s="291"/>
      <c r="I9" s="292"/>
      <c r="J9" s="290"/>
      <c r="K9" s="291"/>
      <c r="L9" s="291"/>
      <c r="M9" s="291"/>
      <c r="N9" s="292"/>
      <c r="O9" s="372"/>
    </row>
    <row r="10" spans="1:20" s="2" customFormat="1" ht="19.2" customHeight="1">
      <c r="A10" s="278" t="s">
        <v>122</v>
      </c>
      <c r="B10" s="279"/>
      <c r="C10" s="280"/>
      <c r="D10" s="129">
        <v>200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21" customHeight="1">
      <c r="A11" s="186" t="s">
        <v>0</v>
      </c>
      <c r="B11" s="196" t="s">
        <v>19</v>
      </c>
      <c r="C11" s="199" t="s">
        <v>8</v>
      </c>
      <c r="D11" s="199" t="s">
        <v>9</v>
      </c>
      <c r="E11" s="189" t="s">
        <v>11</v>
      </c>
      <c r="F11" s="190"/>
      <c r="G11" s="189" t="s">
        <v>13</v>
      </c>
      <c r="H11" s="190"/>
      <c r="I11" s="193" t="s">
        <v>16</v>
      </c>
      <c r="J11" s="193" t="s">
        <v>41</v>
      </c>
      <c r="K11" s="193" t="s">
        <v>42</v>
      </c>
      <c r="L11" s="350" t="s">
        <v>17</v>
      </c>
      <c r="M11" s="193" t="s">
        <v>57</v>
      </c>
      <c r="N11" s="186" t="s">
        <v>18</v>
      </c>
      <c r="O11" s="373"/>
    </row>
    <row r="12" spans="1:20" ht="21" customHeight="1">
      <c r="A12" s="187"/>
      <c r="B12" s="197"/>
      <c r="C12" s="200"/>
      <c r="D12" s="200"/>
      <c r="E12" s="191"/>
      <c r="F12" s="192"/>
      <c r="G12" s="191"/>
      <c r="H12" s="192"/>
      <c r="I12" s="194"/>
      <c r="J12" s="194"/>
      <c r="K12" s="194"/>
      <c r="L12" s="351"/>
      <c r="M12" s="194"/>
      <c r="N12" s="187"/>
      <c r="O12" s="174"/>
    </row>
    <row r="13" spans="1:20" ht="21" customHeight="1">
      <c r="A13" s="187"/>
      <c r="B13" s="197"/>
      <c r="C13" s="200"/>
      <c r="D13" s="200"/>
      <c r="E13" s="193" t="s">
        <v>10</v>
      </c>
      <c r="F13" s="193" t="s">
        <v>12</v>
      </c>
      <c r="G13" s="193" t="s">
        <v>14</v>
      </c>
      <c r="H13" s="193" t="s">
        <v>15</v>
      </c>
      <c r="I13" s="194"/>
      <c r="J13" s="194"/>
      <c r="K13" s="194"/>
      <c r="L13" s="351"/>
      <c r="M13" s="194"/>
      <c r="N13" s="187"/>
      <c r="O13" s="174"/>
    </row>
    <row r="14" spans="1:20" ht="21" customHeight="1">
      <c r="A14" s="188"/>
      <c r="B14" s="198"/>
      <c r="C14" s="201"/>
      <c r="D14" s="201"/>
      <c r="E14" s="195"/>
      <c r="F14" s="195"/>
      <c r="G14" s="195"/>
      <c r="H14" s="195"/>
      <c r="I14" s="195"/>
      <c r="J14" s="195"/>
      <c r="K14" s="195"/>
      <c r="L14" s="352"/>
      <c r="M14" s="195"/>
      <c r="N14" s="188"/>
      <c r="O14" s="174"/>
    </row>
    <row r="15" spans="1:20" ht="18.600000000000001" customHeight="1">
      <c r="A15" s="233" t="s">
        <v>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174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270</v>
      </c>
      <c r="D16" s="24">
        <f>C16/100*60</f>
        <v>162</v>
      </c>
      <c r="E16" s="25">
        <f>C16/100*15</f>
        <v>40.5</v>
      </c>
      <c r="F16" s="25"/>
      <c r="G16" s="25"/>
      <c r="H16" s="25"/>
      <c r="I16" s="25"/>
      <c r="J16" s="81">
        <f>C16/100*387</f>
        <v>1044.9000000000001</v>
      </c>
      <c r="K16" s="27">
        <f>C16/100*0.09</f>
        <v>0.24299999999999999</v>
      </c>
      <c r="L16" s="138">
        <v>270</v>
      </c>
      <c r="M16" s="75">
        <v>20</v>
      </c>
      <c r="N16" s="28">
        <f>L16*M16</f>
        <v>5400</v>
      </c>
      <c r="O16" s="154"/>
    </row>
    <row r="17" spans="1:20" s="2" customFormat="1" ht="18.600000000000001" customHeight="1">
      <c r="A17" s="9">
        <v>3</v>
      </c>
      <c r="B17" s="149" t="s">
        <v>146</v>
      </c>
      <c r="C17" s="23">
        <f>L17/100*100</f>
        <v>900</v>
      </c>
      <c r="D17" s="121">
        <f>C17/100*900</f>
        <v>8100</v>
      </c>
      <c r="E17" s="25"/>
      <c r="F17" s="25"/>
      <c r="G17" s="120"/>
      <c r="H17" s="25">
        <f>C17/100*100</f>
        <v>900</v>
      </c>
      <c r="I17" s="25"/>
      <c r="J17" s="25"/>
      <c r="K17" s="25"/>
      <c r="L17" s="138">
        <v>900</v>
      </c>
      <c r="M17" s="75">
        <v>63.5</v>
      </c>
      <c r="N17" s="28">
        <f t="shared" ref="N17:N25" si="0">L17*M17</f>
        <v>57150</v>
      </c>
      <c r="O17" s="376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19000</v>
      </c>
      <c r="D18" s="121">
        <f>C18/100*344</f>
        <v>65360</v>
      </c>
      <c r="E18" s="25"/>
      <c r="F18" s="120">
        <f>C18/100*7.9</f>
        <v>1501</v>
      </c>
      <c r="G18" s="25"/>
      <c r="H18" s="25">
        <f>C18/100*1</f>
        <v>190</v>
      </c>
      <c r="I18" s="131">
        <f>C18/100*73.2</f>
        <v>13908</v>
      </c>
      <c r="J18" s="81">
        <f>C18/100*30</f>
        <v>5700</v>
      </c>
      <c r="K18" s="27">
        <f>C18/100*0.1</f>
        <v>19</v>
      </c>
      <c r="L18" s="377">
        <v>19000</v>
      </c>
      <c r="M18" s="75">
        <v>18</v>
      </c>
      <c r="N18" s="125">
        <f t="shared" si="0"/>
        <v>342000</v>
      </c>
      <c r="O18" s="154"/>
    </row>
    <row r="19" spans="1:20" s="2" customFormat="1" ht="18.600000000000001" customHeight="1">
      <c r="A19" s="9">
        <v>5</v>
      </c>
      <c r="B19" s="5" t="s">
        <v>96</v>
      </c>
      <c r="C19" s="23">
        <f>L19/100*90</f>
        <v>3744</v>
      </c>
      <c r="D19" s="24">
        <f>C19/100*90</f>
        <v>3369.6</v>
      </c>
      <c r="E19" s="25">
        <f>C19/100*18.4</f>
        <v>688.89599999999996</v>
      </c>
      <c r="F19" s="25"/>
      <c r="G19" s="25">
        <f>C19/100*1.8</f>
        <v>67.391999999999996</v>
      </c>
      <c r="H19" s="25"/>
      <c r="I19" s="25"/>
      <c r="J19" s="81">
        <f>C19/100*1120</f>
        <v>41932.799999999996</v>
      </c>
      <c r="K19" s="27">
        <f>C19/100*0.02</f>
        <v>0.74880000000000002</v>
      </c>
      <c r="L19" s="138">
        <v>4160</v>
      </c>
      <c r="M19" s="75">
        <v>260</v>
      </c>
      <c r="N19" s="125">
        <f t="shared" si="0"/>
        <v>1081600</v>
      </c>
      <c r="O19" s="154"/>
      <c r="Q19" s="3"/>
      <c r="R19" s="3"/>
      <c r="S19" s="4"/>
    </row>
    <row r="20" spans="1:20" s="2" customFormat="1" ht="18.600000000000001" customHeight="1">
      <c r="A20" s="9">
        <v>6</v>
      </c>
      <c r="B20" s="10" t="s">
        <v>71</v>
      </c>
      <c r="C20" s="23">
        <f>L20/100*98</f>
        <v>7653.7999999999993</v>
      </c>
      <c r="D20" s="121">
        <f>C20/100*139</f>
        <v>10638.781999999999</v>
      </c>
      <c r="E20" s="120">
        <f>C20/100*19</f>
        <v>1454.222</v>
      </c>
      <c r="F20" s="25"/>
      <c r="G20" s="25">
        <f>C20/100*7</f>
        <v>535.76599999999996</v>
      </c>
      <c r="H20" s="25"/>
      <c r="I20" s="25"/>
      <c r="J20" s="27">
        <f>C20/100*7</f>
        <v>535.76599999999996</v>
      </c>
      <c r="K20" s="27">
        <f>C20/100*0.9</f>
        <v>68.884199999999993</v>
      </c>
      <c r="L20" s="138">
        <v>7810</v>
      </c>
      <c r="M20" s="144">
        <v>137</v>
      </c>
      <c r="N20" s="125">
        <f t="shared" si="0"/>
        <v>1069970</v>
      </c>
      <c r="O20" s="154"/>
    </row>
    <row r="21" spans="1:20" s="142" customFormat="1" ht="18.600000000000001" customHeight="1">
      <c r="A21" s="165">
        <v>7</v>
      </c>
      <c r="B21" s="150" t="s">
        <v>179</v>
      </c>
      <c r="C21" s="166">
        <f>L21/100*78</f>
        <v>3120</v>
      </c>
      <c r="D21" s="140">
        <f>C21/100*37</f>
        <v>1154.3999999999999</v>
      </c>
      <c r="E21" s="137"/>
      <c r="F21" s="137">
        <f>C21/100*2.8</f>
        <v>87.36</v>
      </c>
      <c r="G21" s="137"/>
      <c r="H21" s="137">
        <f>C21/100*0.1</f>
        <v>3.12</v>
      </c>
      <c r="I21" s="137">
        <f>C21/100*6.2</f>
        <v>193.44</v>
      </c>
      <c r="J21" s="141">
        <f>C21/100*46</f>
        <v>1435.2</v>
      </c>
      <c r="K21" s="137">
        <f>C21/100*0.02</f>
        <v>0.624</v>
      </c>
      <c r="L21" s="138">
        <v>4000</v>
      </c>
      <c r="M21" s="167">
        <v>20</v>
      </c>
      <c r="N21" s="136">
        <f t="shared" si="0"/>
        <v>80000</v>
      </c>
      <c r="O21" s="378"/>
    </row>
    <row r="22" spans="1:20" s="2" customFormat="1" ht="18.600000000000001" customHeight="1">
      <c r="A22" s="9">
        <v>8</v>
      </c>
      <c r="B22" s="5" t="s">
        <v>20</v>
      </c>
      <c r="C22" s="23">
        <f>L22/100*95</f>
        <v>1505.75</v>
      </c>
      <c r="D22" s="24">
        <f>C22/100*20</f>
        <v>301.14999999999998</v>
      </c>
      <c r="E22" s="25"/>
      <c r="F22" s="25">
        <f>C22/100*0.6</f>
        <v>9.0344999999999995</v>
      </c>
      <c r="G22" s="25"/>
      <c r="H22" s="25">
        <f>C22/100*0.2</f>
        <v>3.0114999999999998</v>
      </c>
      <c r="I22" s="25">
        <f>C22/100*4</f>
        <v>60.23</v>
      </c>
      <c r="J22" s="27">
        <f>C22/100*12</f>
        <v>180.69</v>
      </c>
      <c r="K22" s="24">
        <f>C22/100*0.04</f>
        <v>0.60229999999999995</v>
      </c>
      <c r="L22" s="138">
        <v>1585</v>
      </c>
      <c r="M22" s="77">
        <v>30</v>
      </c>
      <c r="N22" s="28">
        <f t="shared" si="0"/>
        <v>47550</v>
      </c>
      <c r="O22" s="397"/>
      <c r="Q22" s="3"/>
      <c r="R22" s="3"/>
      <c r="S22" s="4"/>
    </row>
    <row r="23" spans="1:20" s="2" customFormat="1" ht="18.600000000000001" customHeight="1">
      <c r="A23" s="9">
        <v>9</v>
      </c>
      <c r="B23" s="5" t="s">
        <v>154</v>
      </c>
      <c r="C23" s="23">
        <f>L23/100*81</f>
        <v>1794.1499999999999</v>
      </c>
      <c r="D23" s="24">
        <f>C23/100*17</f>
        <v>305.00549999999998</v>
      </c>
      <c r="E23" s="29"/>
      <c r="F23" s="29">
        <f>C23/100*0.9</f>
        <v>16.147349999999999</v>
      </c>
      <c r="G23" s="29"/>
      <c r="H23" s="29">
        <f>C23/100*0.2</f>
        <v>3.5882999999999998</v>
      </c>
      <c r="I23" s="29">
        <f>C23/100*2.8</f>
        <v>50.23619999999999</v>
      </c>
      <c r="J23" s="25">
        <f>C23/100*28</f>
        <v>502.36199999999997</v>
      </c>
      <c r="K23" s="27">
        <f>C23/100*0.04</f>
        <v>0.71765999999999996</v>
      </c>
      <c r="L23" s="374">
        <v>2215</v>
      </c>
      <c r="M23" s="75">
        <v>20</v>
      </c>
      <c r="N23" s="28">
        <f t="shared" si="0"/>
        <v>44300</v>
      </c>
      <c r="O23" s="154"/>
      <c r="P23" s="3"/>
    </row>
    <row r="24" spans="1:20" s="142" customFormat="1" ht="16.2" customHeight="1">
      <c r="A24" s="165">
        <v>10</v>
      </c>
      <c r="B24" s="150" t="s">
        <v>189</v>
      </c>
      <c r="C24" s="166">
        <f>L24/100*65</f>
        <v>4556.5</v>
      </c>
      <c r="D24" s="140">
        <f>C24/100*14</f>
        <v>637.91</v>
      </c>
      <c r="E24" s="137"/>
      <c r="F24" s="137">
        <f>C24/100*1.6</f>
        <v>72.903999999999996</v>
      </c>
      <c r="G24" s="137"/>
      <c r="H24" s="137"/>
      <c r="I24" s="137">
        <f>C24/100*1.9</f>
        <v>86.573499999999996</v>
      </c>
      <c r="J24" s="141">
        <f>C24/100*63</f>
        <v>2870.5949999999998</v>
      </c>
      <c r="K24" s="137">
        <f>C24/100*0.01</f>
        <v>0.45565</v>
      </c>
      <c r="L24" s="138">
        <v>7010</v>
      </c>
      <c r="M24" s="167">
        <v>18</v>
      </c>
      <c r="N24" s="136">
        <f t="shared" si="0"/>
        <v>126180</v>
      </c>
      <c r="O24" s="378"/>
    </row>
    <row r="25" spans="1:20" s="2" customFormat="1" ht="18.600000000000001" customHeight="1">
      <c r="A25" s="9">
        <v>11</v>
      </c>
      <c r="B25" s="5" t="s">
        <v>136</v>
      </c>
      <c r="C25" s="23">
        <f>L25/100*100</f>
        <v>210</v>
      </c>
      <c r="D25" s="24">
        <f>C25/100*247</f>
        <v>518.70000000000005</v>
      </c>
      <c r="E25" s="29"/>
      <c r="F25" s="29">
        <f>C25/100*17.5</f>
        <v>36.75</v>
      </c>
      <c r="G25" s="29"/>
      <c r="H25" s="29">
        <f>C25/100*1.6</f>
        <v>3.3600000000000003</v>
      </c>
      <c r="I25" s="29">
        <f>C25/100*39.2</f>
        <v>82.320000000000007</v>
      </c>
      <c r="J25" s="71"/>
      <c r="K25" s="71"/>
      <c r="L25" s="374">
        <v>210</v>
      </c>
      <c r="M25" s="75">
        <v>50</v>
      </c>
      <c r="N25" s="28">
        <f t="shared" si="0"/>
        <v>10500</v>
      </c>
      <c r="O25" s="154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123</v>
      </c>
      <c r="C26" s="23"/>
      <c r="D26" s="24"/>
      <c r="E26" s="29"/>
      <c r="F26" s="29"/>
      <c r="G26" s="29"/>
      <c r="H26" s="29"/>
      <c r="I26" s="29"/>
      <c r="J26" s="71"/>
      <c r="K26" s="71"/>
      <c r="L26" s="30"/>
      <c r="M26" s="26"/>
      <c r="N26" s="28">
        <v>15750.000000000004</v>
      </c>
      <c r="O26" s="154"/>
    </row>
    <row r="27" spans="1:20" s="2" customFormat="1" ht="18.600000000000001" customHeight="1">
      <c r="A27" s="21" t="s">
        <v>121</v>
      </c>
      <c r="B27" s="22"/>
      <c r="C27" s="34"/>
      <c r="D27" s="122">
        <f>SUM(D16:D26)</f>
        <v>90547.547500000001</v>
      </c>
      <c r="E27" s="36"/>
      <c r="F27" s="36"/>
      <c r="G27" s="36"/>
      <c r="H27" s="36"/>
      <c r="I27" s="36"/>
      <c r="J27" s="36"/>
      <c r="K27" s="36"/>
      <c r="L27" s="37"/>
      <c r="M27" s="321"/>
      <c r="N27" s="356">
        <f>SUM(N16:N26)</f>
        <v>2880400</v>
      </c>
      <c r="O27" s="154"/>
    </row>
    <row r="28" spans="1:20" s="2" customFormat="1" ht="18.600000000000001" customHeight="1">
      <c r="A28" s="21" t="s">
        <v>6</v>
      </c>
      <c r="B28" s="22"/>
      <c r="C28" s="34"/>
      <c r="D28" s="35">
        <f>D27/D10</f>
        <v>452.73773749999998</v>
      </c>
      <c r="E28" s="36"/>
      <c r="F28" s="36"/>
      <c r="G28" s="36"/>
      <c r="H28" s="36"/>
      <c r="I28" s="36"/>
      <c r="J28" s="36"/>
      <c r="K28" s="36"/>
      <c r="L28" s="37"/>
      <c r="M28" s="322"/>
      <c r="N28" s="357"/>
      <c r="O28" s="154"/>
    </row>
    <row r="29" spans="1:20" s="2" customFormat="1" ht="18.600000000000001" customHeight="1">
      <c r="A29" s="304" t="s">
        <v>51</v>
      </c>
      <c r="B29" s="358"/>
      <c r="C29" s="375" t="s">
        <v>151</v>
      </c>
      <c r="D29" s="20" t="s">
        <v>45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4"/>
    </row>
    <row r="30" spans="1:20" s="2" customFormat="1" ht="18.600000000000001" customHeight="1">
      <c r="A30" s="359"/>
      <c r="B30" s="360"/>
      <c r="C30" s="76" t="s">
        <v>60</v>
      </c>
      <c r="D30" s="20">
        <f>D28*100/1320</f>
        <v>34.298313446969701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4"/>
    </row>
    <row r="31" spans="1:20" s="2" customFormat="1" ht="18.600000000000001" customHeight="1">
      <c r="A31" s="276" t="s">
        <v>35</v>
      </c>
      <c r="B31" s="276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4"/>
    </row>
    <row r="32" spans="1:20" s="2" customFormat="1" ht="18.600000000000001" customHeight="1">
      <c r="A32" s="14">
        <v>1</v>
      </c>
      <c r="B32" s="159" t="s">
        <v>123</v>
      </c>
      <c r="C32" s="160"/>
      <c r="D32" s="161"/>
      <c r="E32" s="162"/>
      <c r="F32" s="162"/>
      <c r="G32" s="162"/>
      <c r="H32" s="162"/>
      <c r="I32" s="162"/>
      <c r="J32" s="162"/>
      <c r="K32" s="162"/>
      <c r="L32" s="163"/>
      <c r="M32" s="163"/>
      <c r="N32" s="164">
        <v>13000.000000000004</v>
      </c>
      <c r="O32" s="154"/>
    </row>
    <row r="33" spans="1:20" s="2" customFormat="1" ht="18.600000000000001" customHeight="1">
      <c r="A33" s="9">
        <v>2</v>
      </c>
      <c r="B33" s="10" t="s">
        <v>2</v>
      </c>
      <c r="C33" s="23">
        <f>L33/100*100</f>
        <v>240</v>
      </c>
      <c r="D33" s="24">
        <f>C33/100*60</f>
        <v>144</v>
      </c>
      <c r="E33" s="25">
        <f>C33/100*15</f>
        <v>36</v>
      </c>
      <c r="F33" s="25"/>
      <c r="G33" s="25"/>
      <c r="H33" s="25"/>
      <c r="I33" s="25"/>
      <c r="J33" s="27">
        <f>C33/100*387</f>
        <v>928.8</v>
      </c>
      <c r="K33" s="27">
        <f>C33/100*0.09</f>
        <v>0.216</v>
      </c>
      <c r="L33" s="138">
        <v>240</v>
      </c>
      <c r="M33" s="75">
        <v>20</v>
      </c>
      <c r="N33" s="28">
        <f>L33*M33</f>
        <v>4800</v>
      </c>
      <c r="O33" s="154"/>
    </row>
    <row r="34" spans="1:20" s="2" customFormat="1" ht="18.600000000000001" customHeight="1">
      <c r="A34" s="9">
        <v>3</v>
      </c>
      <c r="B34" s="5" t="s">
        <v>1</v>
      </c>
      <c r="C34" s="23">
        <f>L34/100*100</f>
        <v>3000</v>
      </c>
      <c r="D34" s="121">
        <f>C34/100*344</f>
        <v>10320</v>
      </c>
      <c r="E34" s="25"/>
      <c r="F34" s="25">
        <f>C34/100*7.9</f>
        <v>237</v>
      </c>
      <c r="G34" s="25"/>
      <c r="H34" s="25">
        <f>C34/100*1</f>
        <v>30</v>
      </c>
      <c r="I34" s="120">
        <f>C34/100*73.2</f>
        <v>2196</v>
      </c>
      <c r="J34" s="27">
        <f>C34/100*30</f>
        <v>900</v>
      </c>
      <c r="K34" s="27">
        <f>C34/100*0.1</f>
        <v>3</v>
      </c>
      <c r="L34" s="138">
        <v>3000</v>
      </c>
      <c r="M34" s="75">
        <v>18</v>
      </c>
      <c r="N34" s="28">
        <f t="shared" ref="N34:N44" si="1">L34*M34</f>
        <v>54000</v>
      </c>
      <c r="O34" s="154"/>
    </row>
    <row r="35" spans="1:20" s="2" customFormat="1" ht="18.600000000000001" customHeight="1">
      <c r="A35" s="9">
        <v>4</v>
      </c>
      <c r="B35" s="5" t="s">
        <v>73</v>
      </c>
      <c r="C35" s="23">
        <f>L35/100*100</f>
        <v>2000</v>
      </c>
      <c r="D35" s="24">
        <f>C35/100*344</f>
        <v>6880</v>
      </c>
      <c r="E35" s="25"/>
      <c r="F35" s="25">
        <f>C35/100*8.6</f>
        <v>172</v>
      </c>
      <c r="G35" s="25"/>
      <c r="H35" s="25">
        <f>C35/100*1.5</f>
        <v>30</v>
      </c>
      <c r="I35" s="120">
        <f>C35/100*74.5</f>
        <v>1490</v>
      </c>
      <c r="J35" s="25">
        <f>C35/100*32</f>
        <v>640</v>
      </c>
      <c r="K35" s="25">
        <f>C35/100*0.14</f>
        <v>2.8000000000000003</v>
      </c>
      <c r="L35" s="138">
        <v>2000</v>
      </c>
      <c r="M35" s="75">
        <v>30</v>
      </c>
      <c r="N35" s="28">
        <f t="shared" si="1"/>
        <v>60000</v>
      </c>
      <c r="O35" s="154"/>
      <c r="P35" s="18"/>
    </row>
    <row r="36" spans="1:20" s="2" customFormat="1" ht="18.600000000000001" customHeight="1">
      <c r="A36" s="9">
        <v>5</v>
      </c>
      <c r="B36" s="147" t="s">
        <v>141</v>
      </c>
      <c r="C36" s="23">
        <f>L36/100*100</f>
        <v>1200</v>
      </c>
      <c r="D36" s="121">
        <f>C36/100*899</f>
        <v>10788</v>
      </c>
      <c r="E36" s="25"/>
      <c r="F36" s="25"/>
      <c r="G36" s="120">
        <f>C36/100*100</f>
        <v>1200</v>
      </c>
      <c r="H36" s="25"/>
      <c r="I36" s="25"/>
      <c r="J36" s="27"/>
      <c r="K36" s="27"/>
      <c r="L36" s="138">
        <v>1200</v>
      </c>
      <c r="M36" s="75">
        <v>68</v>
      </c>
      <c r="N36" s="28">
        <f t="shared" si="1"/>
        <v>81600</v>
      </c>
      <c r="O36" s="154"/>
    </row>
    <row r="37" spans="1:20" s="2" customFormat="1" ht="18.600000000000001" customHeight="1">
      <c r="A37" s="9">
        <v>6</v>
      </c>
      <c r="B37" s="5" t="s">
        <v>136</v>
      </c>
      <c r="C37" s="23">
        <f>L37/100*100</f>
        <v>120</v>
      </c>
      <c r="D37" s="24">
        <f>C37/100*247</f>
        <v>296.39999999999998</v>
      </c>
      <c r="E37" s="29"/>
      <c r="F37" s="29">
        <f>C37/100*17.5</f>
        <v>21</v>
      </c>
      <c r="G37" s="29"/>
      <c r="H37" s="29">
        <f>C37/100*1.6</f>
        <v>1.92</v>
      </c>
      <c r="I37" s="29">
        <f>C37/100*39.2</f>
        <v>47.04</v>
      </c>
      <c r="J37" s="71"/>
      <c r="K37" s="71"/>
      <c r="L37" s="374">
        <v>120</v>
      </c>
      <c r="M37" s="75">
        <v>50</v>
      </c>
      <c r="N37" s="28">
        <f t="shared" si="1"/>
        <v>6000</v>
      </c>
      <c r="O37" s="154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70</v>
      </c>
      <c r="C38" s="23">
        <f>L38/100*90</f>
        <v>50.400000000000006</v>
      </c>
      <c r="D38" s="24">
        <f>C38/100*253</f>
        <v>127.512</v>
      </c>
      <c r="E38" s="25"/>
      <c r="F38" s="25">
        <f>C38/100*32.4</f>
        <v>16.329599999999999</v>
      </c>
      <c r="G38" s="25"/>
      <c r="H38" s="25">
        <f>C38/100*3.6</f>
        <v>1.8144</v>
      </c>
      <c r="I38" s="25">
        <f>C38/100*21.1</f>
        <v>10.634400000000001</v>
      </c>
      <c r="J38" s="27">
        <f>C38/100*165.6</f>
        <v>83.462400000000002</v>
      </c>
      <c r="K38" s="27">
        <f>C38/100*0.14</f>
        <v>7.0560000000000012E-2</v>
      </c>
      <c r="L38" s="138">
        <v>56</v>
      </c>
      <c r="M38" s="75">
        <v>275</v>
      </c>
      <c r="N38" s="28">
        <f t="shared" si="1"/>
        <v>15400</v>
      </c>
      <c r="O38" s="154"/>
    </row>
    <row r="39" spans="1:20" s="2" customFormat="1" ht="18.600000000000001" customHeight="1">
      <c r="A39" s="9">
        <v>8</v>
      </c>
      <c r="B39" s="5" t="s">
        <v>138</v>
      </c>
      <c r="C39" s="23">
        <f>L39/100*100</f>
        <v>800</v>
      </c>
      <c r="D39" s="24">
        <f>C39/100*340</f>
        <v>2720</v>
      </c>
      <c r="E39" s="29"/>
      <c r="F39" s="29">
        <f>C39/100*0.7</f>
        <v>5.6</v>
      </c>
      <c r="G39" s="29"/>
      <c r="H39" s="29"/>
      <c r="I39" s="29">
        <f>C39/100*84.3</f>
        <v>674.4</v>
      </c>
      <c r="J39" s="71"/>
      <c r="K39" s="71"/>
      <c r="L39" s="374">
        <v>800</v>
      </c>
      <c r="M39" s="75">
        <v>180</v>
      </c>
      <c r="N39" s="28">
        <f t="shared" si="1"/>
        <v>144000</v>
      </c>
      <c r="O39" s="154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93</v>
      </c>
      <c r="C40" s="23">
        <f>L40/100*81.7</f>
        <v>3268</v>
      </c>
      <c r="D40" s="24">
        <f>C40/100*27</f>
        <v>882.36</v>
      </c>
      <c r="E40" s="29"/>
      <c r="F40" s="29">
        <f>C40/100*0.3</f>
        <v>9.8040000000000003</v>
      </c>
      <c r="G40" s="29"/>
      <c r="H40" s="29">
        <f>C40/100*0.1</f>
        <v>3.2680000000000002</v>
      </c>
      <c r="I40" s="29">
        <f>C40/100*6.1</f>
        <v>199.34799999999998</v>
      </c>
      <c r="J40" s="71">
        <f>C40/100*24</f>
        <v>784.31999999999994</v>
      </c>
      <c r="K40" s="71">
        <f>C40/100*0.06</f>
        <v>1.9607999999999999</v>
      </c>
      <c r="L40" s="374">
        <v>4000</v>
      </c>
      <c r="M40" s="26">
        <v>22</v>
      </c>
      <c r="N40" s="28">
        <f t="shared" si="1"/>
        <v>88000</v>
      </c>
      <c r="O40" s="154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169</v>
      </c>
      <c r="C41" s="23">
        <f>L41/100*55</f>
        <v>1655.5</v>
      </c>
      <c r="D41" s="121">
        <f>C41/100*196</f>
        <v>3244.7799999999997</v>
      </c>
      <c r="E41" s="25"/>
      <c r="F41" s="137">
        <f>C41/100*4.1</f>
        <v>67.875499999999988</v>
      </c>
      <c r="G41" s="25"/>
      <c r="H41" s="25">
        <f>C41/100*2.3</f>
        <v>38.076499999999996</v>
      </c>
      <c r="I41" s="25">
        <f>C41/100*39.6</f>
        <v>655.57799999999997</v>
      </c>
      <c r="J41" s="27">
        <f>C41/100*4</f>
        <v>66.22</v>
      </c>
      <c r="K41" s="27">
        <f>C41/100*0.15</f>
        <v>2.48325</v>
      </c>
      <c r="L41" s="377">
        <v>3010</v>
      </c>
      <c r="M41" s="75">
        <v>22</v>
      </c>
      <c r="N41" s="28">
        <f t="shared" si="1"/>
        <v>66220</v>
      </c>
      <c r="O41" s="378"/>
      <c r="P41" s="142"/>
      <c r="Q41" s="142"/>
    </row>
    <row r="42" spans="1:20" s="2" customFormat="1" ht="18.600000000000001" customHeight="1">
      <c r="A42" s="9">
        <v>11</v>
      </c>
      <c r="B42" s="5" t="s">
        <v>69</v>
      </c>
      <c r="C42" s="23">
        <f>L42/100*48</f>
        <v>3648</v>
      </c>
      <c r="D42" s="24">
        <f>C42/100*199</f>
        <v>7259.5199999999995</v>
      </c>
      <c r="E42" s="25">
        <f>C42/100*20.3</f>
        <v>740.54399999999998</v>
      </c>
      <c r="F42" s="25"/>
      <c r="G42" s="25">
        <f>C42/100*13.1</f>
        <v>477.88799999999992</v>
      </c>
      <c r="H42" s="25"/>
      <c r="I42" s="25"/>
      <c r="J42" s="27">
        <f>C42/100*12</f>
        <v>437.76</v>
      </c>
      <c r="K42" s="27">
        <f>C42/100*0.15</f>
        <v>5.4719999999999995</v>
      </c>
      <c r="L42" s="26">
        <v>7600</v>
      </c>
      <c r="M42" s="138">
        <v>84</v>
      </c>
      <c r="N42" s="28">
        <f t="shared" si="1"/>
        <v>638400</v>
      </c>
      <c r="O42" s="154"/>
      <c r="Q42" s="3"/>
      <c r="R42" s="3"/>
      <c r="S42" s="4"/>
    </row>
    <row r="43" spans="1:20" s="2" customFormat="1" ht="18.600000000000001" customHeight="1">
      <c r="A43" s="9">
        <v>12</v>
      </c>
      <c r="B43" s="10" t="s">
        <v>64</v>
      </c>
      <c r="C43" s="23">
        <f>L43/100*40</f>
        <v>2164</v>
      </c>
      <c r="D43" s="24">
        <f>C43/100*276</f>
        <v>5972.64</v>
      </c>
      <c r="E43" s="25">
        <f>C43/100*17.8</f>
        <v>385.19200000000001</v>
      </c>
      <c r="F43" s="25"/>
      <c r="G43" s="25">
        <f>C43/100*21.8</f>
        <v>471.75200000000001</v>
      </c>
      <c r="H43" s="25"/>
      <c r="I43" s="25"/>
      <c r="J43" s="27">
        <f>C43/100*13</f>
        <v>281.32</v>
      </c>
      <c r="K43" s="27">
        <f>C43/100*0.07</f>
        <v>1.5148000000000001</v>
      </c>
      <c r="L43" s="138">
        <v>5410</v>
      </c>
      <c r="M43" s="75">
        <v>63</v>
      </c>
      <c r="N43" s="125">
        <f t="shared" si="1"/>
        <v>340830</v>
      </c>
      <c r="O43" s="154"/>
    </row>
    <row r="44" spans="1:20" s="2" customFormat="1" ht="18.600000000000001" customHeight="1">
      <c r="A44" s="104">
        <v>13</v>
      </c>
      <c r="B44" s="113" t="s">
        <v>170</v>
      </c>
      <c r="C44" s="105">
        <f>L44/100*85</f>
        <v>178.5</v>
      </c>
      <c r="D44" s="106">
        <f>C44/100*11</f>
        <v>19.634999999999998</v>
      </c>
      <c r="E44" s="107"/>
      <c r="F44" s="107">
        <f>C44/100*2.2</f>
        <v>3.927</v>
      </c>
      <c r="G44" s="107"/>
      <c r="H44" s="107"/>
      <c r="I44" s="107">
        <f>C44/100*0.6</f>
        <v>1.071</v>
      </c>
      <c r="J44" s="115"/>
      <c r="K44" s="115"/>
      <c r="L44" s="398">
        <v>210</v>
      </c>
      <c r="M44" s="146">
        <v>30</v>
      </c>
      <c r="N44" s="109">
        <f t="shared" si="1"/>
        <v>6300</v>
      </c>
      <c r="O44" s="154"/>
      <c r="Q44" s="3"/>
      <c r="R44" s="3"/>
    </row>
    <row r="45" spans="1:20" ht="22.8" customHeight="1">
      <c r="A45" s="186" t="s">
        <v>0</v>
      </c>
      <c r="B45" s="196" t="s">
        <v>19</v>
      </c>
      <c r="C45" s="199" t="s">
        <v>8</v>
      </c>
      <c r="D45" s="199" t="s">
        <v>9</v>
      </c>
      <c r="E45" s="189" t="s">
        <v>11</v>
      </c>
      <c r="F45" s="190"/>
      <c r="G45" s="189" t="s">
        <v>13</v>
      </c>
      <c r="H45" s="190"/>
      <c r="I45" s="193" t="s">
        <v>16</v>
      </c>
      <c r="J45" s="193" t="s">
        <v>41</v>
      </c>
      <c r="K45" s="193" t="s">
        <v>42</v>
      </c>
      <c r="L45" s="350" t="s">
        <v>17</v>
      </c>
      <c r="M45" s="193" t="s">
        <v>57</v>
      </c>
      <c r="N45" s="186" t="s">
        <v>18</v>
      </c>
      <c r="O45" s="373"/>
    </row>
    <row r="46" spans="1:20" ht="22.8" customHeight="1">
      <c r="A46" s="187"/>
      <c r="B46" s="197"/>
      <c r="C46" s="200"/>
      <c r="D46" s="200"/>
      <c r="E46" s="191"/>
      <c r="F46" s="192"/>
      <c r="G46" s="191"/>
      <c r="H46" s="192"/>
      <c r="I46" s="194"/>
      <c r="J46" s="194"/>
      <c r="K46" s="194"/>
      <c r="L46" s="351"/>
      <c r="M46" s="194"/>
      <c r="N46" s="187"/>
      <c r="O46" s="174"/>
    </row>
    <row r="47" spans="1:20" ht="22.8" customHeight="1">
      <c r="A47" s="187"/>
      <c r="B47" s="197"/>
      <c r="C47" s="200"/>
      <c r="D47" s="200"/>
      <c r="E47" s="193" t="s">
        <v>10</v>
      </c>
      <c r="F47" s="193" t="s">
        <v>12</v>
      </c>
      <c r="G47" s="193" t="s">
        <v>14</v>
      </c>
      <c r="H47" s="193" t="s">
        <v>15</v>
      </c>
      <c r="I47" s="194"/>
      <c r="J47" s="194"/>
      <c r="K47" s="194"/>
      <c r="L47" s="351"/>
      <c r="M47" s="194"/>
      <c r="N47" s="187"/>
      <c r="O47" s="174"/>
    </row>
    <row r="48" spans="1:20" ht="22.8" customHeight="1">
      <c r="A48" s="188"/>
      <c r="B48" s="198"/>
      <c r="C48" s="201"/>
      <c r="D48" s="201"/>
      <c r="E48" s="195"/>
      <c r="F48" s="195"/>
      <c r="G48" s="195"/>
      <c r="H48" s="195"/>
      <c r="I48" s="195"/>
      <c r="J48" s="195"/>
      <c r="K48" s="195"/>
      <c r="L48" s="352"/>
      <c r="M48" s="195"/>
      <c r="N48" s="188"/>
      <c r="O48" s="174"/>
    </row>
    <row r="49" spans="1:23" s="2" customFormat="1" ht="19.2" customHeight="1">
      <c r="A49" s="21" t="s">
        <v>106</v>
      </c>
      <c r="B49" s="22"/>
      <c r="C49" s="34"/>
      <c r="D49" s="122">
        <f>SUM(D33:D44)</f>
        <v>48654.847000000002</v>
      </c>
      <c r="E49" s="43"/>
      <c r="F49" s="43"/>
      <c r="G49" s="43"/>
      <c r="H49" s="43"/>
      <c r="I49" s="43"/>
      <c r="J49" s="43"/>
      <c r="K49" s="43"/>
      <c r="L49" s="44"/>
      <c r="M49" s="319"/>
      <c r="N49" s="326">
        <f>SUM(N30:N44)</f>
        <v>1518550</v>
      </c>
      <c r="O49" s="154"/>
    </row>
    <row r="50" spans="1:23" ht="19.2" customHeight="1">
      <c r="A50" s="21" t="s">
        <v>7</v>
      </c>
      <c r="B50" s="22"/>
      <c r="C50" s="45"/>
      <c r="D50" s="46">
        <f>D49/D10</f>
        <v>243.274235</v>
      </c>
      <c r="E50" s="46"/>
      <c r="F50" s="46"/>
      <c r="G50" s="46"/>
      <c r="H50" s="46"/>
      <c r="I50" s="46"/>
      <c r="J50" s="46"/>
      <c r="K50" s="46"/>
      <c r="L50" s="47"/>
      <c r="M50" s="320"/>
      <c r="N50" s="327"/>
      <c r="O50" s="399"/>
      <c r="P50" s="2"/>
      <c r="Q50" s="2"/>
      <c r="R50" s="2"/>
      <c r="S50" s="2"/>
      <c r="T50" s="2"/>
      <c r="U50" s="2"/>
      <c r="V50" s="2"/>
    </row>
    <row r="51" spans="1:23" ht="19.2" customHeight="1">
      <c r="A51" s="304" t="s">
        <v>52</v>
      </c>
      <c r="B51" s="207"/>
      <c r="C51" s="375" t="s">
        <v>151</v>
      </c>
      <c r="D51" s="20" t="s">
        <v>58</v>
      </c>
      <c r="E51" s="46"/>
      <c r="F51" s="46"/>
      <c r="G51" s="46"/>
      <c r="H51" s="46"/>
      <c r="I51" s="46"/>
      <c r="J51" s="48"/>
      <c r="K51" s="48"/>
      <c r="L51" s="47"/>
      <c r="M51" s="47"/>
      <c r="N51" s="175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08"/>
      <c r="B52" s="209"/>
      <c r="C52" s="76" t="s">
        <v>60</v>
      </c>
      <c r="D52" s="20">
        <f>D50*100/1320</f>
        <v>18.429866287878788</v>
      </c>
      <c r="E52" s="46"/>
      <c r="F52" s="46"/>
      <c r="G52" s="46"/>
      <c r="H52" s="46"/>
      <c r="I52" s="46"/>
      <c r="J52" s="48"/>
      <c r="K52" s="48"/>
      <c r="L52" s="47"/>
      <c r="M52" s="47"/>
      <c r="N52" s="175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23" t="s">
        <v>107</v>
      </c>
      <c r="B53" s="224"/>
      <c r="C53" s="227"/>
      <c r="D53" s="305">
        <f>D27+D49</f>
        <v>139202.39449999999</v>
      </c>
      <c r="E53" s="124">
        <f t="shared" ref="E53:K53" si="2">SUM(E16:E44)</f>
        <v>3345.3539999999998</v>
      </c>
      <c r="F53" s="124">
        <f t="shared" si="2"/>
        <v>2256.7319500000003</v>
      </c>
      <c r="G53" s="124">
        <f t="shared" si="2"/>
        <v>2752.7979999999998</v>
      </c>
      <c r="H53" s="124">
        <f t="shared" si="2"/>
        <v>1208.1586999999997</v>
      </c>
      <c r="I53" s="348">
        <f t="shared" si="2"/>
        <v>19654.871100000004</v>
      </c>
      <c r="J53" s="348">
        <f t="shared" si="2"/>
        <v>58324.195400000004</v>
      </c>
      <c r="K53" s="210">
        <f t="shared" si="2"/>
        <v>108.79301999999997</v>
      </c>
      <c r="L53" s="239"/>
      <c r="M53" s="239"/>
      <c r="N53" s="355">
        <f>N27+N49</f>
        <v>4398950</v>
      </c>
      <c r="U53" s="12"/>
      <c r="V53" s="12"/>
    </row>
    <row r="54" spans="1:23" ht="19.2" customHeight="1">
      <c r="A54" s="225"/>
      <c r="B54" s="226"/>
      <c r="C54" s="228"/>
      <c r="D54" s="306"/>
      <c r="E54" s="221">
        <f>E53+F53</f>
        <v>5602.0859500000006</v>
      </c>
      <c r="F54" s="222"/>
      <c r="G54" s="221">
        <f>G53+H53</f>
        <v>3960.9566999999997</v>
      </c>
      <c r="H54" s="222"/>
      <c r="I54" s="349"/>
      <c r="J54" s="349"/>
      <c r="K54" s="211"/>
      <c r="L54" s="239"/>
      <c r="M54" s="239"/>
      <c r="N54" s="355"/>
      <c r="Q54" s="370"/>
      <c r="R54" s="370"/>
      <c r="S54" s="370"/>
      <c r="T54" s="370"/>
      <c r="U54" s="385"/>
      <c r="V54" s="385"/>
    </row>
    <row r="55" spans="1:23" ht="20.399999999999999" customHeight="1">
      <c r="A55" s="243" t="s">
        <v>77</v>
      </c>
      <c r="B55" s="244"/>
      <c r="C55" s="245"/>
      <c r="D55" s="143">
        <f>D53/D10</f>
        <v>696.01197249999996</v>
      </c>
      <c r="E55" s="380">
        <f>E53/D10</f>
        <v>16.726769999999998</v>
      </c>
      <c r="F55" s="381">
        <f>F53/D10</f>
        <v>11.283659750000002</v>
      </c>
      <c r="G55" s="380">
        <f>G53/D10</f>
        <v>13.76399</v>
      </c>
      <c r="H55" s="382">
        <f>H53/D10</f>
        <v>6.0407934999999986</v>
      </c>
      <c r="I55" s="353">
        <f>I53/D10</f>
        <v>98.274355500000013</v>
      </c>
      <c r="J55" s="353">
        <f>J53/D10</f>
        <v>291.62097700000004</v>
      </c>
      <c r="K55" s="302">
        <f>K53/D10</f>
        <v>0.54396509999999987</v>
      </c>
      <c r="L55" s="239"/>
      <c r="M55" s="239"/>
      <c r="N55" s="355"/>
      <c r="P55" s="388"/>
      <c r="Q55" s="370"/>
      <c r="R55" s="370"/>
      <c r="S55" s="370"/>
      <c r="T55" s="370"/>
      <c r="U55" s="370"/>
      <c r="V55" s="370"/>
    </row>
    <row r="56" spans="1:23" ht="20.399999999999999" customHeight="1">
      <c r="A56" s="246"/>
      <c r="B56" s="247"/>
      <c r="C56" s="248"/>
      <c r="D56" s="128"/>
      <c r="E56" s="383">
        <f>E55+F55</f>
        <v>28.01042975</v>
      </c>
      <c r="F56" s="384"/>
      <c r="G56" s="383">
        <f>G55+H55</f>
        <v>19.804783499999999</v>
      </c>
      <c r="H56" s="384"/>
      <c r="I56" s="354"/>
      <c r="J56" s="354"/>
      <c r="K56" s="303"/>
      <c r="L56" s="239"/>
      <c r="M56" s="239"/>
      <c r="N56" s="355"/>
    </row>
    <row r="57" spans="1:23" ht="20.399999999999999" customHeight="1">
      <c r="A57" s="316" t="s">
        <v>80</v>
      </c>
      <c r="B57" s="317"/>
      <c r="C57" s="318"/>
      <c r="D57" s="179" t="s">
        <v>28</v>
      </c>
      <c r="E57" s="231" t="s">
        <v>21</v>
      </c>
      <c r="F57" s="231"/>
      <c r="G57" s="231" t="s">
        <v>22</v>
      </c>
      <c r="H57" s="231"/>
      <c r="I57" s="176" t="s">
        <v>23</v>
      </c>
      <c r="J57" s="386">
        <v>600</v>
      </c>
      <c r="K57" s="386">
        <v>0.7</v>
      </c>
      <c r="L57" s="239"/>
      <c r="M57" s="239"/>
      <c r="N57" s="355"/>
      <c r="O57" s="387"/>
    </row>
    <row r="58" spans="1:23" ht="20.399999999999999" customHeight="1">
      <c r="A58" s="214" t="s">
        <v>78</v>
      </c>
      <c r="B58" s="215"/>
      <c r="C58" s="216"/>
      <c r="D58" s="49"/>
      <c r="E58" s="202">
        <f>E56*4.1</f>
        <v>114.84276197499999</v>
      </c>
      <c r="F58" s="203"/>
      <c r="G58" s="202">
        <f>G56*9</f>
        <v>178.24305149999998</v>
      </c>
      <c r="H58" s="203"/>
      <c r="I58" s="123">
        <f>I55*4.1</f>
        <v>402.92485755000001</v>
      </c>
      <c r="J58" s="249"/>
      <c r="K58" s="249"/>
      <c r="L58" s="239"/>
      <c r="M58" s="239"/>
      <c r="N58" s="355"/>
      <c r="O58" s="387"/>
      <c r="P58" s="379"/>
      <c r="Q58" s="369"/>
      <c r="R58" s="369"/>
      <c r="S58" s="369"/>
    </row>
    <row r="59" spans="1:23" ht="20.399999999999999" customHeight="1">
      <c r="A59" s="217" t="s">
        <v>81</v>
      </c>
      <c r="B59" s="218"/>
      <c r="C59" s="214" t="s">
        <v>59</v>
      </c>
      <c r="D59" s="216"/>
      <c r="E59" s="266">
        <f>E58*100/D55</f>
        <v>16.500113002725683</v>
      </c>
      <c r="F59" s="267"/>
      <c r="G59" s="266">
        <f>G58*100/D55</f>
        <v>25.609193310248692</v>
      </c>
      <c r="H59" s="267"/>
      <c r="I59" s="116">
        <f>I58*100/D55</f>
        <v>57.890506696707725</v>
      </c>
      <c r="J59" s="250"/>
      <c r="K59" s="250"/>
      <c r="L59" s="239"/>
      <c r="M59" s="239"/>
      <c r="N59" s="355"/>
      <c r="O59" s="387"/>
      <c r="P59" s="142"/>
      <c r="Q59" s="142"/>
      <c r="R59" s="142"/>
      <c r="S59" s="142"/>
    </row>
    <row r="60" spans="1:23" ht="20.399999999999999" customHeight="1">
      <c r="A60" s="219"/>
      <c r="B60" s="220"/>
      <c r="C60" s="214" t="s">
        <v>79</v>
      </c>
      <c r="D60" s="216"/>
      <c r="E60" s="214" t="s">
        <v>82</v>
      </c>
      <c r="F60" s="216"/>
      <c r="G60" s="214" t="s">
        <v>83</v>
      </c>
      <c r="H60" s="216"/>
      <c r="I60" s="179" t="s">
        <v>84</v>
      </c>
      <c r="J60" s="230"/>
      <c r="K60" s="230"/>
      <c r="L60" s="239"/>
      <c r="M60" s="239"/>
      <c r="N60" s="355"/>
      <c r="O60" s="387"/>
      <c r="P60" s="133"/>
    </row>
    <row r="61" spans="1:23" ht="20.399999999999999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4"/>
      <c r="M61" s="94"/>
      <c r="N61" s="95"/>
      <c r="O61" s="387"/>
    </row>
    <row r="62" spans="1:23" ht="21" customHeight="1">
      <c r="A62" s="296" t="s">
        <v>114</v>
      </c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387"/>
    </row>
    <row r="63" spans="1:23" ht="21" customHeight="1">
      <c r="A63" s="118" t="s">
        <v>115</v>
      </c>
      <c r="B63" s="297" t="s">
        <v>116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387"/>
    </row>
    <row r="64" spans="1:23" ht="21" customHeight="1">
      <c r="A64" s="119"/>
      <c r="B64" s="257" t="s">
        <v>224</v>
      </c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387"/>
    </row>
    <row r="65" spans="1:15" ht="21" customHeight="1">
      <c r="A65" s="119"/>
      <c r="B65" s="257" t="s">
        <v>197</v>
      </c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387"/>
    </row>
    <row r="66" spans="1:15" ht="21" customHeight="1">
      <c r="A66" s="119"/>
      <c r="B66" s="257" t="s">
        <v>190</v>
      </c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387"/>
    </row>
    <row r="67" spans="1:15" ht="21" customHeight="1">
      <c r="A67" s="90"/>
      <c r="B67" s="258" t="s">
        <v>117</v>
      </c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387"/>
    </row>
    <row r="68" spans="1:15" ht="21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4"/>
      <c r="M68" s="94"/>
      <c r="N68" s="95"/>
      <c r="O68" s="387"/>
    </row>
    <row r="69" spans="1:15" ht="21" customHeight="1">
      <c r="A69" s="259" t="s">
        <v>62</v>
      </c>
      <c r="B69" s="259"/>
      <c r="C69" s="259"/>
      <c r="D69" s="259"/>
      <c r="E69" s="389"/>
      <c r="F69" s="389"/>
      <c r="G69" s="389"/>
      <c r="H69" s="389"/>
      <c r="I69" s="389"/>
      <c r="J69" s="390" t="s">
        <v>33</v>
      </c>
      <c r="K69" s="390"/>
      <c r="L69" s="390"/>
      <c r="M69" s="390"/>
      <c r="N69" s="390"/>
      <c r="O69" s="387"/>
    </row>
    <row r="70" spans="1:15" ht="21" customHeight="1">
      <c r="A70" s="174"/>
      <c r="B70" s="174"/>
      <c r="C70" s="174"/>
      <c r="D70" s="389"/>
      <c r="E70" s="389"/>
      <c r="F70" s="389"/>
      <c r="G70" s="389"/>
      <c r="H70" s="391"/>
      <c r="I70" s="391"/>
      <c r="J70" s="391"/>
      <c r="K70" s="391"/>
      <c r="L70" s="391"/>
      <c r="M70" s="391"/>
      <c r="N70" s="391"/>
      <c r="O70" s="387"/>
    </row>
    <row r="71" spans="1:15" ht="21" customHeight="1">
      <c r="A71" s="174"/>
      <c r="B71" s="174"/>
      <c r="C71" s="174"/>
      <c r="D71" s="389"/>
      <c r="E71" s="389"/>
      <c r="F71" s="389"/>
      <c r="G71" s="389"/>
      <c r="H71" s="391"/>
      <c r="I71" s="391"/>
      <c r="J71" s="391"/>
      <c r="K71" s="391"/>
      <c r="L71" s="391"/>
      <c r="M71" s="391"/>
      <c r="N71" s="391"/>
      <c r="O71" s="387"/>
    </row>
    <row r="72" spans="1:15" ht="21" customHeight="1">
      <c r="A72" s="174"/>
      <c r="B72" s="174"/>
      <c r="C72" s="174"/>
      <c r="D72" s="389"/>
      <c r="E72" s="389"/>
      <c r="F72" s="389"/>
      <c r="G72" s="389"/>
      <c r="H72" s="391"/>
      <c r="I72" s="391"/>
      <c r="J72" s="392" t="s">
        <v>124</v>
      </c>
      <c r="K72" s="392"/>
      <c r="L72" s="392"/>
      <c r="M72" s="392"/>
      <c r="N72" s="392"/>
      <c r="O72" s="387"/>
    </row>
    <row r="73" spans="1:15" ht="21" customHeight="1">
      <c r="A73" s="260" t="s">
        <v>91</v>
      </c>
      <c r="B73" s="260"/>
      <c r="C73" s="260"/>
      <c r="D73" s="260"/>
      <c r="E73" s="389"/>
      <c r="F73" s="389"/>
      <c r="G73" s="389"/>
      <c r="H73" s="391"/>
      <c r="I73" s="391"/>
      <c r="J73" s="392"/>
      <c r="K73" s="392"/>
      <c r="L73" s="392"/>
      <c r="M73" s="392"/>
      <c r="N73" s="392"/>
      <c r="O73" s="387"/>
    </row>
    <row r="74" spans="1:15" ht="20.399999999999999" customHeight="1">
      <c r="A74" s="174"/>
      <c r="B74" s="174"/>
      <c r="C74" s="174"/>
      <c r="D74" s="389"/>
      <c r="E74" s="389"/>
      <c r="F74" s="389"/>
      <c r="G74" s="389"/>
      <c r="H74" s="391"/>
      <c r="I74" s="391"/>
      <c r="J74" s="391"/>
      <c r="K74" s="391"/>
      <c r="L74" s="391"/>
      <c r="M74" s="391"/>
      <c r="N74" s="391"/>
      <c r="O74" s="387"/>
    </row>
    <row r="75" spans="1:15" ht="20.399999999999999" customHeight="1">
      <c r="A75" s="174"/>
      <c r="B75" s="174"/>
      <c r="C75" s="174"/>
      <c r="D75" s="389"/>
      <c r="E75" s="389"/>
      <c r="F75" s="389"/>
      <c r="G75" s="389"/>
      <c r="H75" s="391"/>
      <c r="I75" s="391"/>
      <c r="J75" s="392" t="s">
        <v>127</v>
      </c>
      <c r="K75" s="392"/>
      <c r="L75" s="392"/>
      <c r="M75" s="392"/>
      <c r="N75" s="392"/>
      <c r="O75" s="387"/>
    </row>
    <row r="76" spans="1:15" ht="20.399999999999999" customHeight="1">
      <c r="A76" s="174"/>
      <c r="B76" s="174"/>
      <c r="C76" s="174"/>
      <c r="D76" s="389"/>
      <c r="E76" s="389"/>
      <c r="F76" s="389"/>
      <c r="G76" s="389"/>
      <c r="H76" s="391"/>
      <c r="I76" s="391"/>
      <c r="J76" s="391"/>
      <c r="K76" s="391"/>
      <c r="L76" s="391"/>
      <c r="M76" s="391"/>
      <c r="N76" s="391"/>
      <c r="O76" s="387"/>
    </row>
    <row r="77" spans="1:15" ht="20.399999999999999" customHeight="1">
      <c r="A77" s="174"/>
      <c r="B77" s="174"/>
      <c r="C77" s="174"/>
      <c r="D77" s="389"/>
      <c r="E77" s="389"/>
      <c r="F77" s="389"/>
      <c r="G77" s="389"/>
      <c r="H77" s="391"/>
      <c r="I77" s="391"/>
      <c r="J77" s="391"/>
      <c r="K77" s="391"/>
      <c r="L77" s="391"/>
      <c r="M77" s="391"/>
      <c r="N77" s="391"/>
      <c r="O77" s="387"/>
    </row>
    <row r="78" spans="1:15" ht="20.399999999999999" customHeight="1">
      <c r="A78" s="174"/>
      <c r="B78" s="174"/>
      <c r="C78" s="174"/>
      <c r="D78" s="389"/>
      <c r="E78" s="389"/>
      <c r="F78" s="389"/>
      <c r="G78" s="389"/>
      <c r="H78" s="391"/>
      <c r="I78" s="391"/>
      <c r="J78" s="391"/>
      <c r="K78" s="391"/>
      <c r="L78" s="391"/>
      <c r="M78" s="391"/>
      <c r="N78" s="391"/>
      <c r="O78" s="387"/>
    </row>
    <row r="79" spans="1:15" ht="20.399999999999999" customHeight="1">
      <c r="A79" s="174"/>
      <c r="B79" s="174"/>
      <c r="C79" s="174"/>
      <c r="D79" s="389"/>
      <c r="E79" s="389"/>
      <c r="F79" s="389"/>
      <c r="G79" s="389"/>
      <c r="H79" s="391"/>
      <c r="I79" s="391"/>
      <c r="J79" s="391"/>
      <c r="K79" s="391"/>
      <c r="L79" s="391"/>
      <c r="M79" s="391"/>
      <c r="N79" s="391"/>
      <c r="O79" s="387"/>
    </row>
    <row r="80" spans="1:15" ht="20.399999999999999" customHeight="1">
      <c r="A80" s="174"/>
      <c r="B80" s="174"/>
      <c r="C80" s="174"/>
      <c r="D80" s="389"/>
      <c r="E80" s="389"/>
      <c r="F80" s="389"/>
      <c r="G80" s="389"/>
      <c r="H80" s="391"/>
      <c r="I80" s="391"/>
      <c r="J80" s="391"/>
      <c r="K80" s="391"/>
      <c r="L80" s="391"/>
      <c r="M80" s="391"/>
      <c r="N80" s="391"/>
      <c r="O80" s="387"/>
    </row>
    <row r="81" spans="1:20" ht="20.399999999999999" customHeight="1">
      <c r="A81" s="174"/>
      <c r="B81" s="174"/>
      <c r="C81" s="174"/>
      <c r="D81" s="389"/>
      <c r="E81" s="389"/>
      <c r="F81" s="389"/>
      <c r="G81" s="389"/>
      <c r="H81" s="391"/>
      <c r="I81" s="391"/>
      <c r="J81" s="391"/>
      <c r="K81" s="391"/>
      <c r="L81" s="391"/>
      <c r="M81" s="391"/>
      <c r="N81" s="391"/>
      <c r="O81" s="387"/>
    </row>
    <row r="82" spans="1:20" ht="20.399999999999999" customHeight="1">
      <c r="A82" s="174"/>
      <c r="B82" s="174"/>
      <c r="C82" s="174"/>
      <c r="D82" s="389"/>
      <c r="E82" s="389"/>
      <c r="F82" s="389"/>
      <c r="G82" s="389"/>
      <c r="H82" s="391"/>
      <c r="I82" s="391"/>
      <c r="J82" s="391"/>
      <c r="K82" s="391"/>
      <c r="L82" s="391"/>
      <c r="M82" s="391"/>
      <c r="N82" s="391"/>
      <c r="O82" s="387"/>
    </row>
    <row r="83" spans="1:20" ht="20.399999999999999" customHeight="1">
      <c r="A83" s="174"/>
      <c r="B83" s="174"/>
      <c r="C83" s="174"/>
      <c r="D83" s="389"/>
      <c r="E83" s="389"/>
      <c r="F83" s="389"/>
      <c r="G83" s="389"/>
      <c r="H83" s="391"/>
      <c r="I83" s="391"/>
      <c r="J83" s="391"/>
      <c r="K83" s="391"/>
      <c r="L83" s="391"/>
      <c r="M83" s="391"/>
      <c r="N83" s="391"/>
      <c r="O83" s="387"/>
    </row>
    <row r="84" spans="1:20" ht="20.399999999999999" customHeight="1">
      <c r="A84" s="174"/>
      <c r="B84" s="174"/>
      <c r="C84" s="174"/>
      <c r="D84" s="389"/>
      <c r="E84" s="389"/>
      <c r="F84" s="389"/>
      <c r="G84" s="389"/>
      <c r="H84" s="391"/>
      <c r="I84" s="391"/>
      <c r="J84" s="391"/>
      <c r="K84" s="391"/>
      <c r="L84" s="391"/>
      <c r="M84" s="391"/>
      <c r="N84" s="391"/>
      <c r="O84" s="387"/>
    </row>
    <row r="85" spans="1:20" ht="19.8" customHeight="1">
      <c r="A85" s="11" t="s">
        <v>61</v>
      </c>
      <c r="B85" s="8"/>
      <c r="C85" s="8"/>
      <c r="D85" s="8"/>
      <c r="E85" s="8"/>
      <c r="F85" s="184" t="s">
        <v>32</v>
      </c>
      <c r="G85" s="184"/>
      <c r="H85" s="184"/>
      <c r="I85" s="184"/>
      <c r="J85" s="184"/>
      <c r="K85" s="184"/>
      <c r="L85" s="184"/>
      <c r="M85" s="184"/>
      <c r="N85" s="184"/>
      <c r="O85" s="371"/>
      <c r="P85" s="371"/>
      <c r="T85" s="2"/>
    </row>
    <row r="86" spans="1:20" ht="12" customHeight="1">
      <c r="A86" s="11"/>
      <c r="B86" s="8"/>
      <c r="C86" s="8"/>
      <c r="D86" s="8"/>
      <c r="E86" s="8"/>
      <c r="F86" s="178"/>
      <c r="G86" s="178"/>
      <c r="H86" s="178"/>
      <c r="I86" s="178"/>
      <c r="J86" s="178"/>
      <c r="K86" s="178"/>
      <c r="L86" s="178"/>
      <c r="M86" s="178"/>
      <c r="N86" s="178"/>
      <c r="O86" s="371"/>
      <c r="P86" s="371"/>
      <c r="T86" s="2"/>
    </row>
    <row r="87" spans="1:20" ht="19.8" customHeight="1">
      <c r="A87" s="8" t="s">
        <v>223</v>
      </c>
      <c r="B87" s="8"/>
      <c r="C87" s="8"/>
      <c r="D87" s="8"/>
      <c r="E87" s="8"/>
      <c r="F87" s="178"/>
      <c r="G87" s="178"/>
      <c r="H87" s="178"/>
      <c r="I87" s="178"/>
      <c r="J87" s="178"/>
      <c r="K87" s="178"/>
      <c r="L87" s="178"/>
      <c r="M87" s="178"/>
      <c r="N87" s="178"/>
      <c r="O87" s="371"/>
      <c r="P87" s="371"/>
      <c r="T87" s="2"/>
    </row>
    <row r="88" spans="1:20" ht="12.6" customHeight="1">
      <c r="A88" s="8"/>
      <c r="B88" s="8"/>
      <c r="C88" s="8"/>
      <c r="D88" s="8"/>
      <c r="E88" s="8"/>
      <c r="F88" s="178"/>
      <c r="G88" s="178"/>
      <c r="H88" s="178"/>
      <c r="I88" s="178"/>
      <c r="J88" s="178"/>
      <c r="K88" s="178"/>
      <c r="L88" s="178"/>
      <c r="M88" s="178"/>
      <c r="N88" s="178"/>
      <c r="O88" s="371"/>
      <c r="P88" s="371"/>
      <c r="T88" s="2"/>
    </row>
    <row r="89" spans="1:20" s="2" customFormat="1" ht="16.2" customHeight="1">
      <c r="A89" s="231" t="s">
        <v>97</v>
      </c>
      <c r="B89" s="231"/>
      <c r="C89" s="231"/>
      <c r="D89" s="231"/>
      <c r="E89" s="231" t="s">
        <v>89</v>
      </c>
      <c r="F89" s="231"/>
      <c r="G89" s="231"/>
      <c r="H89" s="231"/>
      <c r="I89" s="231"/>
      <c r="J89" s="231"/>
      <c r="K89" s="231"/>
      <c r="L89" s="231"/>
      <c r="M89" s="231"/>
      <c r="N89" s="231"/>
      <c r="O89" s="372"/>
    </row>
    <row r="90" spans="1:20" s="2" customFormat="1" ht="16.2" customHeight="1">
      <c r="A90" s="231"/>
      <c r="B90" s="231"/>
      <c r="C90" s="231"/>
      <c r="D90" s="231"/>
      <c r="E90" s="231" t="s">
        <v>100</v>
      </c>
      <c r="F90" s="231"/>
      <c r="G90" s="231"/>
      <c r="H90" s="231"/>
      <c r="I90" s="231"/>
      <c r="J90" s="231" t="s">
        <v>101</v>
      </c>
      <c r="K90" s="231"/>
      <c r="L90" s="231"/>
      <c r="M90" s="231"/>
      <c r="N90" s="231"/>
      <c r="O90" s="372"/>
    </row>
    <row r="91" spans="1:20" s="2" customFormat="1" ht="16.2" customHeight="1">
      <c r="A91" s="268" t="s">
        <v>90</v>
      </c>
      <c r="B91" s="268"/>
      <c r="C91" s="268"/>
      <c r="D91" s="268"/>
      <c r="E91" s="269" t="s">
        <v>168</v>
      </c>
      <c r="F91" s="269"/>
      <c r="G91" s="269"/>
      <c r="H91" s="269"/>
      <c r="I91" s="269"/>
      <c r="J91" s="332" t="s">
        <v>90</v>
      </c>
      <c r="K91" s="333"/>
      <c r="L91" s="333"/>
      <c r="M91" s="333"/>
      <c r="N91" s="334"/>
      <c r="O91" s="372"/>
    </row>
    <row r="92" spans="1:20" s="2" customFormat="1" ht="16.2" customHeight="1">
      <c r="A92" s="344" t="s">
        <v>167</v>
      </c>
      <c r="B92" s="345"/>
      <c r="C92" s="345"/>
      <c r="D92" s="346"/>
      <c r="E92" s="269"/>
      <c r="F92" s="269"/>
      <c r="G92" s="269"/>
      <c r="H92" s="269"/>
      <c r="I92" s="269"/>
      <c r="J92" s="180" t="s">
        <v>132</v>
      </c>
      <c r="K92" s="181"/>
      <c r="L92" s="181"/>
      <c r="M92" s="181"/>
      <c r="N92" s="182"/>
      <c r="O92" s="372"/>
    </row>
    <row r="93" spans="1:20" s="2" customFormat="1" ht="16.2" customHeight="1">
      <c r="A93" s="347" t="s">
        <v>188</v>
      </c>
      <c r="B93" s="347"/>
      <c r="C93" s="347"/>
      <c r="D93" s="347"/>
      <c r="E93" s="269"/>
      <c r="F93" s="269"/>
      <c r="G93" s="269"/>
      <c r="H93" s="269"/>
      <c r="I93" s="269"/>
      <c r="J93" s="335" t="s">
        <v>133</v>
      </c>
      <c r="K93" s="336"/>
      <c r="L93" s="336"/>
      <c r="M93" s="336"/>
      <c r="N93" s="337"/>
      <c r="O93" s="372"/>
    </row>
    <row r="94" spans="1:20" s="2" customFormat="1" ht="16.2" customHeight="1">
      <c r="A94" s="278" t="s">
        <v>122</v>
      </c>
      <c r="B94" s="279"/>
      <c r="C94" s="280"/>
      <c r="D94" s="129">
        <v>49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72"/>
    </row>
    <row r="95" spans="1:20" ht="19.8" customHeight="1">
      <c r="A95" s="186" t="s">
        <v>0</v>
      </c>
      <c r="B95" s="196" t="s">
        <v>19</v>
      </c>
      <c r="C95" s="199" t="s">
        <v>8</v>
      </c>
      <c r="D95" s="199" t="s">
        <v>9</v>
      </c>
      <c r="E95" s="189" t="s">
        <v>11</v>
      </c>
      <c r="F95" s="190"/>
      <c r="G95" s="189" t="s">
        <v>13</v>
      </c>
      <c r="H95" s="190"/>
      <c r="I95" s="193" t="s">
        <v>16</v>
      </c>
      <c r="J95" s="193" t="s">
        <v>41</v>
      </c>
      <c r="K95" s="193" t="s">
        <v>42</v>
      </c>
      <c r="L95" s="350" t="s">
        <v>17</v>
      </c>
      <c r="M95" s="193" t="s">
        <v>57</v>
      </c>
      <c r="N95" s="186" t="s">
        <v>18</v>
      </c>
      <c r="O95" s="373"/>
    </row>
    <row r="96" spans="1:20" ht="19.8" customHeight="1">
      <c r="A96" s="187"/>
      <c r="B96" s="197"/>
      <c r="C96" s="200"/>
      <c r="D96" s="200"/>
      <c r="E96" s="191"/>
      <c r="F96" s="192"/>
      <c r="G96" s="191"/>
      <c r="H96" s="192"/>
      <c r="I96" s="194"/>
      <c r="J96" s="194"/>
      <c r="K96" s="194"/>
      <c r="L96" s="351"/>
      <c r="M96" s="194"/>
      <c r="N96" s="187"/>
      <c r="O96" s="174"/>
    </row>
    <row r="97" spans="1:22" ht="19.8" customHeight="1">
      <c r="A97" s="187"/>
      <c r="B97" s="197"/>
      <c r="C97" s="200"/>
      <c r="D97" s="200"/>
      <c r="E97" s="193" t="s">
        <v>10</v>
      </c>
      <c r="F97" s="193" t="s">
        <v>12</v>
      </c>
      <c r="G97" s="193" t="s">
        <v>14</v>
      </c>
      <c r="H97" s="193" t="s">
        <v>15</v>
      </c>
      <c r="I97" s="194"/>
      <c r="J97" s="194"/>
      <c r="K97" s="194"/>
      <c r="L97" s="351"/>
      <c r="M97" s="194"/>
      <c r="N97" s="187"/>
      <c r="O97" s="174"/>
    </row>
    <row r="98" spans="1:22" ht="19.8" customHeight="1">
      <c r="A98" s="188"/>
      <c r="B98" s="198"/>
      <c r="C98" s="201"/>
      <c r="D98" s="201"/>
      <c r="E98" s="195"/>
      <c r="F98" s="195"/>
      <c r="G98" s="195"/>
      <c r="H98" s="195"/>
      <c r="I98" s="195"/>
      <c r="J98" s="195"/>
      <c r="K98" s="195"/>
      <c r="L98" s="352"/>
      <c r="M98" s="195"/>
      <c r="N98" s="188"/>
      <c r="O98" s="174"/>
    </row>
    <row r="99" spans="1:22" ht="16.2" customHeight="1">
      <c r="A99" s="233" t="s">
        <v>39</v>
      </c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5"/>
      <c r="O99" s="174"/>
    </row>
    <row r="100" spans="1:22" s="2" customFormat="1" ht="16.2" customHeight="1">
      <c r="A100" s="9">
        <v>1</v>
      </c>
      <c r="B100" s="10" t="s">
        <v>2</v>
      </c>
      <c r="C100" s="23">
        <f>L100/100*100</f>
        <v>70</v>
      </c>
      <c r="D100" s="24">
        <f>C100/100*60</f>
        <v>42</v>
      </c>
      <c r="E100" s="25">
        <f>C100/100*15</f>
        <v>10.5</v>
      </c>
      <c r="F100" s="25"/>
      <c r="G100" s="25"/>
      <c r="H100" s="25"/>
      <c r="I100" s="25"/>
      <c r="J100" s="27">
        <f>C100/100*387</f>
        <v>270.89999999999998</v>
      </c>
      <c r="K100" s="27">
        <f>C100/100*0.09</f>
        <v>6.3E-2</v>
      </c>
      <c r="L100" s="138">
        <v>70</v>
      </c>
      <c r="M100" s="75">
        <v>20</v>
      </c>
      <c r="N100" s="28">
        <f>L100*M100</f>
        <v>1400</v>
      </c>
      <c r="O100" s="154"/>
    </row>
    <row r="101" spans="1:22" s="2" customFormat="1" ht="16.2" customHeight="1">
      <c r="A101" s="9">
        <v>2</v>
      </c>
      <c r="B101" s="147" t="s">
        <v>141</v>
      </c>
      <c r="C101" s="23">
        <f>L101/100*100</f>
        <v>100</v>
      </c>
      <c r="D101" s="24">
        <f>C101/100*899</f>
        <v>899</v>
      </c>
      <c r="E101" s="25"/>
      <c r="F101" s="25"/>
      <c r="G101" s="25">
        <f>C101/100*100</f>
        <v>100</v>
      </c>
      <c r="H101" s="25"/>
      <c r="I101" s="25"/>
      <c r="J101" s="25"/>
      <c r="K101" s="25"/>
      <c r="L101" s="138">
        <v>100</v>
      </c>
      <c r="M101" s="121">
        <v>68</v>
      </c>
      <c r="N101" s="28">
        <f t="shared" ref="N101:N109" si="3">L101*M101</f>
        <v>6800</v>
      </c>
      <c r="O101" s="376"/>
    </row>
    <row r="102" spans="1:22" s="2" customFormat="1" ht="16.2" customHeight="1">
      <c r="A102" s="9">
        <v>3</v>
      </c>
      <c r="B102" s="149" t="s">
        <v>146</v>
      </c>
      <c r="C102" s="23">
        <f>L102/100*100</f>
        <v>310</v>
      </c>
      <c r="D102" s="121">
        <f>C102/100*900</f>
        <v>2790</v>
      </c>
      <c r="E102" s="25"/>
      <c r="F102" s="25"/>
      <c r="G102" s="120"/>
      <c r="H102" s="25">
        <f>C102/100*100</f>
        <v>310</v>
      </c>
      <c r="I102" s="25"/>
      <c r="J102" s="25"/>
      <c r="K102" s="25"/>
      <c r="L102" s="138">
        <v>310</v>
      </c>
      <c r="M102" s="75">
        <v>63.5</v>
      </c>
      <c r="N102" s="28">
        <f t="shared" si="3"/>
        <v>19685</v>
      </c>
      <c r="O102" s="376"/>
    </row>
    <row r="103" spans="1:22" s="2" customFormat="1" ht="16.2" customHeight="1">
      <c r="A103" s="9">
        <v>4</v>
      </c>
      <c r="B103" s="5" t="s">
        <v>1</v>
      </c>
      <c r="C103" s="23">
        <f>L103/100*100</f>
        <v>2107</v>
      </c>
      <c r="D103" s="24">
        <f>C103/100*344</f>
        <v>7248.08</v>
      </c>
      <c r="E103" s="25"/>
      <c r="F103" s="25">
        <f>C103/100*7.9</f>
        <v>166.453</v>
      </c>
      <c r="G103" s="25"/>
      <c r="H103" s="25">
        <f>C103/100*1</f>
        <v>21.07</v>
      </c>
      <c r="I103" s="120">
        <f>C103/100*73.2</f>
        <v>1542.3240000000001</v>
      </c>
      <c r="J103" s="27">
        <f>C103/100*30</f>
        <v>632.1</v>
      </c>
      <c r="K103" s="27">
        <f>C103/100*0.1</f>
        <v>2.1070000000000002</v>
      </c>
      <c r="L103" s="138">
        <v>2107</v>
      </c>
      <c r="M103" s="75">
        <v>18</v>
      </c>
      <c r="N103" s="28">
        <f t="shared" si="3"/>
        <v>37926</v>
      </c>
      <c r="O103" s="154"/>
    </row>
    <row r="104" spans="1:22" s="2" customFormat="1" ht="16.2" customHeight="1">
      <c r="A104" s="9">
        <v>5</v>
      </c>
      <c r="B104" s="5" t="s">
        <v>96</v>
      </c>
      <c r="C104" s="23">
        <f>L104/100*90</f>
        <v>945</v>
      </c>
      <c r="D104" s="24">
        <f>C104/100*90</f>
        <v>850.49999999999989</v>
      </c>
      <c r="E104" s="25">
        <f>C104/100*18.4</f>
        <v>173.87999999999997</v>
      </c>
      <c r="F104" s="25"/>
      <c r="G104" s="25">
        <f>C104/100*1.8</f>
        <v>17.009999999999998</v>
      </c>
      <c r="H104" s="25"/>
      <c r="I104" s="25"/>
      <c r="J104" s="81">
        <f>C104/100*1120</f>
        <v>10584</v>
      </c>
      <c r="K104" s="27">
        <f>C104/100*0.02</f>
        <v>0.189</v>
      </c>
      <c r="L104" s="138">
        <v>1050</v>
      </c>
      <c r="M104" s="26">
        <v>260</v>
      </c>
      <c r="N104" s="125">
        <f t="shared" si="3"/>
        <v>273000</v>
      </c>
      <c r="O104" s="154"/>
      <c r="Q104" s="3"/>
      <c r="R104" s="3"/>
      <c r="S104" s="4"/>
    </row>
    <row r="105" spans="1:22" s="2" customFormat="1" ht="16.2" customHeight="1">
      <c r="A105" s="9">
        <v>6</v>
      </c>
      <c r="B105" s="10" t="s">
        <v>71</v>
      </c>
      <c r="C105" s="23">
        <f>L105/100*98</f>
        <v>1440.6</v>
      </c>
      <c r="D105" s="24">
        <f>C105/100*139</f>
        <v>2002.4339999999997</v>
      </c>
      <c r="E105" s="25">
        <f>C105/100*19</f>
        <v>273.714</v>
      </c>
      <c r="F105" s="25"/>
      <c r="G105" s="25">
        <f>C105/100*7</f>
        <v>100.84199999999998</v>
      </c>
      <c r="H105" s="25"/>
      <c r="I105" s="25"/>
      <c r="J105" s="27">
        <f>C105/100*7</f>
        <v>100.84199999999998</v>
      </c>
      <c r="K105" s="27">
        <f>C105/100*0.9</f>
        <v>12.965399999999999</v>
      </c>
      <c r="L105" s="138">
        <v>1470</v>
      </c>
      <c r="M105" s="144">
        <v>137</v>
      </c>
      <c r="N105" s="28">
        <f t="shared" si="3"/>
        <v>201390</v>
      </c>
      <c r="O105" s="154"/>
    </row>
    <row r="106" spans="1:22" s="2" customFormat="1" ht="16.2" customHeight="1">
      <c r="A106" s="9">
        <v>7</v>
      </c>
      <c r="B106" s="5" t="s">
        <v>20</v>
      </c>
      <c r="C106" s="23">
        <f>L106/100*95</f>
        <v>332.5</v>
      </c>
      <c r="D106" s="24">
        <f>C106/100*20</f>
        <v>66.5</v>
      </c>
      <c r="E106" s="25"/>
      <c r="F106" s="25">
        <f>C106/100*0.6</f>
        <v>1.9950000000000001</v>
      </c>
      <c r="G106" s="25"/>
      <c r="H106" s="25">
        <f>C106/100*0.2</f>
        <v>0.66500000000000004</v>
      </c>
      <c r="I106" s="25">
        <f>C106/100*4</f>
        <v>13.3</v>
      </c>
      <c r="J106" s="27">
        <f>C106/100*12</f>
        <v>39.900000000000006</v>
      </c>
      <c r="K106" s="24">
        <f>C106/100*0.04</f>
        <v>0.13300000000000001</v>
      </c>
      <c r="L106" s="138">
        <v>350</v>
      </c>
      <c r="M106" s="77">
        <v>30</v>
      </c>
      <c r="N106" s="28">
        <f t="shared" si="3"/>
        <v>10500</v>
      </c>
      <c r="O106" s="397"/>
      <c r="Q106" s="3"/>
      <c r="R106" s="3"/>
      <c r="S106" s="4"/>
    </row>
    <row r="107" spans="1:22" s="2" customFormat="1" ht="16.2" customHeight="1">
      <c r="A107" s="9">
        <v>8</v>
      </c>
      <c r="B107" s="5" t="s">
        <v>154</v>
      </c>
      <c r="C107" s="23">
        <f>L107/100*81</f>
        <v>396.90000000000003</v>
      </c>
      <c r="D107" s="24">
        <f>C107/100*17</f>
        <v>67.472999999999999</v>
      </c>
      <c r="E107" s="29"/>
      <c r="F107" s="29">
        <f>C107/100*0.9</f>
        <v>3.5721000000000003</v>
      </c>
      <c r="G107" s="29"/>
      <c r="H107" s="29">
        <f>C107/100*0.2</f>
        <v>0.79380000000000006</v>
      </c>
      <c r="I107" s="29">
        <f>C107/100*2.8</f>
        <v>11.113200000000001</v>
      </c>
      <c r="J107" s="25">
        <f>C107/100*28</f>
        <v>111.13200000000001</v>
      </c>
      <c r="K107" s="27">
        <f>C107/100*0.04</f>
        <v>0.15876000000000001</v>
      </c>
      <c r="L107" s="374">
        <v>490</v>
      </c>
      <c r="M107" s="75">
        <v>20</v>
      </c>
      <c r="N107" s="28">
        <f t="shared" si="3"/>
        <v>9800</v>
      </c>
      <c r="O107" s="154"/>
      <c r="P107" s="3"/>
    </row>
    <row r="108" spans="1:22" s="142" customFormat="1" ht="16.2" customHeight="1">
      <c r="A108" s="165">
        <v>9</v>
      </c>
      <c r="B108" s="150" t="s">
        <v>189</v>
      </c>
      <c r="C108" s="166">
        <f>L108/100*65</f>
        <v>890.5</v>
      </c>
      <c r="D108" s="140">
        <f>C108/100*14</f>
        <v>124.66999999999999</v>
      </c>
      <c r="E108" s="137"/>
      <c r="F108" s="137">
        <f>C108/100*1.6</f>
        <v>14.247999999999999</v>
      </c>
      <c r="G108" s="137"/>
      <c r="H108" s="137"/>
      <c r="I108" s="137">
        <f>C108/100*1.9</f>
        <v>16.919499999999999</v>
      </c>
      <c r="J108" s="137">
        <f>C108/100*63</f>
        <v>561.01499999999999</v>
      </c>
      <c r="K108" s="137">
        <f>C108/100*0.01</f>
        <v>8.904999999999999E-2</v>
      </c>
      <c r="L108" s="138">
        <v>1370</v>
      </c>
      <c r="M108" s="167">
        <v>18</v>
      </c>
      <c r="N108" s="136">
        <f t="shared" si="3"/>
        <v>24660</v>
      </c>
      <c r="O108" s="378"/>
    </row>
    <row r="109" spans="1:22" s="2" customFormat="1" ht="16.2" customHeight="1">
      <c r="A109" s="9">
        <v>10</v>
      </c>
      <c r="B109" s="5" t="s">
        <v>136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4">
        <v>40</v>
      </c>
      <c r="M109" s="75">
        <v>50</v>
      </c>
      <c r="N109" s="28">
        <f t="shared" si="3"/>
        <v>2000</v>
      </c>
      <c r="O109" s="154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123</v>
      </c>
      <c r="C110" s="23"/>
      <c r="D110" s="24"/>
      <c r="E110" s="25"/>
      <c r="F110" s="25"/>
      <c r="G110" s="25"/>
      <c r="H110" s="25"/>
      <c r="I110" s="25"/>
      <c r="J110" s="27"/>
      <c r="K110" s="27"/>
      <c r="L110" s="26"/>
      <c r="M110" s="26"/>
      <c r="N110" s="28">
        <v>3200</v>
      </c>
      <c r="O110" s="154"/>
      <c r="Q110" s="3"/>
      <c r="R110" s="3"/>
      <c r="S110" s="4"/>
      <c r="T110" s="3"/>
    </row>
    <row r="111" spans="1:22" s="2" customFormat="1" ht="16.2" customHeight="1">
      <c r="A111" s="21" t="s">
        <v>118</v>
      </c>
      <c r="B111" s="22"/>
      <c r="C111" s="34"/>
      <c r="D111" s="122">
        <f>SUM(D100:D110)</f>
        <v>14189.456999999999</v>
      </c>
      <c r="E111" s="43"/>
      <c r="F111" s="43"/>
      <c r="G111" s="43"/>
      <c r="H111" s="43"/>
      <c r="I111" s="43"/>
      <c r="J111" s="43"/>
      <c r="K111" s="43"/>
      <c r="L111" s="44"/>
      <c r="M111" s="319"/>
      <c r="N111" s="326">
        <f>SUM(N100:N110)</f>
        <v>590361</v>
      </c>
      <c r="O111" s="154"/>
    </row>
    <row r="112" spans="1:22" ht="16.2" customHeight="1">
      <c r="A112" s="21" t="s">
        <v>37</v>
      </c>
      <c r="B112" s="22"/>
      <c r="C112" s="45"/>
      <c r="D112" s="46">
        <f>D111/D94</f>
        <v>289.58075510204077</v>
      </c>
      <c r="E112" s="46"/>
      <c r="F112" s="46"/>
      <c r="G112" s="46"/>
      <c r="H112" s="46"/>
      <c r="I112" s="46"/>
      <c r="J112" s="46"/>
      <c r="K112" s="46"/>
      <c r="L112" s="47"/>
      <c r="M112" s="320"/>
      <c r="N112" s="327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304" t="s">
        <v>53</v>
      </c>
      <c r="B113" s="207"/>
      <c r="C113" s="375" t="s">
        <v>151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5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08"/>
      <c r="B114" s="209"/>
      <c r="C114" s="76" t="s">
        <v>60</v>
      </c>
      <c r="D114" s="78">
        <f>D112*100/930</f>
        <v>31.137715602369976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5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76" t="s">
        <v>38</v>
      </c>
      <c r="B115" s="276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4"/>
    </row>
    <row r="116" spans="1:23" s="2" customFormat="1" ht="16.2" customHeight="1">
      <c r="A116" s="9">
        <v>1</v>
      </c>
      <c r="B116" s="10" t="s">
        <v>2</v>
      </c>
      <c r="C116" s="23">
        <f>L116/100*100</f>
        <v>60</v>
      </c>
      <c r="D116" s="24">
        <f>C116/100*60</f>
        <v>36</v>
      </c>
      <c r="E116" s="25">
        <f>C116/100*15</f>
        <v>9</v>
      </c>
      <c r="F116" s="25"/>
      <c r="G116" s="25"/>
      <c r="H116" s="25"/>
      <c r="I116" s="25"/>
      <c r="J116" s="27">
        <f>C116/100*387</f>
        <v>232.2</v>
      </c>
      <c r="K116" s="27">
        <f>C116/100*0.09</f>
        <v>5.3999999999999999E-2</v>
      </c>
      <c r="L116" s="138">
        <v>60</v>
      </c>
      <c r="M116" s="75">
        <v>20</v>
      </c>
      <c r="N116" s="136">
        <f>L116*M116</f>
        <v>1200</v>
      </c>
      <c r="O116" s="154"/>
    </row>
    <row r="117" spans="1:23" s="2" customFormat="1" ht="16.2" customHeight="1">
      <c r="A117" s="9">
        <v>2</v>
      </c>
      <c r="B117" s="147" t="s">
        <v>141</v>
      </c>
      <c r="C117" s="23">
        <f>L117/100*100</f>
        <v>240</v>
      </c>
      <c r="D117" s="24">
        <f>C117/100*899</f>
        <v>2157.6</v>
      </c>
      <c r="E117" s="25"/>
      <c r="F117" s="25"/>
      <c r="G117" s="25">
        <f>C117/100*100</f>
        <v>240</v>
      </c>
      <c r="H117" s="25"/>
      <c r="I117" s="25"/>
      <c r="J117" s="27"/>
      <c r="K117" s="27"/>
      <c r="L117" s="138">
        <v>240</v>
      </c>
      <c r="M117" s="75">
        <v>68</v>
      </c>
      <c r="N117" s="136">
        <f t="shared" ref="N117:N123" si="4">L117*M117</f>
        <v>16320</v>
      </c>
      <c r="O117" s="154"/>
    </row>
    <row r="118" spans="1:23" s="2" customFormat="1" ht="16.2" customHeight="1">
      <c r="A118" s="9">
        <v>3</v>
      </c>
      <c r="B118" s="5" t="s">
        <v>1</v>
      </c>
      <c r="C118" s="23">
        <f>L118/100*100</f>
        <v>2058</v>
      </c>
      <c r="D118" s="24">
        <f>C118/100*344</f>
        <v>7079.5199999999995</v>
      </c>
      <c r="E118" s="25"/>
      <c r="F118" s="25">
        <f>C118/100*7.9</f>
        <v>162.58199999999999</v>
      </c>
      <c r="G118" s="25"/>
      <c r="H118" s="25">
        <f>C118/100*1</f>
        <v>20.58</v>
      </c>
      <c r="I118" s="120">
        <f>C118/100*73.2</f>
        <v>1506.4559999999999</v>
      </c>
      <c r="J118" s="27">
        <f>C118/100*30</f>
        <v>617.4</v>
      </c>
      <c r="K118" s="27">
        <f>C118/100*0.1</f>
        <v>2.0579999999999998</v>
      </c>
      <c r="L118" s="138">
        <v>2058</v>
      </c>
      <c r="M118" s="75">
        <v>18</v>
      </c>
      <c r="N118" s="136">
        <f t="shared" si="4"/>
        <v>37044</v>
      </c>
      <c r="O118" s="154"/>
    </row>
    <row r="119" spans="1:23" s="2" customFormat="1" ht="16.2" customHeight="1">
      <c r="A119" s="9">
        <v>4</v>
      </c>
      <c r="B119" s="10" t="s">
        <v>64</v>
      </c>
      <c r="C119" s="23">
        <f>L119/100*40</f>
        <v>392</v>
      </c>
      <c r="D119" s="24">
        <f>C119/100*276</f>
        <v>1081.92</v>
      </c>
      <c r="E119" s="25">
        <f>C119/100*17.8</f>
        <v>69.775999999999996</v>
      </c>
      <c r="F119" s="25"/>
      <c r="G119" s="25">
        <f>C119/100*21.8</f>
        <v>85.456000000000003</v>
      </c>
      <c r="H119" s="25"/>
      <c r="I119" s="137"/>
      <c r="J119" s="27">
        <f>C119/100*13</f>
        <v>50.96</v>
      </c>
      <c r="K119" s="27">
        <f>C119/100*0.07</f>
        <v>0.27440000000000003</v>
      </c>
      <c r="L119" s="138">
        <v>980</v>
      </c>
      <c r="M119" s="75">
        <v>63</v>
      </c>
      <c r="N119" s="28">
        <f t="shared" si="4"/>
        <v>61740</v>
      </c>
      <c r="O119" s="154"/>
    </row>
    <row r="120" spans="1:23" s="2" customFormat="1" ht="16.2" customHeight="1">
      <c r="A120" s="9">
        <v>5</v>
      </c>
      <c r="B120" s="5" t="s">
        <v>30</v>
      </c>
      <c r="C120" s="23">
        <f>L120/100*88</f>
        <v>1425.6</v>
      </c>
      <c r="D120" s="24">
        <f>C120/100*184</f>
        <v>2623.1039999999998</v>
      </c>
      <c r="E120" s="25">
        <f>C120/100*13</f>
        <v>185.32799999999997</v>
      </c>
      <c r="F120" s="25"/>
      <c r="G120" s="25">
        <f>C120/100*14.2</f>
        <v>202.43519999999998</v>
      </c>
      <c r="H120" s="25"/>
      <c r="I120" s="25">
        <f>C120/100*1</f>
        <v>14.255999999999998</v>
      </c>
      <c r="J120" s="81">
        <f>C120/100*71</f>
        <v>1012.1759999999999</v>
      </c>
      <c r="K120" s="27">
        <f>C120/100*0.15</f>
        <v>2.1383999999999999</v>
      </c>
      <c r="L120" s="138">
        <v>1620</v>
      </c>
      <c r="M120" s="75">
        <v>62</v>
      </c>
      <c r="N120" s="28">
        <f t="shared" si="4"/>
        <v>100440</v>
      </c>
      <c r="O120" s="154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23">
        <f>L121/100*95</f>
        <v>703</v>
      </c>
      <c r="D121" s="24">
        <f>C121/100*20</f>
        <v>140.6</v>
      </c>
      <c r="E121" s="137"/>
      <c r="F121" s="25">
        <f>C121/100*0.6</f>
        <v>4.218</v>
      </c>
      <c r="G121" s="25"/>
      <c r="H121" s="25">
        <f>C121/100*0.2</f>
        <v>1.4060000000000001</v>
      </c>
      <c r="I121" s="25">
        <f>C121/100*4</f>
        <v>28.12</v>
      </c>
      <c r="J121" s="71">
        <f>C121/100*12</f>
        <v>84.36</v>
      </c>
      <c r="K121" s="71">
        <f>C121/100*0.04</f>
        <v>0.28120000000000001</v>
      </c>
      <c r="L121" s="374">
        <v>740</v>
      </c>
      <c r="M121" s="75">
        <v>30</v>
      </c>
      <c r="N121" s="28">
        <f t="shared" si="4"/>
        <v>22200</v>
      </c>
      <c r="O121" s="154"/>
      <c r="Q121" s="3"/>
      <c r="R121" s="3"/>
    </row>
    <row r="122" spans="1:23" s="2" customFormat="1" ht="16.2" customHeight="1">
      <c r="A122" s="9">
        <v>7</v>
      </c>
      <c r="B122" s="5" t="s">
        <v>93</v>
      </c>
      <c r="C122" s="23">
        <f>L122/100*81.7</f>
        <v>1200.99</v>
      </c>
      <c r="D122" s="24">
        <f>C122/100*27</f>
        <v>324.26729999999998</v>
      </c>
      <c r="E122" s="29"/>
      <c r="F122" s="29">
        <f>C122/100*0.3</f>
        <v>3.60297</v>
      </c>
      <c r="G122" s="29"/>
      <c r="H122" s="29">
        <f>C122/100*0.1</f>
        <v>1.20099</v>
      </c>
      <c r="I122" s="29">
        <f>C122/100*6.1</f>
        <v>73.260390000000001</v>
      </c>
      <c r="J122" s="71">
        <f>C122/100*24</f>
        <v>288.23759999999999</v>
      </c>
      <c r="K122" s="71">
        <f>C122/100*0.06</f>
        <v>0.72059399999999996</v>
      </c>
      <c r="L122" s="374">
        <v>1470</v>
      </c>
      <c r="M122" s="26">
        <v>22</v>
      </c>
      <c r="N122" s="28">
        <f t="shared" si="4"/>
        <v>32340</v>
      </c>
      <c r="O122" s="154"/>
      <c r="Q122" s="3"/>
      <c r="R122" s="3"/>
      <c r="S122" s="4"/>
    </row>
    <row r="123" spans="1:23" s="2" customFormat="1" ht="16.2" customHeight="1">
      <c r="A123" s="9">
        <v>8</v>
      </c>
      <c r="B123" s="5" t="s">
        <v>136</v>
      </c>
      <c r="C123" s="23">
        <f>L123/100*100</f>
        <v>40</v>
      </c>
      <c r="D123" s="24">
        <f>C123/100*247</f>
        <v>98.800000000000011</v>
      </c>
      <c r="E123" s="29"/>
      <c r="F123" s="29">
        <f>C123/100*17.5</f>
        <v>7</v>
      </c>
      <c r="G123" s="29"/>
      <c r="H123" s="29">
        <f>C123/100*1.6</f>
        <v>0.64000000000000012</v>
      </c>
      <c r="I123" s="29">
        <f>C123/100*39.2</f>
        <v>15.680000000000001</v>
      </c>
      <c r="J123" s="71"/>
      <c r="K123" s="71"/>
      <c r="L123" s="374">
        <v>40</v>
      </c>
      <c r="M123" s="75">
        <v>50</v>
      </c>
      <c r="N123" s="28">
        <f t="shared" si="4"/>
        <v>2000</v>
      </c>
      <c r="O123" s="154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123</v>
      </c>
      <c r="C124" s="23"/>
      <c r="D124" s="24"/>
      <c r="E124" s="25"/>
      <c r="F124" s="25"/>
      <c r="G124" s="25"/>
      <c r="H124" s="25"/>
      <c r="I124" s="25"/>
      <c r="J124" s="27"/>
      <c r="K124" s="27"/>
      <c r="L124" s="26"/>
      <c r="M124" s="26"/>
      <c r="N124" s="28">
        <v>3200</v>
      </c>
      <c r="O124" s="154"/>
      <c r="Q124" s="3"/>
      <c r="R124" s="3"/>
      <c r="S124" s="4"/>
      <c r="T124" s="3"/>
    </row>
    <row r="125" spans="1:23" s="2" customFormat="1" ht="16.2" customHeight="1">
      <c r="A125" s="21" t="s">
        <v>119</v>
      </c>
      <c r="B125" s="22"/>
      <c r="C125" s="34"/>
      <c r="D125" s="122">
        <f>SUM(D116:D124)</f>
        <v>13541.811299999998</v>
      </c>
      <c r="E125" s="43"/>
      <c r="F125" s="43"/>
      <c r="G125" s="43"/>
      <c r="H125" s="43"/>
      <c r="I125" s="43"/>
      <c r="J125" s="43"/>
      <c r="K125" s="43"/>
      <c r="L125" s="44"/>
      <c r="M125" s="319"/>
      <c r="N125" s="326">
        <f>SUM(N116:N124)</f>
        <v>276484</v>
      </c>
      <c r="O125" s="154"/>
    </row>
    <row r="126" spans="1:23" ht="16.2" customHeight="1">
      <c r="A126" s="21" t="s">
        <v>36</v>
      </c>
      <c r="B126" s="22"/>
      <c r="C126" s="61"/>
      <c r="D126" s="48">
        <f>D125/D94</f>
        <v>276.36349591836728</v>
      </c>
      <c r="E126" s="48"/>
      <c r="F126" s="48"/>
      <c r="G126" s="48"/>
      <c r="H126" s="48"/>
      <c r="I126" s="48"/>
      <c r="J126" s="48"/>
      <c r="K126" s="48"/>
      <c r="L126" s="62"/>
      <c r="M126" s="320"/>
      <c r="N126" s="328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304" t="s">
        <v>54</v>
      </c>
      <c r="B127" s="207"/>
      <c r="C127" s="375" t="s">
        <v>151</v>
      </c>
      <c r="D127" s="20" t="s">
        <v>46</v>
      </c>
      <c r="E127" s="46"/>
      <c r="F127" s="46"/>
      <c r="G127" s="46"/>
      <c r="H127" s="46"/>
      <c r="I127" s="46"/>
      <c r="J127" s="48"/>
      <c r="K127" s="48"/>
      <c r="L127" s="47"/>
      <c r="M127" s="47"/>
      <c r="N127" s="175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08"/>
      <c r="B128" s="209"/>
      <c r="C128" s="76" t="s">
        <v>60</v>
      </c>
      <c r="D128" s="78">
        <f>D126*100/930</f>
        <v>29.716504937458847</v>
      </c>
      <c r="E128" s="46"/>
      <c r="F128" s="46"/>
      <c r="G128" s="45"/>
      <c r="H128" s="45"/>
      <c r="I128" s="45"/>
      <c r="J128" s="48"/>
      <c r="K128" s="48"/>
      <c r="L128" s="47"/>
      <c r="M128" s="47"/>
      <c r="N128" s="175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76" t="s">
        <v>35</v>
      </c>
      <c r="B129" s="276"/>
      <c r="C129" s="63"/>
      <c r="D129" s="64"/>
      <c r="E129" s="64"/>
      <c r="F129" s="64"/>
      <c r="G129" s="64"/>
      <c r="H129" s="64"/>
      <c r="I129" s="64"/>
      <c r="J129" s="64"/>
      <c r="K129" s="64"/>
      <c r="L129" s="65"/>
      <c r="M129" s="65"/>
      <c r="N129" s="66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70</v>
      </c>
      <c r="C130" s="23">
        <f>L130/100*90</f>
        <v>12.600000000000001</v>
      </c>
      <c r="D130" s="24">
        <f>C130/100*253</f>
        <v>31.878</v>
      </c>
      <c r="E130" s="25"/>
      <c r="F130" s="25">
        <f>C130/100*32.4</f>
        <v>4.0823999999999998</v>
      </c>
      <c r="G130" s="25"/>
      <c r="H130" s="25">
        <f>C130/100*3.6</f>
        <v>0.4536</v>
      </c>
      <c r="I130" s="25">
        <f>C130/100*21.1</f>
        <v>2.6586000000000003</v>
      </c>
      <c r="J130" s="27">
        <f>C130/100*165.6</f>
        <v>20.865600000000001</v>
      </c>
      <c r="K130" s="27">
        <f>C130/100*0.14</f>
        <v>1.7640000000000003E-2</v>
      </c>
      <c r="L130" s="138">
        <v>14</v>
      </c>
      <c r="M130" s="75">
        <v>275</v>
      </c>
      <c r="N130" s="28">
        <f t="shared" ref="N130:N134" si="5">L130*M130</f>
        <v>3850</v>
      </c>
      <c r="O130" s="154"/>
    </row>
    <row r="131" spans="1:23" s="2" customFormat="1" ht="16.2" customHeight="1">
      <c r="A131" s="9">
        <v>2</v>
      </c>
      <c r="B131" s="5" t="s">
        <v>138</v>
      </c>
      <c r="C131" s="23">
        <f>L131/100*100</f>
        <v>200</v>
      </c>
      <c r="D131" s="24">
        <f>C131/100*340</f>
        <v>680</v>
      </c>
      <c r="E131" s="29"/>
      <c r="F131" s="29">
        <f>C131/100*0.7</f>
        <v>1.4</v>
      </c>
      <c r="G131" s="29"/>
      <c r="H131" s="29"/>
      <c r="I131" s="29">
        <f>C131/100*84.3</f>
        <v>168.6</v>
      </c>
      <c r="J131" s="71"/>
      <c r="K131" s="71"/>
      <c r="L131" s="374">
        <v>200</v>
      </c>
      <c r="M131" s="75">
        <v>180</v>
      </c>
      <c r="N131" s="28">
        <f t="shared" si="5"/>
        <v>36000</v>
      </c>
      <c r="O131" s="154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169</v>
      </c>
      <c r="C132" s="23">
        <f>L132/100*55</f>
        <v>407</v>
      </c>
      <c r="D132" s="121">
        <f>C132/100*196</f>
        <v>797.72</v>
      </c>
      <c r="E132" s="25"/>
      <c r="F132" s="137">
        <f>C132/100*4.1</f>
        <v>16.687000000000001</v>
      </c>
      <c r="G132" s="25"/>
      <c r="H132" s="25">
        <f>C132/100*2.3</f>
        <v>9.3610000000000007</v>
      </c>
      <c r="I132" s="25">
        <f>C132/100*39.6</f>
        <v>161.17200000000003</v>
      </c>
      <c r="J132" s="27">
        <f>C132/100*4</f>
        <v>16.28</v>
      </c>
      <c r="K132" s="27">
        <f>C132/100*0.15</f>
        <v>0.61050000000000004</v>
      </c>
      <c r="L132" s="377">
        <v>740</v>
      </c>
      <c r="M132" s="75">
        <v>22</v>
      </c>
      <c r="N132" s="28">
        <f t="shared" si="5"/>
        <v>16280</v>
      </c>
      <c r="O132" s="378"/>
      <c r="P132" s="142"/>
      <c r="Q132" s="142"/>
    </row>
    <row r="133" spans="1:23" s="2" customFormat="1" ht="16.2" customHeight="1">
      <c r="A133" s="9">
        <v>4</v>
      </c>
      <c r="B133" s="5" t="s">
        <v>69</v>
      </c>
      <c r="C133" s="23">
        <f>L133/100*48</f>
        <v>883.19999999999993</v>
      </c>
      <c r="D133" s="24">
        <f>C133/100*199</f>
        <v>1757.5679999999998</v>
      </c>
      <c r="E133" s="25">
        <f>C133/100*20.3</f>
        <v>179.28959999999998</v>
      </c>
      <c r="F133" s="25"/>
      <c r="G133" s="25">
        <f>C133/100*13.1</f>
        <v>115.69919999999998</v>
      </c>
      <c r="H133" s="25"/>
      <c r="I133" s="25"/>
      <c r="J133" s="27">
        <f>C133/100*12</f>
        <v>105.98399999999998</v>
      </c>
      <c r="K133" s="27">
        <f>C133/100*0.15</f>
        <v>1.3247999999999998</v>
      </c>
      <c r="L133" s="26">
        <v>1840</v>
      </c>
      <c r="M133" s="138">
        <v>84</v>
      </c>
      <c r="N133" s="28">
        <f t="shared" si="5"/>
        <v>154560</v>
      </c>
      <c r="O133" s="154"/>
      <c r="Q133" s="3"/>
      <c r="R133" s="3"/>
      <c r="S133" s="4"/>
    </row>
    <row r="134" spans="1:23" s="2" customFormat="1" ht="16.2" customHeight="1">
      <c r="A134" s="104">
        <v>5</v>
      </c>
      <c r="B134" s="113" t="s">
        <v>170</v>
      </c>
      <c r="C134" s="105">
        <f>L134/100*85</f>
        <v>42.5</v>
      </c>
      <c r="D134" s="106">
        <f>C134/100*11</f>
        <v>4.6749999999999998</v>
      </c>
      <c r="E134" s="107"/>
      <c r="F134" s="107">
        <f>C134/100*2.2</f>
        <v>0.93500000000000005</v>
      </c>
      <c r="G134" s="107"/>
      <c r="H134" s="107"/>
      <c r="I134" s="107">
        <f>C134/100*0.6</f>
        <v>0.255</v>
      </c>
      <c r="J134" s="115"/>
      <c r="K134" s="115"/>
      <c r="L134" s="398">
        <v>50</v>
      </c>
      <c r="M134" s="146">
        <v>30</v>
      </c>
      <c r="N134" s="109">
        <f t="shared" si="5"/>
        <v>1500</v>
      </c>
      <c r="O134" s="154"/>
      <c r="Q134" s="3"/>
      <c r="R134" s="3"/>
      <c r="S134" s="168"/>
    </row>
    <row r="135" spans="1:23" ht="20.399999999999999" customHeight="1">
      <c r="A135" s="186" t="s">
        <v>0</v>
      </c>
      <c r="B135" s="196" t="s">
        <v>19</v>
      </c>
      <c r="C135" s="199" t="s">
        <v>8</v>
      </c>
      <c r="D135" s="199" t="s">
        <v>9</v>
      </c>
      <c r="E135" s="189" t="s">
        <v>11</v>
      </c>
      <c r="F135" s="190"/>
      <c r="G135" s="189" t="s">
        <v>13</v>
      </c>
      <c r="H135" s="190"/>
      <c r="I135" s="193" t="s">
        <v>16</v>
      </c>
      <c r="J135" s="193" t="s">
        <v>41</v>
      </c>
      <c r="K135" s="193" t="s">
        <v>42</v>
      </c>
      <c r="L135" s="350" t="s">
        <v>17</v>
      </c>
      <c r="M135" s="193" t="s">
        <v>57</v>
      </c>
      <c r="N135" s="186" t="s">
        <v>18</v>
      </c>
      <c r="O135" s="373"/>
    </row>
    <row r="136" spans="1:23" ht="20.399999999999999" customHeight="1">
      <c r="A136" s="187"/>
      <c r="B136" s="197"/>
      <c r="C136" s="200"/>
      <c r="D136" s="200"/>
      <c r="E136" s="191"/>
      <c r="F136" s="192"/>
      <c r="G136" s="191"/>
      <c r="H136" s="192"/>
      <c r="I136" s="194"/>
      <c r="J136" s="194"/>
      <c r="K136" s="194"/>
      <c r="L136" s="351"/>
      <c r="M136" s="194"/>
      <c r="N136" s="187"/>
      <c r="O136" s="174"/>
    </row>
    <row r="137" spans="1:23" ht="20.399999999999999" customHeight="1">
      <c r="A137" s="187"/>
      <c r="B137" s="197"/>
      <c r="C137" s="200"/>
      <c r="D137" s="200"/>
      <c r="E137" s="193" t="s">
        <v>10</v>
      </c>
      <c r="F137" s="193" t="s">
        <v>12</v>
      </c>
      <c r="G137" s="193" t="s">
        <v>14</v>
      </c>
      <c r="H137" s="193" t="s">
        <v>15</v>
      </c>
      <c r="I137" s="194"/>
      <c r="J137" s="194"/>
      <c r="K137" s="194"/>
      <c r="L137" s="351"/>
      <c r="M137" s="194"/>
      <c r="N137" s="187"/>
      <c r="O137" s="174"/>
    </row>
    <row r="138" spans="1:23" ht="20.399999999999999" customHeight="1">
      <c r="A138" s="188"/>
      <c r="B138" s="198"/>
      <c r="C138" s="201"/>
      <c r="D138" s="201"/>
      <c r="E138" s="195"/>
      <c r="F138" s="195"/>
      <c r="G138" s="195"/>
      <c r="H138" s="195"/>
      <c r="I138" s="195"/>
      <c r="J138" s="195"/>
      <c r="K138" s="195"/>
      <c r="L138" s="352"/>
      <c r="M138" s="195"/>
      <c r="N138" s="188"/>
      <c r="O138" s="174"/>
    </row>
    <row r="139" spans="1:23" s="2" customFormat="1" ht="20.399999999999999" customHeight="1">
      <c r="A139" s="21" t="s">
        <v>106</v>
      </c>
      <c r="B139" s="22"/>
      <c r="C139" s="34"/>
      <c r="D139" s="35">
        <f>SUM(D130:D134)</f>
        <v>3271.8409999999999</v>
      </c>
      <c r="E139" s="43"/>
      <c r="F139" s="43"/>
      <c r="G139" s="43"/>
      <c r="H139" s="43"/>
      <c r="I139" s="43"/>
      <c r="J139" s="82"/>
      <c r="K139" s="43"/>
      <c r="L139" s="44"/>
      <c r="M139" s="319"/>
      <c r="N139" s="326">
        <f>SUM(N130:N134)</f>
        <v>212190</v>
      </c>
      <c r="O139" s="154"/>
    </row>
    <row r="140" spans="1:23" ht="20.399999999999999" customHeight="1">
      <c r="A140" s="21" t="s">
        <v>7</v>
      </c>
      <c r="B140" s="22"/>
      <c r="C140" s="45"/>
      <c r="D140" s="72">
        <f>D139/D94</f>
        <v>66.772265306122449</v>
      </c>
      <c r="E140" s="46"/>
      <c r="F140" s="46"/>
      <c r="G140" s="46"/>
      <c r="H140" s="46"/>
      <c r="I140" s="46"/>
      <c r="J140" s="83"/>
      <c r="K140" s="46"/>
      <c r="L140" s="47"/>
      <c r="M140" s="320"/>
      <c r="N140" s="327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304" t="s">
        <v>52</v>
      </c>
      <c r="B141" s="207"/>
      <c r="C141" s="375" t="s">
        <v>151</v>
      </c>
      <c r="D141" s="20" t="s">
        <v>50</v>
      </c>
      <c r="E141" s="46"/>
      <c r="F141" s="46"/>
      <c r="G141" s="46"/>
      <c r="H141" s="46"/>
      <c r="I141" s="46"/>
      <c r="J141" s="84"/>
      <c r="K141" s="48"/>
      <c r="L141" s="47"/>
      <c r="M141" s="47"/>
      <c r="N141" s="175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08"/>
      <c r="B142" s="209"/>
      <c r="C142" s="76" t="s">
        <v>60</v>
      </c>
      <c r="D142" s="78">
        <f>D140*100/930</f>
        <v>7.1798134737766066</v>
      </c>
      <c r="E142" s="46"/>
      <c r="F142" s="46"/>
      <c r="G142" s="46"/>
      <c r="H142" s="46"/>
      <c r="I142" s="46"/>
      <c r="J142" s="84"/>
      <c r="K142" s="48"/>
      <c r="L142" s="47"/>
      <c r="M142" s="47"/>
      <c r="N142" s="175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23" t="s">
        <v>107</v>
      </c>
      <c r="B143" s="224"/>
      <c r="C143" s="227"/>
      <c r="D143" s="299">
        <f>SUM(D111+D125+D139)</f>
        <v>31003.109299999996</v>
      </c>
      <c r="E143" s="7">
        <f t="shared" ref="E143:K143" si="6">SUM(E100:E134)</f>
        <v>901.48759999999982</v>
      </c>
      <c r="F143" s="7">
        <f t="shared" si="6"/>
        <v>393.77547000000004</v>
      </c>
      <c r="G143" s="7">
        <f t="shared" si="6"/>
        <v>861.44240000000002</v>
      </c>
      <c r="H143" s="7">
        <f t="shared" si="6"/>
        <v>366.81038999999993</v>
      </c>
      <c r="I143" s="348">
        <f t="shared" si="6"/>
        <v>3569.7946899999997</v>
      </c>
      <c r="J143" s="348">
        <f t="shared" si="6"/>
        <v>14728.352199999999</v>
      </c>
      <c r="K143" s="210">
        <f t="shared" si="6"/>
        <v>23.184743999999998</v>
      </c>
      <c r="L143" s="239"/>
      <c r="M143" s="239"/>
      <c r="N143" s="301">
        <f>N111+N125+N139</f>
        <v>1079035</v>
      </c>
      <c r="U143" s="12"/>
      <c r="V143" s="12"/>
    </row>
    <row r="144" spans="1:23" ht="20.399999999999999" customHeight="1">
      <c r="A144" s="225"/>
      <c r="B144" s="226"/>
      <c r="C144" s="228"/>
      <c r="D144" s="300"/>
      <c r="E144" s="221">
        <f>E143+F143</f>
        <v>1295.26307</v>
      </c>
      <c r="F144" s="222"/>
      <c r="G144" s="221">
        <f>G143+H143</f>
        <v>1228.25279</v>
      </c>
      <c r="H144" s="222"/>
      <c r="I144" s="349"/>
      <c r="J144" s="349"/>
      <c r="K144" s="211"/>
      <c r="L144" s="239"/>
      <c r="M144" s="239"/>
      <c r="N144" s="301"/>
      <c r="U144" s="12"/>
      <c r="V144" s="12"/>
    </row>
    <row r="145" spans="1:22" ht="20.399999999999999" customHeight="1">
      <c r="A145" s="243" t="s">
        <v>77</v>
      </c>
      <c r="B145" s="244"/>
      <c r="C145" s="245"/>
      <c r="D145" s="134">
        <f>D143/D94</f>
        <v>632.7165163265305</v>
      </c>
      <c r="E145" s="394">
        <f>E143/D94</f>
        <v>18.397706122448977</v>
      </c>
      <c r="F145" s="382">
        <f>F143/D94</f>
        <v>8.0362340816326547</v>
      </c>
      <c r="G145" s="394">
        <f>G143/D94</f>
        <v>17.580457142857142</v>
      </c>
      <c r="H145" s="382">
        <f>H143/D94</f>
        <v>7.4859263265306106</v>
      </c>
      <c r="I145" s="204">
        <f>I143/D94</f>
        <v>72.852952857142853</v>
      </c>
      <c r="J145" s="204">
        <f>J143/D94</f>
        <v>300.57861632653061</v>
      </c>
      <c r="K145" s="302">
        <f>K143/D94</f>
        <v>0.47315804081632651</v>
      </c>
      <c r="L145" s="239"/>
      <c r="M145" s="239"/>
      <c r="N145" s="301"/>
      <c r="Q145" s="370"/>
      <c r="R145" s="370"/>
      <c r="S145" s="370"/>
      <c r="T145" s="370"/>
      <c r="U145" s="385"/>
      <c r="V145" s="385"/>
    </row>
    <row r="146" spans="1:22" ht="20.399999999999999" customHeight="1">
      <c r="A146" s="246"/>
      <c r="B146" s="247"/>
      <c r="C146" s="248"/>
      <c r="D146" s="128"/>
      <c r="E146" s="383">
        <f>E145+F145</f>
        <v>26.43394020408163</v>
      </c>
      <c r="F146" s="384"/>
      <c r="G146" s="383">
        <f>G145+H145</f>
        <v>25.066383469387752</v>
      </c>
      <c r="H146" s="384"/>
      <c r="I146" s="205"/>
      <c r="J146" s="205"/>
      <c r="K146" s="303"/>
      <c r="L146" s="239"/>
      <c r="M146" s="239"/>
      <c r="N146" s="301"/>
      <c r="P146" s="388"/>
      <c r="Q146" s="395"/>
      <c r="R146" s="395"/>
      <c r="S146" s="396"/>
      <c r="T146" s="396"/>
      <c r="U146" s="395"/>
      <c r="V146" s="395"/>
    </row>
    <row r="147" spans="1:22" ht="20.399999999999999" customHeight="1">
      <c r="A147" s="316" t="s">
        <v>80</v>
      </c>
      <c r="B147" s="317"/>
      <c r="C147" s="318"/>
      <c r="D147" s="179" t="s">
        <v>29</v>
      </c>
      <c r="E147" s="361" t="s">
        <v>24</v>
      </c>
      <c r="F147" s="361"/>
      <c r="G147" s="361" t="s">
        <v>25</v>
      </c>
      <c r="H147" s="361"/>
      <c r="I147" s="400" t="s">
        <v>26</v>
      </c>
      <c r="J147" s="177">
        <v>500</v>
      </c>
      <c r="K147" s="177">
        <v>0.5</v>
      </c>
      <c r="L147" s="239"/>
      <c r="M147" s="239"/>
      <c r="N147" s="301"/>
      <c r="O147" s="387"/>
    </row>
    <row r="148" spans="1:22" ht="20.399999999999999" customHeight="1">
      <c r="A148" s="214" t="s">
        <v>78</v>
      </c>
      <c r="B148" s="215"/>
      <c r="C148" s="216"/>
      <c r="D148" s="49"/>
      <c r="E148" s="202">
        <f>E146*4.1</f>
        <v>108.37915483673467</v>
      </c>
      <c r="F148" s="203"/>
      <c r="G148" s="202">
        <f>G146*9</f>
        <v>225.59745122448976</v>
      </c>
      <c r="H148" s="203"/>
      <c r="I148" s="85">
        <f>I145*4.1</f>
        <v>298.69710671428567</v>
      </c>
      <c r="J148" s="249"/>
      <c r="K148" s="249"/>
      <c r="L148" s="239"/>
      <c r="M148" s="239"/>
      <c r="N148" s="301"/>
      <c r="O148" s="387"/>
      <c r="P148" s="379"/>
      <c r="Q148" s="369"/>
      <c r="R148" s="369"/>
      <c r="S148" s="369"/>
    </row>
    <row r="149" spans="1:22" ht="20.399999999999999" customHeight="1">
      <c r="A149" s="217" t="s">
        <v>87</v>
      </c>
      <c r="B149" s="218"/>
      <c r="C149" s="214" t="s">
        <v>59</v>
      </c>
      <c r="D149" s="216"/>
      <c r="E149" s="266">
        <f>E148*100/D145</f>
        <v>17.12918061092666</v>
      </c>
      <c r="F149" s="267"/>
      <c r="G149" s="266">
        <f>G148*100/D145</f>
        <v>35.655375733555864</v>
      </c>
      <c r="H149" s="267"/>
      <c r="I149" s="116">
        <f>I148*100/D145</f>
        <v>47.208678611470752</v>
      </c>
      <c r="J149" s="250"/>
      <c r="K149" s="250"/>
      <c r="L149" s="239"/>
      <c r="M149" s="239"/>
      <c r="N149" s="301"/>
      <c r="O149" s="387"/>
      <c r="P149" s="142"/>
      <c r="Q149" s="142"/>
      <c r="R149" s="142"/>
      <c r="S149" s="142"/>
    </row>
    <row r="150" spans="1:22" ht="20.399999999999999" customHeight="1">
      <c r="A150" s="219"/>
      <c r="B150" s="220"/>
      <c r="C150" s="214" t="s">
        <v>79</v>
      </c>
      <c r="D150" s="216"/>
      <c r="E150" s="214" t="s">
        <v>82</v>
      </c>
      <c r="F150" s="216"/>
      <c r="G150" s="214" t="s">
        <v>85</v>
      </c>
      <c r="H150" s="216"/>
      <c r="I150" s="179" t="s">
        <v>86</v>
      </c>
      <c r="J150" s="230"/>
      <c r="K150" s="230"/>
      <c r="L150" s="239"/>
      <c r="M150" s="239"/>
      <c r="N150" s="301"/>
      <c r="O150" s="387"/>
      <c r="P150" s="133"/>
    </row>
    <row r="151" spans="1:22" ht="20.399999999999999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7"/>
    </row>
    <row r="152" spans="1:22" ht="21" customHeight="1">
      <c r="A152" s="296" t="s">
        <v>114</v>
      </c>
      <c r="B152" s="296"/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387"/>
    </row>
    <row r="153" spans="1:22" ht="21" customHeight="1">
      <c r="A153" s="118" t="s">
        <v>115</v>
      </c>
      <c r="B153" s="297" t="s">
        <v>116</v>
      </c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87"/>
    </row>
    <row r="154" spans="1:22" ht="21" customHeight="1">
      <c r="A154" s="119"/>
      <c r="B154" s="257" t="s">
        <v>225</v>
      </c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387"/>
    </row>
    <row r="155" spans="1:22" ht="21" customHeight="1">
      <c r="A155" s="119"/>
      <c r="B155" s="257" t="s">
        <v>198</v>
      </c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387"/>
    </row>
    <row r="156" spans="1:22" ht="21" customHeight="1">
      <c r="A156" s="119"/>
      <c r="B156" s="257" t="s">
        <v>176</v>
      </c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387"/>
    </row>
    <row r="157" spans="1:22" ht="21" customHeight="1">
      <c r="A157" s="90"/>
      <c r="B157" s="258" t="s">
        <v>117</v>
      </c>
      <c r="C157" s="258"/>
      <c r="D157" s="258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387"/>
    </row>
    <row r="158" spans="1:22" ht="2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4"/>
      <c r="M158" s="94"/>
      <c r="N158" s="95"/>
      <c r="O158" s="387"/>
    </row>
    <row r="159" spans="1:22" ht="21" customHeight="1">
      <c r="A159" s="259" t="s">
        <v>62</v>
      </c>
      <c r="B159" s="259"/>
      <c r="C159" s="259"/>
      <c r="D159" s="259"/>
      <c r="E159" s="389"/>
      <c r="F159" s="389"/>
      <c r="G159" s="389"/>
      <c r="H159" s="389"/>
      <c r="I159" s="389"/>
      <c r="J159" s="390" t="s">
        <v>33</v>
      </c>
      <c r="K159" s="390"/>
      <c r="L159" s="390"/>
      <c r="M159" s="390"/>
      <c r="N159" s="390"/>
      <c r="O159" s="387"/>
    </row>
    <row r="160" spans="1:22" ht="21" customHeight="1">
      <c r="A160" s="174"/>
      <c r="B160" s="174"/>
      <c r="C160" s="174"/>
      <c r="D160" s="389"/>
      <c r="E160" s="389"/>
      <c r="F160" s="389"/>
      <c r="G160" s="389"/>
      <c r="H160" s="391"/>
      <c r="I160" s="391"/>
      <c r="J160" s="391"/>
      <c r="K160" s="391"/>
      <c r="L160" s="391"/>
      <c r="M160" s="391"/>
      <c r="N160" s="391"/>
      <c r="O160" s="387"/>
    </row>
    <row r="161" spans="1:15" ht="21" customHeight="1">
      <c r="A161" s="174"/>
      <c r="B161" s="174"/>
      <c r="C161" s="174"/>
      <c r="D161" s="389"/>
      <c r="E161" s="389"/>
      <c r="F161" s="389"/>
      <c r="G161" s="389"/>
      <c r="H161" s="391"/>
      <c r="I161" s="391"/>
      <c r="J161" s="391"/>
      <c r="K161" s="391"/>
      <c r="L161" s="391"/>
      <c r="M161" s="391"/>
      <c r="N161" s="391"/>
      <c r="O161" s="387"/>
    </row>
    <row r="162" spans="1:15" ht="21" customHeight="1">
      <c r="A162" s="174"/>
      <c r="B162" s="174"/>
      <c r="C162" s="174"/>
      <c r="D162" s="389"/>
      <c r="E162" s="389"/>
      <c r="F162" s="389"/>
      <c r="G162" s="389"/>
      <c r="H162" s="391"/>
      <c r="I162" s="391"/>
      <c r="J162" s="392" t="s">
        <v>124</v>
      </c>
      <c r="K162" s="392"/>
      <c r="L162" s="392"/>
      <c r="M162" s="392"/>
      <c r="N162" s="392"/>
      <c r="O162" s="387"/>
    </row>
    <row r="163" spans="1:15" ht="21" customHeight="1">
      <c r="A163" s="260" t="s">
        <v>91</v>
      </c>
      <c r="B163" s="260"/>
      <c r="C163" s="260"/>
      <c r="D163" s="260"/>
      <c r="E163" s="389"/>
      <c r="F163" s="389"/>
      <c r="G163" s="389"/>
      <c r="H163" s="391"/>
      <c r="I163" s="391"/>
      <c r="J163" s="392"/>
      <c r="K163" s="392"/>
      <c r="L163" s="392"/>
      <c r="M163" s="392"/>
      <c r="N163" s="392"/>
      <c r="O163" s="387"/>
    </row>
    <row r="164" spans="1:15" ht="20.399999999999999" customHeight="1">
      <c r="J164" s="391"/>
      <c r="K164" s="391"/>
      <c r="L164" s="391"/>
      <c r="M164" s="391"/>
      <c r="N164" s="391"/>
    </row>
    <row r="165" spans="1:15" ht="20.399999999999999" customHeight="1">
      <c r="J165" s="392" t="s">
        <v>127</v>
      </c>
      <c r="K165" s="392"/>
      <c r="L165" s="392"/>
      <c r="M165" s="392"/>
      <c r="N165" s="392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view="pageLayout" workbookViewId="0">
      <selection activeCell="C19" sqref="C19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61</v>
      </c>
      <c r="B1" s="8"/>
      <c r="C1" s="8"/>
      <c r="D1" s="8"/>
      <c r="E1" s="8"/>
      <c r="F1" s="184" t="s">
        <v>31</v>
      </c>
      <c r="G1" s="184"/>
      <c r="H1" s="184"/>
      <c r="I1" s="184"/>
      <c r="J1" s="184"/>
      <c r="K1" s="184"/>
      <c r="L1" s="184"/>
      <c r="M1" s="184"/>
      <c r="N1" s="184"/>
      <c r="O1" s="371"/>
      <c r="P1" s="371"/>
      <c r="T1" s="2"/>
    </row>
    <row r="2" spans="1:20" ht="21.6" customHeight="1">
      <c r="A2" s="8" t="s">
        <v>205</v>
      </c>
      <c r="B2" s="8"/>
      <c r="C2" s="8"/>
      <c r="D2" s="8"/>
      <c r="E2" s="8"/>
      <c r="F2" s="178"/>
      <c r="G2" s="178"/>
      <c r="H2" s="178"/>
      <c r="I2" s="178"/>
      <c r="J2" s="178"/>
      <c r="K2" s="178"/>
      <c r="L2" s="178"/>
      <c r="M2" s="178"/>
      <c r="N2" s="178"/>
      <c r="O2" s="371"/>
      <c r="P2" s="371"/>
      <c r="T2" s="2"/>
    </row>
    <row r="3" spans="1:20" s="2" customFormat="1" ht="21.6" customHeight="1">
      <c r="A3" s="231" t="s">
        <v>97</v>
      </c>
      <c r="B3" s="231"/>
      <c r="C3" s="231"/>
      <c r="D3" s="231"/>
      <c r="E3" s="231" t="s">
        <v>98</v>
      </c>
      <c r="F3" s="231"/>
      <c r="G3" s="231"/>
      <c r="H3" s="231"/>
      <c r="I3" s="231"/>
      <c r="J3" s="231"/>
      <c r="K3" s="231"/>
      <c r="L3" s="231"/>
      <c r="M3" s="231"/>
      <c r="N3" s="231"/>
      <c r="O3" s="372"/>
    </row>
    <row r="4" spans="1:20" s="2" customFormat="1" ht="21.6" customHeight="1">
      <c r="A4" s="268" t="s">
        <v>90</v>
      </c>
      <c r="B4" s="268"/>
      <c r="C4" s="268"/>
      <c r="D4" s="268"/>
      <c r="E4" s="269" t="s">
        <v>148</v>
      </c>
      <c r="F4" s="269"/>
      <c r="G4" s="269"/>
      <c r="H4" s="269"/>
      <c r="I4" s="269"/>
      <c r="J4" s="284" t="s">
        <v>174</v>
      </c>
      <c r="K4" s="285"/>
      <c r="L4" s="285"/>
      <c r="M4" s="285"/>
      <c r="N4" s="286"/>
      <c r="O4" s="372"/>
    </row>
    <row r="5" spans="1:20" s="2" customFormat="1" ht="21.6" customHeight="1">
      <c r="A5" s="344" t="s">
        <v>173</v>
      </c>
      <c r="B5" s="345"/>
      <c r="C5" s="345"/>
      <c r="D5" s="346"/>
      <c r="E5" s="269"/>
      <c r="F5" s="269"/>
      <c r="G5" s="269"/>
      <c r="H5" s="269"/>
      <c r="I5" s="269"/>
      <c r="J5" s="287"/>
      <c r="K5" s="288"/>
      <c r="L5" s="288"/>
      <c r="M5" s="288"/>
      <c r="N5" s="289"/>
      <c r="O5" s="372"/>
    </row>
    <row r="6" spans="1:20" s="2" customFormat="1" ht="21.6" customHeight="1">
      <c r="A6" s="183" t="s">
        <v>171</v>
      </c>
      <c r="B6" s="183"/>
      <c r="C6" s="183"/>
      <c r="D6" s="183"/>
      <c r="E6" s="269"/>
      <c r="F6" s="269"/>
      <c r="G6" s="269"/>
      <c r="H6" s="269"/>
      <c r="I6" s="269"/>
      <c r="J6" s="287"/>
      <c r="K6" s="288"/>
      <c r="L6" s="288"/>
      <c r="M6" s="288"/>
      <c r="N6" s="289"/>
      <c r="O6" s="372"/>
    </row>
    <row r="7" spans="1:20" s="2" customFormat="1" ht="21.6" customHeight="1">
      <c r="A7" s="347" t="s">
        <v>172</v>
      </c>
      <c r="B7" s="347"/>
      <c r="C7" s="347"/>
      <c r="D7" s="347"/>
      <c r="E7" s="269"/>
      <c r="F7" s="269"/>
      <c r="G7" s="269"/>
      <c r="H7" s="269"/>
      <c r="I7" s="269"/>
      <c r="J7" s="290"/>
      <c r="K7" s="291"/>
      <c r="L7" s="291"/>
      <c r="M7" s="291"/>
      <c r="N7" s="292"/>
      <c r="O7" s="372"/>
    </row>
    <row r="8" spans="1:20" s="2" customFormat="1" ht="21.6" customHeight="1">
      <c r="A8" s="278" t="s">
        <v>122</v>
      </c>
      <c r="B8" s="279"/>
      <c r="C8" s="280"/>
      <c r="D8" s="129">
        <v>91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372"/>
    </row>
    <row r="9" spans="1:20" ht="21.6" customHeight="1">
      <c r="A9" s="186" t="s">
        <v>0</v>
      </c>
      <c r="B9" s="196" t="s">
        <v>19</v>
      </c>
      <c r="C9" s="329" t="s">
        <v>8</v>
      </c>
      <c r="D9" s="199" t="s">
        <v>9</v>
      </c>
      <c r="E9" s="189" t="s">
        <v>11</v>
      </c>
      <c r="F9" s="190"/>
      <c r="G9" s="189" t="s">
        <v>13</v>
      </c>
      <c r="H9" s="190"/>
      <c r="I9" s="193" t="s">
        <v>16</v>
      </c>
      <c r="J9" s="193" t="s">
        <v>41</v>
      </c>
      <c r="K9" s="193" t="s">
        <v>42</v>
      </c>
      <c r="L9" s="193" t="s">
        <v>17</v>
      </c>
      <c r="M9" s="193" t="s">
        <v>57</v>
      </c>
      <c r="N9" s="186" t="s">
        <v>18</v>
      </c>
      <c r="O9" s="373"/>
    </row>
    <row r="10" spans="1:20" ht="21.6" customHeight="1">
      <c r="A10" s="187"/>
      <c r="B10" s="197"/>
      <c r="C10" s="330"/>
      <c r="D10" s="200"/>
      <c r="E10" s="191"/>
      <c r="F10" s="192"/>
      <c r="G10" s="191"/>
      <c r="H10" s="192"/>
      <c r="I10" s="194"/>
      <c r="J10" s="194"/>
      <c r="K10" s="194"/>
      <c r="L10" s="194"/>
      <c r="M10" s="194"/>
      <c r="N10" s="187"/>
      <c r="O10" s="174"/>
    </row>
    <row r="11" spans="1:20" ht="21.6" customHeight="1">
      <c r="A11" s="187"/>
      <c r="B11" s="197"/>
      <c r="C11" s="330"/>
      <c r="D11" s="200"/>
      <c r="E11" s="193" t="s">
        <v>10</v>
      </c>
      <c r="F11" s="193" t="s">
        <v>12</v>
      </c>
      <c r="G11" s="193" t="s">
        <v>14</v>
      </c>
      <c r="H11" s="193" t="s">
        <v>15</v>
      </c>
      <c r="I11" s="194"/>
      <c r="J11" s="194"/>
      <c r="K11" s="194"/>
      <c r="L11" s="194"/>
      <c r="M11" s="194"/>
      <c r="N11" s="187"/>
      <c r="O11" s="174"/>
    </row>
    <row r="12" spans="1:20" ht="21.6" customHeight="1">
      <c r="A12" s="188"/>
      <c r="B12" s="198"/>
      <c r="C12" s="331"/>
      <c r="D12" s="201"/>
      <c r="E12" s="195"/>
      <c r="F12" s="195"/>
      <c r="G12" s="195"/>
      <c r="H12" s="195"/>
      <c r="I12" s="195"/>
      <c r="J12" s="195"/>
      <c r="K12" s="195"/>
      <c r="L12" s="195"/>
      <c r="M12" s="195"/>
      <c r="N12" s="188"/>
      <c r="O12" s="174"/>
    </row>
    <row r="13" spans="1:20" ht="19.8" customHeight="1">
      <c r="A13" s="233" t="s">
        <v>34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5"/>
      <c r="O13" s="174"/>
    </row>
    <row r="14" spans="1:20" s="2" customFormat="1" ht="19.8" customHeight="1">
      <c r="A14" s="9">
        <v>1</v>
      </c>
      <c r="B14" s="10" t="s">
        <v>2</v>
      </c>
      <c r="C14" s="23">
        <f>L14/100*100</f>
        <v>120</v>
      </c>
      <c r="D14" s="24">
        <f>C14/100*60</f>
        <v>72</v>
      </c>
      <c r="E14" s="25">
        <f>C14/100*15</f>
        <v>18</v>
      </c>
      <c r="F14" s="25"/>
      <c r="G14" s="25"/>
      <c r="H14" s="25"/>
      <c r="I14" s="25"/>
      <c r="J14" s="27">
        <f>C14/100*387</f>
        <v>464.4</v>
      </c>
      <c r="K14" s="27">
        <f>C14/100*0.09</f>
        <v>0.108</v>
      </c>
      <c r="L14" s="138">
        <v>120</v>
      </c>
      <c r="M14" s="75">
        <v>20</v>
      </c>
      <c r="N14" s="28">
        <f>L14*M14</f>
        <v>2400</v>
      </c>
      <c r="O14" s="154"/>
    </row>
    <row r="15" spans="1:20" s="2" customFormat="1" ht="19.8" customHeight="1">
      <c r="A15" s="9">
        <v>2</v>
      </c>
      <c r="B15" s="147" t="s">
        <v>141</v>
      </c>
      <c r="C15" s="23">
        <f>L15/100*100</f>
        <v>280</v>
      </c>
      <c r="D15" s="24">
        <f>C15/100*899</f>
        <v>2517.1999999999998</v>
      </c>
      <c r="E15" s="25"/>
      <c r="F15" s="25"/>
      <c r="G15" s="120">
        <f>C15/100*100</f>
        <v>280</v>
      </c>
      <c r="H15" s="25"/>
      <c r="I15" s="25"/>
      <c r="J15" s="27"/>
      <c r="K15" s="27"/>
      <c r="L15" s="138">
        <v>280</v>
      </c>
      <c r="M15" s="75">
        <v>68</v>
      </c>
      <c r="N15" s="28">
        <f t="shared" ref="N15:N23" si="0">L15*M15</f>
        <v>19040</v>
      </c>
      <c r="O15" s="154"/>
    </row>
    <row r="16" spans="1:20" s="2" customFormat="1" ht="19.8" customHeight="1">
      <c r="A16" s="9">
        <v>3</v>
      </c>
      <c r="B16" s="5" t="s">
        <v>1</v>
      </c>
      <c r="C16" s="23">
        <f>L16/100*100</f>
        <v>8645</v>
      </c>
      <c r="D16" s="121">
        <f>C16/100*330.1</f>
        <v>28537.145000000004</v>
      </c>
      <c r="E16" s="25"/>
      <c r="F16" s="120">
        <f>C16/100*7.9</f>
        <v>682.95500000000004</v>
      </c>
      <c r="G16" s="25"/>
      <c r="H16" s="25">
        <f>C16/100*1</f>
        <v>86.45</v>
      </c>
      <c r="I16" s="120">
        <f>C16/100*70.1</f>
        <v>6060.1449999999995</v>
      </c>
      <c r="J16" s="81">
        <f>C16/100*30</f>
        <v>2593.5</v>
      </c>
      <c r="K16" s="27">
        <f>C16/100*0.1</f>
        <v>8.6450000000000014</v>
      </c>
      <c r="L16" s="138">
        <v>8645</v>
      </c>
      <c r="M16" s="75">
        <v>18</v>
      </c>
      <c r="N16" s="28">
        <f t="shared" si="0"/>
        <v>155610</v>
      </c>
      <c r="O16" s="154"/>
    </row>
    <row r="17" spans="1:20" s="2" customFormat="1" ht="19.8" customHeight="1">
      <c r="A17" s="9">
        <v>4</v>
      </c>
      <c r="B17" s="5" t="s">
        <v>69</v>
      </c>
      <c r="C17" s="23">
        <f>L17/100*48</f>
        <v>2049.6000000000004</v>
      </c>
      <c r="D17" s="24">
        <f>C17/100*199</f>
        <v>4078.7040000000006</v>
      </c>
      <c r="E17" s="120">
        <f>C17/100*20.3</f>
        <v>416.06880000000007</v>
      </c>
      <c r="F17" s="120"/>
      <c r="G17" s="120">
        <f>C17/100*13.1</f>
        <v>268.49760000000003</v>
      </c>
      <c r="H17" s="25"/>
      <c r="I17" s="25"/>
      <c r="J17" s="27">
        <f>C17/100*12</f>
        <v>245.95200000000003</v>
      </c>
      <c r="K17" s="27">
        <f>C17/100*0.15</f>
        <v>3.0744000000000002</v>
      </c>
      <c r="L17" s="138">
        <v>4270</v>
      </c>
      <c r="M17" s="26">
        <v>84</v>
      </c>
      <c r="N17" s="28">
        <f t="shared" si="0"/>
        <v>358680</v>
      </c>
      <c r="O17" s="154"/>
      <c r="Q17" s="3"/>
      <c r="R17" s="3"/>
      <c r="S17" s="4"/>
    </row>
    <row r="18" spans="1:20" s="2" customFormat="1" ht="19.8" customHeight="1">
      <c r="A18" s="9">
        <v>5</v>
      </c>
      <c r="B18" s="10" t="s">
        <v>71</v>
      </c>
      <c r="C18" s="23">
        <f>L18/100*98</f>
        <v>891.8</v>
      </c>
      <c r="D18" s="24">
        <f>C18/100*139</f>
        <v>1239.6019999999999</v>
      </c>
      <c r="E18" s="120">
        <f>C18/100*19</f>
        <v>169.44199999999998</v>
      </c>
      <c r="F18" s="25"/>
      <c r="G18" s="25">
        <f>C18/100*7</f>
        <v>62.425999999999995</v>
      </c>
      <c r="H18" s="25"/>
      <c r="I18" s="25"/>
      <c r="J18" s="25">
        <f>C18/100*7</f>
        <v>62.425999999999995</v>
      </c>
      <c r="K18" s="25">
        <f>C18/100*0.9</f>
        <v>8.0261999999999993</v>
      </c>
      <c r="L18" s="138">
        <v>910</v>
      </c>
      <c r="M18" s="75">
        <v>137</v>
      </c>
      <c r="N18" s="28">
        <f t="shared" si="0"/>
        <v>124670</v>
      </c>
      <c r="O18" s="154"/>
    </row>
    <row r="19" spans="1:20" s="2" customFormat="1" ht="19.8" customHeight="1">
      <c r="A19" s="9">
        <v>6</v>
      </c>
      <c r="B19" s="79" t="s">
        <v>147</v>
      </c>
      <c r="C19" s="23">
        <f>L19/100*89</f>
        <v>1869</v>
      </c>
      <c r="D19" s="24">
        <f>C19/100*154</f>
        <v>2878.26</v>
      </c>
      <c r="E19" s="120">
        <f>C19/100*13.1</f>
        <v>244.839</v>
      </c>
      <c r="F19" s="25"/>
      <c r="G19" s="120">
        <f>C19/100*11.1</f>
        <v>207.459</v>
      </c>
      <c r="H19" s="25"/>
      <c r="I19" s="25">
        <f>C19/100*0.4</f>
        <v>7.4760000000000009</v>
      </c>
      <c r="J19" s="81">
        <f>C19/100*64</f>
        <v>1196.1600000000001</v>
      </c>
      <c r="K19" s="27">
        <f>C19/100*0.13</f>
        <v>2.4297000000000004</v>
      </c>
      <c r="L19" s="26">
        <v>2100</v>
      </c>
      <c r="M19" s="54">
        <v>82</v>
      </c>
      <c r="N19" s="152">
        <f t="shared" si="0"/>
        <v>172200</v>
      </c>
      <c r="O19" s="154"/>
    </row>
    <row r="20" spans="1:20" s="2" customFormat="1" ht="19.8" customHeight="1">
      <c r="A20" s="9">
        <v>7</v>
      </c>
      <c r="B20" s="5" t="s">
        <v>136</v>
      </c>
      <c r="C20" s="23">
        <f>L20/100*100</f>
        <v>90</v>
      </c>
      <c r="D20" s="24">
        <f>C20/100*247</f>
        <v>222.3</v>
      </c>
      <c r="E20" s="29"/>
      <c r="F20" s="29">
        <f>C20/100*17.5</f>
        <v>15.75</v>
      </c>
      <c r="G20" s="29"/>
      <c r="H20" s="29">
        <f>C20/100*1.6</f>
        <v>1.4400000000000002</v>
      </c>
      <c r="I20" s="29">
        <f>C20/100*39.2</f>
        <v>35.28</v>
      </c>
      <c r="J20" s="71"/>
      <c r="K20" s="71"/>
      <c r="L20" s="374">
        <v>90</v>
      </c>
      <c r="M20" s="75">
        <v>50</v>
      </c>
      <c r="N20" s="28">
        <f t="shared" si="0"/>
        <v>4500</v>
      </c>
      <c r="O20" s="154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23">
        <f>L21/100*95</f>
        <v>864.5</v>
      </c>
      <c r="D21" s="24">
        <f>C21/100*20</f>
        <v>172.89999999999998</v>
      </c>
      <c r="E21" s="25"/>
      <c r="F21" s="25">
        <f>C21/100*0.6</f>
        <v>5.1869999999999994</v>
      </c>
      <c r="G21" s="25"/>
      <c r="H21" s="25">
        <f>C21/100*0.2</f>
        <v>1.7290000000000001</v>
      </c>
      <c r="I21" s="25">
        <f>C21/100*4</f>
        <v>34.58</v>
      </c>
      <c r="J21" s="27">
        <f>C21/100*12</f>
        <v>103.74</v>
      </c>
      <c r="K21" s="24">
        <f>C21/100*0.04</f>
        <v>0.3458</v>
      </c>
      <c r="L21" s="138">
        <v>910</v>
      </c>
      <c r="M21" s="77">
        <v>30</v>
      </c>
      <c r="N21" s="28">
        <f t="shared" si="0"/>
        <v>27300</v>
      </c>
      <c r="O21" s="397"/>
      <c r="Q21" s="3"/>
      <c r="R21" s="3"/>
      <c r="S21" s="4"/>
    </row>
    <row r="22" spans="1:20" s="2" customFormat="1" ht="19.8" customHeight="1">
      <c r="A22" s="9">
        <v>9</v>
      </c>
      <c r="B22" s="150" t="s">
        <v>175</v>
      </c>
      <c r="C22" s="23">
        <f>L22/100*90</f>
        <v>1233</v>
      </c>
      <c r="D22" s="24">
        <f>C22/100*29</f>
        <v>357.57</v>
      </c>
      <c r="E22" s="25"/>
      <c r="F22" s="25">
        <f>C22/100*1.8</f>
        <v>22.193999999999999</v>
      </c>
      <c r="G22" s="25"/>
      <c r="H22" s="25">
        <f>C22/100*0.1</f>
        <v>1.2330000000000001</v>
      </c>
      <c r="I22" s="25">
        <f>C22/100*5.3</f>
        <v>65.349000000000004</v>
      </c>
      <c r="J22" s="120">
        <f>C22/100*48</f>
        <v>591.84</v>
      </c>
      <c r="K22" s="25">
        <f>C22/100*0.05</f>
        <v>0.61650000000000005</v>
      </c>
      <c r="L22" s="138">
        <v>1370</v>
      </c>
      <c r="M22" s="75">
        <v>13</v>
      </c>
      <c r="N22" s="28">
        <f t="shared" si="0"/>
        <v>17810</v>
      </c>
      <c r="O22" s="154"/>
    </row>
    <row r="23" spans="1:20" s="2" customFormat="1" ht="19.8" customHeight="1">
      <c r="A23" s="9">
        <v>10</v>
      </c>
      <c r="B23" s="5" t="s">
        <v>131</v>
      </c>
      <c r="C23" s="23">
        <f>L23/100*75</f>
        <v>2392.5</v>
      </c>
      <c r="D23" s="24">
        <f>C23/100*17</f>
        <v>406.72500000000002</v>
      </c>
      <c r="E23" s="25"/>
      <c r="F23" s="25">
        <f>C23/100*1.4</f>
        <v>33.494999999999997</v>
      </c>
      <c r="G23" s="25"/>
      <c r="H23" s="25">
        <f>C23/100*0.2</f>
        <v>4.7850000000000001</v>
      </c>
      <c r="I23" s="25">
        <f>C23/100*2.4</f>
        <v>57.42</v>
      </c>
      <c r="J23" s="25">
        <f>C23/100*50</f>
        <v>1196.25</v>
      </c>
      <c r="K23" s="25">
        <f>C23/100*0.09</f>
        <v>2.1532499999999999</v>
      </c>
      <c r="L23" s="138">
        <v>3190</v>
      </c>
      <c r="M23" s="75">
        <v>18</v>
      </c>
      <c r="N23" s="28">
        <f t="shared" si="0"/>
        <v>57420</v>
      </c>
      <c r="O23" s="154"/>
    </row>
    <row r="24" spans="1:20" s="2" customFormat="1" ht="19.8" customHeight="1">
      <c r="A24" s="9">
        <v>11</v>
      </c>
      <c r="B24" s="6" t="s">
        <v>123</v>
      </c>
      <c r="C24" s="23"/>
      <c r="D24" s="24"/>
      <c r="E24" s="25"/>
      <c r="F24" s="25"/>
      <c r="G24" s="25"/>
      <c r="H24" s="25"/>
      <c r="I24" s="25"/>
      <c r="J24" s="27"/>
      <c r="K24" s="27"/>
      <c r="L24" s="26"/>
      <c r="M24" s="26"/>
      <c r="N24" s="28">
        <v>6750</v>
      </c>
      <c r="O24" s="154"/>
    </row>
    <row r="25" spans="1:20" s="2" customFormat="1" ht="19.8" customHeight="1">
      <c r="A25" s="21" t="s">
        <v>105</v>
      </c>
      <c r="B25" s="22"/>
      <c r="C25" s="34"/>
      <c r="D25" s="122">
        <f>SUM(D14:D24)</f>
        <v>40482.40600000001</v>
      </c>
      <c r="E25" s="36"/>
      <c r="F25" s="36"/>
      <c r="G25" s="36"/>
      <c r="H25" s="36"/>
      <c r="I25" s="36"/>
      <c r="J25" s="36"/>
      <c r="K25" s="36"/>
      <c r="L25" s="37"/>
      <c r="M25" s="321"/>
      <c r="N25" s="281">
        <f>SUM(N14:N24)</f>
        <v>946380</v>
      </c>
      <c r="O25" s="154"/>
    </row>
    <row r="26" spans="1:20" s="2" customFormat="1" ht="19.8" customHeight="1">
      <c r="A26" s="21" t="s">
        <v>6</v>
      </c>
      <c r="B26" s="22"/>
      <c r="C26" s="34"/>
      <c r="D26" s="35">
        <f>D25/D8</f>
        <v>444.8616043956045</v>
      </c>
      <c r="E26" s="36"/>
      <c r="F26" s="36"/>
      <c r="G26" s="36"/>
      <c r="H26" s="36"/>
      <c r="I26" s="36"/>
      <c r="J26" s="36"/>
      <c r="K26" s="36"/>
      <c r="L26" s="37"/>
      <c r="M26" s="322"/>
      <c r="N26" s="283"/>
      <c r="O26" s="154"/>
    </row>
    <row r="27" spans="1:20" s="2" customFormat="1" ht="19.8" customHeight="1">
      <c r="A27" s="304" t="s">
        <v>51</v>
      </c>
      <c r="B27" s="358"/>
      <c r="C27" s="375" t="s">
        <v>151</v>
      </c>
      <c r="D27" s="20" t="s">
        <v>45</v>
      </c>
      <c r="E27" s="36"/>
      <c r="F27" s="36"/>
      <c r="G27" s="36"/>
      <c r="H27" s="36"/>
      <c r="I27" s="36"/>
      <c r="J27" s="36"/>
      <c r="K27" s="36"/>
      <c r="L27" s="37"/>
      <c r="M27" s="37"/>
      <c r="N27" s="38"/>
      <c r="O27" s="154"/>
    </row>
    <row r="28" spans="1:20" s="2" customFormat="1" ht="19.8" customHeight="1">
      <c r="A28" s="359"/>
      <c r="B28" s="360"/>
      <c r="C28" s="76" t="s">
        <v>60</v>
      </c>
      <c r="D28" s="20">
        <f>D26*100/1320</f>
        <v>33.701636696636704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4"/>
    </row>
    <row r="29" spans="1:20" s="2" customFormat="1" ht="19.8" customHeight="1">
      <c r="A29" s="276" t="s">
        <v>35</v>
      </c>
      <c r="B29" s="276"/>
      <c r="C29" s="56"/>
      <c r="D29" s="57"/>
      <c r="E29" s="58"/>
      <c r="F29" s="58"/>
      <c r="G29" s="58"/>
      <c r="H29" s="58"/>
      <c r="I29" s="58"/>
      <c r="J29" s="58"/>
      <c r="K29" s="58"/>
      <c r="L29" s="59"/>
      <c r="M29" s="59"/>
      <c r="N29" s="69"/>
      <c r="O29" s="154"/>
    </row>
    <row r="30" spans="1:20" s="2" customFormat="1" ht="19.8" customHeight="1">
      <c r="A30" s="9">
        <v>1</v>
      </c>
      <c r="B30" s="10" t="s">
        <v>2</v>
      </c>
      <c r="C30" s="23">
        <f t="shared" ref="C30:C36" si="1">L30/100*100</f>
        <v>110.00000000000001</v>
      </c>
      <c r="D30" s="24">
        <f>C30/100*60</f>
        <v>66</v>
      </c>
      <c r="E30" s="25">
        <f>C30/100*15</f>
        <v>16.5</v>
      </c>
      <c r="F30" s="25"/>
      <c r="G30" s="25"/>
      <c r="H30" s="25"/>
      <c r="I30" s="25"/>
      <c r="J30" s="27">
        <f>C30/100*387</f>
        <v>425.70000000000005</v>
      </c>
      <c r="K30" s="27">
        <f>C30/100*0.09</f>
        <v>9.9000000000000005E-2</v>
      </c>
      <c r="L30" s="138">
        <v>110</v>
      </c>
      <c r="M30" s="75">
        <v>20</v>
      </c>
      <c r="N30" s="28">
        <f>L30*M30</f>
        <v>2200</v>
      </c>
      <c r="O30" s="154"/>
    </row>
    <row r="31" spans="1:20" s="2" customFormat="1" ht="19.8" customHeight="1">
      <c r="A31" s="9">
        <v>2</v>
      </c>
      <c r="B31" s="147" t="s">
        <v>141</v>
      </c>
      <c r="C31" s="23">
        <f t="shared" si="1"/>
        <v>459.99999999999994</v>
      </c>
      <c r="D31" s="24">
        <f>C31/100*899</f>
        <v>4135.3999999999996</v>
      </c>
      <c r="E31" s="25"/>
      <c r="F31" s="25"/>
      <c r="G31" s="120">
        <f>C31/100*100</f>
        <v>459.99999999999994</v>
      </c>
      <c r="H31" s="25"/>
      <c r="I31" s="25"/>
      <c r="J31" s="25"/>
      <c r="K31" s="25"/>
      <c r="L31" s="138">
        <v>460</v>
      </c>
      <c r="M31" s="145">
        <v>68</v>
      </c>
      <c r="N31" s="28">
        <f t="shared" ref="N31:N40" si="2">L31*M31</f>
        <v>31280</v>
      </c>
      <c r="O31" s="376"/>
    </row>
    <row r="32" spans="1:20" s="2" customFormat="1" ht="19.8" customHeight="1">
      <c r="A32" s="9">
        <v>3</v>
      </c>
      <c r="B32" s="149" t="s">
        <v>146</v>
      </c>
      <c r="C32" s="23">
        <f>L32/100*100</f>
        <v>140</v>
      </c>
      <c r="D32" s="121">
        <f>C32/100*900</f>
        <v>1260</v>
      </c>
      <c r="E32" s="25"/>
      <c r="F32" s="25"/>
      <c r="G32" s="120"/>
      <c r="H32" s="120">
        <f>C32/100*100</f>
        <v>140</v>
      </c>
      <c r="I32" s="25"/>
      <c r="J32" s="25"/>
      <c r="K32" s="25"/>
      <c r="L32" s="138">
        <v>140</v>
      </c>
      <c r="M32" s="75">
        <v>63.5</v>
      </c>
      <c r="N32" s="28">
        <f t="shared" si="2"/>
        <v>8890</v>
      </c>
      <c r="O32" s="376"/>
    </row>
    <row r="33" spans="1:23" s="2" customFormat="1" ht="19.8" customHeight="1">
      <c r="A33" s="9">
        <v>4</v>
      </c>
      <c r="B33" s="5" t="s">
        <v>1</v>
      </c>
      <c r="C33" s="23">
        <f t="shared" si="1"/>
        <v>1365</v>
      </c>
      <c r="D33" s="24">
        <f>C33/100*330.1</f>
        <v>4505.8650000000007</v>
      </c>
      <c r="E33" s="25"/>
      <c r="F33" s="120">
        <f>C33/100*7.9</f>
        <v>107.83500000000001</v>
      </c>
      <c r="G33" s="25"/>
      <c r="H33" s="25">
        <f>C33/100*1</f>
        <v>13.65</v>
      </c>
      <c r="I33" s="25">
        <f>C33/100*70.1</f>
        <v>956.8649999999999</v>
      </c>
      <c r="J33" s="27">
        <f>C33/100*30</f>
        <v>409.5</v>
      </c>
      <c r="K33" s="27">
        <f>C33/100*0.1</f>
        <v>1.3650000000000002</v>
      </c>
      <c r="L33" s="138">
        <v>1365</v>
      </c>
      <c r="M33" s="75">
        <v>18</v>
      </c>
      <c r="N33" s="28">
        <f t="shared" si="2"/>
        <v>24570</v>
      </c>
      <c r="O33" s="154"/>
    </row>
    <row r="34" spans="1:23" s="2" customFormat="1" ht="19.8" customHeight="1">
      <c r="A34" s="9">
        <v>5</v>
      </c>
      <c r="B34" s="5" t="s">
        <v>73</v>
      </c>
      <c r="C34" s="23">
        <f t="shared" si="1"/>
        <v>910</v>
      </c>
      <c r="D34" s="24">
        <f>C34/100*344</f>
        <v>3130.4</v>
      </c>
      <c r="E34" s="25"/>
      <c r="F34" s="25">
        <f>C34/100*8.6</f>
        <v>78.259999999999991</v>
      </c>
      <c r="G34" s="25"/>
      <c r="H34" s="25">
        <f>C34/100*1.5</f>
        <v>13.649999999999999</v>
      </c>
      <c r="I34" s="25">
        <f>C34/100*74.5</f>
        <v>677.94999999999993</v>
      </c>
      <c r="J34" s="25">
        <f>C34/100*32</f>
        <v>291.2</v>
      </c>
      <c r="K34" s="25">
        <f>C34/100*0.14</f>
        <v>1.274</v>
      </c>
      <c r="L34" s="138">
        <v>910</v>
      </c>
      <c r="M34" s="75">
        <v>30</v>
      </c>
      <c r="N34" s="28">
        <f t="shared" si="2"/>
        <v>27300</v>
      </c>
      <c r="O34" s="154"/>
      <c r="P34" s="18"/>
    </row>
    <row r="35" spans="1:23" s="2" customFormat="1" ht="19.8" customHeight="1">
      <c r="A35" s="9">
        <v>6</v>
      </c>
      <c r="B35" s="5" t="s">
        <v>67</v>
      </c>
      <c r="C35" s="23">
        <f t="shared" si="1"/>
        <v>180</v>
      </c>
      <c r="D35" s="24">
        <f>C35/100*334</f>
        <v>601.20000000000005</v>
      </c>
      <c r="E35" s="25"/>
      <c r="F35" s="25">
        <f>C35/100*20</f>
        <v>36</v>
      </c>
      <c r="G35" s="25"/>
      <c r="H35" s="25">
        <f>C35/100*2.4</f>
        <v>4.32</v>
      </c>
      <c r="I35" s="25">
        <f>C35/100*58</f>
        <v>104.4</v>
      </c>
      <c r="J35" s="27">
        <f>C35/100*89</f>
        <v>160.20000000000002</v>
      </c>
      <c r="K35" s="27">
        <f>C35/100*0.64</f>
        <v>1.1520000000000001</v>
      </c>
      <c r="L35" s="138">
        <v>180</v>
      </c>
      <c r="M35" s="75">
        <v>190</v>
      </c>
      <c r="N35" s="28">
        <f>L35*M35</f>
        <v>34200</v>
      </c>
      <c r="O35" s="154"/>
    </row>
    <row r="36" spans="1:23" s="2" customFormat="1" ht="19.8" customHeight="1">
      <c r="A36" s="9">
        <v>7</v>
      </c>
      <c r="B36" s="5" t="s">
        <v>136</v>
      </c>
      <c r="C36" s="23">
        <f t="shared" si="1"/>
        <v>60</v>
      </c>
      <c r="D36" s="24">
        <f>C36/100*247</f>
        <v>148.19999999999999</v>
      </c>
      <c r="E36" s="29"/>
      <c r="F36" s="29">
        <f>C36/100*17.5</f>
        <v>10.5</v>
      </c>
      <c r="G36" s="29"/>
      <c r="H36" s="29">
        <f>C36/100*1.6</f>
        <v>0.96</v>
      </c>
      <c r="I36" s="29">
        <f>C36/100*39.2</f>
        <v>23.52</v>
      </c>
      <c r="J36" s="71"/>
      <c r="K36" s="71"/>
      <c r="L36" s="374">
        <v>60</v>
      </c>
      <c r="M36" s="75">
        <v>50</v>
      </c>
      <c r="N36" s="28">
        <f t="shared" ref="N36:N39" si="3">L36*M36</f>
        <v>3000</v>
      </c>
      <c r="O36" s="154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23">
        <f>L37/100*98.5</f>
        <v>1339.6</v>
      </c>
      <c r="D37" s="24">
        <f>C37/100*39</f>
        <v>522.44399999999996</v>
      </c>
      <c r="E37" s="29"/>
      <c r="F37" s="29">
        <f>C37/100*1.5</f>
        <v>20.093999999999998</v>
      </c>
      <c r="G37" s="29"/>
      <c r="H37" s="29">
        <f>C37/100*0.2</f>
        <v>2.6791999999999998</v>
      </c>
      <c r="I37" s="29">
        <f>C37/100*7.8</f>
        <v>104.48879999999998</v>
      </c>
      <c r="J37" s="29">
        <f>C37/100*43</f>
        <v>576.02799999999991</v>
      </c>
      <c r="K37" s="29">
        <f>C37/100*0.06</f>
        <v>0.80375999999999992</v>
      </c>
      <c r="L37" s="374">
        <v>1360</v>
      </c>
      <c r="M37" s="26">
        <v>17</v>
      </c>
      <c r="N37" s="136">
        <f t="shared" si="3"/>
        <v>23120</v>
      </c>
      <c r="O37" s="154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23">
        <f>L38/100*98</f>
        <v>1068.2</v>
      </c>
      <c r="D38" s="24">
        <f>C38/100*118</f>
        <v>1260.4760000000001</v>
      </c>
      <c r="E38" s="120">
        <f>C38/100*21</f>
        <v>224.322</v>
      </c>
      <c r="F38" s="120"/>
      <c r="G38" s="120">
        <f>C38/100*3.8</f>
        <v>40.5916</v>
      </c>
      <c r="H38" s="120"/>
      <c r="I38" s="25"/>
      <c r="J38" s="25">
        <f>C38/100*12</f>
        <v>128.184</v>
      </c>
      <c r="K38" s="25">
        <f>C38/100*0.1</f>
        <v>1.0682</v>
      </c>
      <c r="L38" s="138">
        <v>1090</v>
      </c>
      <c r="M38" s="144">
        <v>250</v>
      </c>
      <c r="N38" s="136">
        <f t="shared" si="3"/>
        <v>272500</v>
      </c>
      <c r="O38" s="154"/>
    </row>
    <row r="39" spans="1:23" s="2" customFormat="1" ht="19.8" customHeight="1">
      <c r="A39" s="9">
        <v>9</v>
      </c>
      <c r="B39" s="5" t="s">
        <v>69</v>
      </c>
      <c r="C39" s="23">
        <f>L39/100*48</f>
        <v>1272</v>
      </c>
      <c r="D39" s="24">
        <f>C39/100*199</f>
        <v>2531.2800000000002</v>
      </c>
      <c r="E39" s="120">
        <f>C39/100*20.3</f>
        <v>258.21600000000001</v>
      </c>
      <c r="F39" s="120"/>
      <c r="G39" s="120">
        <f>C39/100*13.1</f>
        <v>166.63200000000001</v>
      </c>
      <c r="H39" s="120"/>
      <c r="I39" s="25"/>
      <c r="J39" s="27">
        <f>C39/100*12</f>
        <v>152.64000000000001</v>
      </c>
      <c r="K39" s="27">
        <f>C39/100*0.15</f>
        <v>1.9079999999999999</v>
      </c>
      <c r="L39" s="138">
        <v>2650</v>
      </c>
      <c r="M39" s="138">
        <v>84</v>
      </c>
      <c r="N39" s="28">
        <f t="shared" si="3"/>
        <v>222600</v>
      </c>
      <c r="O39" s="154"/>
      <c r="Q39" s="3"/>
      <c r="R39" s="3"/>
      <c r="S39" s="4"/>
    </row>
    <row r="40" spans="1:23" s="2" customFormat="1" ht="19.8" customHeight="1">
      <c r="A40" s="9">
        <v>10</v>
      </c>
      <c r="B40" s="153" t="s">
        <v>149</v>
      </c>
      <c r="C40" s="23">
        <f>L40/100*100</f>
        <v>1540</v>
      </c>
      <c r="D40" s="24">
        <f>C40/100*487</f>
        <v>7499.8</v>
      </c>
      <c r="E40" s="169"/>
      <c r="F40" s="169">
        <f>C40/100*19.5</f>
        <v>300.3</v>
      </c>
      <c r="G40" s="169"/>
      <c r="H40" s="169">
        <f>C40/100*23.2</f>
        <v>357.28</v>
      </c>
      <c r="I40" s="29">
        <f>C40/100*46</f>
        <v>708.4</v>
      </c>
      <c r="J40" s="120">
        <f>C40/100*680</f>
        <v>10472</v>
      </c>
      <c r="K40" s="25">
        <f>C40/100*0.55</f>
        <v>8.4700000000000006</v>
      </c>
      <c r="L40" s="30">
        <v>1540</v>
      </c>
      <c r="M40" s="144">
        <v>260</v>
      </c>
      <c r="N40" s="28">
        <f t="shared" si="2"/>
        <v>400400</v>
      </c>
      <c r="O40" s="154"/>
      <c r="P40" s="3"/>
    </row>
    <row r="41" spans="1:23" s="2" customFormat="1" ht="19.8" customHeight="1">
      <c r="A41" s="104">
        <v>11</v>
      </c>
      <c r="B41" s="113" t="s">
        <v>123</v>
      </c>
      <c r="C41" s="105"/>
      <c r="D41" s="106"/>
      <c r="E41" s="107"/>
      <c r="F41" s="107"/>
      <c r="G41" s="107"/>
      <c r="H41" s="107"/>
      <c r="I41" s="107"/>
      <c r="J41" s="115"/>
      <c r="K41" s="115"/>
      <c r="L41" s="108"/>
      <c r="M41" s="108"/>
      <c r="N41" s="109">
        <v>6200</v>
      </c>
      <c r="O41" s="154"/>
      <c r="P41" s="154"/>
    </row>
    <row r="42" spans="1:23" ht="21" customHeight="1">
      <c r="A42" s="186" t="s">
        <v>0</v>
      </c>
      <c r="B42" s="196" t="s">
        <v>19</v>
      </c>
      <c r="C42" s="329" t="s">
        <v>8</v>
      </c>
      <c r="D42" s="199" t="s">
        <v>9</v>
      </c>
      <c r="E42" s="189" t="s">
        <v>11</v>
      </c>
      <c r="F42" s="190"/>
      <c r="G42" s="189" t="s">
        <v>13</v>
      </c>
      <c r="H42" s="190"/>
      <c r="I42" s="193" t="s">
        <v>16</v>
      </c>
      <c r="J42" s="193" t="s">
        <v>41</v>
      </c>
      <c r="K42" s="193" t="s">
        <v>42</v>
      </c>
      <c r="L42" s="193" t="s">
        <v>17</v>
      </c>
      <c r="M42" s="193" t="s">
        <v>57</v>
      </c>
      <c r="N42" s="186" t="s">
        <v>18</v>
      </c>
      <c r="O42" s="373"/>
    </row>
    <row r="43" spans="1:23" ht="21" customHeight="1">
      <c r="A43" s="187"/>
      <c r="B43" s="197"/>
      <c r="C43" s="330"/>
      <c r="D43" s="200"/>
      <c r="E43" s="191"/>
      <c r="F43" s="192"/>
      <c r="G43" s="191"/>
      <c r="H43" s="192"/>
      <c r="I43" s="194"/>
      <c r="J43" s="194"/>
      <c r="K43" s="194"/>
      <c r="L43" s="194"/>
      <c r="M43" s="194"/>
      <c r="N43" s="187"/>
      <c r="O43" s="174"/>
    </row>
    <row r="44" spans="1:23" ht="21" customHeight="1">
      <c r="A44" s="187"/>
      <c r="B44" s="197"/>
      <c r="C44" s="330"/>
      <c r="D44" s="200"/>
      <c r="E44" s="193" t="s">
        <v>10</v>
      </c>
      <c r="F44" s="193" t="s">
        <v>12</v>
      </c>
      <c r="G44" s="193" t="s">
        <v>14</v>
      </c>
      <c r="H44" s="193" t="s">
        <v>15</v>
      </c>
      <c r="I44" s="194"/>
      <c r="J44" s="194"/>
      <c r="K44" s="194"/>
      <c r="L44" s="194"/>
      <c r="M44" s="194"/>
      <c r="N44" s="187"/>
      <c r="O44" s="174"/>
    </row>
    <row r="45" spans="1:23" ht="21" customHeight="1">
      <c r="A45" s="188"/>
      <c r="B45" s="198"/>
      <c r="C45" s="331"/>
      <c r="D45" s="201"/>
      <c r="E45" s="195"/>
      <c r="F45" s="195"/>
      <c r="G45" s="195"/>
      <c r="H45" s="195"/>
      <c r="I45" s="195"/>
      <c r="J45" s="195"/>
      <c r="K45" s="195"/>
      <c r="L45" s="195"/>
      <c r="M45" s="195"/>
      <c r="N45" s="188"/>
      <c r="O45" s="174"/>
    </row>
    <row r="46" spans="1:23" s="2" customFormat="1" ht="21" customHeight="1">
      <c r="A46" s="21" t="s">
        <v>106</v>
      </c>
      <c r="B46" s="22"/>
      <c r="C46" s="34"/>
      <c r="D46" s="122">
        <f>SUM(D30:D41)</f>
        <v>25661.064999999999</v>
      </c>
      <c r="E46" s="43"/>
      <c r="F46" s="43"/>
      <c r="G46" s="43"/>
      <c r="H46" s="43"/>
      <c r="I46" s="43"/>
      <c r="J46" s="43"/>
      <c r="K46" s="43"/>
      <c r="L46" s="44"/>
      <c r="M46" s="319"/>
      <c r="N46" s="262">
        <f>SUM(N30:N41)</f>
        <v>1056260</v>
      </c>
      <c r="O46" s="154"/>
    </row>
    <row r="47" spans="1:23" ht="21" customHeight="1">
      <c r="A47" s="21" t="s">
        <v>7</v>
      </c>
      <c r="B47" s="22"/>
      <c r="C47" s="45"/>
      <c r="D47" s="46">
        <f>D46/D8</f>
        <v>281.98972527472529</v>
      </c>
      <c r="E47" s="46"/>
      <c r="F47" s="46"/>
      <c r="G47" s="46"/>
      <c r="H47" s="46"/>
      <c r="I47" s="46"/>
      <c r="J47" s="46"/>
      <c r="K47" s="46"/>
      <c r="L47" s="47"/>
      <c r="M47" s="320"/>
      <c r="N47" s="263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304" t="s">
        <v>52</v>
      </c>
      <c r="B48" s="207"/>
      <c r="C48" s="375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5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08"/>
      <c r="B49" s="209"/>
      <c r="C49" s="76" t="s">
        <v>60</v>
      </c>
      <c r="D49" s="20">
        <f>D47*100/1320</f>
        <v>21.362857975357976</v>
      </c>
      <c r="E49" s="46"/>
      <c r="F49" s="46"/>
      <c r="G49" s="46"/>
      <c r="H49" s="46"/>
      <c r="I49" s="46"/>
      <c r="J49" s="48"/>
      <c r="K49" s="48"/>
      <c r="L49" s="47"/>
      <c r="M49" s="47"/>
      <c r="N49" s="175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23" t="s">
        <v>107</v>
      </c>
      <c r="B50" s="224"/>
      <c r="C50" s="227"/>
      <c r="D50" s="299">
        <f>D25+D46</f>
        <v>66143.471000000005</v>
      </c>
      <c r="E50" s="124">
        <f>SUM(E14:E41)</f>
        <v>1347.3878</v>
      </c>
      <c r="F50" s="124">
        <f t="shared" ref="F50:H50" si="4">SUM(F14:F41)</f>
        <v>1312.5700000000002</v>
      </c>
      <c r="G50" s="124">
        <f t="shared" si="4"/>
        <v>1485.6062000000002</v>
      </c>
      <c r="H50" s="50">
        <f t="shared" si="4"/>
        <v>628.17619999999988</v>
      </c>
      <c r="I50" s="212">
        <f>SUM(I14:I41)</f>
        <v>8835.8737999999994</v>
      </c>
      <c r="J50" s="212">
        <f>SUM(J14:J41)</f>
        <v>19069.719999999998</v>
      </c>
      <c r="K50" s="210">
        <f>SUM(K14:K41)</f>
        <v>41.538810000000005</v>
      </c>
      <c r="L50" s="239"/>
      <c r="M50" s="239"/>
      <c r="N50" s="301">
        <f>N25+N46</f>
        <v>2002640</v>
      </c>
      <c r="U50" s="12"/>
      <c r="V50" s="12"/>
    </row>
    <row r="51" spans="1:23" ht="21" customHeight="1">
      <c r="A51" s="225"/>
      <c r="B51" s="226"/>
      <c r="C51" s="228"/>
      <c r="D51" s="300"/>
      <c r="E51" s="324">
        <f>E50+F50</f>
        <v>2659.9578000000001</v>
      </c>
      <c r="F51" s="325"/>
      <c r="G51" s="221">
        <f>G50+H50</f>
        <v>2113.7824000000001</v>
      </c>
      <c r="H51" s="222"/>
      <c r="I51" s="213"/>
      <c r="J51" s="213"/>
      <c r="K51" s="211"/>
      <c r="L51" s="239"/>
      <c r="M51" s="239"/>
      <c r="N51" s="301"/>
      <c r="U51" s="12"/>
      <c r="V51" s="12"/>
    </row>
    <row r="52" spans="1:23" ht="21" customHeight="1">
      <c r="A52" s="270" t="s">
        <v>77</v>
      </c>
      <c r="B52" s="271"/>
      <c r="C52" s="272"/>
      <c r="D52" s="139">
        <f>D50/D8</f>
        <v>726.85132967032973</v>
      </c>
      <c r="E52" s="380">
        <f>E50/D8</f>
        <v>14.806459340659341</v>
      </c>
      <c r="F52" s="381">
        <f>F50/D8</f>
        <v>14.423846153846156</v>
      </c>
      <c r="G52" s="380">
        <f>G50/D8</f>
        <v>16.325342857142861</v>
      </c>
      <c r="H52" s="381">
        <f>H50/D8</f>
        <v>6.9030351648351633</v>
      </c>
      <c r="I52" s="204">
        <f>I50/D8</f>
        <v>97.097514285714283</v>
      </c>
      <c r="J52" s="204">
        <f>J50/D8</f>
        <v>209.55736263736262</v>
      </c>
      <c r="K52" s="302">
        <f>K50/D8</f>
        <v>0.45647043956043959</v>
      </c>
      <c r="L52" s="239"/>
      <c r="M52" s="239"/>
      <c r="N52" s="301"/>
      <c r="Q52" s="370"/>
      <c r="R52" s="370"/>
      <c r="S52" s="370"/>
      <c r="T52" s="370"/>
      <c r="U52" s="385"/>
      <c r="V52" s="385"/>
    </row>
    <row r="53" spans="1:23" ht="21" customHeight="1">
      <c r="A53" s="273"/>
      <c r="B53" s="274"/>
      <c r="C53" s="275"/>
      <c r="D53" s="128"/>
      <c r="E53" s="383">
        <f>E52+F52</f>
        <v>29.230305494505497</v>
      </c>
      <c r="F53" s="384"/>
      <c r="G53" s="383">
        <f>G52+H52</f>
        <v>23.228378021978024</v>
      </c>
      <c r="H53" s="384"/>
      <c r="I53" s="205"/>
      <c r="J53" s="205"/>
      <c r="K53" s="303"/>
      <c r="L53" s="239"/>
      <c r="M53" s="239"/>
      <c r="N53" s="301"/>
      <c r="P53" s="388"/>
      <c r="Q53" s="370"/>
      <c r="R53" s="370"/>
      <c r="S53" s="370"/>
      <c r="T53" s="370"/>
      <c r="U53" s="370"/>
      <c r="V53" s="370"/>
    </row>
    <row r="54" spans="1:23" ht="21" customHeight="1">
      <c r="A54" s="316" t="s">
        <v>80</v>
      </c>
      <c r="B54" s="317"/>
      <c r="C54" s="318"/>
      <c r="D54" s="179" t="s">
        <v>28</v>
      </c>
      <c r="E54" s="231" t="s">
        <v>21</v>
      </c>
      <c r="F54" s="231"/>
      <c r="G54" s="231" t="s">
        <v>22</v>
      </c>
      <c r="H54" s="231"/>
      <c r="I54" s="386" t="s">
        <v>23</v>
      </c>
      <c r="J54" s="386">
        <v>600</v>
      </c>
      <c r="K54" s="386">
        <v>0.7</v>
      </c>
      <c r="L54" s="239"/>
      <c r="M54" s="239"/>
      <c r="N54" s="301"/>
      <c r="O54" s="387"/>
    </row>
    <row r="55" spans="1:23" ht="21" customHeight="1">
      <c r="A55" s="214" t="s">
        <v>78</v>
      </c>
      <c r="B55" s="215"/>
      <c r="C55" s="216"/>
      <c r="D55" s="49"/>
      <c r="E55" s="202">
        <f>E53*4.1</f>
        <v>119.84425252747253</v>
      </c>
      <c r="F55" s="203"/>
      <c r="G55" s="202">
        <f>G53*9</f>
        <v>209.05540219780221</v>
      </c>
      <c r="H55" s="203"/>
      <c r="I55" s="123">
        <f>I52*4.1</f>
        <v>398.09980857142853</v>
      </c>
      <c r="J55" s="249"/>
      <c r="K55" s="249"/>
      <c r="L55" s="239"/>
      <c r="M55" s="239"/>
      <c r="N55" s="301"/>
      <c r="O55" s="387"/>
      <c r="P55" s="379"/>
      <c r="Q55" s="369"/>
      <c r="R55" s="369"/>
      <c r="S55" s="369"/>
    </row>
    <row r="56" spans="1:23" ht="21" customHeight="1">
      <c r="A56" s="217" t="s">
        <v>81</v>
      </c>
      <c r="B56" s="218"/>
      <c r="C56" s="214" t="s">
        <v>59</v>
      </c>
      <c r="D56" s="216"/>
      <c r="E56" s="251">
        <f>E55*100/D52</f>
        <v>16.488138307709917</v>
      </c>
      <c r="F56" s="252"/>
      <c r="G56" s="251">
        <f>G55*100/D52</f>
        <v>28.761783003495538</v>
      </c>
      <c r="H56" s="252"/>
      <c r="I56" s="117">
        <f>I55*100/D52</f>
        <v>54.770458871140875</v>
      </c>
      <c r="J56" s="250"/>
      <c r="K56" s="250"/>
      <c r="L56" s="239"/>
      <c r="M56" s="239"/>
      <c r="N56" s="301"/>
      <c r="O56" s="387"/>
      <c r="P56" s="142"/>
      <c r="Q56" s="142"/>
      <c r="R56" s="142"/>
      <c r="S56" s="142"/>
    </row>
    <row r="57" spans="1:23" ht="21" customHeight="1">
      <c r="A57" s="219"/>
      <c r="B57" s="220"/>
      <c r="C57" s="214" t="s">
        <v>79</v>
      </c>
      <c r="D57" s="216"/>
      <c r="E57" s="214" t="s">
        <v>82</v>
      </c>
      <c r="F57" s="216"/>
      <c r="G57" s="214" t="s">
        <v>83</v>
      </c>
      <c r="H57" s="216"/>
      <c r="I57" s="179" t="s">
        <v>84</v>
      </c>
      <c r="J57" s="230"/>
      <c r="K57" s="230"/>
      <c r="L57" s="239"/>
      <c r="M57" s="239"/>
      <c r="N57" s="301"/>
      <c r="O57" s="387"/>
      <c r="P57" s="133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87"/>
    </row>
    <row r="59" spans="1:23" ht="21" customHeight="1">
      <c r="A59" s="296" t="s">
        <v>114</v>
      </c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387"/>
    </row>
    <row r="60" spans="1:23" ht="21" customHeight="1">
      <c r="A60" s="118" t="s">
        <v>115</v>
      </c>
      <c r="B60" s="297" t="s">
        <v>116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87"/>
    </row>
    <row r="61" spans="1:23" ht="21" customHeight="1">
      <c r="A61" s="119"/>
      <c r="B61" s="257" t="s">
        <v>226</v>
      </c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387"/>
    </row>
    <row r="62" spans="1:23" ht="21" customHeight="1">
      <c r="A62" s="119"/>
      <c r="B62" s="257" t="s">
        <v>199</v>
      </c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387"/>
    </row>
    <row r="63" spans="1:23" ht="21" customHeight="1">
      <c r="A63" s="119"/>
      <c r="B63" s="257" t="s">
        <v>183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387"/>
    </row>
    <row r="64" spans="1:23" ht="21" customHeight="1">
      <c r="A64" s="90"/>
      <c r="B64" s="258" t="s">
        <v>117</v>
      </c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387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7"/>
    </row>
    <row r="66" spans="1:15" ht="21" customHeight="1">
      <c r="A66" s="259" t="s">
        <v>62</v>
      </c>
      <c r="B66" s="259"/>
      <c r="C66" s="259"/>
      <c r="D66" s="259"/>
      <c r="E66" s="389"/>
      <c r="F66" s="389"/>
      <c r="G66" s="389"/>
      <c r="H66" s="389"/>
      <c r="I66" s="389"/>
      <c r="J66" s="390" t="s">
        <v>33</v>
      </c>
      <c r="K66" s="390"/>
      <c r="L66" s="390"/>
      <c r="M66" s="390"/>
      <c r="N66" s="390"/>
      <c r="O66" s="387"/>
    </row>
    <row r="67" spans="1:15" ht="21" customHeight="1">
      <c r="A67" s="174"/>
      <c r="B67" s="174"/>
      <c r="C67" s="174"/>
      <c r="D67" s="389"/>
      <c r="E67" s="389"/>
      <c r="F67" s="389"/>
      <c r="G67" s="389"/>
      <c r="H67" s="391"/>
      <c r="I67" s="391"/>
      <c r="J67" s="391"/>
      <c r="K67" s="391"/>
      <c r="L67" s="391"/>
      <c r="M67" s="391"/>
      <c r="N67" s="391"/>
      <c r="O67" s="387"/>
    </row>
    <row r="68" spans="1:15" ht="21" customHeight="1">
      <c r="A68" s="174"/>
      <c r="B68" s="174"/>
      <c r="C68" s="174"/>
      <c r="D68" s="389"/>
      <c r="E68" s="389"/>
      <c r="F68" s="389"/>
      <c r="G68" s="389"/>
      <c r="H68" s="391"/>
      <c r="I68" s="391"/>
      <c r="J68" s="391"/>
      <c r="K68" s="391"/>
      <c r="L68" s="391"/>
      <c r="M68" s="391"/>
      <c r="N68" s="391"/>
      <c r="O68" s="387"/>
    </row>
    <row r="69" spans="1:15" ht="21" customHeight="1">
      <c r="A69" s="174"/>
      <c r="B69" s="174"/>
      <c r="C69" s="174"/>
      <c r="D69" s="389"/>
      <c r="E69" s="389"/>
      <c r="F69" s="389"/>
      <c r="G69" s="389"/>
      <c r="H69" s="391"/>
      <c r="I69" s="391"/>
      <c r="J69" s="392" t="s">
        <v>124</v>
      </c>
      <c r="K69" s="392"/>
      <c r="L69" s="392"/>
      <c r="M69" s="392"/>
      <c r="N69" s="392"/>
      <c r="O69" s="387"/>
    </row>
    <row r="70" spans="1:15" ht="21" customHeight="1">
      <c r="A70" s="260" t="s">
        <v>91</v>
      </c>
      <c r="B70" s="260"/>
      <c r="C70" s="260"/>
      <c r="D70" s="260"/>
      <c r="E70" s="389"/>
      <c r="F70" s="389"/>
      <c r="G70" s="389"/>
      <c r="H70" s="391"/>
      <c r="I70" s="391"/>
      <c r="O70" s="387"/>
    </row>
    <row r="71" spans="1:15" ht="21" customHeight="1">
      <c r="A71" s="174"/>
      <c r="B71" s="174"/>
      <c r="C71" s="174"/>
      <c r="D71" s="389"/>
      <c r="E71" s="389"/>
      <c r="F71" s="389"/>
      <c r="G71" s="389"/>
      <c r="H71" s="391"/>
      <c r="I71" s="391"/>
      <c r="J71" s="391"/>
      <c r="K71" s="391"/>
      <c r="L71" s="391"/>
      <c r="M71" s="391"/>
      <c r="N71" s="391"/>
      <c r="O71" s="387"/>
    </row>
    <row r="72" spans="1:15" ht="21" customHeight="1">
      <c r="A72" s="174"/>
      <c r="B72" s="174"/>
      <c r="C72" s="174"/>
      <c r="D72" s="389"/>
      <c r="E72" s="389"/>
      <c r="F72" s="389"/>
      <c r="G72" s="389"/>
      <c r="H72" s="391"/>
      <c r="I72" s="391"/>
      <c r="J72" s="392" t="s">
        <v>127</v>
      </c>
      <c r="K72" s="392"/>
      <c r="L72" s="392"/>
      <c r="M72" s="392"/>
      <c r="N72" s="392"/>
      <c r="O72" s="387"/>
    </row>
    <row r="73" spans="1:15" ht="21" customHeight="1">
      <c r="A73" s="174"/>
      <c r="B73" s="174"/>
      <c r="C73" s="174"/>
      <c r="D73" s="389"/>
      <c r="E73" s="389"/>
      <c r="F73" s="389"/>
      <c r="G73" s="389"/>
      <c r="H73" s="391"/>
      <c r="I73" s="391"/>
      <c r="J73" s="391"/>
      <c r="K73" s="391"/>
      <c r="L73" s="391"/>
      <c r="M73" s="391"/>
      <c r="N73" s="391"/>
      <c r="O73" s="387"/>
    </row>
    <row r="74" spans="1:15" ht="21" customHeight="1">
      <c r="A74" s="174"/>
      <c r="B74" s="174"/>
      <c r="C74" s="174"/>
      <c r="D74" s="389"/>
      <c r="E74" s="389"/>
      <c r="F74" s="389"/>
      <c r="G74" s="389"/>
      <c r="H74" s="391"/>
      <c r="I74" s="391"/>
      <c r="J74" s="391"/>
      <c r="K74" s="391"/>
      <c r="L74" s="391"/>
      <c r="M74" s="391"/>
      <c r="N74" s="391"/>
      <c r="O74" s="387"/>
    </row>
    <row r="75" spans="1:15" ht="21" customHeight="1">
      <c r="A75" s="174"/>
      <c r="B75" s="174"/>
      <c r="C75" s="174"/>
      <c r="D75" s="389"/>
      <c r="E75" s="389"/>
      <c r="F75" s="389"/>
      <c r="G75" s="389"/>
      <c r="H75" s="391"/>
      <c r="I75" s="391"/>
      <c r="J75" s="391"/>
      <c r="K75" s="391"/>
      <c r="L75" s="391"/>
      <c r="M75" s="391"/>
      <c r="N75" s="391"/>
      <c r="O75" s="387"/>
    </row>
    <row r="76" spans="1:15" ht="21" customHeight="1">
      <c r="A76" s="174"/>
      <c r="B76" s="174"/>
      <c r="C76" s="174"/>
      <c r="D76" s="389"/>
      <c r="E76" s="389"/>
      <c r="F76" s="389"/>
      <c r="G76" s="389"/>
      <c r="H76" s="391"/>
      <c r="I76" s="391"/>
      <c r="J76" s="391"/>
      <c r="K76" s="391"/>
      <c r="L76" s="391"/>
      <c r="M76" s="391"/>
      <c r="N76" s="391"/>
      <c r="O76" s="387"/>
    </row>
    <row r="77" spans="1:15" ht="21" customHeight="1">
      <c r="A77" s="174"/>
      <c r="B77" s="174"/>
      <c r="C77" s="174"/>
      <c r="D77" s="389"/>
      <c r="E77" s="389"/>
      <c r="F77" s="389"/>
      <c r="G77" s="389"/>
      <c r="H77" s="391"/>
      <c r="I77" s="391"/>
      <c r="J77" s="391"/>
      <c r="K77" s="391"/>
      <c r="L77" s="391"/>
      <c r="M77" s="391"/>
      <c r="N77" s="391"/>
      <c r="O77" s="387"/>
    </row>
    <row r="78" spans="1:15" ht="21" customHeight="1">
      <c r="A78" s="174"/>
      <c r="B78" s="174"/>
      <c r="C78" s="174"/>
      <c r="D78" s="389"/>
      <c r="E78" s="389"/>
      <c r="F78" s="389"/>
      <c r="G78" s="389"/>
      <c r="H78" s="391"/>
      <c r="I78" s="391"/>
      <c r="J78" s="391"/>
      <c r="K78" s="391"/>
      <c r="L78" s="391"/>
      <c r="M78" s="391"/>
      <c r="N78" s="391"/>
      <c r="O78" s="387"/>
    </row>
    <row r="79" spans="1:15" ht="21" customHeight="1">
      <c r="A79" s="174"/>
      <c r="B79" s="174"/>
      <c r="C79" s="174"/>
      <c r="D79" s="389"/>
      <c r="E79" s="389"/>
      <c r="F79" s="389"/>
      <c r="G79" s="389"/>
      <c r="H79" s="391"/>
      <c r="I79" s="391"/>
      <c r="J79" s="391"/>
      <c r="K79" s="391"/>
      <c r="L79" s="391"/>
      <c r="M79" s="391"/>
      <c r="N79" s="391"/>
      <c r="O79" s="387"/>
    </row>
    <row r="80" spans="1:15" ht="21" customHeight="1">
      <c r="A80" s="174"/>
      <c r="B80" s="174"/>
      <c r="C80" s="174"/>
      <c r="D80" s="389"/>
      <c r="E80" s="389"/>
      <c r="F80" s="389"/>
      <c r="G80" s="389"/>
      <c r="H80" s="391"/>
      <c r="I80" s="391"/>
      <c r="J80" s="391"/>
      <c r="K80" s="391"/>
      <c r="L80" s="391"/>
      <c r="M80" s="391"/>
      <c r="N80" s="391"/>
      <c r="O80" s="387"/>
    </row>
    <row r="81" spans="1:20" ht="21" customHeight="1">
      <c r="A81" s="174"/>
      <c r="B81" s="174"/>
      <c r="C81" s="174"/>
      <c r="D81" s="389"/>
      <c r="E81" s="389"/>
      <c r="F81" s="389"/>
      <c r="G81" s="389"/>
      <c r="H81" s="391"/>
      <c r="I81" s="391"/>
      <c r="J81" s="391"/>
      <c r="K81" s="391"/>
      <c r="L81" s="391"/>
      <c r="M81" s="391"/>
      <c r="N81" s="391"/>
      <c r="O81" s="387"/>
    </row>
    <row r="82" spans="1:20" ht="19.8" customHeight="1">
      <c r="A82" s="11" t="s">
        <v>61</v>
      </c>
      <c r="B82" s="8"/>
      <c r="C82" s="8"/>
      <c r="D82" s="8"/>
      <c r="E82" s="8"/>
      <c r="F82" s="184" t="s">
        <v>32</v>
      </c>
      <c r="G82" s="184"/>
      <c r="H82" s="184"/>
      <c r="I82" s="184"/>
      <c r="J82" s="184"/>
      <c r="K82" s="184"/>
      <c r="L82" s="184"/>
      <c r="M82" s="184"/>
      <c r="N82" s="184"/>
      <c r="O82" s="371"/>
      <c r="P82" s="371"/>
      <c r="T82" s="2"/>
    </row>
    <row r="83" spans="1:20" ht="19.8" customHeight="1">
      <c r="A83" s="8" t="s">
        <v>205</v>
      </c>
      <c r="B83" s="8"/>
      <c r="C83" s="8"/>
      <c r="D83" s="8"/>
      <c r="E83" s="8"/>
      <c r="F83" s="178"/>
      <c r="G83" s="178"/>
      <c r="H83" s="178"/>
      <c r="I83" s="178"/>
      <c r="J83" s="178"/>
      <c r="K83" s="178"/>
      <c r="L83" s="178"/>
      <c r="M83" s="178"/>
      <c r="N83" s="178"/>
      <c r="O83" s="371"/>
      <c r="P83" s="371"/>
      <c r="T83" s="2"/>
    </row>
    <row r="84" spans="1:20" s="2" customFormat="1" ht="18" customHeight="1">
      <c r="A84" s="231" t="s">
        <v>97</v>
      </c>
      <c r="B84" s="231"/>
      <c r="C84" s="231"/>
      <c r="D84" s="231"/>
      <c r="E84" s="231" t="s">
        <v>89</v>
      </c>
      <c r="F84" s="231"/>
      <c r="G84" s="231"/>
      <c r="H84" s="231"/>
      <c r="I84" s="231"/>
      <c r="J84" s="231"/>
      <c r="K84" s="231"/>
      <c r="L84" s="231"/>
      <c r="M84" s="231"/>
      <c r="N84" s="231"/>
      <c r="O84" s="372"/>
    </row>
    <row r="85" spans="1:20" s="2" customFormat="1" ht="18" customHeight="1">
      <c r="A85" s="231"/>
      <c r="B85" s="231"/>
      <c r="C85" s="231"/>
      <c r="D85" s="231"/>
      <c r="E85" s="231" t="s">
        <v>104</v>
      </c>
      <c r="F85" s="231"/>
      <c r="G85" s="231"/>
      <c r="H85" s="231"/>
      <c r="I85" s="231"/>
      <c r="J85" s="231" t="s">
        <v>101</v>
      </c>
      <c r="K85" s="231"/>
      <c r="L85" s="231"/>
      <c r="M85" s="231"/>
      <c r="N85" s="231"/>
      <c r="O85" s="372"/>
    </row>
    <row r="86" spans="1:20" s="2" customFormat="1" ht="18" customHeight="1">
      <c r="A86" s="268" t="s">
        <v>90</v>
      </c>
      <c r="B86" s="268"/>
      <c r="C86" s="268"/>
      <c r="D86" s="268"/>
      <c r="E86" s="269" t="s">
        <v>148</v>
      </c>
      <c r="F86" s="269"/>
      <c r="G86" s="269"/>
      <c r="H86" s="269"/>
      <c r="I86" s="269"/>
      <c r="J86" s="284" t="s">
        <v>174</v>
      </c>
      <c r="K86" s="285"/>
      <c r="L86" s="285"/>
      <c r="M86" s="285"/>
      <c r="N86" s="286"/>
      <c r="O86" s="372"/>
    </row>
    <row r="87" spans="1:20" s="2" customFormat="1" ht="18" customHeight="1">
      <c r="A87" s="344" t="s">
        <v>173</v>
      </c>
      <c r="B87" s="345"/>
      <c r="C87" s="345"/>
      <c r="D87" s="346"/>
      <c r="E87" s="269"/>
      <c r="F87" s="269"/>
      <c r="G87" s="269"/>
      <c r="H87" s="269"/>
      <c r="I87" s="269"/>
      <c r="J87" s="287"/>
      <c r="K87" s="288"/>
      <c r="L87" s="288"/>
      <c r="M87" s="288"/>
      <c r="N87" s="289"/>
      <c r="O87" s="372"/>
    </row>
    <row r="88" spans="1:20" s="2" customFormat="1" ht="18" customHeight="1">
      <c r="A88" s="347" t="s">
        <v>172</v>
      </c>
      <c r="B88" s="347"/>
      <c r="C88" s="347"/>
      <c r="D88" s="347"/>
      <c r="E88" s="269"/>
      <c r="F88" s="269"/>
      <c r="G88" s="269"/>
      <c r="H88" s="269"/>
      <c r="I88" s="269"/>
      <c r="J88" s="290"/>
      <c r="K88" s="291"/>
      <c r="L88" s="291"/>
      <c r="M88" s="291"/>
      <c r="N88" s="292"/>
      <c r="O88" s="372"/>
    </row>
    <row r="89" spans="1:20" ht="18" customHeight="1">
      <c r="A89" s="278" t="s">
        <v>122</v>
      </c>
      <c r="B89" s="279"/>
      <c r="C89" s="280"/>
      <c r="D89" s="129">
        <v>36</v>
      </c>
      <c r="E89" s="8"/>
      <c r="F89" s="178"/>
      <c r="G89" s="178"/>
      <c r="H89" s="178"/>
      <c r="I89" s="178"/>
      <c r="J89" s="178"/>
      <c r="K89" s="178"/>
      <c r="L89" s="178"/>
      <c r="M89" s="178"/>
      <c r="N89" s="178"/>
      <c r="O89" s="371"/>
      <c r="P89" s="371"/>
      <c r="T89" s="2"/>
    </row>
    <row r="90" spans="1:20" ht="19.8" customHeight="1">
      <c r="A90" s="186" t="s">
        <v>0</v>
      </c>
      <c r="B90" s="196" t="s">
        <v>19</v>
      </c>
      <c r="C90" s="366" t="s">
        <v>8</v>
      </c>
      <c r="D90" s="199" t="s">
        <v>9</v>
      </c>
      <c r="E90" s="362" t="s">
        <v>11</v>
      </c>
      <c r="F90" s="363"/>
      <c r="G90" s="362" t="s">
        <v>13</v>
      </c>
      <c r="H90" s="363"/>
      <c r="I90" s="193" t="s">
        <v>16</v>
      </c>
      <c r="J90" s="193" t="s">
        <v>41</v>
      </c>
      <c r="K90" s="193" t="s">
        <v>42</v>
      </c>
      <c r="L90" s="193" t="s">
        <v>17</v>
      </c>
      <c r="M90" s="193" t="s">
        <v>57</v>
      </c>
      <c r="N90" s="186" t="s">
        <v>18</v>
      </c>
      <c r="O90" s="373"/>
    </row>
    <row r="91" spans="1:20" ht="19.8" customHeight="1">
      <c r="A91" s="187"/>
      <c r="B91" s="197"/>
      <c r="C91" s="367"/>
      <c r="D91" s="200"/>
      <c r="E91" s="364"/>
      <c r="F91" s="365"/>
      <c r="G91" s="364"/>
      <c r="H91" s="365"/>
      <c r="I91" s="194"/>
      <c r="J91" s="194"/>
      <c r="K91" s="194"/>
      <c r="L91" s="194"/>
      <c r="M91" s="194"/>
      <c r="N91" s="187"/>
      <c r="O91" s="174"/>
    </row>
    <row r="92" spans="1:20" ht="19.8" customHeight="1">
      <c r="A92" s="187"/>
      <c r="B92" s="197"/>
      <c r="C92" s="367"/>
      <c r="D92" s="200"/>
      <c r="E92" s="193" t="s">
        <v>10</v>
      </c>
      <c r="F92" s="193" t="s">
        <v>12</v>
      </c>
      <c r="G92" s="193" t="s">
        <v>94</v>
      </c>
      <c r="H92" s="193" t="s">
        <v>15</v>
      </c>
      <c r="I92" s="194"/>
      <c r="J92" s="194"/>
      <c r="K92" s="194"/>
      <c r="L92" s="194"/>
      <c r="M92" s="194"/>
      <c r="N92" s="187"/>
      <c r="O92" s="174"/>
    </row>
    <row r="93" spans="1:20" ht="19.8" customHeight="1">
      <c r="A93" s="188"/>
      <c r="B93" s="198"/>
      <c r="C93" s="368"/>
      <c r="D93" s="201"/>
      <c r="E93" s="195"/>
      <c r="F93" s="195"/>
      <c r="G93" s="195"/>
      <c r="H93" s="195"/>
      <c r="I93" s="195"/>
      <c r="J93" s="195"/>
      <c r="K93" s="195"/>
      <c r="L93" s="195"/>
      <c r="M93" s="195"/>
      <c r="N93" s="188"/>
      <c r="O93" s="174"/>
    </row>
    <row r="94" spans="1:20" ht="19.8" customHeight="1">
      <c r="A94" s="233" t="s">
        <v>39</v>
      </c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5"/>
      <c r="O94" s="174"/>
    </row>
    <row r="95" spans="1:20" s="2" customFormat="1" ht="19.2" customHeight="1">
      <c r="A95" s="9">
        <v>1</v>
      </c>
      <c r="B95" s="10" t="s">
        <v>2</v>
      </c>
      <c r="C95" s="23">
        <f>L95/100*100</f>
        <v>40</v>
      </c>
      <c r="D95" s="24">
        <f>C95/100*60</f>
        <v>24</v>
      </c>
      <c r="E95" s="25">
        <f>C95/100*15</f>
        <v>6</v>
      </c>
      <c r="F95" s="25"/>
      <c r="G95" s="25"/>
      <c r="H95" s="25"/>
      <c r="I95" s="25"/>
      <c r="J95" s="27">
        <f>C95/100*387</f>
        <v>154.80000000000001</v>
      </c>
      <c r="K95" s="27">
        <f>C95/100*0.09</f>
        <v>3.5999999999999997E-2</v>
      </c>
      <c r="L95" s="138">
        <v>40</v>
      </c>
      <c r="M95" s="75">
        <v>20</v>
      </c>
      <c r="N95" s="28">
        <f>L95*M95</f>
        <v>800</v>
      </c>
      <c r="O95" s="154"/>
    </row>
    <row r="96" spans="1:20" s="2" customFormat="1" ht="19.2" customHeight="1">
      <c r="A96" s="9">
        <v>2</v>
      </c>
      <c r="B96" s="147" t="s">
        <v>141</v>
      </c>
      <c r="C96" s="23">
        <f>L96/100*100</f>
        <v>180</v>
      </c>
      <c r="D96" s="24">
        <f>C96/100*899</f>
        <v>1618.2</v>
      </c>
      <c r="E96" s="25"/>
      <c r="F96" s="25"/>
      <c r="G96" s="121">
        <f>C96/100*100</f>
        <v>180</v>
      </c>
      <c r="H96" s="120"/>
      <c r="I96" s="25"/>
      <c r="J96" s="27"/>
      <c r="K96" s="27"/>
      <c r="L96" s="138">
        <v>180</v>
      </c>
      <c r="M96" s="75">
        <v>68</v>
      </c>
      <c r="N96" s="28">
        <f t="shared" ref="N96:N102" si="5">L96*M96</f>
        <v>12240</v>
      </c>
      <c r="O96" s="154"/>
    </row>
    <row r="97" spans="1:23" s="2" customFormat="1" ht="19.2" customHeight="1">
      <c r="A97" s="9">
        <v>3</v>
      </c>
      <c r="B97" s="5" t="s">
        <v>1</v>
      </c>
      <c r="C97" s="23">
        <f>L97/100*100</f>
        <v>1548</v>
      </c>
      <c r="D97" s="24">
        <f>C97/100*344</f>
        <v>5325.12</v>
      </c>
      <c r="E97" s="25"/>
      <c r="F97" s="120">
        <f>C97/100*7.9</f>
        <v>122.29200000000002</v>
      </c>
      <c r="G97" s="25"/>
      <c r="H97" s="25">
        <f>C97/100*1</f>
        <v>15.48</v>
      </c>
      <c r="I97" s="120">
        <f>C97/100*75.9</f>
        <v>1174.932</v>
      </c>
      <c r="J97" s="27">
        <f>C97/100*30</f>
        <v>464.40000000000003</v>
      </c>
      <c r="K97" s="27">
        <f>C97/100*0.1</f>
        <v>1.548</v>
      </c>
      <c r="L97" s="138">
        <v>1548</v>
      </c>
      <c r="M97" s="75">
        <v>18</v>
      </c>
      <c r="N97" s="28">
        <f t="shared" si="5"/>
        <v>27864</v>
      </c>
      <c r="O97" s="154"/>
    </row>
    <row r="98" spans="1:23" s="2" customFormat="1" ht="19.2" customHeight="1">
      <c r="A98" s="9">
        <v>4</v>
      </c>
      <c r="B98" s="5" t="s">
        <v>69</v>
      </c>
      <c r="C98" s="23">
        <f>L98/100*48</f>
        <v>691.2</v>
      </c>
      <c r="D98" s="24">
        <f>C98/100*199</f>
        <v>1375.4880000000001</v>
      </c>
      <c r="E98" s="120">
        <f>C98/100*20.3</f>
        <v>140.31360000000001</v>
      </c>
      <c r="F98" s="120"/>
      <c r="G98" s="120">
        <f>C98/100*13.1</f>
        <v>90.547200000000004</v>
      </c>
      <c r="H98" s="25"/>
      <c r="I98" s="25"/>
      <c r="J98" s="27">
        <f>C98/100*12</f>
        <v>82.944000000000017</v>
      </c>
      <c r="K98" s="27">
        <f>C98/100*0.15</f>
        <v>1.0368000000000002</v>
      </c>
      <c r="L98" s="138">
        <v>1440</v>
      </c>
      <c r="M98" s="26">
        <v>84</v>
      </c>
      <c r="N98" s="28">
        <f t="shared" si="5"/>
        <v>120960</v>
      </c>
      <c r="O98" s="154"/>
      <c r="Q98" s="3"/>
      <c r="R98" s="3"/>
      <c r="S98" s="4"/>
    </row>
    <row r="99" spans="1:23" s="2" customFormat="1" ht="19.2" customHeight="1">
      <c r="A99" s="9">
        <v>5</v>
      </c>
      <c r="B99" s="79" t="s">
        <v>147</v>
      </c>
      <c r="C99" s="23">
        <f>L99/100*89</f>
        <v>1183.7</v>
      </c>
      <c r="D99" s="24">
        <f>C99/100*154</f>
        <v>1822.8979999999999</v>
      </c>
      <c r="E99" s="120">
        <f>C99/100*13.1</f>
        <v>155.06469999999999</v>
      </c>
      <c r="F99" s="25"/>
      <c r="G99" s="25">
        <f>C99/100*8.3</f>
        <v>98.247100000000003</v>
      </c>
      <c r="H99" s="25"/>
      <c r="I99" s="25">
        <f>C99/100*0.4</f>
        <v>4.7347999999999999</v>
      </c>
      <c r="J99" s="81">
        <f>C99/100*64</f>
        <v>757.56799999999998</v>
      </c>
      <c r="K99" s="27">
        <f>C99/100*0.13</f>
        <v>1.53881</v>
      </c>
      <c r="L99" s="26">
        <v>1330</v>
      </c>
      <c r="M99" s="54">
        <v>82</v>
      </c>
      <c r="N99" s="152">
        <f t="shared" si="5"/>
        <v>109060</v>
      </c>
      <c r="O99" s="154"/>
    </row>
    <row r="100" spans="1:23" s="2" customFormat="1" ht="19.2" customHeight="1">
      <c r="A100" s="9">
        <v>6</v>
      </c>
      <c r="B100" s="5" t="s">
        <v>136</v>
      </c>
      <c r="C100" s="23">
        <f>L100/100*100</f>
        <v>30</v>
      </c>
      <c r="D100" s="24">
        <f>C100/100*247</f>
        <v>74.099999999999994</v>
      </c>
      <c r="E100" s="29"/>
      <c r="F100" s="29">
        <f>C100/100*17.5</f>
        <v>5.25</v>
      </c>
      <c r="G100" s="29"/>
      <c r="H100" s="29">
        <f>C100/100*1.6</f>
        <v>0.48</v>
      </c>
      <c r="I100" s="29">
        <f>C100/100*39.2</f>
        <v>11.76</v>
      </c>
      <c r="J100" s="71"/>
      <c r="K100" s="71"/>
      <c r="L100" s="374">
        <v>30</v>
      </c>
      <c r="M100" s="75">
        <v>50</v>
      </c>
      <c r="N100" s="28">
        <f t="shared" si="5"/>
        <v>1500</v>
      </c>
      <c r="O100" s="154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23">
        <f>L101/100*95</f>
        <v>342</v>
      </c>
      <c r="D101" s="24">
        <f>C101/100*20</f>
        <v>68.400000000000006</v>
      </c>
      <c r="E101" s="25"/>
      <c r="F101" s="25">
        <f>C101/100*0.6</f>
        <v>2.052</v>
      </c>
      <c r="G101" s="25"/>
      <c r="H101" s="25">
        <f>C101/100*0.2</f>
        <v>0.68400000000000005</v>
      </c>
      <c r="I101" s="25">
        <f>C101/100*4</f>
        <v>13.68</v>
      </c>
      <c r="J101" s="27">
        <f>C101/100*12</f>
        <v>41.04</v>
      </c>
      <c r="K101" s="24">
        <f>C101/100*0.04</f>
        <v>0.1368</v>
      </c>
      <c r="L101" s="138">
        <v>360</v>
      </c>
      <c r="M101" s="77">
        <v>30</v>
      </c>
      <c r="N101" s="28">
        <f t="shared" si="5"/>
        <v>10800</v>
      </c>
      <c r="O101" s="397"/>
      <c r="Q101" s="3"/>
      <c r="R101" s="3"/>
      <c r="S101" s="4"/>
    </row>
    <row r="102" spans="1:23" s="2" customFormat="1" ht="19.2" customHeight="1">
      <c r="A102" s="9">
        <v>8</v>
      </c>
      <c r="B102" s="5" t="s">
        <v>131</v>
      </c>
      <c r="C102" s="23">
        <f>L102/100*75</f>
        <v>757.5</v>
      </c>
      <c r="D102" s="24">
        <f>C102/100*17</f>
        <v>128.77500000000001</v>
      </c>
      <c r="E102" s="25"/>
      <c r="F102" s="25">
        <f>C102/100*1.4</f>
        <v>10.605</v>
      </c>
      <c r="G102" s="25"/>
      <c r="H102" s="25">
        <f>C102/100*0.2</f>
        <v>1.5150000000000001</v>
      </c>
      <c r="I102" s="25">
        <f>C102/100*2.4</f>
        <v>18.18</v>
      </c>
      <c r="J102" s="25">
        <f>C102/100*50</f>
        <v>378.75</v>
      </c>
      <c r="K102" s="25">
        <f>C102/100*0.09</f>
        <v>0.68174999999999997</v>
      </c>
      <c r="L102" s="138">
        <v>1010</v>
      </c>
      <c r="M102" s="75">
        <v>18</v>
      </c>
      <c r="N102" s="28">
        <f t="shared" si="5"/>
        <v>18180</v>
      </c>
      <c r="O102" s="154"/>
    </row>
    <row r="103" spans="1:23" s="2" customFormat="1" ht="19.2" customHeight="1">
      <c r="A103" s="9">
        <v>9</v>
      </c>
      <c r="B103" s="6" t="s">
        <v>123</v>
      </c>
      <c r="C103" s="23"/>
      <c r="D103" s="24"/>
      <c r="E103" s="25"/>
      <c r="F103" s="25"/>
      <c r="G103" s="25"/>
      <c r="H103" s="25"/>
      <c r="I103" s="25"/>
      <c r="J103" s="27"/>
      <c r="K103" s="27"/>
      <c r="L103" s="26"/>
      <c r="M103" s="26"/>
      <c r="N103" s="28">
        <v>2450</v>
      </c>
      <c r="O103" s="154"/>
    </row>
    <row r="104" spans="1:23" s="2" customFormat="1" ht="19.2" customHeight="1">
      <c r="A104" s="21" t="s">
        <v>118</v>
      </c>
      <c r="B104" s="22"/>
      <c r="C104" s="34"/>
      <c r="D104" s="122">
        <f>SUM(D95:D103)</f>
        <v>10436.980999999998</v>
      </c>
      <c r="E104" s="43"/>
      <c r="F104" s="43"/>
      <c r="G104" s="43"/>
      <c r="H104" s="43"/>
      <c r="I104" s="43"/>
      <c r="J104" s="43"/>
      <c r="K104" s="43"/>
      <c r="L104" s="44"/>
      <c r="M104" s="319"/>
      <c r="N104" s="281">
        <f>SUM(N95:N103)</f>
        <v>303854</v>
      </c>
      <c r="O104" s="154"/>
    </row>
    <row r="105" spans="1:23" ht="19.2" customHeight="1">
      <c r="A105" s="21" t="s">
        <v>37</v>
      </c>
      <c r="B105" s="22"/>
      <c r="C105" s="45"/>
      <c r="D105" s="46">
        <f>D104/D89</f>
        <v>289.91613888888884</v>
      </c>
      <c r="E105" s="46"/>
      <c r="F105" s="46"/>
      <c r="G105" s="46"/>
      <c r="H105" s="46"/>
      <c r="I105" s="46"/>
      <c r="J105" s="46"/>
      <c r="K105" s="46"/>
      <c r="L105" s="47"/>
      <c r="M105" s="320"/>
      <c r="N105" s="283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304" t="s">
        <v>53</v>
      </c>
      <c r="B106" s="207"/>
      <c r="C106" s="375" t="s">
        <v>151</v>
      </c>
      <c r="D106" s="20" t="s">
        <v>45</v>
      </c>
      <c r="E106" s="46"/>
      <c r="F106" s="46"/>
      <c r="G106" s="46"/>
      <c r="H106" s="46"/>
      <c r="I106" s="46"/>
      <c r="J106" s="48"/>
      <c r="K106" s="48"/>
      <c r="L106" s="47"/>
      <c r="M106" s="47"/>
      <c r="N106" s="175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08"/>
      <c r="B107" s="209"/>
      <c r="C107" s="76" t="s">
        <v>60</v>
      </c>
      <c r="D107" s="20">
        <f>D105*100/930</f>
        <v>31.17377837514934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5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76" t="s">
        <v>38</v>
      </c>
      <c r="B108" s="276"/>
      <c r="C108" s="56"/>
      <c r="D108" s="57"/>
      <c r="E108" s="58"/>
      <c r="F108" s="58"/>
      <c r="G108" s="58"/>
      <c r="H108" s="58"/>
      <c r="I108" s="58"/>
      <c r="J108" s="58"/>
      <c r="K108" s="58"/>
      <c r="L108" s="59"/>
      <c r="M108" s="59"/>
      <c r="N108" s="60"/>
      <c r="O108" s="154"/>
    </row>
    <row r="109" spans="1:23" s="2" customFormat="1" ht="19.2" customHeight="1">
      <c r="A109" s="9">
        <v>1</v>
      </c>
      <c r="B109" s="10" t="s">
        <v>2</v>
      </c>
      <c r="C109" s="23">
        <f t="shared" ref="C109:C114" si="6">L109/100*100</f>
        <v>40</v>
      </c>
      <c r="D109" s="24">
        <f>C109/100*60</f>
        <v>24</v>
      </c>
      <c r="E109" s="25">
        <f>C109/100*15</f>
        <v>6</v>
      </c>
      <c r="F109" s="25"/>
      <c r="G109" s="25"/>
      <c r="H109" s="25"/>
      <c r="I109" s="25"/>
      <c r="J109" s="27">
        <f>C109/100*387</f>
        <v>154.80000000000001</v>
      </c>
      <c r="K109" s="27">
        <f>C109/100*0.09</f>
        <v>3.5999999999999997E-2</v>
      </c>
      <c r="L109" s="138">
        <v>40</v>
      </c>
      <c r="M109" s="75">
        <v>20</v>
      </c>
      <c r="N109" s="28">
        <f>L109*M109</f>
        <v>800</v>
      </c>
      <c r="O109" s="154"/>
    </row>
    <row r="110" spans="1:23" s="2" customFormat="1" ht="19.2" customHeight="1">
      <c r="A110" s="9">
        <v>2</v>
      </c>
      <c r="B110" s="147" t="s">
        <v>141</v>
      </c>
      <c r="C110" s="23">
        <f t="shared" si="6"/>
        <v>180</v>
      </c>
      <c r="D110" s="24">
        <f>C110/100*899</f>
        <v>1618.2</v>
      </c>
      <c r="E110" s="25"/>
      <c r="F110" s="25"/>
      <c r="G110" s="120">
        <f>C110/100*100</f>
        <v>180</v>
      </c>
      <c r="H110" s="25"/>
      <c r="I110" s="25"/>
      <c r="J110" s="25"/>
      <c r="K110" s="25"/>
      <c r="L110" s="138">
        <v>180</v>
      </c>
      <c r="M110" s="145">
        <v>68</v>
      </c>
      <c r="N110" s="28">
        <f t="shared" ref="N110:N113" si="7">L110*M110</f>
        <v>12240</v>
      </c>
      <c r="O110" s="376"/>
    </row>
    <row r="111" spans="1:23" s="2" customFormat="1" ht="19.2" customHeight="1">
      <c r="A111" s="9">
        <v>3</v>
      </c>
      <c r="B111" s="149" t="s">
        <v>146</v>
      </c>
      <c r="C111" s="23">
        <f t="shared" si="6"/>
        <v>100</v>
      </c>
      <c r="D111" s="121">
        <f>C111/100*900</f>
        <v>900</v>
      </c>
      <c r="E111" s="25"/>
      <c r="F111" s="25"/>
      <c r="G111" s="120"/>
      <c r="H111" s="120">
        <f>C111/100*100</f>
        <v>100</v>
      </c>
      <c r="I111" s="25"/>
      <c r="J111" s="25"/>
      <c r="K111" s="25"/>
      <c r="L111" s="138">
        <v>100</v>
      </c>
      <c r="M111" s="75">
        <v>63.5</v>
      </c>
      <c r="N111" s="28">
        <f t="shared" si="7"/>
        <v>6350</v>
      </c>
      <c r="O111" s="376"/>
    </row>
    <row r="112" spans="1:23" s="2" customFormat="1" ht="19.2" customHeight="1">
      <c r="A112" s="9">
        <v>4</v>
      </c>
      <c r="B112" s="5" t="s">
        <v>1</v>
      </c>
      <c r="C112" s="23">
        <f t="shared" si="6"/>
        <v>864</v>
      </c>
      <c r="D112" s="24">
        <f>C112/100*344</f>
        <v>2972.1600000000003</v>
      </c>
      <c r="E112" s="25"/>
      <c r="F112" s="25">
        <f>C112/100*7.9</f>
        <v>68.256000000000014</v>
      </c>
      <c r="G112" s="25"/>
      <c r="H112" s="25">
        <f>C112/100*1</f>
        <v>8.64</v>
      </c>
      <c r="I112" s="25">
        <f>C112/100*75.9</f>
        <v>655.77600000000007</v>
      </c>
      <c r="J112" s="27">
        <f>C112/100*30</f>
        <v>259.20000000000005</v>
      </c>
      <c r="K112" s="27">
        <f>C112/100*0.1</f>
        <v>0.8640000000000001</v>
      </c>
      <c r="L112" s="138">
        <v>864</v>
      </c>
      <c r="M112" s="75">
        <v>18</v>
      </c>
      <c r="N112" s="28">
        <f t="shared" si="7"/>
        <v>15552</v>
      </c>
      <c r="O112" s="154"/>
    </row>
    <row r="113" spans="1:23" s="2" customFormat="1" ht="19.2" customHeight="1">
      <c r="A113" s="9">
        <v>5</v>
      </c>
      <c r="B113" s="5" t="s">
        <v>73</v>
      </c>
      <c r="C113" s="23">
        <f t="shared" si="6"/>
        <v>580</v>
      </c>
      <c r="D113" s="24">
        <f>C113/100*344</f>
        <v>1995.2</v>
      </c>
      <c r="E113" s="25"/>
      <c r="F113" s="25">
        <f>C113/100*8.6</f>
        <v>49.879999999999995</v>
      </c>
      <c r="G113" s="25"/>
      <c r="H113" s="25">
        <f>C113/100*1.5</f>
        <v>8.6999999999999993</v>
      </c>
      <c r="I113" s="25">
        <f>C113/100*74.5</f>
        <v>432.09999999999997</v>
      </c>
      <c r="J113" s="25">
        <f>C113/100*32</f>
        <v>185.6</v>
      </c>
      <c r="K113" s="27">
        <f>C113/100*0.14</f>
        <v>0.81200000000000006</v>
      </c>
      <c r="L113" s="138">
        <v>580</v>
      </c>
      <c r="M113" s="75">
        <v>30</v>
      </c>
      <c r="N113" s="28">
        <f t="shared" si="7"/>
        <v>17400</v>
      </c>
      <c r="O113" s="154"/>
      <c r="P113" s="18"/>
    </row>
    <row r="114" spans="1:23" s="2" customFormat="1" ht="19.2" customHeight="1">
      <c r="A114" s="9">
        <v>6</v>
      </c>
      <c r="B114" s="5" t="s">
        <v>67</v>
      </c>
      <c r="C114" s="23">
        <f t="shared" si="6"/>
        <v>70</v>
      </c>
      <c r="D114" s="24">
        <f>C114/100*334</f>
        <v>233.79999999999998</v>
      </c>
      <c r="E114" s="25"/>
      <c r="F114" s="25">
        <f>C114/100*20</f>
        <v>14</v>
      </c>
      <c r="G114" s="25"/>
      <c r="H114" s="25">
        <f>C114/100*2.4</f>
        <v>1.68</v>
      </c>
      <c r="I114" s="25">
        <f>C114/100*58</f>
        <v>40.599999999999994</v>
      </c>
      <c r="J114" s="27">
        <f>C114/100*89</f>
        <v>62.3</v>
      </c>
      <c r="K114" s="27">
        <f>C114/100*0.64</f>
        <v>0.44799999999999995</v>
      </c>
      <c r="L114" s="138">
        <v>70</v>
      </c>
      <c r="M114" s="75">
        <v>190</v>
      </c>
      <c r="N114" s="28">
        <f>L114*M114</f>
        <v>13300</v>
      </c>
      <c r="O114" s="154"/>
    </row>
    <row r="115" spans="1:23" s="2" customFormat="1" ht="16.2" customHeight="1">
      <c r="A115" s="9">
        <v>7</v>
      </c>
      <c r="B115" s="5" t="s">
        <v>4</v>
      </c>
      <c r="C115" s="23">
        <f>L115/100*98.5</f>
        <v>531.90000000000009</v>
      </c>
      <c r="D115" s="24">
        <f>C115/100*39</f>
        <v>207.44100000000003</v>
      </c>
      <c r="E115" s="29"/>
      <c r="F115" s="29">
        <f>C115/100*1.5</f>
        <v>7.9785000000000013</v>
      </c>
      <c r="G115" s="29"/>
      <c r="H115" s="29">
        <f>C115/100*0.2</f>
        <v>1.0638000000000003</v>
      </c>
      <c r="I115" s="29">
        <f>C115/100*7.8</f>
        <v>41.488200000000006</v>
      </c>
      <c r="J115" s="29">
        <f>C115/100*43</f>
        <v>228.71700000000004</v>
      </c>
      <c r="K115" s="29">
        <f>C115/100*0.06</f>
        <v>0.31914000000000003</v>
      </c>
      <c r="L115" s="374">
        <v>540</v>
      </c>
      <c r="M115" s="26">
        <v>17</v>
      </c>
      <c r="N115" s="136">
        <f t="shared" ref="N115:N118" si="8">L115*M115</f>
        <v>9180</v>
      </c>
      <c r="O115" s="154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23">
        <f>L116/100*98</f>
        <v>529.20000000000005</v>
      </c>
      <c r="D116" s="24">
        <f>C116/100*118</f>
        <v>624.45600000000013</v>
      </c>
      <c r="E116" s="120">
        <f>C116/100*21</f>
        <v>111.13200000000002</v>
      </c>
      <c r="F116" s="25"/>
      <c r="G116" s="25">
        <f>C116/100*3.8</f>
        <v>20.1096</v>
      </c>
      <c r="H116" s="25"/>
      <c r="I116" s="25"/>
      <c r="J116" s="25">
        <f>C116/100*12</f>
        <v>63.504000000000005</v>
      </c>
      <c r="K116" s="25">
        <f>C116/100*0.1</f>
        <v>0.52920000000000011</v>
      </c>
      <c r="L116" s="138">
        <v>540</v>
      </c>
      <c r="M116" s="144">
        <v>250</v>
      </c>
      <c r="N116" s="136">
        <f t="shared" si="8"/>
        <v>135000</v>
      </c>
      <c r="O116" s="154"/>
    </row>
    <row r="117" spans="1:23" s="2" customFormat="1" ht="18.600000000000001" customHeight="1">
      <c r="A117" s="9">
        <v>9</v>
      </c>
      <c r="B117" s="5" t="s">
        <v>69</v>
      </c>
      <c r="C117" s="23">
        <f>L117/100*48</f>
        <v>657.59999999999991</v>
      </c>
      <c r="D117" s="24">
        <f>C117/100*199</f>
        <v>1308.6239999999998</v>
      </c>
      <c r="E117" s="120">
        <f>C117/100*20.3</f>
        <v>133.49279999999999</v>
      </c>
      <c r="F117" s="25"/>
      <c r="G117" s="25">
        <f>C117/100*13.1</f>
        <v>86.145599999999988</v>
      </c>
      <c r="H117" s="25"/>
      <c r="I117" s="25"/>
      <c r="J117" s="27">
        <f>C117/100*12</f>
        <v>78.911999999999978</v>
      </c>
      <c r="K117" s="27">
        <f>C117/100*0.15</f>
        <v>0.98639999999999972</v>
      </c>
      <c r="L117" s="138">
        <v>1370</v>
      </c>
      <c r="M117" s="138">
        <v>84</v>
      </c>
      <c r="N117" s="28">
        <f t="shared" si="8"/>
        <v>115080</v>
      </c>
      <c r="O117" s="154"/>
      <c r="Q117" s="3"/>
      <c r="R117" s="3"/>
      <c r="S117" s="4"/>
    </row>
    <row r="118" spans="1:23" s="2" customFormat="1" ht="19.2" customHeight="1">
      <c r="A118" s="9">
        <v>10</v>
      </c>
      <c r="B118" s="5" t="s">
        <v>136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74">
        <v>30</v>
      </c>
      <c r="M118" s="75">
        <v>50</v>
      </c>
      <c r="N118" s="28">
        <f t="shared" si="8"/>
        <v>1500</v>
      </c>
      <c r="O118" s="154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123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2450</v>
      </c>
      <c r="O119" s="154"/>
      <c r="R119" s="168"/>
    </row>
    <row r="120" spans="1:23" s="2" customFormat="1" ht="19.2" customHeight="1">
      <c r="A120" s="21" t="s">
        <v>119</v>
      </c>
      <c r="B120" s="22"/>
      <c r="C120" s="34"/>
      <c r="D120" s="35">
        <f>SUM(D109:D119)</f>
        <v>9957.9810000000016</v>
      </c>
      <c r="E120" s="43"/>
      <c r="F120" s="43"/>
      <c r="G120" s="43"/>
      <c r="H120" s="43"/>
      <c r="I120" s="43"/>
      <c r="J120" s="43"/>
      <c r="K120" s="43"/>
      <c r="L120" s="44"/>
      <c r="M120" s="319"/>
      <c r="N120" s="281">
        <f>SUM(N109:N119)</f>
        <v>328852</v>
      </c>
      <c r="O120" s="154"/>
    </row>
    <row r="121" spans="1:23" ht="19.2" customHeight="1">
      <c r="A121" s="21" t="s">
        <v>36</v>
      </c>
      <c r="B121" s="22"/>
      <c r="C121" s="61"/>
      <c r="D121" s="48">
        <f>D120/D89</f>
        <v>276.61058333333335</v>
      </c>
      <c r="E121" s="48"/>
      <c r="F121" s="48"/>
      <c r="G121" s="48"/>
      <c r="H121" s="48"/>
      <c r="I121" s="48"/>
      <c r="J121" s="48"/>
      <c r="K121" s="48"/>
      <c r="L121" s="62"/>
      <c r="M121" s="320"/>
      <c r="N121" s="282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304" t="s">
        <v>54</v>
      </c>
      <c r="B122" s="207"/>
      <c r="C122" s="375" t="s">
        <v>151</v>
      </c>
      <c r="D122" s="20" t="s">
        <v>46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5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08"/>
      <c r="B123" s="209"/>
      <c r="C123" s="76" t="s">
        <v>60</v>
      </c>
      <c r="D123" s="20">
        <f>D121*100/930</f>
        <v>29.743073476702509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5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76" t="s">
        <v>35</v>
      </c>
      <c r="B124" s="276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10">
        <v>1</v>
      </c>
      <c r="B125" s="155" t="s">
        <v>149</v>
      </c>
      <c r="C125" s="34">
        <f>L125/100*100</f>
        <v>610</v>
      </c>
      <c r="D125" s="111">
        <f>C125/100*487</f>
        <v>2970.7</v>
      </c>
      <c r="E125" s="36"/>
      <c r="F125" s="130">
        <f>C125/100*19.5</f>
        <v>118.94999999999999</v>
      </c>
      <c r="G125" s="130"/>
      <c r="H125" s="130">
        <f>C125/100*23.2</f>
        <v>141.51999999999998</v>
      </c>
      <c r="I125" s="36">
        <f>C125/100*46</f>
        <v>280.59999999999997</v>
      </c>
      <c r="J125" s="130">
        <f>C125/100*680</f>
        <v>4148</v>
      </c>
      <c r="K125" s="36">
        <f>C125/100*0.55</f>
        <v>3.355</v>
      </c>
      <c r="L125" s="37">
        <v>610</v>
      </c>
      <c r="M125" s="156">
        <v>260</v>
      </c>
      <c r="N125" s="112">
        <f t="shared" ref="N125" si="9">L125*M125</f>
        <v>158600</v>
      </c>
      <c r="O125" s="154"/>
      <c r="P125" s="3"/>
    </row>
    <row r="126" spans="1:23" ht="20.399999999999999" customHeight="1">
      <c r="A126" s="186" t="s">
        <v>0</v>
      </c>
      <c r="B126" s="196" t="s">
        <v>19</v>
      </c>
      <c r="C126" s="366" t="s">
        <v>8</v>
      </c>
      <c r="D126" s="199" t="s">
        <v>9</v>
      </c>
      <c r="E126" s="362" t="s">
        <v>11</v>
      </c>
      <c r="F126" s="363"/>
      <c r="G126" s="362" t="s">
        <v>13</v>
      </c>
      <c r="H126" s="363"/>
      <c r="I126" s="193" t="s">
        <v>16</v>
      </c>
      <c r="J126" s="193" t="s">
        <v>41</v>
      </c>
      <c r="K126" s="193" t="s">
        <v>42</v>
      </c>
      <c r="L126" s="193" t="s">
        <v>17</v>
      </c>
      <c r="M126" s="193" t="s">
        <v>57</v>
      </c>
      <c r="N126" s="186" t="s">
        <v>18</v>
      </c>
      <c r="O126" s="373"/>
    </row>
    <row r="127" spans="1:23" ht="20.399999999999999" customHeight="1">
      <c r="A127" s="187"/>
      <c r="B127" s="197"/>
      <c r="C127" s="367"/>
      <c r="D127" s="200"/>
      <c r="E127" s="364"/>
      <c r="F127" s="365"/>
      <c r="G127" s="364"/>
      <c r="H127" s="365"/>
      <c r="I127" s="194"/>
      <c r="J127" s="194"/>
      <c r="K127" s="194"/>
      <c r="L127" s="194"/>
      <c r="M127" s="194"/>
      <c r="N127" s="187"/>
      <c r="O127" s="174"/>
    </row>
    <row r="128" spans="1:23" ht="20.399999999999999" customHeight="1">
      <c r="A128" s="187"/>
      <c r="B128" s="197"/>
      <c r="C128" s="367"/>
      <c r="D128" s="200"/>
      <c r="E128" s="193" t="s">
        <v>10</v>
      </c>
      <c r="F128" s="193" t="s">
        <v>12</v>
      </c>
      <c r="G128" s="193" t="s">
        <v>94</v>
      </c>
      <c r="H128" s="193" t="s">
        <v>15</v>
      </c>
      <c r="I128" s="194"/>
      <c r="J128" s="194"/>
      <c r="K128" s="194"/>
      <c r="L128" s="194"/>
      <c r="M128" s="194"/>
      <c r="N128" s="187"/>
      <c r="O128" s="174"/>
    </row>
    <row r="129" spans="1:23" ht="20.399999999999999" customHeight="1">
      <c r="A129" s="188"/>
      <c r="B129" s="198"/>
      <c r="C129" s="368"/>
      <c r="D129" s="201"/>
      <c r="E129" s="195"/>
      <c r="F129" s="195"/>
      <c r="G129" s="195"/>
      <c r="H129" s="195"/>
      <c r="I129" s="195"/>
      <c r="J129" s="195"/>
      <c r="K129" s="195"/>
      <c r="L129" s="195"/>
      <c r="M129" s="195"/>
      <c r="N129" s="188"/>
      <c r="O129" s="174"/>
    </row>
    <row r="130" spans="1:23" s="2" customFormat="1" ht="21" customHeight="1">
      <c r="A130" s="21" t="s">
        <v>110</v>
      </c>
      <c r="B130" s="22"/>
      <c r="C130" s="34"/>
      <c r="D130" s="35">
        <f>SUM(D124:D125)</f>
        <v>2970.7</v>
      </c>
      <c r="E130" s="43"/>
      <c r="F130" s="43"/>
      <c r="G130" s="43"/>
      <c r="H130" s="43"/>
      <c r="I130" s="43"/>
      <c r="J130" s="82"/>
      <c r="K130" s="43"/>
      <c r="L130" s="44"/>
      <c r="M130" s="319"/>
      <c r="N130" s="281">
        <f>SUM(N124:N125)</f>
        <v>158600</v>
      </c>
      <c r="O130" s="154"/>
    </row>
    <row r="131" spans="1:23" ht="21" customHeight="1">
      <c r="A131" s="21" t="s">
        <v>7</v>
      </c>
      <c r="B131" s="22"/>
      <c r="C131" s="45"/>
      <c r="D131" s="46">
        <f>D130/D89</f>
        <v>82.519444444444446</v>
      </c>
      <c r="E131" s="46"/>
      <c r="F131" s="46"/>
      <c r="G131" s="46"/>
      <c r="H131" s="46"/>
      <c r="I131" s="46"/>
      <c r="J131" s="83"/>
      <c r="K131" s="46"/>
      <c r="L131" s="47"/>
      <c r="M131" s="320"/>
      <c r="N131" s="283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304" t="s">
        <v>52</v>
      </c>
      <c r="B132" s="207"/>
      <c r="C132" s="375" t="s">
        <v>151</v>
      </c>
      <c r="D132" s="20" t="s">
        <v>50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5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08"/>
      <c r="B133" s="209"/>
      <c r="C133" s="76" t="s">
        <v>60</v>
      </c>
      <c r="D133" s="20">
        <f>D131*100/930</f>
        <v>8.8730585424133821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5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23" t="s">
        <v>107</v>
      </c>
      <c r="B134" s="224"/>
      <c r="C134" s="227"/>
      <c r="D134" s="299">
        <f>D104+D120+D130</f>
        <v>23365.662</v>
      </c>
      <c r="E134" s="50">
        <f t="shared" ref="E134:K134" si="10">SUM(E95:E125)</f>
        <v>552.0030999999999</v>
      </c>
      <c r="F134" s="50">
        <f t="shared" si="10"/>
        <v>404.51350000000002</v>
      </c>
      <c r="G134" s="50">
        <f t="shared" si="10"/>
        <v>655.04949999999997</v>
      </c>
      <c r="H134" s="50">
        <f t="shared" si="10"/>
        <v>280.24279999999999</v>
      </c>
      <c r="I134" s="212">
        <f t="shared" si="10"/>
        <v>2685.6110000000003</v>
      </c>
      <c r="J134" s="210">
        <f t="shared" si="10"/>
        <v>7060.5349999999999</v>
      </c>
      <c r="K134" s="210">
        <f t="shared" si="10"/>
        <v>12.3279</v>
      </c>
      <c r="L134" s="98"/>
      <c r="M134" s="98"/>
      <c r="N134" s="240">
        <f>N104+N120+N130</f>
        <v>791306</v>
      </c>
      <c r="U134" s="12"/>
      <c r="V134" s="12"/>
    </row>
    <row r="135" spans="1:23" ht="21" customHeight="1">
      <c r="A135" s="225"/>
      <c r="B135" s="226"/>
      <c r="C135" s="228"/>
      <c r="D135" s="300"/>
      <c r="E135" s="324">
        <f>E134+F134</f>
        <v>956.51659999999993</v>
      </c>
      <c r="F135" s="325"/>
      <c r="G135" s="324">
        <f>G134+H134</f>
        <v>935.29229999999995</v>
      </c>
      <c r="H135" s="325"/>
      <c r="I135" s="213"/>
      <c r="J135" s="211"/>
      <c r="K135" s="211"/>
      <c r="L135" s="100"/>
      <c r="M135" s="100"/>
      <c r="N135" s="242"/>
      <c r="U135" s="12"/>
      <c r="V135" s="12"/>
    </row>
    <row r="136" spans="1:23" ht="21" customHeight="1">
      <c r="A136" s="243" t="s">
        <v>77</v>
      </c>
      <c r="B136" s="244"/>
      <c r="C136" s="245"/>
      <c r="D136" s="134">
        <f>D134/D89</f>
        <v>649.04616666666664</v>
      </c>
      <c r="E136" s="380">
        <f>E134/D89</f>
        <v>15.333419444444441</v>
      </c>
      <c r="F136" s="381">
        <f>F134/D89</f>
        <v>11.236486111111113</v>
      </c>
      <c r="G136" s="380">
        <f>G134/D89</f>
        <v>18.195819444444442</v>
      </c>
      <c r="H136" s="381">
        <f>H134/D89</f>
        <v>7.7845222222222219</v>
      </c>
      <c r="I136" s="204">
        <f>I134/D89</f>
        <v>74.600305555555565</v>
      </c>
      <c r="J136" s="342">
        <f>J134/D89</f>
        <v>196.12597222222223</v>
      </c>
      <c r="K136" s="342">
        <f>K134/D89</f>
        <v>0.34244166666666664</v>
      </c>
      <c r="L136" s="98"/>
      <c r="M136" s="98"/>
      <c r="N136" s="101"/>
      <c r="Q136" s="370"/>
      <c r="R136" s="370"/>
      <c r="S136" s="370"/>
      <c r="T136" s="370"/>
      <c r="U136" s="385"/>
      <c r="V136" s="385"/>
    </row>
    <row r="137" spans="1:23" ht="21" customHeight="1">
      <c r="A137" s="246"/>
      <c r="B137" s="247"/>
      <c r="C137" s="248"/>
      <c r="D137" s="128"/>
      <c r="E137" s="401">
        <f>E136+F136</f>
        <v>26.569905555555554</v>
      </c>
      <c r="F137" s="402"/>
      <c r="G137" s="401">
        <f>G136+H136</f>
        <v>25.980341666666664</v>
      </c>
      <c r="H137" s="402"/>
      <c r="I137" s="205"/>
      <c r="J137" s="342"/>
      <c r="K137" s="342"/>
      <c r="L137" s="99"/>
      <c r="M137" s="99"/>
      <c r="N137" s="102"/>
      <c r="P137" s="388"/>
      <c r="Q137" s="395"/>
      <c r="R137" s="395"/>
      <c r="S137" s="396"/>
      <c r="T137" s="396"/>
      <c r="U137" s="395"/>
      <c r="V137" s="395"/>
    </row>
    <row r="138" spans="1:23" ht="21" customHeight="1">
      <c r="A138" s="316" t="s">
        <v>80</v>
      </c>
      <c r="B138" s="317"/>
      <c r="C138" s="318"/>
      <c r="D138" s="179" t="s">
        <v>29</v>
      </c>
      <c r="E138" s="295" t="s">
        <v>24</v>
      </c>
      <c r="F138" s="295"/>
      <c r="G138" s="295" t="s">
        <v>25</v>
      </c>
      <c r="H138" s="295"/>
      <c r="I138" s="400" t="s">
        <v>26</v>
      </c>
      <c r="J138" s="177">
        <v>500</v>
      </c>
      <c r="K138" s="177">
        <v>0.5</v>
      </c>
      <c r="L138" s="99"/>
      <c r="M138" s="99"/>
      <c r="N138" s="102"/>
      <c r="O138" s="387"/>
    </row>
    <row r="139" spans="1:23" ht="21" customHeight="1">
      <c r="A139" s="214" t="s">
        <v>78</v>
      </c>
      <c r="B139" s="215"/>
      <c r="C139" s="216"/>
      <c r="D139" s="49"/>
      <c r="E139" s="202">
        <f>E137*4.1</f>
        <v>108.93661277777777</v>
      </c>
      <c r="F139" s="203"/>
      <c r="G139" s="202">
        <f>G137*9</f>
        <v>233.82307499999999</v>
      </c>
      <c r="H139" s="203"/>
      <c r="I139" s="85">
        <f>I136*4.1</f>
        <v>305.86125277777779</v>
      </c>
      <c r="J139" s="249"/>
      <c r="K139" s="249"/>
      <c r="L139" s="99"/>
      <c r="M139" s="99"/>
      <c r="N139" s="102"/>
      <c r="O139" s="387"/>
      <c r="P139" s="379"/>
      <c r="Q139" s="369"/>
      <c r="R139" s="369"/>
      <c r="S139" s="369"/>
    </row>
    <row r="140" spans="1:23" ht="21" customHeight="1">
      <c r="A140" s="217" t="s">
        <v>87</v>
      </c>
      <c r="B140" s="218"/>
      <c r="C140" s="214" t="s">
        <v>59</v>
      </c>
      <c r="D140" s="216"/>
      <c r="E140" s="251">
        <f>E139*100/D136</f>
        <v>16.784108492196797</v>
      </c>
      <c r="F140" s="252"/>
      <c r="G140" s="251">
        <f>G139*100/D136</f>
        <v>36.025646095539685</v>
      </c>
      <c r="H140" s="252"/>
      <c r="I140" s="117">
        <f>I139*100/D136</f>
        <v>47.124729870696591</v>
      </c>
      <c r="J140" s="250"/>
      <c r="K140" s="250"/>
      <c r="L140" s="99"/>
      <c r="M140" s="99"/>
      <c r="N140" s="102"/>
      <c r="O140" s="387"/>
      <c r="P140" s="142"/>
      <c r="Q140" s="142"/>
      <c r="R140" s="142"/>
      <c r="S140" s="142"/>
    </row>
    <row r="141" spans="1:23" ht="21" customHeight="1">
      <c r="A141" s="219"/>
      <c r="B141" s="220"/>
      <c r="C141" s="214" t="s">
        <v>79</v>
      </c>
      <c r="D141" s="216"/>
      <c r="E141" s="214" t="s">
        <v>82</v>
      </c>
      <c r="F141" s="216"/>
      <c r="G141" s="214" t="s">
        <v>85</v>
      </c>
      <c r="H141" s="216"/>
      <c r="I141" s="179" t="s">
        <v>86</v>
      </c>
      <c r="J141" s="230"/>
      <c r="K141" s="230"/>
      <c r="L141" s="100"/>
      <c r="M141" s="100"/>
      <c r="N141" s="103"/>
      <c r="O141" s="387"/>
      <c r="P141" s="133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387"/>
    </row>
    <row r="143" spans="1:23" ht="21" customHeight="1">
      <c r="A143" s="296" t="s">
        <v>114</v>
      </c>
      <c r="B143" s="296"/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387"/>
    </row>
    <row r="144" spans="1:23" ht="21" customHeight="1">
      <c r="A144" s="118" t="s">
        <v>115</v>
      </c>
      <c r="B144" s="297" t="s">
        <v>116</v>
      </c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87"/>
    </row>
    <row r="145" spans="1:15" ht="21" customHeight="1">
      <c r="A145" s="119"/>
      <c r="B145" s="257" t="s">
        <v>227</v>
      </c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387"/>
    </row>
    <row r="146" spans="1:15" ht="21" customHeight="1">
      <c r="A146" s="119"/>
      <c r="B146" s="257" t="s">
        <v>228</v>
      </c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387"/>
    </row>
    <row r="147" spans="1:15" ht="21" customHeight="1">
      <c r="A147" s="119"/>
      <c r="B147" s="257" t="s">
        <v>196</v>
      </c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387"/>
    </row>
    <row r="148" spans="1:15" ht="21" customHeight="1">
      <c r="A148" s="90"/>
      <c r="B148" s="258" t="s">
        <v>129</v>
      </c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387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387"/>
    </row>
    <row r="150" spans="1:15" ht="21" customHeight="1">
      <c r="A150" s="259" t="s">
        <v>62</v>
      </c>
      <c r="B150" s="259"/>
      <c r="C150" s="259"/>
      <c r="D150" s="259"/>
      <c r="E150" s="389"/>
      <c r="F150" s="389"/>
      <c r="G150" s="389"/>
      <c r="H150" s="389"/>
      <c r="I150" s="389"/>
      <c r="J150" s="390" t="s">
        <v>33</v>
      </c>
      <c r="K150" s="390"/>
      <c r="L150" s="390"/>
      <c r="M150" s="390"/>
      <c r="N150" s="390"/>
      <c r="O150" s="387"/>
    </row>
    <row r="151" spans="1:15" ht="21" customHeight="1">
      <c r="A151" s="174"/>
      <c r="B151" s="174"/>
      <c r="C151" s="174"/>
      <c r="D151" s="389"/>
      <c r="E151" s="389"/>
      <c r="F151" s="389"/>
      <c r="G151" s="389"/>
      <c r="H151" s="391"/>
      <c r="I151" s="391"/>
      <c r="J151" s="391"/>
      <c r="K151" s="391"/>
      <c r="L151" s="391"/>
      <c r="M151" s="391"/>
      <c r="N151" s="391"/>
      <c r="O151" s="387"/>
    </row>
    <row r="152" spans="1:15" ht="21" customHeight="1">
      <c r="A152" s="174"/>
      <c r="B152" s="174"/>
      <c r="C152" s="174"/>
      <c r="D152" s="389"/>
      <c r="E152" s="389"/>
      <c r="F152" s="389"/>
      <c r="G152" s="389"/>
      <c r="H152" s="391"/>
      <c r="I152" s="391"/>
      <c r="J152" s="391"/>
      <c r="K152" s="391"/>
      <c r="L152" s="391"/>
      <c r="M152" s="391"/>
      <c r="N152" s="391"/>
      <c r="O152" s="387"/>
    </row>
    <row r="153" spans="1:15" ht="21" customHeight="1">
      <c r="A153" s="174"/>
      <c r="B153" s="174"/>
      <c r="C153" s="174"/>
      <c r="D153" s="389"/>
      <c r="E153" s="389"/>
      <c r="F153" s="389"/>
      <c r="G153" s="389"/>
      <c r="H153" s="391"/>
      <c r="I153" s="391"/>
      <c r="J153" s="392" t="s">
        <v>124</v>
      </c>
      <c r="K153" s="392"/>
      <c r="L153" s="392"/>
      <c r="M153" s="392"/>
      <c r="N153" s="392"/>
      <c r="O153" s="387"/>
    </row>
    <row r="154" spans="1:15" ht="21" customHeight="1">
      <c r="A154" s="260" t="s">
        <v>91</v>
      </c>
      <c r="B154" s="260"/>
      <c r="C154" s="260"/>
      <c r="D154" s="260"/>
      <c r="E154" s="389"/>
      <c r="F154" s="389"/>
      <c r="G154" s="389"/>
      <c r="H154" s="391"/>
      <c r="I154" s="391"/>
      <c r="O154" s="387"/>
    </row>
    <row r="156" spans="1:15" ht="21" customHeight="1">
      <c r="J156" s="392" t="s">
        <v>127</v>
      </c>
      <c r="K156" s="392"/>
      <c r="L156" s="392"/>
      <c r="M156" s="392"/>
      <c r="N156" s="392"/>
    </row>
  </sheetData>
  <mergeCells count="201"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2026-02-04T09:04:17Z</cp:lastPrinted>
  <dcterms:created xsi:type="dcterms:W3CDTF">2015-10-28T22:11:29Z</dcterms:created>
  <dcterms:modified xsi:type="dcterms:W3CDTF">2026-02-07T03:29:14Z</dcterms:modified>
</cp:coreProperties>
</file>