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  <sheet name="Sheet1" sheetId="20" r:id="rId7"/>
  </sheets>
  <calcPr calcId="124519"/>
</workbook>
</file>

<file path=xl/calcChain.xml><?xml version="1.0" encoding="utf-8"?>
<calcChain xmlns="http://schemas.openxmlformats.org/spreadsheetml/2006/main">
  <c r="N125" i="19"/>
  <c r="N130" s="1"/>
  <c r="K125"/>
  <c r="J125"/>
  <c r="H125"/>
  <c r="F125"/>
  <c r="D125"/>
  <c r="D130" s="1"/>
  <c r="D131" s="1"/>
  <c r="D133" s="1"/>
  <c r="C125"/>
  <c r="I125" s="1"/>
  <c r="N118"/>
  <c r="D118"/>
  <c r="C118"/>
  <c r="F118" s="1"/>
  <c r="N117"/>
  <c r="C117"/>
  <c r="K117" s="1"/>
  <c r="N116"/>
  <c r="K116"/>
  <c r="G116"/>
  <c r="E116"/>
  <c r="D116"/>
  <c r="C116"/>
  <c r="J116" s="1"/>
  <c r="N115"/>
  <c r="K115"/>
  <c r="J115"/>
  <c r="H115"/>
  <c r="F115"/>
  <c r="D115"/>
  <c r="C115"/>
  <c r="I115" s="1"/>
  <c r="N114"/>
  <c r="K114"/>
  <c r="J114"/>
  <c r="H114"/>
  <c r="F114"/>
  <c r="D114"/>
  <c r="C114"/>
  <c r="I114" s="1"/>
  <c r="N113"/>
  <c r="K113"/>
  <c r="J113"/>
  <c r="H113"/>
  <c r="F113"/>
  <c r="D113"/>
  <c r="C113"/>
  <c r="I113" s="1"/>
  <c r="N112"/>
  <c r="K112"/>
  <c r="J112"/>
  <c r="H112"/>
  <c r="F112"/>
  <c r="D112"/>
  <c r="C112"/>
  <c r="I112" s="1"/>
  <c r="N111"/>
  <c r="H111"/>
  <c r="D111"/>
  <c r="C111"/>
  <c r="N110"/>
  <c r="G110"/>
  <c r="D110"/>
  <c r="C110"/>
  <c r="N109"/>
  <c r="N120" s="1"/>
  <c r="K109"/>
  <c r="D109"/>
  <c r="C109"/>
  <c r="E109" s="1"/>
  <c r="N102"/>
  <c r="J102"/>
  <c r="D102"/>
  <c r="C102"/>
  <c r="K102" s="1"/>
  <c r="N101"/>
  <c r="J101"/>
  <c r="D101"/>
  <c r="C101"/>
  <c r="K101" s="1"/>
  <c r="N100"/>
  <c r="H100"/>
  <c r="F100"/>
  <c r="D100"/>
  <c r="C100"/>
  <c r="I100" s="1"/>
  <c r="N99"/>
  <c r="K99"/>
  <c r="J99"/>
  <c r="G99"/>
  <c r="E99"/>
  <c r="D99"/>
  <c r="C99"/>
  <c r="I99" s="1"/>
  <c r="N98"/>
  <c r="N104" s="1"/>
  <c r="N134" s="1"/>
  <c r="K98"/>
  <c r="J98"/>
  <c r="E98"/>
  <c r="D98"/>
  <c r="C98"/>
  <c r="G98" s="1"/>
  <c r="N97"/>
  <c r="K97"/>
  <c r="J97"/>
  <c r="I97"/>
  <c r="F97"/>
  <c r="D97"/>
  <c r="C97"/>
  <c r="H97" s="1"/>
  <c r="N96"/>
  <c r="G96"/>
  <c r="D96"/>
  <c r="C96"/>
  <c r="N95"/>
  <c r="C95"/>
  <c r="D95" s="1"/>
  <c r="D104" s="1"/>
  <c r="N40"/>
  <c r="J40"/>
  <c r="D40"/>
  <c r="C40"/>
  <c r="K40" s="1"/>
  <c r="N39"/>
  <c r="C39"/>
  <c r="K39" s="1"/>
  <c r="N38"/>
  <c r="K38"/>
  <c r="G38"/>
  <c r="E38"/>
  <c r="D38"/>
  <c r="C38"/>
  <c r="J38" s="1"/>
  <c r="N37"/>
  <c r="K37"/>
  <c r="J37"/>
  <c r="H37"/>
  <c r="F37"/>
  <c r="D37"/>
  <c r="C37"/>
  <c r="I37" s="1"/>
  <c r="N36"/>
  <c r="N46" s="1"/>
  <c r="I36"/>
  <c r="D36"/>
  <c r="C36"/>
  <c r="F36" s="1"/>
  <c r="N35"/>
  <c r="J35"/>
  <c r="I35"/>
  <c r="D35"/>
  <c r="C35"/>
  <c r="F35" s="1"/>
  <c r="N34"/>
  <c r="J34"/>
  <c r="I34"/>
  <c r="D34"/>
  <c r="C34"/>
  <c r="F34" s="1"/>
  <c r="N33"/>
  <c r="J33"/>
  <c r="I33"/>
  <c r="D33"/>
  <c r="C33"/>
  <c r="F33" s="1"/>
  <c r="N32"/>
  <c r="D32"/>
  <c r="C32"/>
  <c r="H32" s="1"/>
  <c r="N31"/>
  <c r="D31"/>
  <c r="C31"/>
  <c r="G31" s="1"/>
  <c r="N30"/>
  <c r="J30"/>
  <c r="E30"/>
  <c r="D30"/>
  <c r="C30"/>
  <c r="K30" s="1"/>
  <c r="N23"/>
  <c r="K23"/>
  <c r="J23"/>
  <c r="H23"/>
  <c r="F23"/>
  <c r="D23"/>
  <c r="C23"/>
  <c r="I23" s="1"/>
  <c r="N22"/>
  <c r="K22"/>
  <c r="J22"/>
  <c r="H22"/>
  <c r="F22"/>
  <c r="D22"/>
  <c r="C22"/>
  <c r="I22" s="1"/>
  <c r="N21"/>
  <c r="K21"/>
  <c r="J21"/>
  <c r="H21"/>
  <c r="F21"/>
  <c r="D21"/>
  <c r="C21"/>
  <c r="I21" s="1"/>
  <c r="N20"/>
  <c r="I20"/>
  <c r="D20"/>
  <c r="C20"/>
  <c r="F20" s="1"/>
  <c r="N19"/>
  <c r="J19"/>
  <c r="I19"/>
  <c r="D19"/>
  <c r="C19"/>
  <c r="E19" s="1"/>
  <c r="N18"/>
  <c r="J18"/>
  <c r="C18"/>
  <c r="D18" s="1"/>
  <c r="N17"/>
  <c r="K17"/>
  <c r="J17"/>
  <c r="G17"/>
  <c r="E17"/>
  <c r="D17"/>
  <c r="C17"/>
  <c r="N16"/>
  <c r="K16"/>
  <c r="J16"/>
  <c r="I16"/>
  <c r="H16"/>
  <c r="F16"/>
  <c r="D16"/>
  <c r="C16"/>
  <c r="N15"/>
  <c r="G15"/>
  <c r="D15"/>
  <c r="C15"/>
  <c r="N14"/>
  <c r="N25" s="1"/>
  <c r="N50" s="1"/>
  <c r="K14"/>
  <c r="D14"/>
  <c r="C14"/>
  <c r="E14" s="1"/>
  <c r="N133" i="16"/>
  <c r="I34"/>
  <c r="I21"/>
  <c r="N134" i="18"/>
  <c r="I134"/>
  <c r="C134"/>
  <c r="D134" s="1"/>
  <c r="N133"/>
  <c r="K133"/>
  <c r="J133"/>
  <c r="G133"/>
  <c r="E133"/>
  <c r="D133"/>
  <c r="C133"/>
  <c r="N132"/>
  <c r="K132"/>
  <c r="J132"/>
  <c r="I132"/>
  <c r="H132"/>
  <c r="F132"/>
  <c r="D132"/>
  <c r="C132"/>
  <c r="N131"/>
  <c r="I131"/>
  <c r="C131"/>
  <c r="F131" s="1"/>
  <c r="N130"/>
  <c r="N139" s="1"/>
  <c r="K130"/>
  <c r="I130"/>
  <c r="H130"/>
  <c r="C130"/>
  <c r="F130" s="1"/>
  <c r="N123"/>
  <c r="D123"/>
  <c r="C123"/>
  <c r="I123" s="1"/>
  <c r="N122"/>
  <c r="K122"/>
  <c r="D122"/>
  <c r="C122"/>
  <c r="I122" s="1"/>
  <c r="N121"/>
  <c r="K121"/>
  <c r="D121"/>
  <c r="C121"/>
  <c r="I121" s="1"/>
  <c r="N120"/>
  <c r="K120"/>
  <c r="D120"/>
  <c r="C120"/>
  <c r="I120" s="1"/>
  <c r="N119"/>
  <c r="C119"/>
  <c r="G119" s="1"/>
  <c r="N118"/>
  <c r="C118"/>
  <c r="H118" s="1"/>
  <c r="N117"/>
  <c r="D117"/>
  <c r="C117"/>
  <c r="G117" s="1"/>
  <c r="N116"/>
  <c r="N125" s="1"/>
  <c r="J116"/>
  <c r="E116"/>
  <c r="D116"/>
  <c r="C116"/>
  <c r="K116" s="1"/>
  <c r="N109"/>
  <c r="I109"/>
  <c r="H109"/>
  <c r="D109"/>
  <c r="C109"/>
  <c r="F109" s="1"/>
  <c r="N108"/>
  <c r="I108"/>
  <c r="C108"/>
  <c r="D108" s="1"/>
  <c r="N107"/>
  <c r="H107"/>
  <c r="C107"/>
  <c r="K107" s="1"/>
  <c r="N106"/>
  <c r="H106"/>
  <c r="C106"/>
  <c r="K106" s="1"/>
  <c r="N105"/>
  <c r="K105"/>
  <c r="G105"/>
  <c r="E105"/>
  <c r="D105"/>
  <c r="C105"/>
  <c r="J105" s="1"/>
  <c r="N104"/>
  <c r="N111" s="1"/>
  <c r="D104"/>
  <c r="C104"/>
  <c r="J104" s="1"/>
  <c r="N103"/>
  <c r="K103"/>
  <c r="D103"/>
  <c r="C103"/>
  <c r="I103" s="1"/>
  <c r="N102"/>
  <c r="H102"/>
  <c r="D102"/>
  <c r="C102"/>
  <c r="N101"/>
  <c r="D101"/>
  <c r="C101"/>
  <c r="G101" s="1"/>
  <c r="N100"/>
  <c r="K100"/>
  <c r="J100"/>
  <c r="E100"/>
  <c r="C100"/>
  <c r="D100" s="1"/>
  <c r="N44"/>
  <c r="F44"/>
  <c r="D44"/>
  <c r="C44"/>
  <c r="I44" s="1"/>
  <c r="N43"/>
  <c r="J43"/>
  <c r="G43"/>
  <c r="D43"/>
  <c r="C43"/>
  <c r="E43" s="1"/>
  <c r="N42"/>
  <c r="G42"/>
  <c r="C42"/>
  <c r="D42" s="1"/>
  <c r="N41"/>
  <c r="H41"/>
  <c r="C41"/>
  <c r="K41" s="1"/>
  <c r="N40"/>
  <c r="H40"/>
  <c r="C40"/>
  <c r="K40" s="1"/>
  <c r="N39"/>
  <c r="C39"/>
  <c r="I39" s="1"/>
  <c r="N38"/>
  <c r="C38"/>
  <c r="H38" s="1"/>
  <c r="N37"/>
  <c r="H37"/>
  <c r="F37"/>
  <c r="D37"/>
  <c r="C37"/>
  <c r="I37" s="1"/>
  <c r="N36"/>
  <c r="G36"/>
  <c r="D36"/>
  <c r="C36"/>
  <c r="N35"/>
  <c r="K35"/>
  <c r="J35"/>
  <c r="H35"/>
  <c r="F35"/>
  <c r="D35"/>
  <c r="C35"/>
  <c r="I35" s="1"/>
  <c r="N34"/>
  <c r="K34"/>
  <c r="J34"/>
  <c r="H34"/>
  <c r="F34"/>
  <c r="D34"/>
  <c r="C34"/>
  <c r="I34" s="1"/>
  <c r="N33"/>
  <c r="N49" s="1"/>
  <c r="C33"/>
  <c r="J33" s="1"/>
  <c r="N25"/>
  <c r="H25"/>
  <c r="F25"/>
  <c r="D25"/>
  <c r="C25"/>
  <c r="I25" s="1"/>
  <c r="N24"/>
  <c r="D24"/>
  <c r="C24"/>
  <c r="J24" s="1"/>
  <c r="N23"/>
  <c r="K23"/>
  <c r="D23"/>
  <c r="C23"/>
  <c r="I23" s="1"/>
  <c r="N22"/>
  <c r="K22"/>
  <c r="D22"/>
  <c r="C22"/>
  <c r="I22" s="1"/>
  <c r="N21"/>
  <c r="K21"/>
  <c r="D21"/>
  <c r="C21"/>
  <c r="I21" s="1"/>
  <c r="N20"/>
  <c r="C20"/>
  <c r="G20" s="1"/>
  <c r="N19"/>
  <c r="J19"/>
  <c r="G19"/>
  <c r="G53" s="1"/>
  <c r="E19"/>
  <c r="C19"/>
  <c r="K19" s="1"/>
  <c r="N18"/>
  <c r="K18"/>
  <c r="I18"/>
  <c r="H18"/>
  <c r="F18"/>
  <c r="C18"/>
  <c r="J18" s="1"/>
  <c r="N17"/>
  <c r="N27" s="1"/>
  <c r="C17"/>
  <c r="D17" s="1"/>
  <c r="N16"/>
  <c r="D16"/>
  <c r="C16"/>
  <c r="K16" s="1"/>
  <c r="N126" i="17"/>
  <c r="N131" s="1"/>
  <c r="I126"/>
  <c r="F126"/>
  <c r="C126"/>
  <c r="D126" s="1"/>
  <c r="D131" s="1"/>
  <c r="D132" s="1"/>
  <c r="D134" s="1"/>
  <c r="N119"/>
  <c r="D119"/>
  <c r="C119"/>
  <c r="J119" s="1"/>
  <c r="N118"/>
  <c r="I118"/>
  <c r="H118"/>
  <c r="C118"/>
  <c r="F118" s="1"/>
  <c r="N117"/>
  <c r="K117"/>
  <c r="I117"/>
  <c r="F117"/>
  <c r="C117"/>
  <c r="D117" s="1"/>
  <c r="N116"/>
  <c r="K116"/>
  <c r="J116"/>
  <c r="H116"/>
  <c r="F116"/>
  <c r="C116"/>
  <c r="D116" s="1"/>
  <c r="N115"/>
  <c r="K115"/>
  <c r="J115"/>
  <c r="H115"/>
  <c r="F115"/>
  <c r="C115"/>
  <c r="D115" s="1"/>
  <c r="N114"/>
  <c r="H114"/>
  <c r="H135" s="1"/>
  <c r="H137" s="1"/>
  <c r="D114"/>
  <c r="C114"/>
  <c r="N113"/>
  <c r="N121" s="1"/>
  <c r="G113"/>
  <c r="C113"/>
  <c r="D113" s="1"/>
  <c r="N112"/>
  <c r="K112"/>
  <c r="J112"/>
  <c r="D112"/>
  <c r="C112"/>
  <c r="E112" s="1"/>
  <c r="N105"/>
  <c r="H105"/>
  <c r="F105"/>
  <c r="C105"/>
  <c r="D105" s="1"/>
  <c r="N104"/>
  <c r="K104"/>
  <c r="J104"/>
  <c r="H104"/>
  <c r="F104"/>
  <c r="C104"/>
  <c r="D104" s="1"/>
  <c r="N103"/>
  <c r="K103"/>
  <c r="J103"/>
  <c r="H103"/>
  <c r="F103"/>
  <c r="C103"/>
  <c r="D103" s="1"/>
  <c r="N102"/>
  <c r="G102"/>
  <c r="C102"/>
  <c r="D102" s="1"/>
  <c r="N101"/>
  <c r="G101"/>
  <c r="C101"/>
  <c r="K101" s="1"/>
  <c r="N100"/>
  <c r="K100"/>
  <c r="G100"/>
  <c r="E100"/>
  <c r="D100"/>
  <c r="C100"/>
  <c r="J100" s="1"/>
  <c r="N99"/>
  <c r="K99"/>
  <c r="J99"/>
  <c r="H99"/>
  <c r="F99"/>
  <c r="D99"/>
  <c r="C99"/>
  <c r="I99" s="1"/>
  <c r="N98"/>
  <c r="G98"/>
  <c r="D98"/>
  <c r="C98"/>
  <c r="N97"/>
  <c r="N107" s="1"/>
  <c r="N135" s="1"/>
  <c r="K97"/>
  <c r="J97"/>
  <c r="D97"/>
  <c r="C97"/>
  <c r="E97" s="1"/>
  <c r="N40"/>
  <c r="J40"/>
  <c r="F40"/>
  <c r="D40"/>
  <c r="C40"/>
  <c r="I40" s="1"/>
  <c r="N39"/>
  <c r="J39"/>
  <c r="G39"/>
  <c r="D39"/>
  <c r="C39"/>
  <c r="E39" s="1"/>
  <c r="N38"/>
  <c r="H38"/>
  <c r="F38"/>
  <c r="D38"/>
  <c r="C38"/>
  <c r="I38" s="1"/>
  <c r="N37"/>
  <c r="C37"/>
  <c r="H37" s="1"/>
  <c r="N36"/>
  <c r="D36"/>
  <c r="C36"/>
  <c r="H36" s="1"/>
  <c r="N35"/>
  <c r="C35"/>
  <c r="D35" s="1"/>
  <c r="N34"/>
  <c r="C34"/>
  <c r="H34" s="1"/>
  <c r="N33"/>
  <c r="N46" s="1"/>
  <c r="J33"/>
  <c r="E33"/>
  <c r="D33"/>
  <c r="C33"/>
  <c r="K33" s="1"/>
  <c r="N26"/>
  <c r="C26"/>
  <c r="H26" s="1"/>
  <c r="N25"/>
  <c r="J25"/>
  <c r="I25"/>
  <c r="C25"/>
  <c r="F25" s="1"/>
  <c r="N24"/>
  <c r="K24"/>
  <c r="I24"/>
  <c r="H24"/>
  <c r="C24"/>
  <c r="F24" s="1"/>
  <c r="N23"/>
  <c r="K23"/>
  <c r="I23"/>
  <c r="H23"/>
  <c r="C23"/>
  <c r="F23" s="1"/>
  <c r="N22"/>
  <c r="K22"/>
  <c r="G22"/>
  <c r="E22"/>
  <c r="C22"/>
  <c r="D22" s="1"/>
  <c r="N21"/>
  <c r="K21"/>
  <c r="J21"/>
  <c r="G21"/>
  <c r="E21"/>
  <c r="C21"/>
  <c r="D21" s="1"/>
  <c r="N20"/>
  <c r="G20"/>
  <c r="C20"/>
  <c r="D20" s="1"/>
  <c r="N19"/>
  <c r="G19"/>
  <c r="E19"/>
  <c r="D19"/>
  <c r="C19"/>
  <c r="K19" s="1"/>
  <c r="N18"/>
  <c r="K18"/>
  <c r="H18"/>
  <c r="F18"/>
  <c r="D18"/>
  <c r="C18"/>
  <c r="J18" s="1"/>
  <c r="N17"/>
  <c r="N28" s="1"/>
  <c r="N50" s="1"/>
  <c r="G17"/>
  <c r="C17"/>
  <c r="D17" s="1"/>
  <c r="N16"/>
  <c r="K16"/>
  <c r="J16"/>
  <c r="D16"/>
  <c r="C16"/>
  <c r="E16" s="1"/>
  <c r="N129" i="16"/>
  <c r="N124"/>
  <c r="F124"/>
  <c r="D124"/>
  <c r="D129" s="1"/>
  <c r="D130" s="1"/>
  <c r="D132" s="1"/>
  <c r="C124"/>
  <c r="I124" s="1"/>
  <c r="N117"/>
  <c r="K117"/>
  <c r="J117"/>
  <c r="G117"/>
  <c r="E117"/>
  <c r="C117"/>
  <c r="D117" s="1"/>
  <c r="N116"/>
  <c r="K116"/>
  <c r="J116"/>
  <c r="G116"/>
  <c r="E116"/>
  <c r="D116"/>
  <c r="C116"/>
  <c r="N115"/>
  <c r="J115"/>
  <c r="I115"/>
  <c r="F115"/>
  <c r="D115"/>
  <c r="C115"/>
  <c r="K115" s="1"/>
  <c r="N114"/>
  <c r="I114"/>
  <c r="H114"/>
  <c r="F114"/>
  <c r="D114"/>
  <c r="C114"/>
  <c r="J114" s="1"/>
  <c r="N113"/>
  <c r="C113"/>
  <c r="H113" s="1"/>
  <c r="N112"/>
  <c r="C112"/>
  <c r="H112" s="1"/>
  <c r="N111"/>
  <c r="G111"/>
  <c r="C111"/>
  <c r="D111" s="1"/>
  <c r="N110"/>
  <c r="N119" s="1"/>
  <c r="K110"/>
  <c r="J110"/>
  <c r="E110"/>
  <c r="D110"/>
  <c r="C110"/>
  <c r="N103"/>
  <c r="I103"/>
  <c r="H103"/>
  <c r="F103"/>
  <c r="C103"/>
  <c r="D103" s="1"/>
  <c r="N102"/>
  <c r="K102"/>
  <c r="J102"/>
  <c r="I102"/>
  <c r="H102"/>
  <c r="F102"/>
  <c r="C102"/>
  <c r="D102" s="1"/>
  <c r="N101"/>
  <c r="K101"/>
  <c r="J101"/>
  <c r="G101"/>
  <c r="E101"/>
  <c r="D101"/>
  <c r="C101"/>
  <c r="N100"/>
  <c r="J100"/>
  <c r="G100"/>
  <c r="E100"/>
  <c r="D100"/>
  <c r="C100"/>
  <c r="K100" s="1"/>
  <c r="N99"/>
  <c r="I99"/>
  <c r="G99"/>
  <c r="E99"/>
  <c r="D99"/>
  <c r="C99"/>
  <c r="J99" s="1"/>
  <c r="N98"/>
  <c r="I98"/>
  <c r="H98"/>
  <c r="F98"/>
  <c r="D98"/>
  <c r="C98"/>
  <c r="J98" s="1"/>
  <c r="N97"/>
  <c r="I97"/>
  <c r="H97"/>
  <c r="F97"/>
  <c r="D97"/>
  <c r="C97"/>
  <c r="J97" s="1"/>
  <c r="N96"/>
  <c r="I96"/>
  <c r="H96"/>
  <c r="F96"/>
  <c r="D96"/>
  <c r="C96"/>
  <c r="J96" s="1"/>
  <c r="N95"/>
  <c r="C95"/>
  <c r="D95" s="1"/>
  <c r="N94"/>
  <c r="N105" s="1"/>
  <c r="G94"/>
  <c r="G133" s="1"/>
  <c r="D94"/>
  <c r="C94"/>
  <c r="N93"/>
  <c r="C93"/>
  <c r="J93" s="1"/>
  <c r="N41"/>
  <c r="K41"/>
  <c r="J41"/>
  <c r="I41"/>
  <c r="H41"/>
  <c r="F41"/>
  <c r="C41"/>
  <c r="D41" s="1"/>
  <c r="N40"/>
  <c r="K40"/>
  <c r="J40"/>
  <c r="I40"/>
  <c r="F40"/>
  <c r="D40"/>
  <c r="C40"/>
  <c r="N39"/>
  <c r="H39"/>
  <c r="F39"/>
  <c r="D39"/>
  <c r="C39"/>
  <c r="I39" s="1"/>
  <c r="N38"/>
  <c r="D38"/>
  <c r="C38"/>
  <c r="G38" s="1"/>
  <c r="N37"/>
  <c r="H37"/>
  <c r="C37"/>
  <c r="D37" s="1"/>
  <c r="N36"/>
  <c r="K36"/>
  <c r="J36"/>
  <c r="E36"/>
  <c r="D36"/>
  <c r="C36"/>
  <c r="N35"/>
  <c r="I35"/>
  <c r="H35"/>
  <c r="F35"/>
  <c r="D35"/>
  <c r="C35"/>
  <c r="J35" s="1"/>
  <c r="N34"/>
  <c r="N46" s="1"/>
  <c r="H34"/>
  <c r="F34"/>
  <c r="D34"/>
  <c r="D46" s="1"/>
  <c r="D47" s="1"/>
  <c r="D49" s="1"/>
  <c r="C34"/>
  <c r="J34" s="1"/>
  <c r="N27"/>
  <c r="I27"/>
  <c r="H27"/>
  <c r="F27"/>
  <c r="C27"/>
  <c r="D27" s="1"/>
  <c r="N26"/>
  <c r="K26"/>
  <c r="J26"/>
  <c r="I26"/>
  <c r="H26"/>
  <c r="F26"/>
  <c r="C26"/>
  <c r="D26" s="1"/>
  <c r="N25"/>
  <c r="K25"/>
  <c r="J25"/>
  <c r="I25"/>
  <c r="H25"/>
  <c r="F25"/>
  <c r="C25"/>
  <c r="D25" s="1"/>
  <c r="N24"/>
  <c r="K24"/>
  <c r="J24"/>
  <c r="G24"/>
  <c r="E24"/>
  <c r="D24"/>
  <c r="C24"/>
  <c r="N23"/>
  <c r="J23"/>
  <c r="G23"/>
  <c r="E23"/>
  <c r="D23"/>
  <c r="C23"/>
  <c r="K23" s="1"/>
  <c r="N22"/>
  <c r="I22"/>
  <c r="G22"/>
  <c r="E22"/>
  <c r="D22"/>
  <c r="C22"/>
  <c r="J22" s="1"/>
  <c r="N21"/>
  <c r="H21"/>
  <c r="F21"/>
  <c r="D21"/>
  <c r="C21"/>
  <c r="J21" s="1"/>
  <c r="N20"/>
  <c r="I20"/>
  <c r="H20"/>
  <c r="F20"/>
  <c r="D20"/>
  <c r="C20"/>
  <c r="J20" s="1"/>
  <c r="N19"/>
  <c r="I19"/>
  <c r="H19"/>
  <c r="H50" s="1"/>
  <c r="H52" s="1"/>
  <c r="F19"/>
  <c r="F50" s="1"/>
  <c r="F52" s="1"/>
  <c r="D19"/>
  <c r="C19"/>
  <c r="J19" s="1"/>
  <c r="N18"/>
  <c r="C18"/>
  <c r="D18" s="1"/>
  <c r="N17"/>
  <c r="N28" s="1"/>
  <c r="N50" s="1"/>
  <c r="K17"/>
  <c r="J17"/>
  <c r="E17"/>
  <c r="C17"/>
  <c r="D17" s="1"/>
  <c r="D28" s="1"/>
  <c r="I101" i="15"/>
  <c r="I114"/>
  <c r="D114"/>
  <c r="D101"/>
  <c r="N132"/>
  <c r="N127"/>
  <c r="J127"/>
  <c r="I127"/>
  <c r="H127"/>
  <c r="D127"/>
  <c r="D132" s="1"/>
  <c r="D133" s="1"/>
  <c r="D135" s="1"/>
  <c r="C127"/>
  <c r="K127" s="1"/>
  <c r="N121"/>
  <c r="H121"/>
  <c r="F121"/>
  <c r="D121"/>
  <c r="C121"/>
  <c r="I121" s="1"/>
  <c r="N120"/>
  <c r="N122" s="1"/>
  <c r="K120"/>
  <c r="E120"/>
  <c r="C120"/>
  <c r="D120" s="1"/>
  <c r="N119"/>
  <c r="K119"/>
  <c r="J119"/>
  <c r="F119"/>
  <c r="C119"/>
  <c r="D119" s="1"/>
  <c r="N118"/>
  <c r="K118"/>
  <c r="J118"/>
  <c r="I118"/>
  <c r="D118"/>
  <c r="C118"/>
  <c r="E118" s="1"/>
  <c r="N117"/>
  <c r="J117"/>
  <c r="I117"/>
  <c r="H117"/>
  <c r="D117"/>
  <c r="C117"/>
  <c r="K117" s="1"/>
  <c r="N116"/>
  <c r="G116"/>
  <c r="D116"/>
  <c r="C116"/>
  <c r="H116" s="1"/>
  <c r="N115"/>
  <c r="C115"/>
  <c r="D115" s="1"/>
  <c r="N114"/>
  <c r="C114"/>
  <c r="N107"/>
  <c r="I107"/>
  <c r="H107"/>
  <c r="C107"/>
  <c r="J107" s="1"/>
  <c r="N106"/>
  <c r="K106"/>
  <c r="J106"/>
  <c r="G106"/>
  <c r="E106"/>
  <c r="D106"/>
  <c r="C106"/>
  <c r="N105"/>
  <c r="E105"/>
  <c r="D105"/>
  <c r="C105"/>
  <c r="G105" s="1"/>
  <c r="N104"/>
  <c r="C104"/>
  <c r="D104" s="1"/>
  <c r="N103"/>
  <c r="C103"/>
  <c r="D103" s="1"/>
  <c r="N102"/>
  <c r="C102"/>
  <c r="D102" s="1"/>
  <c r="N101"/>
  <c r="C101"/>
  <c r="N100"/>
  <c r="C100"/>
  <c r="D100" s="1"/>
  <c r="N99"/>
  <c r="N108" s="1"/>
  <c r="N136" s="1"/>
  <c r="E99"/>
  <c r="D99"/>
  <c r="C99"/>
  <c r="J99" s="1"/>
  <c r="N42"/>
  <c r="J42"/>
  <c r="H42"/>
  <c r="F42"/>
  <c r="D42"/>
  <c r="C42"/>
  <c r="I42" s="1"/>
  <c r="N41"/>
  <c r="E41"/>
  <c r="D41"/>
  <c r="C41"/>
  <c r="G41" s="1"/>
  <c r="N40"/>
  <c r="K40"/>
  <c r="F40"/>
  <c r="D40"/>
  <c r="C40"/>
  <c r="H40" s="1"/>
  <c r="N39"/>
  <c r="H39"/>
  <c r="C39"/>
  <c r="D39" s="1"/>
  <c r="N38"/>
  <c r="G38"/>
  <c r="D38"/>
  <c r="C38"/>
  <c r="N37"/>
  <c r="C37"/>
  <c r="D37" s="1"/>
  <c r="N36"/>
  <c r="N47" s="1"/>
  <c r="K36"/>
  <c r="E36"/>
  <c r="C36"/>
  <c r="D36" s="1"/>
  <c r="N35"/>
  <c r="K35"/>
  <c r="J35"/>
  <c r="I35"/>
  <c r="F35"/>
  <c r="C35"/>
  <c r="D35" s="1"/>
  <c r="N34"/>
  <c r="K34"/>
  <c r="J34"/>
  <c r="I34"/>
  <c r="F34"/>
  <c r="C34"/>
  <c r="D34" s="1"/>
  <c r="N26"/>
  <c r="D26"/>
  <c r="C26"/>
  <c r="E26" s="1"/>
  <c r="N25"/>
  <c r="C25"/>
  <c r="D25" s="1"/>
  <c r="N24"/>
  <c r="K24"/>
  <c r="G24"/>
  <c r="D24"/>
  <c r="C24"/>
  <c r="E24" s="1"/>
  <c r="N23"/>
  <c r="K23"/>
  <c r="J23"/>
  <c r="H23"/>
  <c r="D23"/>
  <c r="C23"/>
  <c r="F23" s="1"/>
  <c r="N22"/>
  <c r="I22"/>
  <c r="H22"/>
  <c r="D22"/>
  <c r="C22"/>
  <c r="F22" s="1"/>
  <c r="N21"/>
  <c r="J21"/>
  <c r="I21"/>
  <c r="C21"/>
  <c r="K21" s="1"/>
  <c r="N20"/>
  <c r="I20"/>
  <c r="H20"/>
  <c r="C20"/>
  <c r="J20" s="1"/>
  <c r="N19"/>
  <c r="I19"/>
  <c r="H19"/>
  <c r="C19"/>
  <c r="J19" s="1"/>
  <c r="N18"/>
  <c r="I18"/>
  <c r="H18"/>
  <c r="C18"/>
  <c r="J18" s="1"/>
  <c r="N17"/>
  <c r="C17"/>
  <c r="D17" s="1"/>
  <c r="N16"/>
  <c r="N28" s="1"/>
  <c r="E16"/>
  <c r="C16"/>
  <c r="D16" s="1"/>
  <c r="D105" i="19" l="1"/>
  <c r="D107" s="1"/>
  <c r="D25"/>
  <c r="G134"/>
  <c r="F50"/>
  <c r="F52" s="1"/>
  <c r="J39"/>
  <c r="K95"/>
  <c r="K134" s="1"/>
  <c r="K136" s="1"/>
  <c r="J117"/>
  <c r="G39"/>
  <c r="I40"/>
  <c r="I50" s="1"/>
  <c r="I52" s="1"/>
  <c r="J95"/>
  <c r="I101"/>
  <c r="I134" s="1"/>
  <c r="I136" s="1"/>
  <c r="I102"/>
  <c r="G117"/>
  <c r="I118"/>
  <c r="E39"/>
  <c r="E50" s="1"/>
  <c r="H40"/>
  <c r="E95"/>
  <c r="H101"/>
  <c r="H102"/>
  <c r="H134" s="1"/>
  <c r="H136" s="1"/>
  <c r="E117"/>
  <c r="H118"/>
  <c r="K18"/>
  <c r="K50" s="1"/>
  <c r="K52" s="1"/>
  <c r="K19"/>
  <c r="K33"/>
  <c r="K34"/>
  <c r="K35"/>
  <c r="D39"/>
  <c r="D46" s="1"/>
  <c r="D47" s="1"/>
  <c r="D49" s="1"/>
  <c r="F40"/>
  <c r="F101"/>
  <c r="F134" s="1"/>
  <c r="F136" s="1"/>
  <c r="F102"/>
  <c r="D117"/>
  <c r="D120" s="1"/>
  <c r="G18"/>
  <c r="G50" s="1"/>
  <c r="J14"/>
  <c r="J50" s="1"/>
  <c r="J52" s="1"/>
  <c r="E18"/>
  <c r="G19"/>
  <c r="H20"/>
  <c r="H50" s="1"/>
  <c r="H52" s="1"/>
  <c r="H33"/>
  <c r="H34"/>
  <c r="H35"/>
  <c r="H36"/>
  <c r="J109"/>
  <c r="I50" i="16"/>
  <c r="I52" s="1"/>
  <c r="N143" i="18"/>
  <c r="G55"/>
  <c r="N53"/>
  <c r="D27"/>
  <c r="K20"/>
  <c r="J38"/>
  <c r="J118"/>
  <c r="K119"/>
  <c r="J21"/>
  <c r="J22"/>
  <c r="K24"/>
  <c r="K53" s="1"/>
  <c r="K55" s="1"/>
  <c r="K33"/>
  <c r="J103"/>
  <c r="J143" s="1"/>
  <c r="J145" s="1"/>
  <c r="K104"/>
  <c r="J119"/>
  <c r="J120"/>
  <c r="J121"/>
  <c r="J122"/>
  <c r="J16"/>
  <c r="D18"/>
  <c r="D19"/>
  <c r="E20"/>
  <c r="H21"/>
  <c r="H22"/>
  <c r="H23"/>
  <c r="I24"/>
  <c r="E33"/>
  <c r="F38"/>
  <c r="F39"/>
  <c r="J40"/>
  <c r="J41"/>
  <c r="K42"/>
  <c r="H103"/>
  <c r="G104"/>
  <c r="G143" s="1"/>
  <c r="J106"/>
  <c r="J107"/>
  <c r="K108"/>
  <c r="K143" s="1"/>
  <c r="K145" s="1"/>
  <c r="F118"/>
  <c r="E119"/>
  <c r="G120"/>
  <c r="H121"/>
  <c r="H122"/>
  <c r="H123"/>
  <c r="H143" s="1"/>
  <c r="H145" s="1"/>
  <c r="D130"/>
  <c r="D139" s="1"/>
  <c r="D140" s="1"/>
  <c r="D142" s="1"/>
  <c r="D131"/>
  <c r="J23"/>
  <c r="I38"/>
  <c r="I53" s="1"/>
  <c r="I55" s="1"/>
  <c r="E16"/>
  <c r="D20"/>
  <c r="F21"/>
  <c r="F22"/>
  <c r="F53" s="1"/>
  <c r="F55" s="1"/>
  <c r="F23"/>
  <c r="F24"/>
  <c r="D33"/>
  <c r="D38"/>
  <c r="D39"/>
  <c r="I40"/>
  <c r="I41"/>
  <c r="J42"/>
  <c r="K43"/>
  <c r="F103"/>
  <c r="E104"/>
  <c r="I106"/>
  <c r="I143" s="1"/>
  <c r="I145" s="1"/>
  <c r="I107"/>
  <c r="J108"/>
  <c r="D118"/>
  <c r="D125" s="1"/>
  <c r="D126" s="1"/>
  <c r="D128" s="1"/>
  <c r="D119"/>
  <c r="E120"/>
  <c r="F121"/>
  <c r="F122"/>
  <c r="F123"/>
  <c r="H17"/>
  <c r="F40"/>
  <c r="F41"/>
  <c r="E42"/>
  <c r="F106"/>
  <c r="F107"/>
  <c r="F108"/>
  <c r="F134"/>
  <c r="K38"/>
  <c r="D40"/>
  <c r="D41"/>
  <c r="D106"/>
  <c r="D111" s="1"/>
  <c r="D107"/>
  <c r="K118"/>
  <c r="J130"/>
  <c r="J20"/>
  <c r="I118"/>
  <c r="K135" i="17"/>
  <c r="K137" s="1"/>
  <c r="F135"/>
  <c r="F137" s="1"/>
  <c r="G50"/>
  <c r="H50"/>
  <c r="H52" s="1"/>
  <c r="D121"/>
  <c r="D122" s="1"/>
  <c r="D124" s="1"/>
  <c r="J34"/>
  <c r="I26"/>
  <c r="K119"/>
  <c r="I18"/>
  <c r="I50" s="1"/>
  <c r="I52" s="1"/>
  <c r="J19"/>
  <c r="J50" s="1"/>
  <c r="J52" s="1"/>
  <c r="D23"/>
  <c r="D24"/>
  <c r="D28" s="1"/>
  <c r="D25"/>
  <c r="F26"/>
  <c r="F50" s="1"/>
  <c r="F52" s="1"/>
  <c r="F34"/>
  <c r="G35"/>
  <c r="F37"/>
  <c r="J101"/>
  <c r="D118"/>
  <c r="G119"/>
  <c r="G135" s="1"/>
  <c r="I34"/>
  <c r="I37"/>
  <c r="D26"/>
  <c r="D34"/>
  <c r="D46" s="1"/>
  <c r="D47" s="1"/>
  <c r="D49" s="1"/>
  <c r="D37"/>
  <c r="K39"/>
  <c r="I101"/>
  <c r="E119"/>
  <c r="E20"/>
  <c r="E50" s="1"/>
  <c r="E101"/>
  <c r="E135" s="1"/>
  <c r="E102"/>
  <c r="I21"/>
  <c r="J22"/>
  <c r="J23"/>
  <c r="J24"/>
  <c r="K25"/>
  <c r="K50" s="1"/>
  <c r="K52" s="1"/>
  <c r="K34"/>
  <c r="D101"/>
  <c r="D107" s="1"/>
  <c r="I103"/>
  <c r="I104"/>
  <c r="I135" s="1"/>
  <c r="I137" s="1"/>
  <c r="I105"/>
  <c r="I115"/>
  <c r="I116"/>
  <c r="J117"/>
  <c r="J135" s="1"/>
  <c r="J137" s="1"/>
  <c r="J126"/>
  <c r="E50" i="16"/>
  <c r="D29"/>
  <c r="D31" s="1"/>
  <c r="D50"/>
  <c r="D52" s="1"/>
  <c r="G135"/>
  <c r="E38"/>
  <c r="E93"/>
  <c r="E133" s="1"/>
  <c r="F112"/>
  <c r="F133" s="1"/>
  <c r="F135" s="1"/>
  <c r="F113"/>
  <c r="H124"/>
  <c r="D93"/>
  <c r="D105" s="1"/>
  <c r="D112"/>
  <c r="D113"/>
  <c r="D119" s="1"/>
  <c r="D120" s="1"/>
  <c r="D122" s="1"/>
  <c r="K112"/>
  <c r="K38"/>
  <c r="J112"/>
  <c r="K124"/>
  <c r="G18"/>
  <c r="G50" s="1"/>
  <c r="K19"/>
  <c r="K50" s="1"/>
  <c r="K52" s="1"/>
  <c r="K20"/>
  <c r="K21"/>
  <c r="K22"/>
  <c r="K34"/>
  <c r="K35"/>
  <c r="J38"/>
  <c r="J50" s="1"/>
  <c r="J52" s="1"/>
  <c r="K93"/>
  <c r="H95"/>
  <c r="K96"/>
  <c r="K97"/>
  <c r="K98"/>
  <c r="K99"/>
  <c r="I112"/>
  <c r="I133" s="1"/>
  <c r="I135" s="1"/>
  <c r="I113"/>
  <c r="K114"/>
  <c r="J124"/>
  <c r="J133" s="1"/>
  <c r="J135" s="1"/>
  <c r="I51" i="15"/>
  <c r="I53" s="1"/>
  <c r="D122"/>
  <c r="D123" s="1"/>
  <c r="D125" s="1"/>
  <c r="E136"/>
  <c r="N51"/>
  <c r="D47"/>
  <c r="D48" s="1"/>
  <c r="D50" s="1"/>
  <c r="K16"/>
  <c r="F18"/>
  <c r="F19"/>
  <c r="F20"/>
  <c r="F21"/>
  <c r="G100"/>
  <c r="K101"/>
  <c r="K102"/>
  <c r="K103"/>
  <c r="F107"/>
  <c r="K114"/>
  <c r="I119"/>
  <c r="J120"/>
  <c r="J16"/>
  <c r="D18"/>
  <c r="D28" s="1"/>
  <c r="D19"/>
  <c r="D20"/>
  <c r="D21"/>
  <c r="I23"/>
  <c r="J24"/>
  <c r="K25"/>
  <c r="H34"/>
  <c r="H51" s="1"/>
  <c r="H53" s="1"/>
  <c r="H35"/>
  <c r="J36"/>
  <c r="J101"/>
  <c r="J102"/>
  <c r="J103"/>
  <c r="D107"/>
  <c r="D108" s="1"/>
  <c r="J114"/>
  <c r="F117"/>
  <c r="H119"/>
  <c r="G120"/>
  <c r="F127"/>
  <c r="I102"/>
  <c r="I103"/>
  <c r="I104"/>
  <c r="K115"/>
  <c r="G25"/>
  <c r="J26"/>
  <c r="H37"/>
  <c r="J40"/>
  <c r="K41"/>
  <c r="K42"/>
  <c r="H101"/>
  <c r="H102"/>
  <c r="H103"/>
  <c r="H104"/>
  <c r="K105"/>
  <c r="H114"/>
  <c r="J115"/>
  <c r="J136" s="1"/>
  <c r="J138" s="1"/>
  <c r="J25"/>
  <c r="K26"/>
  <c r="I37"/>
  <c r="G17"/>
  <c r="G51" s="1"/>
  <c r="K18"/>
  <c r="K19"/>
  <c r="K20"/>
  <c r="E25"/>
  <c r="E51" s="1"/>
  <c r="G26"/>
  <c r="F37"/>
  <c r="I40"/>
  <c r="J41"/>
  <c r="K99"/>
  <c r="F101"/>
  <c r="F102"/>
  <c r="F103"/>
  <c r="F104"/>
  <c r="J105"/>
  <c r="K107"/>
  <c r="F114"/>
  <c r="E115"/>
  <c r="D121" i="19" l="1"/>
  <c r="D123" s="1"/>
  <c r="D134"/>
  <c r="D136" s="1"/>
  <c r="E52"/>
  <c r="E51"/>
  <c r="G51"/>
  <c r="G52"/>
  <c r="I55"/>
  <c r="I139"/>
  <c r="I140" s="1"/>
  <c r="G135"/>
  <c r="G136"/>
  <c r="D50"/>
  <c r="D52" s="1"/>
  <c r="D26"/>
  <c r="D28" s="1"/>
  <c r="E134"/>
  <c r="J134"/>
  <c r="J136" s="1"/>
  <c r="I55" i="16"/>
  <c r="I56" s="1"/>
  <c r="I148" i="18"/>
  <c r="I58"/>
  <c r="I59" s="1"/>
  <c r="G144"/>
  <c r="G145"/>
  <c r="D143"/>
  <c r="D145" s="1"/>
  <c r="D112"/>
  <c r="D114" s="1"/>
  <c r="D53"/>
  <c r="D55" s="1"/>
  <c r="D28"/>
  <c r="D30" s="1"/>
  <c r="J53"/>
  <c r="J55" s="1"/>
  <c r="F143"/>
  <c r="F145" s="1"/>
  <c r="E143"/>
  <c r="D49"/>
  <c r="D50" s="1"/>
  <c r="D52" s="1"/>
  <c r="H53"/>
  <c r="E53"/>
  <c r="E137" i="17"/>
  <c r="E136"/>
  <c r="I140"/>
  <c r="G137"/>
  <c r="G136"/>
  <c r="D50"/>
  <c r="D52" s="1"/>
  <c r="D29"/>
  <c r="D31" s="1"/>
  <c r="E51"/>
  <c r="E52"/>
  <c r="D108"/>
  <c r="D110" s="1"/>
  <c r="D135"/>
  <c r="D137" s="1"/>
  <c r="I55"/>
  <c r="I56" s="1"/>
  <c r="G52"/>
  <c r="G51"/>
  <c r="I138" i="16"/>
  <c r="E52"/>
  <c r="E51"/>
  <c r="E135"/>
  <c r="E134"/>
  <c r="G52"/>
  <c r="G51"/>
  <c r="D133"/>
  <c r="D135" s="1"/>
  <c r="D106"/>
  <c r="D108" s="1"/>
  <c r="K133"/>
  <c r="K135" s="1"/>
  <c r="H133"/>
  <c r="E53" i="15"/>
  <c r="E52"/>
  <c r="D109"/>
  <c r="D111" s="1"/>
  <c r="D136"/>
  <c r="D138" s="1"/>
  <c r="D51"/>
  <c r="D53" s="1"/>
  <c r="D29"/>
  <c r="D31" s="1"/>
  <c r="E138"/>
  <c r="H136"/>
  <c r="H138" s="1"/>
  <c r="J51"/>
  <c r="J53" s="1"/>
  <c r="G136"/>
  <c r="G53"/>
  <c r="G52"/>
  <c r="I56"/>
  <c r="I57" s="1"/>
  <c r="K136"/>
  <c r="K138" s="1"/>
  <c r="K51"/>
  <c r="K53" s="1"/>
  <c r="F136"/>
  <c r="F138" s="1"/>
  <c r="I136"/>
  <c r="I138" s="1"/>
  <c r="F51"/>
  <c r="F53" s="1"/>
  <c r="E53" i="19" l="1"/>
  <c r="G137"/>
  <c r="G53"/>
  <c r="E135"/>
  <c r="E136"/>
  <c r="I56"/>
  <c r="G146" i="18"/>
  <c r="E144"/>
  <c r="E145"/>
  <c r="H55"/>
  <c r="G56" s="1"/>
  <c r="G54"/>
  <c r="E55"/>
  <c r="E54"/>
  <c r="I149"/>
  <c r="E138" i="17"/>
  <c r="E53"/>
  <c r="I141"/>
  <c r="G138"/>
  <c r="G53"/>
  <c r="E53" i="16"/>
  <c r="E136"/>
  <c r="H135"/>
  <c r="G136" s="1"/>
  <c r="G134"/>
  <c r="G53"/>
  <c r="I139"/>
  <c r="E139" i="15"/>
  <c r="E54"/>
  <c r="E137"/>
  <c r="I141"/>
  <c r="I142" s="1"/>
  <c r="G137"/>
  <c r="G138"/>
  <c r="G54"/>
  <c r="E55" i="19" l="1"/>
  <c r="G139"/>
  <c r="G140" s="1"/>
  <c r="E137"/>
  <c r="G55"/>
  <c r="G56" s="1"/>
  <c r="G148" i="18"/>
  <c r="G149" s="1"/>
  <c r="E146"/>
  <c r="G58"/>
  <c r="G59" s="1"/>
  <c r="E56"/>
  <c r="E140" i="17"/>
  <c r="E55"/>
  <c r="G55"/>
  <c r="G56" s="1"/>
  <c r="G140"/>
  <c r="G141" s="1"/>
  <c r="E55" i="16"/>
  <c r="E138"/>
  <c r="G138"/>
  <c r="G139" s="1"/>
  <c r="G55"/>
  <c r="G56" s="1"/>
  <c r="E141" i="15"/>
  <c r="E56"/>
  <c r="G56"/>
  <c r="G57" s="1"/>
  <c r="G139"/>
  <c r="E139" i="19" l="1"/>
  <c r="W52"/>
  <c r="E56"/>
  <c r="E58" i="18"/>
  <c r="E148"/>
  <c r="E56" i="17"/>
  <c r="E141"/>
  <c r="E56" i="16"/>
  <c r="E139"/>
  <c r="G141" i="15"/>
  <c r="G142" s="1"/>
  <c r="E57"/>
  <c r="E142"/>
  <c r="W136" i="19" l="1"/>
  <c r="E140"/>
  <c r="W54" i="18"/>
  <c r="E59"/>
  <c r="W145"/>
  <c r="E149"/>
  <c r="N132" i="20" l="1"/>
  <c r="N127"/>
  <c r="D127"/>
  <c r="D132" s="1"/>
  <c r="D133" s="1"/>
  <c r="D135" s="1"/>
  <c r="C127"/>
  <c r="F127" s="1"/>
  <c r="N121"/>
  <c r="H121"/>
  <c r="F121"/>
  <c r="D121"/>
  <c r="C121"/>
  <c r="I121" s="1"/>
  <c r="N120"/>
  <c r="E120"/>
  <c r="D120"/>
  <c r="C120"/>
  <c r="G120" s="1"/>
  <c r="N119"/>
  <c r="F119"/>
  <c r="D119"/>
  <c r="C119"/>
  <c r="H119" s="1"/>
  <c r="N118"/>
  <c r="D118"/>
  <c r="C118"/>
  <c r="E118" s="1"/>
  <c r="N117"/>
  <c r="D117"/>
  <c r="C117"/>
  <c r="F117" s="1"/>
  <c r="N116"/>
  <c r="N122" s="1"/>
  <c r="H116"/>
  <c r="G116"/>
  <c r="D116"/>
  <c r="C116"/>
  <c r="N115"/>
  <c r="K115"/>
  <c r="J115"/>
  <c r="E115"/>
  <c r="D115"/>
  <c r="C115"/>
  <c r="N114"/>
  <c r="I114"/>
  <c r="H114"/>
  <c r="F114"/>
  <c r="D114"/>
  <c r="D122" s="1"/>
  <c r="D123" s="1"/>
  <c r="D125" s="1"/>
  <c r="C114"/>
  <c r="J114" s="1"/>
  <c r="N107"/>
  <c r="C107"/>
  <c r="D107" s="1"/>
  <c r="N106"/>
  <c r="K106"/>
  <c r="J106"/>
  <c r="G106"/>
  <c r="E106"/>
  <c r="D106"/>
  <c r="C106"/>
  <c r="N105"/>
  <c r="K105"/>
  <c r="J105"/>
  <c r="G105"/>
  <c r="E105"/>
  <c r="D105"/>
  <c r="C105"/>
  <c r="N104"/>
  <c r="I104"/>
  <c r="H104"/>
  <c r="F104"/>
  <c r="D104"/>
  <c r="C104"/>
  <c r="N103"/>
  <c r="I103"/>
  <c r="H103"/>
  <c r="F103"/>
  <c r="D103"/>
  <c r="C103"/>
  <c r="J103" s="1"/>
  <c r="N102"/>
  <c r="I102"/>
  <c r="H102"/>
  <c r="F102"/>
  <c r="D102"/>
  <c r="C102"/>
  <c r="J102" s="1"/>
  <c r="N101"/>
  <c r="I101"/>
  <c r="H101"/>
  <c r="F101"/>
  <c r="D101"/>
  <c r="C101"/>
  <c r="J101" s="1"/>
  <c r="N100"/>
  <c r="C100"/>
  <c r="D100" s="1"/>
  <c r="D108" s="1"/>
  <c r="N99"/>
  <c r="N108" s="1"/>
  <c r="N136" s="1"/>
  <c r="K99"/>
  <c r="J99"/>
  <c r="E99"/>
  <c r="E136" s="1"/>
  <c r="D99"/>
  <c r="C99"/>
  <c r="N42"/>
  <c r="K42"/>
  <c r="J42"/>
  <c r="I42"/>
  <c r="H42"/>
  <c r="F42"/>
  <c r="C42"/>
  <c r="D42" s="1"/>
  <c r="N41"/>
  <c r="C41"/>
  <c r="D41" s="1"/>
  <c r="N40"/>
  <c r="K40"/>
  <c r="I40"/>
  <c r="D40"/>
  <c r="C40"/>
  <c r="F40" s="1"/>
  <c r="N39"/>
  <c r="H39"/>
  <c r="D39"/>
  <c r="C39"/>
  <c r="N38"/>
  <c r="D38"/>
  <c r="C38"/>
  <c r="G38" s="1"/>
  <c r="N37"/>
  <c r="D37"/>
  <c r="C37"/>
  <c r="H37" s="1"/>
  <c r="N36"/>
  <c r="D36"/>
  <c r="C36"/>
  <c r="J36" s="1"/>
  <c r="N35"/>
  <c r="C35"/>
  <c r="H35" s="1"/>
  <c r="N34"/>
  <c r="C34"/>
  <c r="H34" s="1"/>
  <c r="N26"/>
  <c r="J26"/>
  <c r="E26"/>
  <c r="C26"/>
  <c r="D26" s="1"/>
  <c r="N25"/>
  <c r="J25"/>
  <c r="G25"/>
  <c r="C25"/>
  <c r="K25" s="1"/>
  <c r="N24"/>
  <c r="C24"/>
  <c r="J24" s="1"/>
  <c r="N23"/>
  <c r="C23"/>
  <c r="I23" s="1"/>
  <c r="N22"/>
  <c r="D22"/>
  <c r="C22"/>
  <c r="F22" s="1"/>
  <c r="N21"/>
  <c r="C21"/>
  <c r="D21" s="1"/>
  <c r="N20"/>
  <c r="C20"/>
  <c r="D20" s="1"/>
  <c r="N19"/>
  <c r="C19"/>
  <c r="D19" s="1"/>
  <c r="N18"/>
  <c r="C18"/>
  <c r="D18" s="1"/>
  <c r="N17"/>
  <c r="C17"/>
  <c r="D17" s="1"/>
  <c r="N16"/>
  <c r="C16"/>
  <c r="J16" s="1"/>
  <c r="J41" l="1"/>
  <c r="J40"/>
  <c r="H40"/>
  <c r="K41"/>
  <c r="G41"/>
  <c r="E41"/>
  <c r="F37"/>
  <c r="I37"/>
  <c r="E36"/>
  <c r="F35"/>
  <c r="D35"/>
  <c r="N47"/>
  <c r="F34"/>
  <c r="D34"/>
  <c r="H23"/>
  <c r="F23"/>
  <c r="D23"/>
  <c r="K26"/>
  <c r="G26"/>
  <c r="G24"/>
  <c r="E24"/>
  <c r="D24"/>
  <c r="E25"/>
  <c r="D25"/>
  <c r="G17"/>
  <c r="E16"/>
  <c r="D16"/>
  <c r="N28"/>
  <c r="D109"/>
  <c r="D111" s="1"/>
  <c r="D136"/>
  <c r="D138" s="1"/>
  <c r="E138"/>
  <c r="I136"/>
  <c r="I138" s="1"/>
  <c r="K18"/>
  <c r="K19"/>
  <c r="K20"/>
  <c r="K107"/>
  <c r="J18"/>
  <c r="J19"/>
  <c r="J20"/>
  <c r="K21"/>
  <c r="J107"/>
  <c r="K117"/>
  <c r="K127"/>
  <c r="I18"/>
  <c r="I19"/>
  <c r="I20"/>
  <c r="J21"/>
  <c r="K34"/>
  <c r="K35"/>
  <c r="I107"/>
  <c r="J117"/>
  <c r="K118"/>
  <c r="K119"/>
  <c r="J127"/>
  <c r="J136" s="1"/>
  <c r="J138" s="1"/>
  <c r="H18"/>
  <c r="H19"/>
  <c r="H20"/>
  <c r="I21"/>
  <c r="I22"/>
  <c r="K23"/>
  <c r="J34"/>
  <c r="J35"/>
  <c r="H107"/>
  <c r="H136" s="1"/>
  <c r="H138" s="1"/>
  <c r="I117"/>
  <c r="J118"/>
  <c r="J119"/>
  <c r="K120"/>
  <c r="I127"/>
  <c r="K16"/>
  <c r="F18"/>
  <c r="F19"/>
  <c r="F20"/>
  <c r="F21"/>
  <c r="H22"/>
  <c r="J23"/>
  <c r="K24"/>
  <c r="I34"/>
  <c r="I35"/>
  <c r="K36"/>
  <c r="G100"/>
  <c r="G136" s="1"/>
  <c r="K101"/>
  <c r="K136" s="1"/>
  <c r="K138" s="1"/>
  <c r="K102"/>
  <c r="K103"/>
  <c r="F107"/>
  <c r="F136" s="1"/>
  <c r="K114"/>
  <c r="H117"/>
  <c r="I118"/>
  <c r="I119"/>
  <c r="J120"/>
  <c r="H127"/>
  <c r="D47" l="1"/>
  <c r="D48" s="1"/>
  <c r="D50" s="1"/>
  <c r="N51"/>
  <c r="F51"/>
  <c r="F53" s="1"/>
  <c r="H51"/>
  <c r="H53" s="1"/>
  <c r="G51"/>
  <c r="G53" s="1"/>
  <c r="E51"/>
  <c r="E53" s="1"/>
  <c r="D28"/>
  <c r="J51"/>
  <c r="J53" s="1"/>
  <c r="F138"/>
  <c r="E137"/>
  <c r="I141"/>
  <c r="I142" s="1"/>
  <c r="U138"/>
  <c r="G138"/>
  <c r="G137"/>
  <c r="E139"/>
  <c r="I51"/>
  <c r="I53" s="1"/>
  <c r="K51"/>
  <c r="K53" s="1"/>
  <c r="E54" l="1"/>
  <c r="Q52" s="1"/>
  <c r="G54"/>
  <c r="S57" s="1"/>
  <c r="E52"/>
  <c r="G52"/>
  <c r="D51"/>
  <c r="D53" s="1"/>
  <c r="D29"/>
  <c r="D31" s="1"/>
  <c r="Q138"/>
  <c r="E141"/>
  <c r="Q141"/>
  <c r="G139"/>
  <c r="U52"/>
  <c r="I56"/>
  <c r="S141"/>
  <c r="E56" l="1"/>
  <c r="E57" s="1"/>
  <c r="Q57"/>
  <c r="S52"/>
  <c r="W52" s="1"/>
  <c r="Q53" s="1"/>
  <c r="G56"/>
  <c r="I57"/>
  <c r="P141"/>
  <c r="P143" s="1"/>
  <c r="Q143" s="1"/>
  <c r="E142"/>
  <c r="S138"/>
  <c r="G141"/>
  <c r="G142" s="1"/>
  <c r="P56" l="1"/>
  <c r="G57"/>
  <c r="U53"/>
  <c r="S53"/>
  <c r="S139"/>
  <c r="W138"/>
  <c r="U139" l="1"/>
  <c r="Q139"/>
  <c r="D18" i="12" l="1"/>
  <c r="E19"/>
  <c r="N122" l="1"/>
  <c r="C122"/>
  <c r="H122" s="1"/>
  <c r="N105"/>
  <c r="C105"/>
  <c r="H105" s="1"/>
  <c r="C38"/>
  <c r="D38" s="1"/>
  <c r="C22"/>
  <c r="J22" s="1"/>
  <c r="D22" l="1"/>
  <c r="F22"/>
  <c r="I22"/>
  <c r="F122"/>
  <c r="K105"/>
  <c r="J105"/>
  <c r="J122"/>
  <c r="I122"/>
  <c r="D122"/>
  <c r="K122"/>
  <c r="I105"/>
  <c r="F105"/>
  <c r="D105"/>
  <c r="K38"/>
  <c r="J38"/>
  <c r="H38"/>
  <c r="I38"/>
  <c r="F38"/>
  <c r="N100" l="1"/>
  <c r="C100"/>
  <c r="D100" s="1"/>
  <c r="N102"/>
  <c r="C102"/>
  <c r="J102" s="1"/>
  <c r="N101"/>
  <c r="C101"/>
  <c r="E101" s="1"/>
  <c r="N106"/>
  <c r="C106"/>
  <c r="H106" s="1"/>
  <c r="N38"/>
  <c r="N19"/>
  <c r="C19"/>
  <c r="D19" s="1"/>
  <c r="N21"/>
  <c r="C21"/>
  <c r="E21" s="1"/>
  <c r="N23"/>
  <c r="C23"/>
  <c r="H23" s="1"/>
  <c r="N22"/>
  <c r="K101" l="1"/>
  <c r="K22"/>
  <c r="E102"/>
  <c r="D102"/>
  <c r="J101"/>
  <c r="K102"/>
  <c r="G102"/>
  <c r="J106"/>
  <c r="F106"/>
  <c r="H22"/>
  <c r="D106"/>
  <c r="E100"/>
  <c r="G100"/>
  <c r="K100"/>
  <c r="J100"/>
  <c r="D101"/>
  <c r="G101"/>
  <c r="K106"/>
  <c r="I106"/>
  <c r="K19"/>
  <c r="J19"/>
  <c r="G19"/>
  <c r="D21"/>
  <c r="K21"/>
  <c r="J21"/>
  <c r="G21"/>
  <c r="F23"/>
  <c r="D23"/>
  <c r="K23"/>
  <c r="J23"/>
  <c r="I23"/>
  <c r="N129" l="1"/>
  <c r="C129"/>
  <c r="N35"/>
  <c r="C35"/>
  <c r="D35" s="1"/>
  <c r="N40"/>
  <c r="C40"/>
  <c r="D40" s="1"/>
  <c r="D129" l="1"/>
  <c r="I129"/>
  <c r="K129"/>
  <c r="J129"/>
  <c r="H129"/>
  <c r="F129"/>
  <c r="H35"/>
  <c r="K40"/>
  <c r="J40"/>
  <c r="I40"/>
  <c r="H40"/>
  <c r="F40"/>
  <c r="N115" l="1"/>
  <c r="C115"/>
  <c r="H115" s="1"/>
  <c r="C116"/>
  <c r="I116" s="1"/>
  <c r="N116"/>
  <c r="J116" l="1"/>
  <c r="K116"/>
  <c r="D115"/>
  <c r="D116"/>
  <c r="F116"/>
  <c r="H116"/>
  <c r="N117" l="1"/>
  <c r="C117"/>
  <c r="D117" s="1"/>
  <c r="N107"/>
  <c r="C107"/>
  <c r="F107" s="1"/>
  <c r="N37"/>
  <c r="C37"/>
  <c r="D37" s="1"/>
  <c r="N33"/>
  <c r="C33"/>
  <c r="D33" s="1"/>
  <c r="N26"/>
  <c r="C26"/>
  <c r="D26" s="1"/>
  <c r="H107" l="1"/>
  <c r="D107"/>
  <c r="I107"/>
  <c r="F37"/>
  <c r="I37"/>
  <c r="H37"/>
  <c r="I117"/>
  <c r="H117"/>
  <c r="F117"/>
  <c r="I33"/>
  <c r="H33"/>
  <c r="F33"/>
  <c r="H26"/>
  <c r="I26"/>
  <c r="F26"/>
  <c r="N121" l="1"/>
  <c r="C121"/>
  <c r="D121" s="1"/>
  <c r="K121" l="1"/>
  <c r="J121"/>
  <c r="G121"/>
  <c r="E121"/>
  <c r="N114" l="1"/>
  <c r="N97"/>
  <c r="N16"/>
  <c r="N17"/>
  <c r="N134" l="1"/>
  <c r="N120"/>
  <c r="C120"/>
  <c r="I120" s="1"/>
  <c r="N119"/>
  <c r="C119"/>
  <c r="I119" s="1"/>
  <c r="N118"/>
  <c r="C118"/>
  <c r="J118" s="1"/>
  <c r="C114"/>
  <c r="J114" s="1"/>
  <c r="N104"/>
  <c r="C104"/>
  <c r="D104" s="1"/>
  <c r="N103"/>
  <c r="C103"/>
  <c r="K103" s="1"/>
  <c r="N99"/>
  <c r="C99"/>
  <c r="I99" s="1"/>
  <c r="N98"/>
  <c r="C98"/>
  <c r="C97"/>
  <c r="J97" s="1"/>
  <c r="N39"/>
  <c r="C39"/>
  <c r="E39" s="1"/>
  <c r="N36"/>
  <c r="C36"/>
  <c r="E36" s="1"/>
  <c r="N34"/>
  <c r="C34"/>
  <c r="N25"/>
  <c r="C25"/>
  <c r="J25" s="1"/>
  <c r="N24"/>
  <c r="C24"/>
  <c r="I24" s="1"/>
  <c r="N20"/>
  <c r="C20"/>
  <c r="E20" s="1"/>
  <c r="N18"/>
  <c r="C18"/>
  <c r="C17"/>
  <c r="K16"/>
  <c r="J16"/>
  <c r="E16"/>
  <c r="D16"/>
  <c r="F119" l="1"/>
  <c r="K99"/>
  <c r="D98"/>
  <c r="G98"/>
  <c r="G34"/>
  <c r="D34"/>
  <c r="D17"/>
  <c r="G17"/>
  <c r="H119"/>
  <c r="D39"/>
  <c r="G39"/>
  <c r="J39"/>
  <c r="K39"/>
  <c r="G120"/>
  <c r="D119"/>
  <c r="D134"/>
  <c r="D135" s="1"/>
  <c r="D137" s="1"/>
  <c r="J103"/>
  <c r="I103"/>
  <c r="H103"/>
  <c r="F103"/>
  <c r="D103"/>
  <c r="H118"/>
  <c r="F118"/>
  <c r="D118"/>
  <c r="I118" s="1"/>
  <c r="E120"/>
  <c r="D120"/>
  <c r="K104"/>
  <c r="J104"/>
  <c r="I104"/>
  <c r="F104"/>
  <c r="E114"/>
  <c r="D114"/>
  <c r="N124"/>
  <c r="H99"/>
  <c r="F99"/>
  <c r="D99"/>
  <c r="J99"/>
  <c r="I25"/>
  <c r="F25"/>
  <c r="D36"/>
  <c r="K114"/>
  <c r="E97"/>
  <c r="D97"/>
  <c r="N109"/>
  <c r="D20"/>
  <c r="H24"/>
  <c r="F24"/>
  <c r="D24"/>
  <c r="D25"/>
  <c r="K36"/>
  <c r="N46"/>
  <c r="J36"/>
  <c r="N28"/>
  <c r="K118"/>
  <c r="K119"/>
  <c r="K120"/>
  <c r="K18"/>
  <c r="K20"/>
  <c r="K97"/>
  <c r="J119"/>
  <c r="J120"/>
  <c r="J18"/>
  <c r="I18"/>
  <c r="H18"/>
  <c r="J20"/>
  <c r="K24"/>
  <c r="F18"/>
  <c r="G20"/>
  <c r="J24"/>
  <c r="K25"/>
  <c r="D46" l="1"/>
  <c r="D47" s="1"/>
  <c r="F138"/>
  <c r="F140" s="1"/>
  <c r="E50"/>
  <c r="E52" s="1"/>
  <c r="N138"/>
  <c r="D109"/>
  <c r="D124"/>
  <c r="H138"/>
  <c r="H140" s="1"/>
  <c r="I138"/>
  <c r="I140" s="1"/>
  <c r="G138"/>
  <c r="G140" s="1"/>
  <c r="E138"/>
  <c r="E140" s="1"/>
  <c r="J138"/>
  <c r="J140" s="1"/>
  <c r="G50"/>
  <c r="G52" s="1"/>
  <c r="H50"/>
  <c r="H52" s="1"/>
  <c r="D28"/>
  <c r="D29" s="1"/>
  <c r="F50"/>
  <c r="F52" s="1"/>
  <c r="I50"/>
  <c r="I52" s="1"/>
  <c r="I55" s="1"/>
  <c r="K50"/>
  <c r="K52" s="1"/>
  <c r="N50"/>
  <c r="J50"/>
  <c r="J52" s="1"/>
  <c r="K138"/>
  <c r="K140" s="1"/>
  <c r="I143" l="1"/>
  <c r="D125"/>
  <c r="D127" s="1"/>
  <c r="D110"/>
  <c r="D112" s="1"/>
  <c r="D138"/>
  <c r="D140" s="1"/>
  <c r="G139"/>
  <c r="D49"/>
  <c r="D31"/>
  <c r="G141"/>
  <c r="E139"/>
  <c r="G51"/>
  <c r="E51"/>
  <c r="D50"/>
  <c r="D52" s="1"/>
  <c r="E53"/>
  <c r="E141"/>
  <c r="E143" s="1"/>
  <c r="G53"/>
  <c r="I56" l="1"/>
  <c r="E144"/>
  <c r="I144"/>
  <c r="E55"/>
  <c r="E56" s="1"/>
  <c r="G55"/>
  <c r="G56" s="1"/>
  <c r="G143"/>
  <c r="G144" s="1"/>
  <c r="W52" l="1"/>
</calcChain>
</file>

<file path=xl/sharedStrings.xml><?xml version="1.0" encoding="utf-8"?>
<sst xmlns="http://schemas.openxmlformats.org/spreadsheetml/2006/main" count="1561" uniqueCount="236">
  <si>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</si>
  <si>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</si>
  <si>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</si>
  <si>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</si>
  <si>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</si>
  <si>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</si>
  <si>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</si>
  <si>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</si>
  <si>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</si>
  <si>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</si>
  <si>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</si>
  <si>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</si>
  <si>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</si>
  <si>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</si>
  <si>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</si>
  <si>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</si>
  <si>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</si>
  <si>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</si>
  <si>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</si>
  <si>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</si>
  <si>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</si>
  <si>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</si>
  <si>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</si>
  <si>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</si>
  <si>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</si>
  <si>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</si>
  <si>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</si>
  <si>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</si>
  <si>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</si>
  <si>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</si>
  <si>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</si>
  <si>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</si>
  <si>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</si>
  <si>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</si>
  <si>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</si>
  <si>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</si>
  <si>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</si>
  <si>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</si>
  <si>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</si>
  <si>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</si>
  <si>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</si>
  <si>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</si>
  <si>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</si>
  <si>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</si>
  <si>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</si>
  <si>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</si>
  <si>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</si>
  <si>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</si>
  <si>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</si>
  <si>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</si>
  <si>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</si>
  <si>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</si>
  <si>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</si>
  <si>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</si>
  <si>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</si>
  <si>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</si>
  <si>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</si>
  <si>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</si>
  <si>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</si>
  <si>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</si>
  <si>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</si>
  <si>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</si>
  <si>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</si>
  <si>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</si>
  <si>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</si>
  <si>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</si>
  <si>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</si>
  <si>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</si>
  <si>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</si>
  <si>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</si>
  <si>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</si>
  <si>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</si>
  <si>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</si>
  <si>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</si>
  <si>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</si>
  <si>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</si>
  <si>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</si>
  <si>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</si>
  <si>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</si>
  <si>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</si>
  <si>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</si>
  <si>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</si>
  <si>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</si>
  <si>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</si>
  <si>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</si>
  <si>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</si>
  <si>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</si>
  <si>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</si>
  <si>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</si>
  <si>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</si>
  <si>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</si>
  <si>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PĐV</t>
  </si>
  <si>
    <t>LĐV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</si>
  <si>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</si>
  <si>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</si>
  <si>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</si>
  <si>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</si>
  <si>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</si>
  <si>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</si>
  <si>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</si>
  <si>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</si>
  <si>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</si>
  <si>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</si>
  <si>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</si>
  <si>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</si>
  <si>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</si>
  <si>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</si>
  <si>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</si>
  <si>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</si>
  <si>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</si>
  <si>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</si>
  <si>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</si>
  <si>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</si>
  <si>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</si>
  <si>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</si>
  <si>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</si>
  <si>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</si>
  <si>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</si>
  <si>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</si>
  <si>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</si>
  <si>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</si>
  <si>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</si>
  <si>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</si>
  <si>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</si>
  <si>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</si>
  <si>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</si>
  <si>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</si>
  <si>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</si>
  <si>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</si>
  <si>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</si>
  <si>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</si>
  <si>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</si>
  <si>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</si>
  <si>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</si>
  <si>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</si>
  <si>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</si>
  <si>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</si>
  <si>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</si>
  <si>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</si>
  <si>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</si>
  <si>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</si>
  <si>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</si>
  <si>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</si>
  <si>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</si>
  <si>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</si>
  <si>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</si>
  <si>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</si>
  <si>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</si>
  <si>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E21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</si>
  <si>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</si>
  <si>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</si>
  <si>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</si>
  <si>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</si>
  <si>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</si>
  <si>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</si>
  <si>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Tỷ lệ L động vật đạt 70.7%; so với khẩu phần khuyến nghị đảm bảo đạt</t>
  </si>
  <si>
    <t>Cá quả sốt cà chua</t>
  </si>
  <si>
    <t>Dứa xào thịt bò</t>
  </si>
  <si>
    <t>Dứa</t>
  </si>
  <si>
    <t>Cá quả</t>
  </si>
  <si>
    <t>I75,9</t>
  </si>
  <si>
    <t>Bí đao, cà rốt xào thịt gà</t>
  </si>
  <si>
    <t>D344/ I75,9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</si>
  <si>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</si>
  <si>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</si>
  <si>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</si>
  <si>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</si>
  <si>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</si>
  <si>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</si>
  <si>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</si>
  <si>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</si>
  <si>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</si>
  <si>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</si>
  <si>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</si>
  <si>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</si>
  <si>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</si>
  <si>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</si>
  <si>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</si>
  <si>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</si>
  <si>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</si>
  <si>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</si>
  <si>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</si>
  <si>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</si>
  <si>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</si>
  <si>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</si>
  <si>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</si>
  <si>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</si>
  <si>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Tỷ lệ P động vật đạt 58.1%; so với khẩu phần khuyến nghị đảm bảo đạt</t>
  </si>
  <si>
    <t>Tỷ lệ L động vật đạt 70.2%; so với khẩu phần khuyến nghị đảm bảo đạt</t>
  </si>
  <si>
    <t>Canh rau bắp cải nấu tôm</t>
  </si>
  <si>
    <t>Bí đỏ xào thịt lợn</t>
  </si>
  <si>
    <t>Tỷ lệ P động vật đạt 53.4%; so với khẩu phần khuyến nghị tương đối đạt</t>
  </si>
  <si>
    <t>Gấc</t>
  </si>
  <si>
    <t>Su hào xào thịt lợn</t>
  </si>
  <si>
    <t>Canh rau cải cúc nấu tôm</t>
  </si>
  <si>
    <t>Rau cải cúc</t>
  </si>
  <si>
    <t>Kcal đạt 713.33. So với khẩu phần khuyến nghị đảm bảo đạt</t>
  </si>
  <si>
    <t>Tỷ lệ P động vật đạt 51.3%; so với khẩu phần khuyến nghị tương đối đạt</t>
  </si>
  <si>
    <t>Tỷ lệ L động vật đạt 70.5%; so với khẩu phần khuyến nghị đảm bảo đạt</t>
  </si>
  <si>
    <t>Kcal đạt 626.06. So với khẩu phần khuyến nghị đảm bảo đạt</t>
  </si>
  <si>
    <t>Tỷ lệ P động vật đạt 54.4%; so với khẩu phần khuyến nghị tương đối đạt</t>
  </si>
  <si>
    <t>Tỷ lệ L động vật đạt 69.7%; so với khẩu phần khuyến nghị đảm bảo đạt</t>
  </si>
  <si>
    <t>Tỷ lệ P động vật đạt 54.8%; so với khẩu phần khuyến nghị tương đối đạt</t>
  </si>
  <si>
    <t>Tỷ lệ L động vật đạt 70,2%; so với khẩu phần khuyến nghị đảm bảo đạt</t>
  </si>
  <si>
    <t>Tỷ lệ P động vật đạt 60%; so với khẩu phần khuyến nghị đảm bảo đạt</t>
  </si>
  <si>
    <t>Tỷ lệ P động vật đạt 50.5%; so với khẩu phần khuyến tương đối đạt</t>
  </si>
  <si>
    <t>Thứ hai, ngày 26 tháng 1 năm 2026</t>
  </si>
  <si>
    <t>Tỷ lệ P động vật đạt 50.1%; so với khẩu phần khuyến nghị tương đối đạt</t>
  </si>
  <si>
    <t>Kcal đạt 660.35. So với khẩu phần khuyến nghị đảm bảo đạt</t>
  </si>
  <si>
    <t>Tỷ lệ L động vật đạt 70%; so với khẩu phần khuyến nghị đảm bảo đạt</t>
  </si>
  <si>
    <t>Kcal đạt 620.2 So với khẩu phần khuyến nghị đảm bảo đạt</t>
  </si>
  <si>
    <t>Thứ ba, ngày 27 tháng 1 năm 2026</t>
  </si>
  <si>
    <t>Thứ ba, ngày ... tháng 1 năm 2026</t>
  </si>
  <si>
    <t>Kcal đạt 714.94. So với khẩu phần khuyến nghị đảm bảo đạt</t>
  </si>
  <si>
    <t>Tỷ lệ P động vật đạt 51.2%; so với khẩu phần khuyến nghị tương đối đạt</t>
  </si>
  <si>
    <t>Tỷ lệ L động vật đạt 70.8%; so với khẩu phần khuyến nghị đảm bảo đạt</t>
  </si>
  <si>
    <t>Kcal đạt 626.83. So với khẩu phần khuyến nghị đảm bảo đạt</t>
  </si>
  <si>
    <t>Thứ tư, ngày 28 tháng 1 năm 2026</t>
  </si>
  <si>
    <t>Thứ năm, ngày 29 tháng 1 năm 2026</t>
  </si>
  <si>
    <t>Thứ sáu, ngày 30 tháng 1 năm 2026</t>
  </si>
  <si>
    <t>Kcal đạt 724.72. So với khẩu phần khuyến nghị đảm bảo đạt</t>
  </si>
  <si>
    <t>Kcal đạt 642.11. So với khẩu phần khuyến nghị đảm bảo đạt</t>
  </si>
  <si>
    <t>Tỷ lệ P động vật đạt 60.5%; Cao hơn so với khẩu phần khuyến nghị 0.5%</t>
  </si>
  <si>
    <t>Kcal đạt 695.77. So với khẩu phần khuyến nghị đảm bảo đạt</t>
  </si>
  <si>
    <t>Kcal đạt 633.71. So với khẩu phần khuyến nghị đảm bảo đạt đạt</t>
  </si>
  <si>
    <t>Tỷ lệ P động vật đạt 61.4%; so với khẩu phần khuyến cao hơn 1.3%</t>
  </si>
  <si>
    <t>Kcal đạt 697.47. So với khẩu phần khuyến nghị đảm bảo đạt</t>
  </si>
  <si>
    <t>Tỷ lệ L động vật đạt 69.4%; so với khẩu phần khuyến nghị đảm bảo đạt</t>
  </si>
  <si>
    <t>Kcal đạt 628.46 So với khẩu phần khuyến nghị đảm bảo đạt</t>
  </si>
  <si>
    <t>Tỷ lệ P động vật đạt 69.8%; so với khẩu phần khuyến nghị cao hơn 9.8%</t>
  </si>
  <si>
    <t>Thứ bẩy, ngày 31 tháng 1 năm 2026</t>
  </si>
  <si>
    <t>Kcal đạt 725.54 So với khẩu phần khuyến nghị đảm bảo đạt</t>
  </si>
  <si>
    <t>Tỷ lệ L động vật đạt 70.4%; so với khẩu phần khuyến nghị đảm bảo đạt</t>
  </si>
  <si>
    <t>Kcal đạt 645.7. So với khẩu phần khuyến nghị đảm bảo đạt</t>
  </si>
  <si>
    <t>Tỷ lệ P động vật đạt 57.8%; so với khẩu phần khuyến nghị đảm bảo đạt</t>
  </si>
  <si>
    <t>Tỷ lệ L động vật đạt 70.5%; so với khẩu phần khuyến nghị cao hơn 0.9%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</si>
</sst>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34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1"/>
      <color indexed="8"/>
      <name val="Calibri"/>
      <family val="2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9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4"/>
      <color theme="0"/>
      <name val="Times New Roman"/>
      <family val="1"/>
    </font>
    <font>
      <b/>
      <sz val="11"/>
      <color theme="0"/>
      <name val="Times New Roman"/>
      <family val="1"/>
    </font>
    <font>
      <sz val="8"/>
      <color theme="0"/>
      <name val="Times New Roman"/>
      <family val="1"/>
    </font>
    <font>
      <sz val="7"/>
      <color rgb="FFFF0000"/>
      <name val="Times New Roman"/>
      <family val="1"/>
    </font>
    <font>
      <sz val="9"/>
      <name val="Arial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</cellStyleXfs>
  <cellXfs count="588">
    <xf numFmtId="0" fontId="0" fillId="0" borderId="0" xfId="0"/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10" fillId="0" borderId="5" xfId="0" applyFont="1" applyBorder="1"/>
    <xf numFmtId="0" fontId="10" fillId="0" borderId="6" xfId="0" applyFont="1" applyBorder="1"/>
    <xf numFmtId="4" fontId="9" fillId="0" borderId="2" xfId="0" applyNumberFormat="1" applyFont="1" applyBorder="1"/>
    <xf numFmtId="0" fontId="7" fillId="0" borderId="0" xfId="0" applyFont="1"/>
    <xf numFmtId="0" fontId="10" fillId="0" borderId="5" xfId="0" applyFont="1" applyBorder="1" applyAlignment="1">
      <alignment horizontal="center"/>
    </xf>
    <xf numFmtId="3" fontId="10" fillId="0" borderId="5" xfId="1" applyNumberFormat="1" applyFont="1" applyBorder="1" applyAlignment="1">
      <alignment horizontal="left"/>
    </xf>
    <xf numFmtId="0" fontId="2" fillId="0" borderId="0" xfId="0" applyFont="1"/>
    <xf numFmtId="0" fontId="5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3" fontId="10" fillId="0" borderId="14" xfId="1" applyNumberFormat="1" applyFont="1" applyBorder="1" applyAlignment="1">
      <alignment horizontal="left"/>
    </xf>
    <xf numFmtId="167" fontId="5" fillId="0" borderId="0" xfId="0" applyNumberFormat="1" applyFont="1"/>
    <xf numFmtId="3" fontId="18" fillId="0" borderId="3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7" fillId="0" borderId="18" xfId="0" applyFont="1" applyBorder="1"/>
    <xf numFmtId="0" fontId="17" fillId="0" borderId="7" xfId="0" applyFont="1" applyBorder="1"/>
    <xf numFmtId="3" fontId="18" fillId="0" borderId="5" xfId="0" applyNumberFormat="1" applyFont="1" applyBorder="1"/>
    <xf numFmtId="2" fontId="18" fillId="0" borderId="5" xfId="0" applyNumberFormat="1" applyFont="1" applyBorder="1"/>
    <xf numFmtId="4" fontId="18" fillId="0" borderId="5" xfId="0" applyNumberFormat="1" applyFont="1" applyBorder="1"/>
    <xf numFmtId="1" fontId="18" fillId="0" borderId="5" xfId="0" applyNumberFormat="1" applyFont="1" applyBorder="1"/>
    <xf numFmtId="164" fontId="18" fillId="0" borderId="5" xfId="0" applyNumberFormat="1" applyFont="1" applyBorder="1"/>
    <xf numFmtId="4" fontId="18" fillId="0" borderId="6" xfId="0" applyNumberFormat="1" applyFont="1" applyBorder="1"/>
    <xf numFmtId="1" fontId="18" fillId="0" borderId="6" xfId="0" applyNumberFormat="1" applyFont="1" applyBorder="1"/>
    <xf numFmtId="3" fontId="18" fillId="0" borderId="6" xfId="0" applyNumberFormat="1" applyFont="1" applyBorder="1"/>
    <xf numFmtId="2" fontId="18" fillId="0" borderId="6" xfId="0" applyNumberFormat="1" applyFont="1" applyBorder="1"/>
    <xf numFmtId="3" fontId="18" fillId="0" borderId="2" xfId="0" applyNumberFormat="1" applyFont="1" applyBorder="1"/>
    <xf numFmtId="2" fontId="9" fillId="0" borderId="2" xfId="0" applyNumberFormat="1" applyFont="1" applyBorder="1"/>
    <xf numFmtId="4" fontId="18" fillId="0" borderId="2" xfId="0" applyNumberFormat="1" applyFont="1" applyBorder="1"/>
    <xf numFmtId="1" fontId="18" fillId="0" borderId="2" xfId="0" applyNumberFormat="1" applyFont="1" applyBorder="1"/>
    <xf numFmtId="3" fontId="9" fillId="0" borderId="2" xfId="0" applyNumberFormat="1" applyFont="1" applyBorder="1" applyAlignment="1">
      <alignment horizontal="center" vertical="center"/>
    </xf>
    <xf numFmtId="3" fontId="18" fillId="0" borderId="4" xfId="0" applyNumberFormat="1" applyFont="1" applyBorder="1"/>
    <xf numFmtId="4" fontId="18" fillId="0" borderId="4" xfId="0" applyNumberFormat="1" applyFont="1" applyBorder="1"/>
    <xf numFmtId="1" fontId="18" fillId="0" borderId="4" xfId="0" applyNumberFormat="1" applyFont="1" applyBorder="1"/>
    <xf numFmtId="1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16" xfId="0" applyFont="1" applyBorder="1"/>
    <xf numFmtId="0" fontId="9" fillId="0" borderId="2" xfId="0" applyFont="1" applyBorder="1" applyAlignment="1">
      <alignment vertical="center"/>
    </xf>
    <xf numFmtId="4" fontId="19" fillId="0" borderId="2" xfId="0" applyNumberFormat="1" applyFont="1" applyBorder="1"/>
    <xf numFmtId="3" fontId="18" fillId="0" borderId="14" xfId="0" applyNumberFormat="1" applyFont="1" applyBorder="1"/>
    <xf numFmtId="2" fontId="18" fillId="0" borderId="14" xfId="0" applyNumberFormat="1" applyFont="1" applyBorder="1"/>
    <xf numFmtId="4" fontId="18" fillId="0" borderId="14" xfId="0" applyNumberFormat="1" applyFont="1" applyBorder="1"/>
    <xf numFmtId="1" fontId="18" fillId="0" borderId="14" xfId="0" applyNumberFormat="1" applyFont="1" applyBorder="1"/>
    <xf numFmtId="3" fontId="18" fillId="0" borderId="15" xfId="0" applyNumberFormat="1" applyFont="1" applyBorder="1"/>
    <xf numFmtId="2" fontId="18" fillId="0" borderId="15" xfId="0" applyNumberFormat="1" applyFont="1" applyBorder="1"/>
    <xf numFmtId="4" fontId="18" fillId="0" borderId="15" xfId="0" applyNumberFormat="1" applyFont="1" applyBorder="1"/>
    <xf numFmtId="1" fontId="18" fillId="0" borderId="15" xfId="0" applyNumberFormat="1" applyFont="1" applyBorder="1"/>
    <xf numFmtId="0" fontId="18" fillId="0" borderId="16" xfId="0" applyFont="1" applyBorder="1"/>
    <xf numFmtId="1" fontId="9" fillId="0" borderId="16" xfId="0" applyNumberFormat="1" applyFont="1" applyBorder="1"/>
    <xf numFmtId="0" fontId="18" fillId="0" borderId="15" xfId="0" applyFont="1" applyBorder="1"/>
    <xf numFmtId="0" fontId="9" fillId="0" borderId="15" xfId="0" applyFont="1" applyBorder="1"/>
    <xf numFmtId="1" fontId="9" fillId="0" borderId="15" xfId="0" applyNumberFormat="1" applyFont="1" applyBorder="1"/>
    <xf numFmtId="3" fontId="9" fillId="0" borderId="15" xfId="0" applyNumberFormat="1" applyFont="1" applyBorder="1" applyAlignment="1">
      <alignment horizontal="center" vertical="center"/>
    </xf>
    <xf numFmtId="1" fontId="9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3" fontId="18" fillId="0" borderId="7" xfId="0" applyNumberFormat="1" applyFont="1" applyBorder="1"/>
    <xf numFmtId="0" fontId="18" fillId="0" borderId="4" xfId="0" applyFont="1" applyBorder="1" applyAlignment="1">
      <alignment horizontal="left" vertical="center"/>
    </xf>
    <xf numFmtId="164" fontId="18" fillId="0" borderId="6" xfId="0" applyNumberFormat="1" applyFont="1" applyBorder="1"/>
    <xf numFmtId="1" fontId="18" fillId="0" borderId="16" xfId="0" applyNumberFormat="1" applyFont="1" applyBorder="1"/>
    <xf numFmtId="1" fontId="18" fillId="0" borderId="3" xfId="0" applyNumberFormat="1" applyFont="1" applyBorder="1"/>
    <xf numFmtId="167" fontId="18" fillId="0" borderId="5" xfId="0" applyNumberFormat="1" applyFont="1" applyBorder="1"/>
    <xf numFmtId="3" fontId="16" fillId="0" borderId="3" xfId="0" applyNumberFormat="1" applyFont="1" applyBorder="1" applyAlignment="1">
      <alignment horizontal="center"/>
    </xf>
    <xf numFmtId="167" fontId="18" fillId="0" borderId="14" xfId="0" applyNumberFormat="1" applyFont="1" applyBorder="1"/>
    <xf numFmtId="167" fontId="9" fillId="0" borderId="2" xfId="0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left"/>
    </xf>
    <xf numFmtId="0" fontId="18" fillId="0" borderId="5" xfId="0" applyFont="1" applyBorder="1" applyAlignment="1">
      <alignment horizontal="center"/>
    </xf>
    <xf numFmtId="164" fontId="21" fillId="0" borderId="5" xfId="0" applyNumberFormat="1" applyFont="1" applyBorder="1"/>
    <xf numFmtId="0" fontId="19" fillId="0" borderId="2" xfId="0" applyFont="1" applyBorder="1"/>
    <xf numFmtId="0" fontId="19" fillId="0" borderId="16" xfId="0" applyFont="1" applyBorder="1"/>
    <xf numFmtId="2" fontId="9" fillId="0" borderId="2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2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18" fillId="0" borderId="14" xfId="0" applyNumberFormat="1" applyFont="1" applyBorder="1"/>
    <xf numFmtId="4" fontId="9" fillId="0" borderId="16" xfId="0" applyNumberFormat="1" applyFont="1" applyBorder="1" applyAlignment="1">
      <alignment vertical="center"/>
    </xf>
    <xf numFmtId="4" fontId="9" fillId="0" borderId="17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1" fontId="9" fillId="0" borderId="16" xfId="0" applyNumberFormat="1" applyFont="1" applyBorder="1" applyAlignment="1">
      <alignment vertical="center"/>
    </xf>
    <xf numFmtId="1" fontId="9" fillId="0" borderId="17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/>
    </xf>
    <xf numFmtId="3" fontId="18" fillId="0" borderId="20" xfId="0" applyNumberFormat="1" applyFont="1" applyBorder="1"/>
    <xf numFmtId="2" fontId="18" fillId="0" borderId="20" xfId="0" applyNumberFormat="1" applyFont="1" applyBorder="1"/>
    <xf numFmtId="4" fontId="18" fillId="0" borderId="20" xfId="0" applyNumberFormat="1" applyFont="1" applyBorder="1"/>
    <xf numFmtId="1" fontId="18" fillId="0" borderId="20" xfId="0" applyNumberFormat="1" applyFont="1" applyBorder="1"/>
    <xf numFmtId="0" fontId="10" fillId="0" borderId="2" xfId="0" applyFont="1" applyBorder="1" applyAlignment="1">
      <alignment horizontal="center"/>
    </xf>
    <xf numFmtId="2" fontId="18" fillId="0" borderId="2" xfId="0" applyNumberFormat="1" applyFont="1" applyBorder="1"/>
    <xf numFmtId="0" fontId="10" fillId="0" borderId="20" xfId="0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/>
    <xf numFmtId="167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21" fillId="0" borderId="5" xfId="0" applyNumberFormat="1" applyFont="1" applyBorder="1"/>
    <xf numFmtId="2" fontId="21" fillId="0" borderId="5" xfId="0" applyNumberFormat="1" applyFont="1" applyBorder="1"/>
    <xf numFmtId="2" fontId="19" fillId="0" borderId="2" xfId="0" applyNumberFormat="1" applyFont="1" applyBorder="1"/>
    <xf numFmtId="2" fontId="19" fillId="0" borderId="2" xfId="0" applyNumberFormat="1" applyFont="1" applyBorder="1" applyAlignment="1">
      <alignment vertical="center"/>
    </xf>
    <xf numFmtId="4" fontId="17" fillId="0" borderId="2" xfId="0" applyNumberFormat="1" applyFont="1" applyBorder="1"/>
    <xf numFmtId="3" fontId="21" fillId="0" borderId="5" xfId="0" applyNumberFormat="1" applyFont="1" applyBorder="1"/>
    <xf numFmtId="0" fontId="6" fillId="0" borderId="2" xfId="0" applyFont="1" applyBorder="1" applyAlignment="1">
      <alignment horizontal="left"/>
    </xf>
    <xf numFmtId="2" fontId="19" fillId="0" borderId="3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4" fontId="21" fillId="0" borderId="2" xfId="0" applyNumberFormat="1" applyFont="1" applyBorder="1"/>
    <xf numFmtId="4" fontId="16" fillId="0" borderId="5" xfId="0" applyNumberFormat="1" applyFont="1" applyBorder="1"/>
    <xf numFmtId="1" fontId="12" fillId="4" borderId="14" xfId="0" applyNumberFormat="1" applyFont="1" applyFill="1" applyBorder="1"/>
    <xf numFmtId="1" fontId="12" fillId="4" borderId="5" xfId="0" applyNumberFormat="1" applyFont="1" applyFill="1" applyBorder="1"/>
    <xf numFmtId="1" fontId="12" fillId="4" borderId="6" xfId="0" applyNumberFormat="1" applyFont="1" applyFill="1" applyBorder="1"/>
    <xf numFmtId="0" fontId="19" fillId="4" borderId="16" xfId="0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2" fontId="9" fillId="4" borderId="16" xfId="0" applyNumberFormat="1" applyFont="1" applyFill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3" fontId="18" fillId="4" borderId="5" xfId="0" applyNumberFormat="1" applyFont="1" applyFill="1" applyBorder="1"/>
    <xf numFmtId="4" fontId="18" fillId="4" borderId="5" xfId="0" applyNumberFormat="1" applyFont="1" applyFill="1" applyBorder="1"/>
    <xf numFmtId="1" fontId="18" fillId="4" borderId="5" xfId="0" applyNumberFormat="1" applyFont="1" applyFill="1" applyBorder="1"/>
    <xf numFmtId="2" fontId="18" fillId="4" borderId="5" xfId="0" applyNumberFormat="1" applyFont="1" applyFill="1" applyBorder="1"/>
    <xf numFmtId="4" fontId="21" fillId="4" borderId="5" xfId="0" applyNumberFormat="1" applyFont="1" applyFill="1" applyBorder="1"/>
    <xf numFmtId="0" fontId="5" fillId="4" borderId="0" xfId="0" applyFont="1" applyFill="1"/>
    <xf numFmtId="0" fontId="9" fillId="4" borderId="16" xfId="0" applyFont="1" applyFill="1" applyBorder="1" applyAlignment="1">
      <alignment vertical="center"/>
    </xf>
    <xf numFmtId="4" fontId="24" fillId="4" borderId="6" xfId="0" applyNumberFormat="1" applyFont="1" applyFill="1" applyBorder="1"/>
    <xf numFmtId="167" fontId="21" fillId="0" borderId="5" xfId="0" applyNumberFormat="1" applyFont="1" applyBorder="1"/>
    <xf numFmtId="2" fontId="16" fillId="0" borderId="5" xfId="0" applyNumberFormat="1" applyFont="1" applyBorder="1"/>
    <xf numFmtId="4" fontId="24" fillId="4" borderId="5" xfId="0" applyNumberFormat="1" applyFont="1" applyFill="1" applyBorder="1"/>
    <xf numFmtId="0" fontId="25" fillId="0" borderId="0" xfId="0" applyFont="1"/>
    <xf numFmtId="167" fontId="18" fillId="0" borderId="20" xfId="0" applyNumberFormat="1" applyFont="1" applyBorder="1"/>
    <xf numFmtId="0" fontId="22" fillId="0" borderId="2" xfId="0" applyFont="1" applyBorder="1"/>
    <xf numFmtId="3" fontId="5" fillId="0" borderId="5" xfId="1" applyNumberFormat="1" applyFont="1" applyBorder="1" applyAlignment="1">
      <alignment horizontal="left"/>
    </xf>
    <xf numFmtId="2" fontId="25" fillId="0" borderId="0" xfId="0" applyNumberFormat="1" applyFont="1"/>
    <xf numFmtId="0" fontId="30" fillId="0" borderId="0" xfId="0" applyFont="1"/>
    <xf numFmtId="2" fontId="25" fillId="2" borderId="0" xfId="0" applyNumberFormat="1" applyFont="1" applyFill="1"/>
    <xf numFmtId="4" fontId="21" fillId="0" borderId="20" xfId="0" applyNumberFormat="1" applyFont="1" applyBorder="1"/>
    <xf numFmtId="3" fontId="10" fillId="4" borderId="5" xfId="1" applyNumberFormat="1" applyFont="1" applyFill="1" applyBorder="1" applyAlignment="1">
      <alignment horizontal="left"/>
    </xf>
    <xf numFmtId="0" fontId="10" fillId="4" borderId="5" xfId="0" applyFont="1" applyFill="1" applyBorder="1"/>
    <xf numFmtId="3" fontId="5" fillId="4" borderId="5" xfId="1" applyNumberFormat="1" applyFont="1" applyFill="1" applyBorder="1" applyAlignment="1">
      <alignment horizontal="left"/>
    </xf>
    <xf numFmtId="3" fontId="21" fillId="0" borderId="14" xfId="0" applyNumberFormat="1" applyFont="1" applyBorder="1"/>
    <xf numFmtId="3" fontId="16" fillId="0" borderId="5" xfId="3" applyNumberFormat="1" applyFont="1" applyBorder="1" applyAlignment="1">
      <alignment horizontal="left" vertical="center" wrapText="1"/>
    </xf>
    <xf numFmtId="3" fontId="16" fillId="0" borderId="2" xfId="3" applyNumberFormat="1" applyFont="1" applyBorder="1" applyAlignment="1">
      <alignment horizontal="left" vertical="center" wrapText="1"/>
    </xf>
    <xf numFmtId="167" fontId="21" fillId="0" borderId="2" xfId="0" applyNumberFormat="1" applyFont="1" applyBorder="1"/>
    <xf numFmtId="3" fontId="16" fillId="0" borderId="20" xfId="3" applyNumberFormat="1" applyFont="1" applyBorder="1" applyAlignment="1">
      <alignment horizontal="left" vertical="center" wrapText="1"/>
    </xf>
    <xf numFmtId="167" fontId="21" fillId="0" borderId="20" xfId="0" applyNumberFormat="1" applyFont="1" applyBorder="1"/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2" fontId="10" fillId="0" borderId="4" xfId="0" applyNumberFormat="1" applyFont="1" applyBorder="1"/>
    <xf numFmtId="4" fontId="10" fillId="0" borderId="4" xfId="0" applyNumberFormat="1" applyFont="1" applyBorder="1"/>
    <xf numFmtId="1" fontId="10" fillId="0" borderId="4" xfId="0" applyNumberFormat="1" applyFont="1" applyBorder="1"/>
    <xf numFmtId="0" fontId="10" fillId="4" borderId="5" xfId="0" applyFont="1" applyFill="1" applyBorder="1" applyAlignment="1">
      <alignment horizontal="center"/>
    </xf>
    <xf numFmtId="167" fontId="18" fillId="4" borderId="5" xfId="0" applyNumberFormat="1" applyFont="1" applyFill="1" applyBorder="1"/>
    <xf numFmtId="3" fontId="5" fillId="0" borderId="0" xfId="0" applyNumberFormat="1" applyFont="1"/>
    <xf numFmtId="4" fontId="21" fillId="0" borderId="6" xfId="0" applyNumberFormat="1" applyFont="1" applyBorder="1"/>
    <xf numFmtId="0" fontId="10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21" fillId="0" borderId="20" xfId="0" applyNumberFormat="1" applyFont="1" applyBorder="1"/>
    <xf numFmtId="0" fontId="2" fillId="0" borderId="0" xfId="0" applyFont="1" applyAlignment="1"/>
    <xf numFmtId="0" fontId="7" fillId="0" borderId="0" xfId="0" applyFont="1" applyAlignment="1"/>
    <xf numFmtId="0" fontId="28" fillId="0" borderId="0" xfId="0" applyFont="1" applyFill="1" applyAlignment="1">
      <alignment vertical="center"/>
    </xf>
    <xf numFmtId="0" fontId="5" fillId="0" borderId="0" xfId="0" applyFont="1" applyFill="1"/>
    <xf numFmtId="0" fontId="29" fillId="0" borderId="0" xfId="0" applyFont="1" applyFill="1" applyAlignment="1">
      <alignment horizontal="left"/>
    </xf>
    <xf numFmtId="0" fontId="25" fillId="0" borderId="0" xfId="0" applyFont="1" applyFill="1"/>
    <xf numFmtId="0" fontId="6" fillId="0" borderId="2" xfId="0" applyFont="1" applyFill="1" applyBorder="1" applyAlignment="1">
      <alignment horizontal="right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/>
    </xf>
    <xf numFmtId="3" fontId="10" fillId="0" borderId="14" xfId="1" applyNumberFormat="1" applyFont="1" applyFill="1" applyBorder="1" applyAlignment="1">
      <alignment horizontal="left"/>
    </xf>
    <xf numFmtId="3" fontId="18" fillId="0" borderId="14" xfId="0" applyNumberFormat="1" applyFont="1" applyFill="1" applyBorder="1"/>
    <xf numFmtId="2" fontId="18" fillId="0" borderId="14" xfId="0" applyNumberFormat="1" applyFont="1" applyFill="1" applyBorder="1"/>
    <xf numFmtId="4" fontId="18" fillId="0" borderId="14" xfId="0" applyNumberFormat="1" applyFont="1" applyFill="1" applyBorder="1"/>
    <xf numFmtId="164" fontId="18" fillId="0" borderId="14" xfId="0" applyNumberFormat="1" applyFont="1" applyFill="1" applyBorder="1"/>
    <xf numFmtId="167" fontId="18" fillId="0" borderId="14" xfId="0" applyNumberFormat="1" applyFont="1" applyFill="1" applyBorder="1"/>
    <xf numFmtId="3" fontId="18" fillId="0" borderId="14" xfId="0" applyNumberFormat="1" applyFont="1" applyFill="1" applyBorder="1" applyAlignment="1"/>
    <xf numFmtId="167" fontId="25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left"/>
    </xf>
    <xf numFmtId="3" fontId="18" fillId="0" borderId="5" xfId="0" applyNumberFormat="1" applyFont="1" applyFill="1" applyBorder="1"/>
    <xf numFmtId="2" fontId="18" fillId="0" borderId="5" xfId="0" applyNumberFormat="1" applyFont="1" applyFill="1" applyBorder="1"/>
    <xf numFmtId="4" fontId="18" fillId="0" borderId="5" xfId="0" applyNumberFormat="1" applyFont="1" applyFill="1" applyBorder="1"/>
    <xf numFmtId="164" fontId="18" fillId="0" borderId="5" xfId="0" applyNumberFormat="1" applyFont="1" applyFill="1" applyBorder="1"/>
    <xf numFmtId="167" fontId="18" fillId="0" borderId="5" xfId="0" applyNumberFormat="1" applyFont="1" applyFill="1" applyBorder="1"/>
    <xf numFmtId="3" fontId="18" fillId="0" borderId="5" xfId="0" applyNumberFormat="1" applyFont="1" applyFill="1" applyBorder="1" applyAlignment="1"/>
    <xf numFmtId="4" fontId="25" fillId="0" borderId="0" xfId="0" applyNumberFormat="1" applyFont="1" applyFill="1" applyBorder="1"/>
    <xf numFmtId="0" fontId="10" fillId="0" borderId="5" xfId="0" applyFont="1" applyFill="1" applyBorder="1"/>
    <xf numFmtId="2" fontId="21" fillId="0" borderId="5" xfId="0" applyNumberFormat="1" applyFont="1" applyFill="1" applyBorder="1"/>
    <xf numFmtId="4" fontId="21" fillId="0" borderId="5" xfId="0" applyNumberFormat="1" applyFont="1" applyFill="1" applyBorder="1"/>
    <xf numFmtId="4" fontId="18" fillId="0" borderId="6" xfId="0" applyNumberFormat="1" applyFont="1" applyFill="1" applyBorder="1"/>
    <xf numFmtId="164" fontId="18" fillId="0" borderId="6" xfId="0" applyNumberFormat="1" applyFont="1" applyFill="1" applyBorder="1"/>
    <xf numFmtId="1" fontId="18" fillId="0" borderId="5" xfId="0" applyNumberFormat="1" applyFont="1" applyFill="1" applyBorder="1"/>
    <xf numFmtId="2" fontId="5" fillId="0" borderId="0" xfId="0" applyNumberFormat="1" applyFont="1" applyFill="1"/>
    <xf numFmtId="4" fontId="5" fillId="0" borderId="0" xfId="0" applyNumberFormat="1" applyFont="1" applyFill="1"/>
    <xf numFmtId="3" fontId="10" fillId="0" borderId="5" xfId="1" applyNumberFormat="1" applyFont="1" applyFill="1" applyBorder="1" applyAlignment="1">
      <alignment horizontal="left"/>
    </xf>
    <xf numFmtId="3" fontId="21" fillId="0" borderId="5" xfId="0" applyNumberFormat="1" applyFont="1" applyFill="1" applyBorder="1" applyAlignment="1"/>
    <xf numFmtId="0" fontId="10" fillId="0" borderId="6" xfId="0" applyFont="1" applyFill="1" applyBorder="1"/>
    <xf numFmtId="0" fontId="17" fillId="0" borderId="18" xfId="0" applyFont="1" applyFill="1" applyBorder="1" applyAlignment="1"/>
    <xf numFmtId="0" fontId="17" fillId="0" borderId="7" xfId="0" applyFont="1" applyFill="1" applyBorder="1" applyAlignment="1"/>
    <xf numFmtId="3" fontId="18" fillId="0" borderId="2" xfId="0" applyNumberFormat="1" applyFont="1" applyFill="1" applyBorder="1"/>
    <xf numFmtId="2" fontId="19" fillId="0" borderId="2" xfId="0" applyNumberFormat="1" applyFont="1" applyFill="1" applyBorder="1"/>
    <xf numFmtId="4" fontId="18" fillId="0" borderId="2" xfId="0" applyNumberFormat="1" applyFont="1" applyFill="1" applyBorder="1"/>
    <xf numFmtId="1" fontId="18" fillId="0" borderId="2" xfId="0" applyNumberFormat="1" applyFont="1" applyFill="1" applyBorder="1"/>
    <xf numFmtId="2" fontId="9" fillId="0" borderId="2" xfId="0" applyNumberFormat="1" applyFont="1" applyFill="1" applyBorder="1"/>
    <xf numFmtId="3" fontId="31" fillId="0" borderId="2" xfId="0" applyNumberFormat="1" applyFont="1" applyFill="1" applyBorder="1" applyAlignment="1">
      <alignment horizontal="center" wrapText="1"/>
    </xf>
    <xf numFmtId="2" fontId="13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3" fontId="18" fillId="0" borderId="15" xfId="0" applyNumberFormat="1" applyFont="1" applyFill="1" applyBorder="1"/>
    <xf numFmtId="2" fontId="18" fillId="0" borderId="15" xfId="0" applyNumberFormat="1" applyFont="1" applyFill="1" applyBorder="1"/>
    <xf numFmtId="4" fontId="18" fillId="0" borderId="15" xfId="0" applyNumberFormat="1" applyFont="1" applyFill="1" applyBorder="1"/>
    <xf numFmtId="1" fontId="18" fillId="0" borderId="15" xfId="0" applyNumberFormat="1" applyFont="1" applyFill="1" applyBorder="1"/>
    <xf numFmtId="3" fontId="18" fillId="0" borderId="7" xfId="0" applyNumberFormat="1" applyFont="1" applyFill="1" applyBorder="1" applyAlignment="1"/>
    <xf numFmtId="2" fontId="24" fillId="0" borderId="14" xfId="0" applyNumberFormat="1" applyFont="1" applyFill="1" applyBorder="1"/>
    <xf numFmtId="1" fontId="18" fillId="0" borderId="14" xfId="0" applyNumberFormat="1" applyFont="1" applyFill="1" applyBorder="1"/>
    <xf numFmtId="167" fontId="25" fillId="0" borderId="0" xfId="0" applyNumberFormat="1" applyFont="1" applyFill="1"/>
    <xf numFmtId="3" fontId="18" fillId="0" borderId="5" xfId="1" applyNumberFormat="1" applyFont="1" applyFill="1" applyBorder="1" applyAlignment="1">
      <alignment horizontal="left"/>
    </xf>
    <xf numFmtId="1" fontId="25" fillId="0" borderId="0" xfId="0" applyNumberFormat="1" applyFont="1" applyFill="1" applyBorder="1"/>
    <xf numFmtId="3" fontId="18" fillId="4" borderId="5" xfId="0" applyNumberFormat="1" applyFont="1" applyFill="1" applyBorder="1" applyAlignment="1"/>
    <xf numFmtId="0" fontId="10" fillId="0" borderId="20" xfId="0" applyFont="1" applyFill="1" applyBorder="1" applyAlignment="1">
      <alignment horizontal="center"/>
    </xf>
    <xf numFmtId="3" fontId="16" fillId="0" borderId="20" xfId="3" applyNumberFormat="1" applyFont="1" applyFill="1" applyBorder="1" applyAlignment="1">
      <alignment horizontal="left" vertical="center" wrapText="1"/>
    </xf>
    <xf numFmtId="3" fontId="18" fillId="0" borderId="20" xfId="0" applyNumberFormat="1" applyFont="1" applyFill="1" applyBorder="1"/>
    <xf numFmtId="2" fontId="18" fillId="0" borderId="20" xfId="0" applyNumberFormat="1" applyFont="1" applyFill="1" applyBorder="1"/>
    <xf numFmtId="4" fontId="18" fillId="0" borderId="20" xfId="0" applyNumberFormat="1" applyFont="1" applyFill="1" applyBorder="1"/>
    <xf numFmtId="4" fontId="21" fillId="0" borderId="20" xfId="0" applyNumberFormat="1" applyFont="1" applyFill="1" applyBorder="1"/>
    <xf numFmtId="1" fontId="12" fillId="0" borderId="20" xfId="0" applyNumberFormat="1" applyFont="1" applyFill="1" applyBorder="1"/>
    <xf numFmtId="167" fontId="21" fillId="0" borderId="20" xfId="0" applyNumberFormat="1" applyFont="1" applyFill="1" applyBorder="1"/>
    <xf numFmtId="3" fontId="18" fillId="0" borderId="20" xfId="0" applyNumberFormat="1" applyFont="1" applyFill="1" applyBorder="1" applyAlignment="1"/>
    <xf numFmtId="2" fontId="25" fillId="0" borderId="0" xfId="0" applyNumberFormat="1" applyFont="1" applyFill="1"/>
    <xf numFmtId="4" fontId="9" fillId="0" borderId="2" xfId="0" applyNumberFormat="1" applyFont="1" applyFill="1" applyBorder="1"/>
    <xf numFmtId="1" fontId="9" fillId="0" borderId="2" xfId="0" applyNumberFormat="1" applyFont="1" applyFill="1" applyBorder="1"/>
    <xf numFmtId="4" fontId="25" fillId="0" borderId="0" xfId="0" applyNumberFormat="1" applyFont="1" applyFill="1"/>
    <xf numFmtId="3" fontId="9" fillId="0" borderId="3" xfId="0" applyNumberFormat="1" applyFont="1" applyFill="1" applyBorder="1" applyAlignment="1">
      <alignment horizontal="center" vertical="center"/>
    </xf>
    <xf numFmtId="164" fontId="26" fillId="4" borderId="2" xfId="0" applyNumberFormat="1" applyFont="1" applyFill="1" applyBorder="1" applyAlignment="1"/>
    <xf numFmtId="164" fontId="26" fillId="4" borderId="7" xfId="0" applyNumberFormat="1" applyFont="1" applyFill="1" applyBorder="1" applyAlignment="1"/>
    <xf numFmtId="164" fontId="27" fillId="4" borderId="7" xfId="0" applyNumberFormat="1" applyFont="1" applyFill="1" applyBorder="1" applyAlignment="1"/>
    <xf numFmtId="0" fontId="1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1" fontId="12" fillId="0" borderId="6" xfId="0" applyNumberFormat="1" applyFont="1" applyFill="1" applyBorder="1"/>
    <xf numFmtId="167" fontId="9" fillId="0" borderId="2" xfId="0" applyNumberFormat="1" applyFont="1" applyFill="1" applyBorder="1" applyAlignment="1">
      <alignment horizontal="center"/>
    </xf>
    <xf numFmtId="3" fontId="18" fillId="0" borderId="15" xfId="0" applyNumberFormat="1" applyFont="1" applyFill="1" applyBorder="1" applyAlignment="1"/>
    <xf numFmtId="0" fontId="10" fillId="0" borderId="4" xfId="0" applyFont="1" applyFill="1" applyBorder="1" applyAlignment="1">
      <alignment horizontal="center"/>
    </xf>
    <xf numFmtId="3" fontId="18" fillId="0" borderId="4" xfId="0" applyNumberFormat="1" applyFont="1" applyFill="1" applyBorder="1"/>
    <xf numFmtId="2" fontId="24" fillId="0" borderId="4" xfId="0" applyNumberFormat="1" applyFont="1" applyFill="1" applyBorder="1"/>
    <xf numFmtId="4" fontId="18" fillId="0" borderId="4" xfId="0" applyNumberFormat="1" applyFont="1" applyFill="1" applyBorder="1"/>
    <xf numFmtId="1" fontId="18" fillId="0" borderId="4" xfId="0" applyNumberFormat="1" applyFont="1" applyFill="1" applyBorder="1"/>
    <xf numFmtId="3" fontId="18" fillId="0" borderId="4" xfId="0" applyNumberFormat="1" applyFont="1" applyFill="1" applyBorder="1" applyAlignment="1"/>
    <xf numFmtId="1" fontId="12" fillId="0" borderId="5" xfId="0" applyNumberFormat="1" applyFont="1" applyFill="1" applyBorder="1"/>
    <xf numFmtId="3" fontId="9" fillId="0" borderId="15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9" fillId="0" borderId="16" xfId="0" applyFont="1" applyFill="1" applyBorder="1" applyAlignment="1">
      <alignment vertical="center"/>
    </xf>
    <xf numFmtId="164" fontId="27" fillId="4" borderId="2" xfId="0" applyNumberFormat="1" applyFont="1" applyFill="1" applyBorder="1" applyAlignment="1"/>
    <xf numFmtId="2" fontId="17" fillId="0" borderId="2" xfId="0" applyNumberFormat="1" applyFont="1" applyBorder="1"/>
    <xf numFmtId="3" fontId="21" fillId="4" borderId="5" xfId="0" applyNumberFormat="1" applyFont="1" applyFill="1" applyBorder="1"/>
    <xf numFmtId="3" fontId="21" fillId="0" borderId="20" xfId="0" applyNumberFormat="1" applyFont="1" applyBorder="1"/>
    <xf numFmtId="0" fontId="6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" fontId="19" fillId="0" borderId="16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165" fontId="27" fillId="4" borderId="18" xfId="0" applyNumberFormat="1" applyFont="1" applyFill="1" applyBorder="1" applyAlignment="1">
      <alignment horizontal="center"/>
    </xf>
    <xf numFmtId="165" fontId="27" fillId="4" borderId="7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 textRotation="45"/>
    </xf>
    <xf numFmtId="3" fontId="17" fillId="0" borderId="3" xfId="0" applyNumberFormat="1" applyFont="1" applyBorder="1" applyAlignment="1">
      <alignment horizontal="center" vertical="center" textRotation="45"/>
    </xf>
    <xf numFmtId="2" fontId="9" fillId="4" borderId="18" xfId="0" applyNumberFormat="1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2" fontId="17" fillId="0" borderId="16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7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32" fillId="0" borderId="3" xfId="0" applyFont="1" applyBorder="1"/>
    <xf numFmtId="1" fontId="18" fillId="0" borderId="16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textRotation="45"/>
    </xf>
    <xf numFmtId="3" fontId="9" fillId="0" borderId="3" xfId="0" applyNumberFormat="1" applyFont="1" applyBorder="1" applyAlignment="1">
      <alignment horizontal="center" vertical="center" textRotation="45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 textRotation="45"/>
    </xf>
    <xf numFmtId="3" fontId="19" fillId="0" borderId="3" xfId="0" applyNumberFormat="1" applyFont="1" applyBorder="1" applyAlignment="1">
      <alignment horizontal="center" vertical="center" textRotation="45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6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9" fillId="0" borderId="16" xfId="0" applyNumberFormat="1" applyFont="1" applyBorder="1" applyAlignment="1">
      <alignment horizontal="center" vertical="center" wrapText="1"/>
    </xf>
    <xf numFmtId="2" fontId="19" fillId="0" borderId="17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1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/>
    </xf>
    <xf numFmtId="3" fontId="9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3" fontId="17" fillId="0" borderId="16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" fontId="18" fillId="4" borderId="6" xfId="0" applyNumberFormat="1" applyFont="1" applyFill="1" applyBorder="1"/>
    <xf numFmtId="3" fontId="33" fillId="0" borderId="2" xfId="0" applyNumberFormat="1" applyFont="1" applyBorder="1" applyAlignment="1">
      <alignment horizontal="center" wrapText="1"/>
    </xf>
    <xf numFmtId="1" fontId="5" fillId="0" borderId="0" xfId="0" applyNumberFormat="1" applyFont="1"/>
    <xf numFmtId="164" fontId="19" fillId="4" borderId="2" xfId="0" applyNumberFormat="1" applyFont="1" applyFill="1" applyBorder="1"/>
    <xf numFmtId="164" fontId="19" fillId="4" borderId="7" xfId="0" applyNumberFormat="1" applyFont="1" applyFill="1" applyBorder="1"/>
    <xf numFmtId="165" fontId="9" fillId="4" borderId="18" xfId="0" applyNumberFormat="1" applyFon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5" fontId="19" fillId="4" borderId="18" xfId="0" applyNumberFormat="1" applyFont="1" applyFill="1" applyBorder="1" applyAlignment="1">
      <alignment horizontal="center"/>
    </xf>
    <xf numFmtId="165" fontId="19" fillId="4" borderId="7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2" fontId="5" fillId="4" borderId="0" xfId="0" applyNumberFormat="1" applyFont="1" applyFill="1"/>
    <xf numFmtId="0" fontId="5" fillId="4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" fontId="21" fillId="4" borderId="5" xfId="0" applyNumberFormat="1" applyFont="1" applyFill="1" applyBorder="1"/>
    <xf numFmtId="4" fontId="5" fillId="4" borderId="0" xfId="0" applyNumberFormat="1" applyFont="1" applyFill="1"/>
    <xf numFmtId="1" fontId="18" fillId="4" borderId="20" xfId="0" applyNumberFormat="1" applyFont="1" applyFill="1" applyBorder="1"/>
    <xf numFmtId="164" fontId="9" fillId="4" borderId="7" xfId="0" applyNumberFormat="1" applyFont="1" applyFill="1" applyBorder="1"/>
    <xf numFmtId="164" fontId="9" fillId="4" borderId="2" xfId="0" applyNumberFormat="1" applyFont="1" applyFill="1" applyBorder="1"/>
    <xf numFmtId="1" fontId="21" fillId="4" borderId="20" xfId="0" applyNumberFormat="1" applyFont="1" applyFill="1" applyBorder="1"/>
    <xf numFmtId="1" fontId="21" fillId="0" borderId="5" xfId="0" applyNumberFormat="1" applyFont="1" applyBorder="1"/>
    <xf numFmtId="2" fontId="9" fillId="4" borderId="3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1" fillId="0" borderId="3" xfId="0" applyFont="1" applyBorder="1"/>
    <xf numFmtId="0" fontId="5" fillId="0" borderId="0" xfId="0" applyFont="1" applyBorder="1" applyAlignment="1">
      <alignment horizont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2" fontId="5" fillId="4" borderId="0" xfId="0" applyNumberFormat="1" applyFont="1" applyFill="1" applyBorder="1"/>
    <xf numFmtId="1" fontId="18" fillId="4" borderId="14" xfId="0" applyNumberFormat="1" applyFont="1" applyFill="1" applyBorder="1"/>
    <xf numFmtId="0" fontId="5" fillId="0" borderId="0" xfId="0" applyFont="1" applyAlignment="1">
      <alignment horizontal="center" vertical="center"/>
    </xf>
    <xf numFmtId="2" fontId="18" fillId="0" borderId="4" xfId="0" applyNumberFormat="1" applyFont="1" applyBorder="1"/>
    <xf numFmtId="4" fontId="18" fillId="4" borderId="6" xfId="0" applyNumberFormat="1" applyFont="1" applyFill="1" applyBorder="1"/>
    <xf numFmtId="3" fontId="16" fillId="0" borderId="2" xfId="0" applyNumberFormat="1" applyFont="1" applyBorder="1" applyAlignment="1">
      <alignment horizontal="center" wrapText="1"/>
    </xf>
    <xf numFmtId="2" fontId="18" fillId="4" borderId="20" xfId="0" applyNumberFormat="1" applyFont="1" applyFill="1" applyBorder="1"/>
    <xf numFmtId="165" fontId="19" fillId="4" borderId="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" fontId="9" fillId="4" borderId="1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66" fontId="5" fillId="0" borderId="0" xfId="0" applyNumberFormat="1" applyFont="1" applyBorder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1"/>
  <sheetViews>
    <sheetView tabSelected="1" view="pageLayout" workbookViewId="0">
      <selection activeCell="P142" sqref="P142:S143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664062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16" ht="22.2" customHeight="1">
      <c r="A1" s="10" t="s">
        <v>61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22.2" customHeight="1">
      <c r="A2" s="10"/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21" customHeight="1">
      <c r="A3" s="77" t="s">
        <v>206</v>
      </c>
      <c r="B3" s="77"/>
      <c r="C3" s="77"/>
      <c r="D3" s="77"/>
      <c r="E3" s="77"/>
      <c r="F3" s="78"/>
      <c r="G3" s="78"/>
      <c r="H3" s="78"/>
      <c r="I3" s="280"/>
      <c r="J3" s="280"/>
      <c r="K3" s="280"/>
      <c r="L3" s="280"/>
      <c r="M3" s="280"/>
      <c r="N3" s="280"/>
      <c r="O3" s="537"/>
      <c r="P3" s="537"/>
    </row>
    <row r="4" spans="1:16" ht="19.2" customHeight="1">
      <c r="A4" s="301" t="s">
        <v>88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538"/>
    </row>
    <row r="5" spans="1:16" ht="19.2" customHeight="1">
      <c r="A5" s="304" t="s">
        <v>101</v>
      </c>
      <c r="B5" s="304"/>
      <c r="C5" s="304"/>
      <c r="D5" s="304"/>
      <c r="E5" s="304" t="s">
        <v>100</v>
      </c>
      <c r="F5" s="304"/>
      <c r="G5" s="304"/>
      <c r="H5" s="304"/>
      <c r="I5" s="304"/>
      <c r="J5" s="304"/>
      <c r="K5" s="304"/>
      <c r="L5" s="304"/>
      <c r="M5" s="304"/>
      <c r="N5" s="304"/>
      <c r="O5" s="538"/>
    </row>
    <row r="6" spans="1:16" ht="19.2" customHeight="1">
      <c r="A6" s="305" t="s">
        <v>90</v>
      </c>
      <c r="B6" s="305"/>
      <c r="C6" s="305"/>
      <c r="D6" s="305"/>
      <c r="E6" s="308" t="s">
        <v>151</v>
      </c>
      <c r="F6" s="308"/>
      <c r="G6" s="308"/>
      <c r="H6" s="308"/>
      <c r="I6" s="308"/>
      <c r="J6" s="309" t="s">
        <v>182</v>
      </c>
      <c r="K6" s="310"/>
      <c r="L6" s="310"/>
      <c r="M6" s="310"/>
      <c r="N6" s="311"/>
      <c r="O6" s="538"/>
    </row>
    <row r="7" spans="1:16" ht="19.2" customHeight="1">
      <c r="A7" s="306" t="s">
        <v>156</v>
      </c>
      <c r="B7" s="306"/>
      <c r="C7" s="306"/>
      <c r="D7" s="306"/>
      <c r="E7" s="308"/>
      <c r="F7" s="308"/>
      <c r="G7" s="308"/>
      <c r="H7" s="308"/>
      <c r="I7" s="308"/>
      <c r="J7" s="312"/>
      <c r="K7" s="313"/>
      <c r="L7" s="313"/>
      <c r="M7" s="313"/>
      <c r="N7" s="314"/>
      <c r="O7" s="538"/>
    </row>
    <row r="8" spans="1:16" ht="19.2" customHeight="1">
      <c r="A8" s="337" t="s">
        <v>157</v>
      </c>
      <c r="B8" s="338"/>
      <c r="C8" s="338"/>
      <c r="D8" s="339"/>
      <c r="E8" s="308"/>
      <c r="F8" s="308"/>
      <c r="G8" s="308"/>
      <c r="H8" s="308"/>
      <c r="I8" s="308"/>
      <c r="J8" s="312"/>
      <c r="K8" s="313"/>
      <c r="L8" s="313"/>
      <c r="M8" s="313"/>
      <c r="N8" s="314"/>
      <c r="O8" s="538"/>
    </row>
    <row r="9" spans="1:16" ht="19.2" customHeight="1">
      <c r="A9" s="307" t="s">
        <v>185</v>
      </c>
      <c r="B9" s="307"/>
      <c r="C9" s="307"/>
      <c r="D9" s="307"/>
      <c r="E9" s="308"/>
      <c r="F9" s="308"/>
      <c r="G9" s="308"/>
      <c r="H9" s="308"/>
      <c r="I9" s="308"/>
      <c r="J9" s="315"/>
      <c r="K9" s="316"/>
      <c r="L9" s="316"/>
      <c r="M9" s="316"/>
      <c r="N9" s="317"/>
      <c r="O9" s="538"/>
    </row>
    <row r="10" spans="1:16" ht="19.2" customHeight="1">
      <c r="A10" s="334" t="s">
        <v>124</v>
      </c>
      <c r="B10" s="335"/>
      <c r="C10" s="336"/>
      <c r="D10" s="115">
        <v>214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538"/>
    </row>
    <row r="11" spans="1:16" ht="19.2" customHeight="1">
      <c r="A11" s="318" t="s">
        <v>0</v>
      </c>
      <c r="B11" s="321" t="s">
        <v>19</v>
      </c>
      <c r="C11" s="321" t="s">
        <v>8</v>
      </c>
      <c r="D11" s="321" t="s">
        <v>9</v>
      </c>
      <c r="E11" s="324" t="s">
        <v>11</v>
      </c>
      <c r="F11" s="325"/>
      <c r="G11" s="324" t="s">
        <v>43</v>
      </c>
      <c r="H11" s="325"/>
      <c r="I11" s="318" t="s">
        <v>16</v>
      </c>
      <c r="J11" s="318" t="s">
        <v>41</v>
      </c>
      <c r="K11" s="318" t="s">
        <v>42</v>
      </c>
      <c r="L11" s="318" t="s">
        <v>17</v>
      </c>
      <c r="M11" s="318" t="s">
        <v>40</v>
      </c>
      <c r="N11" s="318" t="s">
        <v>18</v>
      </c>
      <c r="O11" s="539"/>
    </row>
    <row r="12" spans="1:16" ht="19.2" customHeight="1">
      <c r="A12" s="319"/>
      <c r="B12" s="322"/>
      <c r="C12" s="322"/>
      <c r="D12" s="322"/>
      <c r="E12" s="326"/>
      <c r="F12" s="327"/>
      <c r="G12" s="326"/>
      <c r="H12" s="327"/>
      <c r="I12" s="328"/>
      <c r="J12" s="328"/>
      <c r="K12" s="328"/>
      <c r="L12" s="328"/>
      <c r="M12" s="328"/>
      <c r="N12" s="319"/>
      <c r="O12" s="283"/>
    </row>
    <row r="13" spans="1:16" ht="19.2" customHeight="1">
      <c r="A13" s="319"/>
      <c r="B13" s="322"/>
      <c r="C13" s="322"/>
      <c r="D13" s="322"/>
      <c r="E13" s="318" t="s">
        <v>10</v>
      </c>
      <c r="F13" s="318" t="s">
        <v>12</v>
      </c>
      <c r="G13" s="318" t="s">
        <v>14</v>
      </c>
      <c r="H13" s="318" t="s">
        <v>15</v>
      </c>
      <c r="I13" s="328"/>
      <c r="J13" s="328"/>
      <c r="K13" s="328"/>
      <c r="L13" s="328"/>
      <c r="M13" s="328"/>
      <c r="N13" s="319"/>
      <c r="O13" s="283"/>
    </row>
    <row r="14" spans="1:16" ht="19.2" customHeight="1">
      <c r="A14" s="320"/>
      <c r="B14" s="323"/>
      <c r="C14" s="323"/>
      <c r="D14" s="323"/>
      <c r="E14" s="329"/>
      <c r="F14" s="329"/>
      <c r="G14" s="329"/>
      <c r="H14" s="329"/>
      <c r="I14" s="329"/>
      <c r="J14" s="329"/>
      <c r="K14" s="329"/>
      <c r="L14" s="329"/>
      <c r="M14" s="329"/>
      <c r="N14" s="320"/>
      <c r="O14" s="283"/>
    </row>
    <row r="15" spans="1:16" ht="19.95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283"/>
    </row>
    <row r="16" spans="1:16" ht="20.399999999999999" customHeight="1">
      <c r="A16" s="14">
        <v>1</v>
      </c>
      <c r="B16" s="15" t="s">
        <v>2</v>
      </c>
      <c r="C16" s="44">
        <v>12</v>
      </c>
      <c r="D16" s="45">
        <f>C16/100*60</f>
        <v>7.1999999999999993</v>
      </c>
      <c r="E16" s="46">
        <f>C16/100*15</f>
        <v>1.7999999999999998</v>
      </c>
      <c r="F16" s="46"/>
      <c r="G16" s="46"/>
      <c r="H16" s="46"/>
      <c r="I16" s="46"/>
      <c r="J16" s="46">
        <f>C16/100*387</f>
        <v>46.44</v>
      </c>
      <c r="K16" s="46">
        <f>C16/100*0.09</f>
        <v>1.0799999999999999E-2</v>
      </c>
      <c r="L16" s="575">
        <v>270</v>
      </c>
      <c r="M16" s="67">
        <v>20</v>
      </c>
      <c r="N16" s="21">
        <f t="shared" ref="N16:N26" si="0">L16*M16</f>
        <v>5400</v>
      </c>
      <c r="O16" s="542"/>
    </row>
    <row r="17" spans="1:20" ht="20.399999999999999" customHeight="1">
      <c r="A17" s="8">
        <v>2</v>
      </c>
      <c r="B17" s="9" t="s">
        <v>143</v>
      </c>
      <c r="C17" s="21">
        <f>L17/100*100</f>
        <v>1130</v>
      </c>
      <c r="D17" s="22">
        <f>C17/100*899</f>
        <v>10158.700000000001</v>
      </c>
      <c r="E17" s="23"/>
      <c r="F17" s="23"/>
      <c r="G17" s="109">
        <f>C17/100*100</f>
        <v>1130</v>
      </c>
      <c r="H17" s="23"/>
      <c r="I17" s="23"/>
      <c r="J17" s="23"/>
      <c r="K17" s="23"/>
      <c r="L17" s="130">
        <v>1130</v>
      </c>
      <c r="M17" s="22">
        <v>68</v>
      </c>
      <c r="N17" s="21">
        <f t="shared" si="0"/>
        <v>76840</v>
      </c>
      <c r="O17" s="542"/>
    </row>
    <row r="18" spans="1:20" ht="20.399999999999999" customHeight="1">
      <c r="A18" s="8">
        <v>3</v>
      </c>
      <c r="B18" s="4" t="s">
        <v>1</v>
      </c>
      <c r="C18" s="21">
        <f>L18/100*100</f>
        <v>20330</v>
      </c>
      <c r="D18" s="22">
        <f>C18/100*318.3</f>
        <v>64710.390000000007</v>
      </c>
      <c r="E18" s="23"/>
      <c r="F18" s="109">
        <f>C18/100*7.9</f>
        <v>1606.0700000000002</v>
      </c>
      <c r="G18" s="23"/>
      <c r="H18" s="23">
        <f>C18/100*1</f>
        <v>203.3</v>
      </c>
      <c r="I18" s="109">
        <f>C18/100*75.9</f>
        <v>15430.470000000001</v>
      </c>
      <c r="J18" s="23">
        <f>C18/100*30</f>
        <v>6099</v>
      </c>
      <c r="K18" s="23">
        <f>C18/100*0.1</f>
        <v>20.330000000000002</v>
      </c>
      <c r="L18" s="130">
        <v>20330</v>
      </c>
      <c r="M18" s="65">
        <v>18</v>
      </c>
      <c r="N18" s="21">
        <f t="shared" si="0"/>
        <v>365940</v>
      </c>
      <c r="O18" s="3"/>
      <c r="P18" s="16"/>
    </row>
    <row r="19" spans="1:20" ht="20.399999999999999" customHeight="1">
      <c r="A19" s="8">
        <v>4</v>
      </c>
      <c r="B19" s="9" t="s">
        <v>159</v>
      </c>
      <c r="C19" s="21">
        <f>L19/100*60</f>
        <v>8604</v>
      </c>
      <c r="D19" s="22">
        <f>C19/100*97</f>
        <v>8345.880000000001</v>
      </c>
      <c r="E19" s="109">
        <f>C19/100*19.2</f>
        <v>1651.9680000000001</v>
      </c>
      <c r="F19" s="23"/>
      <c r="G19" s="23">
        <f>C19/100*2.7</f>
        <v>232.30800000000002</v>
      </c>
      <c r="H19" s="23"/>
      <c r="I19" s="23"/>
      <c r="J19" s="71">
        <f>C19/100*90</f>
        <v>7743.6</v>
      </c>
      <c r="K19" s="25">
        <f>C19/100*0.04</f>
        <v>3.4416000000000002</v>
      </c>
      <c r="L19" s="130">
        <v>14340</v>
      </c>
      <c r="M19" s="65">
        <v>95</v>
      </c>
      <c r="N19" s="114">
        <f t="shared" si="0"/>
        <v>1362300</v>
      </c>
      <c r="O19" s="3"/>
    </row>
    <row r="20" spans="1:20" ht="20.399999999999999" customHeight="1">
      <c r="A20" s="8">
        <v>5</v>
      </c>
      <c r="B20" s="4" t="s">
        <v>69</v>
      </c>
      <c r="C20" s="21">
        <f>L20/100*48</f>
        <v>1795.1999999999998</v>
      </c>
      <c r="D20" s="22">
        <f>C20/100*199</f>
        <v>3572.4479999999994</v>
      </c>
      <c r="E20" s="23">
        <f>C20/100*20.3</f>
        <v>364.42559999999997</v>
      </c>
      <c r="F20" s="23"/>
      <c r="G20" s="23">
        <f>C20/100*13.1</f>
        <v>235.17119999999997</v>
      </c>
      <c r="H20" s="23"/>
      <c r="I20" s="23"/>
      <c r="J20" s="25">
        <f>C20/100*12</f>
        <v>215.42399999999998</v>
      </c>
      <c r="K20" s="25">
        <f>C20/100*0.15</f>
        <v>2.6927999999999996</v>
      </c>
      <c r="L20" s="130">
        <v>3740</v>
      </c>
      <c r="M20" s="24">
        <v>84</v>
      </c>
      <c r="N20" s="21">
        <f t="shared" si="0"/>
        <v>314160</v>
      </c>
      <c r="O20" s="3"/>
      <c r="Q20" s="2"/>
      <c r="R20" s="2"/>
      <c r="S20" s="3"/>
    </row>
    <row r="21" spans="1:20" ht="20.399999999999999" customHeight="1">
      <c r="A21" s="8">
        <v>6</v>
      </c>
      <c r="B21" s="4" t="s">
        <v>3</v>
      </c>
      <c r="C21" s="21">
        <f>L21/100*98</f>
        <v>2097.1999999999998</v>
      </c>
      <c r="D21" s="22">
        <f>C21/100*118</f>
        <v>2474.6959999999999</v>
      </c>
      <c r="E21" s="23">
        <f>C21/100*21</f>
        <v>440.41199999999998</v>
      </c>
      <c r="F21" s="23"/>
      <c r="G21" s="23">
        <f>C21/100*3.8</f>
        <v>79.693599999999989</v>
      </c>
      <c r="H21" s="23"/>
      <c r="I21" s="23"/>
      <c r="J21" s="25">
        <f>C21/100*12</f>
        <v>251.66399999999999</v>
      </c>
      <c r="K21" s="25">
        <f>C21/100*0.1</f>
        <v>2.0972</v>
      </c>
      <c r="L21" s="130">
        <v>2140</v>
      </c>
      <c r="M21" s="24">
        <v>250</v>
      </c>
      <c r="N21" s="114">
        <f t="shared" si="0"/>
        <v>535000</v>
      </c>
      <c r="O21" s="3"/>
      <c r="Q21" s="2"/>
      <c r="R21" s="2"/>
      <c r="S21" s="3"/>
    </row>
    <row r="22" spans="1:20" ht="20.399999999999999" customHeight="1">
      <c r="A22" s="8">
        <v>7</v>
      </c>
      <c r="B22" s="4" t="s">
        <v>183</v>
      </c>
      <c r="C22" s="21">
        <f>L22/100*78</f>
        <v>5842.2000000000007</v>
      </c>
      <c r="D22" s="22">
        <f>C22/100*37</f>
        <v>2161.614</v>
      </c>
      <c r="E22" s="26"/>
      <c r="F22" s="26">
        <f>C22/100*2.8</f>
        <v>163.58160000000001</v>
      </c>
      <c r="G22" s="26"/>
      <c r="H22" s="26">
        <f>C22/100*0.1</f>
        <v>5.8422000000000009</v>
      </c>
      <c r="I22" s="26">
        <f>C22/100*6.2</f>
        <v>362.21640000000002</v>
      </c>
      <c r="J22" s="26">
        <f>C22/100*46</f>
        <v>2687.4120000000003</v>
      </c>
      <c r="K22" s="26">
        <f>C22/100*0.06</f>
        <v>3.5053200000000002</v>
      </c>
      <c r="L22" s="540">
        <v>7490</v>
      </c>
      <c r="M22" s="24">
        <v>24</v>
      </c>
      <c r="N22" s="21">
        <f t="shared" si="0"/>
        <v>179760</v>
      </c>
      <c r="O22" s="3"/>
      <c r="Q22" s="2"/>
      <c r="R22" s="2"/>
      <c r="S22" s="3"/>
    </row>
    <row r="23" spans="1:20" ht="20.399999999999999" customHeight="1">
      <c r="A23" s="8">
        <v>8</v>
      </c>
      <c r="B23" s="4" t="s">
        <v>158</v>
      </c>
      <c r="C23" s="21">
        <f>L23/100*81</f>
        <v>3466.7999999999997</v>
      </c>
      <c r="D23" s="22">
        <f>C23/100*17</f>
        <v>589.35599999999999</v>
      </c>
      <c r="E23" s="26"/>
      <c r="F23" s="26">
        <f>C23/100*0.9</f>
        <v>31.2012</v>
      </c>
      <c r="G23" s="26"/>
      <c r="H23" s="26">
        <f>C23/100*0.2</f>
        <v>6.9336000000000002</v>
      </c>
      <c r="I23" s="26">
        <f>C23/100*2.8</f>
        <v>97.070399999999992</v>
      </c>
      <c r="J23" s="23">
        <f>C23/100*28</f>
        <v>970.70399999999995</v>
      </c>
      <c r="K23" s="25">
        <f>C23/100*0.04</f>
        <v>1.38672</v>
      </c>
      <c r="L23" s="540">
        <v>4280</v>
      </c>
      <c r="M23" s="65">
        <v>20</v>
      </c>
      <c r="N23" s="21">
        <f t="shared" si="0"/>
        <v>85600</v>
      </c>
      <c r="O23" s="3"/>
      <c r="P23" s="2"/>
    </row>
    <row r="24" spans="1:20" ht="20.399999999999999" customHeight="1">
      <c r="A24" s="8">
        <v>9</v>
      </c>
      <c r="B24" s="4" t="s">
        <v>20</v>
      </c>
      <c r="C24" s="21">
        <f>L24/100*95</f>
        <v>3049.5</v>
      </c>
      <c r="D24" s="22">
        <f>C24/100*20</f>
        <v>609.9</v>
      </c>
      <c r="E24" s="23"/>
      <c r="F24" s="23">
        <f>C24/100*0.6</f>
        <v>18.297000000000001</v>
      </c>
      <c r="G24" s="23"/>
      <c r="H24" s="23">
        <f>C24/100*0.2</f>
        <v>6.0990000000000002</v>
      </c>
      <c r="I24" s="23">
        <f>C24/100*4</f>
        <v>121.98</v>
      </c>
      <c r="J24" s="25">
        <f>C24/100*12</f>
        <v>365.94</v>
      </c>
      <c r="K24" s="22">
        <f>C24/100*0.04</f>
        <v>1.2198</v>
      </c>
      <c r="L24" s="130">
        <v>3210</v>
      </c>
      <c r="M24" s="67">
        <v>40</v>
      </c>
      <c r="N24" s="21">
        <f t="shared" si="0"/>
        <v>128400</v>
      </c>
      <c r="O24" s="16"/>
      <c r="Q24" s="2"/>
      <c r="R24" s="2"/>
      <c r="S24" s="3"/>
    </row>
    <row r="25" spans="1:20" ht="20.399999999999999" customHeight="1">
      <c r="A25" s="8">
        <v>10</v>
      </c>
      <c r="B25" s="4" t="s">
        <v>72</v>
      </c>
      <c r="C25" s="21">
        <f>L25/100*75</f>
        <v>322.5</v>
      </c>
      <c r="D25" s="22">
        <f>C25/100*17</f>
        <v>54.825000000000003</v>
      </c>
      <c r="E25" s="26"/>
      <c r="F25" s="26">
        <f>C25/100*1.9</f>
        <v>6.1274999999999995</v>
      </c>
      <c r="G25" s="26"/>
      <c r="H25" s="26"/>
      <c r="I25" s="26">
        <f>C25/100*2.2</f>
        <v>7.0950000000000006</v>
      </c>
      <c r="J25" s="25">
        <f>C25/100*150</f>
        <v>483.75</v>
      </c>
      <c r="K25" s="22">
        <f>C25/100*0.04</f>
        <v>0.129</v>
      </c>
      <c r="L25" s="540">
        <v>430</v>
      </c>
      <c r="M25" s="67">
        <v>30</v>
      </c>
      <c r="N25" s="21">
        <f t="shared" si="0"/>
        <v>12900</v>
      </c>
      <c r="O25" s="16"/>
      <c r="Q25" s="2"/>
      <c r="R25" s="2"/>
      <c r="S25" s="3"/>
    </row>
    <row r="26" spans="1:20" ht="20.399999999999999" customHeight="1">
      <c r="A26" s="8">
        <v>11</v>
      </c>
      <c r="B26" s="4" t="s">
        <v>138</v>
      </c>
      <c r="C26" s="21">
        <f>L26/100*100</f>
        <v>210</v>
      </c>
      <c r="D26" s="22">
        <f>C26/100*247</f>
        <v>518.70000000000005</v>
      </c>
      <c r="E26" s="26"/>
      <c r="F26" s="26">
        <f>C26/100*17.5</f>
        <v>36.75</v>
      </c>
      <c r="G26" s="26"/>
      <c r="H26" s="26">
        <f>C26/100*1.6</f>
        <v>3.3600000000000003</v>
      </c>
      <c r="I26" s="26">
        <f>C26/100*39.2</f>
        <v>82.320000000000007</v>
      </c>
      <c r="J26" s="62"/>
      <c r="K26" s="62"/>
      <c r="L26" s="540">
        <v>210</v>
      </c>
      <c r="M26" s="65">
        <v>50</v>
      </c>
      <c r="N26" s="21">
        <f t="shared" si="0"/>
        <v>10500</v>
      </c>
      <c r="O26" s="3"/>
      <c r="Q26" s="2"/>
      <c r="R26" s="2"/>
      <c r="S26" s="3"/>
      <c r="T26" s="2"/>
    </row>
    <row r="27" spans="1:20" ht="20.399999999999999" customHeight="1">
      <c r="A27" s="12">
        <v>12</v>
      </c>
      <c r="B27" s="5" t="s">
        <v>125</v>
      </c>
      <c r="C27" s="28"/>
      <c r="D27" s="29"/>
      <c r="E27" s="26"/>
      <c r="F27" s="26"/>
      <c r="G27" s="26"/>
      <c r="H27" s="26"/>
      <c r="I27" s="26"/>
      <c r="J27" s="23"/>
      <c r="K27" s="23"/>
      <c r="L27" s="27"/>
      <c r="M27" s="25"/>
      <c r="N27" s="28">
        <v>15750</v>
      </c>
      <c r="O27" s="3"/>
    </row>
    <row r="28" spans="1:20" ht="20.399999999999999" customHeight="1">
      <c r="A28" s="19" t="s">
        <v>107</v>
      </c>
      <c r="B28" s="20"/>
      <c r="C28" s="30"/>
      <c r="D28" s="31">
        <f>SUM(D16:D27)</f>
        <v>93203.709000000003</v>
      </c>
      <c r="E28" s="32"/>
      <c r="F28" s="32"/>
      <c r="G28" s="32"/>
      <c r="H28" s="32"/>
      <c r="I28" s="32"/>
      <c r="J28" s="32"/>
      <c r="K28" s="32"/>
      <c r="L28" s="33"/>
      <c r="M28" s="33"/>
      <c r="N28" s="346">
        <f>SUM(N16:N27)</f>
        <v>3092550</v>
      </c>
      <c r="O28" s="3"/>
    </row>
    <row r="29" spans="1:20" ht="20.399999999999999" customHeight="1">
      <c r="A29" s="19" t="s">
        <v>6</v>
      </c>
      <c r="B29" s="20"/>
      <c r="C29" s="30"/>
      <c r="D29" s="31">
        <f>D28/D10</f>
        <v>435.53135046728971</v>
      </c>
      <c r="E29" s="32"/>
      <c r="F29" s="32"/>
      <c r="G29" s="32"/>
      <c r="H29" s="32"/>
      <c r="I29" s="32"/>
      <c r="J29" s="32"/>
      <c r="K29" s="32"/>
      <c r="L29" s="33"/>
      <c r="M29" s="33"/>
      <c r="N29" s="347"/>
      <c r="O29" s="3"/>
    </row>
    <row r="30" spans="1:20" ht="20.399999999999999" customHeight="1">
      <c r="A30" s="330" t="s">
        <v>48</v>
      </c>
      <c r="B30" s="331"/>
      <c r="C30" s="579" t="s">
        <v>154</v>
      </c>
      <c r="D30" s="18" t="s">
        <v>45</v>
      </c>
      <c r="E30" s="32"/>
      <c r="F30" s="32"/>
      <c r="G30" s="32"/>
      <c r="H30" s="32"/>
      <c r="I30" s="32"/>
      <c r="J30" s="32"/>
      <c r="K30" s="32"/>
      <c r="L30" s="33"/>
      <c r="M30" s="33"/>
      <c r="N30" s="34"/>
      <c r="O30" s="3"/>
    </row>
    <row r="31" spans="1:20" ht="20.399999999999999" customHeight="1">
      <c r="A31" s="332"/>
      <c r="B31" s="333"/>
      <c r="C31" s="17" t="s">
        <v>59</v>
      </c>
      <c r="D31" s="18">
        <f>D29*100/1320</f>
        <v>32.994799277824981</v>
      </c>
      <c r="E31" s="32"/>
      <c r="F31" s="32"/>
      <c r="G31" s="32"/>
      <c r="H31" s="32"/>
      <c r="I31" s="32"/>
      <c r="J31" s="32"/>
      <c r="K31" s="32"/>
      <c r="L31" s="33"/>
      <c r="M31" s="33"/>
      <c r="N31" s="34"/>
      <c r="O31" s="3"/>
    </row>
    <row r="32" spans="1:20" ht="20.399999999999999" customHeight="1">
      <c r="A32" s="341" t="s">
        <v>35</v>
      </c>
      <c r="B32" s="341"/>
      <c r="C32" s="48"/>
      <c r="D32" s="49"/>
      <c r="E32" s="50"/>
      <c r="F32" s="50"/>
      <c r="G32" s="50"/>
      <c r="H32" s="50"/>
      <c r="I32" s="50"/>
      <c r="J32" s="50"/>
      <c r="K32" s="50"/>
      <c r="L32" s="51"/>
      <c r="M32" s="51"/>
      <c r="N32" s="60"/>
      <c r="O32" s="3"/>
    </row>
    <row r="33" spans="1:20" ht="20.399999999999999" customHeight="1">
      <c r="A33" s="8">
        <v>1</v>
      </c>
      <c r="B33" s="4" t="s">
        <v>142</v>
      </c>
      <c r="C33" s="21">
        <f>L33/100*100</f>
        <v>5140</v>
      </c>
      <c r="D33" s="22">
        <f>C33/100*295</f>
        <v>15163</v>
      </c>
      <c r="E33" s="23"/>
      <c r="F33" s="23">
        <f>C33/100*6</f>
        <v>308.39999999999998</v>
      </c>
      <c r="G33" s="23"/>
      <c r="H33" s="23">
        <f>C33/100*0.8</f>
        <v>41.120000000000005</v>
      </c>
      <c r="I33" s="109">
        <f>C33/100*28.8</f>
        <v>1480.32</v>
      </c>
      <c r="J33" s="25"/>
      <c r="K33" s="25"/>
      <c r="L33" s="130">
        <v>5140</v>
      </c>
      <c r="M33" s="67">
        <v>32</v>
      </c>
      <c r="N33" s="21">
        <f>L33*M33</f>
        <v>164480</v>
      </c>
      <c r="O33" s="3"/>
    </row>
    <row r="34" spans="1:20" ht="20.399999999999999" customHeight="1">
      <c r="A34" s="8">
        <v>2</v>
      </c>
      <c r="B34" s="147" t="s">
        <v>143</v>
      </c>
      <c r="C34" s="21">
        <f>L34/100*100</f>
        <v>1010</v>
      </c>
      <c r="D34" s="22">
        <f>C34/100*899</f>
        <v>9079.9</v>
      </c>
      <c r="E34" s="23"/>
      <c r="F34" s="23"/>
      <c r="G34" s="109">
        <f>C34/100*100</f>
        <v>1010</v>
      </c>
      <c r="H34" s="23"/>
      <c r="I34" s="23"/>
      <c r="J34" s="25"/>
      <c r="K34" s="25"/>
      <c r="L34" s="130">
        <v>1010</v>
      </c>
      <c r="M34" s="65">
        <v>68</v>
      </c>
      <c r="N34" s="21">
        <f t="shared" ref="N34:N35" si="1">L34*M34</f>
        <v>68680</v>
      </c>
      <c r="O34" s="3"/>
    </row>
    <row r="35" spans="1:20" ht="20.399999999999999" customHeight="1">
      <c r="A35" s="8">
        <v>3</v>
      </c>
      <c r="B35" s="147" t="s">
        <v>149</v>
      </c>
      <c r="C35" s="21">
        <f>L35/100*100</f>
        <v>110.00000000000001</v>
      </c>
      <c r="D35" s="110">
        <f>C35/100*900</f>
        <v>990.00000000000011</v>
      </c>
      <c r="E35" s="23"/>
      <c r="F35" s="23"/>
      <c r="G35" s="109"/>
      <c r="H35" s="23">
        <f>C35/100*100</f>
        <v>110.00000000000001</v>
      </c>
      <c r="I35" s="23"/>
      <c r="J35" s="23"/>
      <c r="K35" s="23"/>
      <c r="L35" s="130">
        <v>110</v>
      </c>
      <c r="M35" s="65">
        <v>63.5</v>
      </c>
      <c r="N35" s="21">
        <f t="shared" si="1"/>
        <v>6985</v>
      </c>
      <c r="O35" s="542"/>
    </row>
    <row r="36" spans="1:20" ht="20.399999999999999" customHeight="1">
      <c r="A36" s="8">
        <v>3</v>
      </c>
      <c r="B36" s="147" t="s">
        <v>2</v>
      </c>
      <c r="C36" s="21">
        <f>L36/100*100</f>
        <v>260</v>
      </c>
      <c r="D36" s="22">
        <f>C36/100*60</f>
        <v>156</v>
      </c>
      <c r="E36" s="23">
        <f>C36/100*15</f>
        <v>39</v>
      </c>
      <c r="F36" s="23"/>
      <c r="G36" s="23"/>
      <c r="H36" s="23"/>
      <c r="I36" s="23"/>
      <c r="J36" s="23">
        <f>C36/100*387</f>
        <v>1006.2</v>
      </c>
      <c r="K36" s="23">
        <f>C36/100*0.09</f>
        <v>0.23399999999999999</v>
      </c>
      <c r="L36" s="130">
        <v>260</v>
      </c>
      <c r="M36" s="65">
        <v>20</v>
      </c>
      <c r="N36" s="21">
        <f>L36*M36</f>
        <v>5200</v>
      </c>
      <c r="O36" s="3"/>
    </row>
    <row r="37" spans="1:20" ht="20.399999999999999" customHeight="1">
      <c r="A37" s="8">
        <v>4</v>
      </c>
      <c r="B37" s="148" t="s">
        <v>138</v>
      </c>
      <c r="C37" s="21">
        <f>L37/100*100</f>
        <v>130</v>
      </c>
      <c r="D37" s="22">
        <f>C37/100*247</f>
        <v>321.10000000000002</v>
      </c>
      <c r="E37" s="26"/>
      <c r="F37" s="26">
        <f>C37/100*17.5</f>
        <v>22.75</v>
      </c>
      <c r="G37" s="26"/>
      <c r="H37" s="26">
        <f>C37/100*1.6</f>
        <v>2.08</v>
      </c>
      <c r="I37" s="26">
        <f>C37/100*39.2</f>
        <v>50.960000000000008</v>
      </c>
      <c r="J37" s="62"/>
      <c r="K37" s="62"/>
      <c r="L37" s="540">
        <v>130</v>
      </c>
      <c r="M37" s="65">
        <v>50</v>
      </c>
      <c r="N37" s="21">
        <f t="shared" ref="N37:N38" si="2">L37*M37</f>
        <v>6500</v>
      </c>
      <c r="O37" s="3"/>
      <c r="Q37" s="2"/>
      <c r="R37" s="2"/>
      <c r="S37" s="3"/>
      <c r="T37" s="2"/>
    </row>
    <row r="38" spans="1:20" ht="20.399999999999999" customHeight="1">
      <c r="A38" s="8">
        <v>5</v>
      </c>
      <c r="B38" s="4" t="s">
        <v>184</v>
      </c>
      <c r="C38" s="21">
        <f>L38/100*90</f>
        <v>3861</v>
      </c>
      <c r="D38" s="22">
        <f>C38/100*29</f>
        <v>1119.69</v>
      </c>
      <c r="E38" s="23"/>
      <c r="F38" s="23">
        <f>C38/100*1.8</f>
        <v>69.498000000000005</v>
      </c>
      <c r="G38" s="23"/>
      <c r="H38" s="23">
        <f>C38/100*0.1</f>
        <v>3.8610000000000002</v>
      </c>
      <c r="I38" s="23">
        <f>C38/100*5.3</f>
        <v>204.63299999999998</v>
      </c>
      <c r="J38" s="23">
        <f>C38/100*48</f>
        <v>1853.28</v>
      </c>
      <c r="K38" s="23">
        <f>C38/100*0.05</f>
        <v>1.9305000000000001</v>
      </c>
      <c r="L38" s="130">
        <v>4290</v>
      </c>
      <c r="M38" s="65">
        <v>15</v>
      </c>
      <c r="N38" s="21">
        <f t="shared" si="2"/>
        <v>64350</v>
      </c>
      <c r="O38" s="3"/>
    </row>
    <row r="39" spans="1:20" ht="20.399999999999999" customHeight="1">
      <c r="A39" s="8">
        <v>6</v>
      </c>
      <c r="B39" s="147" t="s">
        <v>74</v>
      </c>
      <c r="C39" s="21">
        <f>L39/100*98</f>
        <v>2557.8000000000002</v>
      </c>
      <c r="D39" s="22">
        <f>C39/100*139</f>
        <v>3555.3420000000006</v>
      </c>
      <c r="E39" s="23">
        <f>C39/100*19</f>
        <v>485.98200000000008</v>
      </c>
      <c r="F39" s="23"/>
      <c r="G39" s="23">
        <f>C39/100*7</f>
        <v>179.04600000000002</v>
      </c>
      <c r="H39" s="23"/>
      <c r="I39" s="23"/>
      <c r="J39" s="23">
        <f>C39/100*7</f>
        <v>179.04600000000002</v>
      </c>
      <c r="K39" s="23">
        <f>C39/100*0.9</f>
        <v>23.020200000000003</v>
      </c>
      <c r="L39" s="130">
        <v>2610</v>
      </c>
      <c r="M39" s="65">
        <v>130</v>
      </c>
      <c r="N39" s="21">
        <f t="shared" ref="N39:N40" si="3">L39*M39</f>
        <v>339300</v>
      </c>
      <c r="O39" s="3"/>
      <c r="P39" s="133"/>
    </row>
    <row r="40" spans="1:20" ht="20.399999999999999" customHeight="1">
      <c r="A40" s="8">
        <v>7</v>
      </c>
      <c r="B40" s="151" t="s">
        <v>152</v>
      </c>
      <c r="C40" s="21">
        <f>L40/100*100</f>
        <v>3640</v>
      </c>
      <c r="D40" s="22">
        <f>C40/100*487</f>
        <v>17726.8</v>
      </c>
      <c r="E40" s="26"/>
      <c r="F40" s="26">
        <f>C40/100*19.5</f>
        <v>709.8</v>
      </c>
      <c r="G40" s="26"/>
      <c r="H40" s="26">
        <f>C40/100*23.2</f>
        <v>844.4799999999999</v>
      </c>
      <c r="I40" s="164">
        <f>C40/100*46</f>
        <v>1674.3999999999999</v>
      </c>
      <c r="J40" s="109">
        <f>C40/100*680</f>
        <v>24752</v>
      </c>
      <c r="K40" s="23">
        <f>C40/100*0.55</f>
        <v>20.02</v>
      </c>
      <c r="L40" s="27">
        <v>3640</v>
      </c>
      <c r="M40" s="136">
        <v>260</v>
      </c>
      <c r="N40" s="21">
        <f t="shared" si="3"/>
        <v>946400</v>
      </c>
      <c r="O40" s="3"/>
      <c r="P40" s="2"/>
    </row>
    <row r="41" spans="1:20" ht="20.399999999999999" customHeight="1">
      <c r="A41" s="95">
        <v>8</v>
      </c>
      <c r="B41" s="102" t="s">
        <v>125</v>
      </c>
      <c r="C41" s="96"/>
      <c r="D41" s="580"/>
      <c r="E41" s="98"/>
      <c r="F41" s="98"/>
      <c r="G41" s="98"/>
      <c r="H41" s="98"/>
      <c r="I41" s="98"/>
      <c r="J41" s="98"/>
      <c r="K41" s="98"/>
      <c r="L41" s="99"/>
      <c r="M41" s="99"/>
      <c r="N41" s="96">
        <v>13550</v>
      </c>
      <c r="O41" s="3"/>
    </row>
    <row r="42" spans="1:20" ht="21.6" customHeight="1">
      <c r="A42" s="318" t="s">
        <v>0</v>
      </c>
      <c r="B42" s="321" t="s">
        <v>19</v>
      </c>
      <c r="C42" s="321" t="s">
        <v>8</v>
      </c>
      <c r="D42" s="321" t="s">
        <v>9</v>
      </c>
      <c r="E42" s="324" t="s">
        <v>11</v>
      </c>
      <c r="F42" s="325"/>
      <c r="G42" s="324" t="s">
        <v>43</v>
      </c>
      <c r="H42" s="325"/>
      <c r="I42" s="318" t="s">
        <v>16</v>
      </c>
      <c r="J42" s="318" t="s">
        <v>41</v>
      </c>
      <c r="K42" s="318" t="s">
        <v>42</v>
      </c>
      <c r="L42" s="318" t="s">
        <v>17</v>
      </c>
      <c r="M42" s="318" t="s">
        <v>40</v>
      </c>
      <c r="N42" s="318" t="s">
        <v>18</v>
      </c>
      <c r="O42" s="539"/>
    </row>
    <row r="43" spans="1:20" ht="21.6" customHeight="1">
      <c r="A43" s="319"/>
      <c r="B43" s="322"/>
      <c r="C43" s="322"/>
      <c r="D43" s="322"/>
      <c r="E43" s="326"/>
      <c r="F43" s="327"/>
      <c r="G43" s="326"/>
      <c r="H43" s="327"/>
      <c r="I43" s="328"/>
      <c r="J43" s="328"/>
      <c r="K43" s="328"/>
      <c r="L43" s="328"/>
      <c r="M43" s="328"/>
      <c r="N43" s="319"/>
      <c r="O43" s="283"/>
    </row>
    <row r="44" spans="1:20" ht="21.6" customHeight="1">
      <c r="A44" s="319"/>
      <c r="B44" s="322"/>
      <c r="C44" s="322"/>
      <c r="D44" s="322"/>
      <c r="E44" s="318" t="s">
        <v>10</v>
      </c>
      <c r="F44" s="318" t="s">
        <v>12</v>
      </c>
      <c r="G44" s="318" t="s">
        <v>14</v>
      </c>
      <c r="H44" s="318" t="s">
        <v>15</v>
      </c>
      <c r="I44" s="328"/>
      <c r="J44" s="328"/>
      <c r="K44" s="328"/>
      <c r="L44" s="328"/>
      <c r="M44" s="328"/>
      <c r="N44" s="319"/>
      <c r="O44" s="283"/>
    </row>
    <row r="45" spans="1:20" ht="21.6" customHeight="1">
      <c r="A45" s="320"/>
      <c r="B45" s="323"/>
      <c r="C45" s="323"/>
      <c r="D45" s="323"/>
      <c r="E45" s="329"/>
      <c r="F45" s="329"/>
      <c r="G45" s="329"/>
      <c r="H45" s="329"/>
      <c r="I45" s="329"/>
      <c r="J45" s="329"/>
      <c r="K45" s="329"/>
      <c r="L45" s="329"/>
      <c r="M45" s="329"/>
      <c r="N45" s="320"/>
      <c r="O45" s="283"/>
    </row>
    <row r="46" spans="1:20" ht="21.6" customHeight="1">
      <c r="A46" s="342" t="s">
        <v>108</v>
      </c>
      <c r="B46" s="342"/>
      <c r="C46" s="30"/>
      <c r="D46" s="31">
        <f>SUM(D33:D41)</f>
        <v>48111.831999999995</v>
      </c>
      <c r="E46" s="6"/>
      <c r="F46" s="6"/>
      <c r="G46" s="6"/>
      <c r="H46" s="6"/>
      <c r="I46" s="6"/>
      <c r="J46" s="6"/>
      <c r="K46" s="6"/>
      <c r="L46" s="38"/>
      <c r="M46" s="38"/>
      <c r="N46" s="346">
        <f>SUM(N33:N41)</f>
        <v>1615445</v>
      </c>
      <c r="O46" s="3"/>
    </row>
    <row r="47" spans="1:20" ht="21.6" customHeight="1">
      <c r="A47" s="342" t="s">
        <v>7</v>
      </c>
      <c r="B47" s="342"/>
      <c r="C47" s="39"/>
      <c r="D47" s="40">
        <f>D46/D10</f>
        <v>224.82164485981306</v>
      </c>
      <c r="E47" s="40"/>
      <c r="F47" s="40"/>
      <c r="G47" s="40"/>
      <c r="H47" s="40"/>
      <c r="I47" s="40"/>
      <c r="J47" s="40"/>
      <c r="K47" s="40"/>
      <c r="L47" s="38"/>
      <c r="M47" s="38"/>
      <c r="N47" s="347"/>
      <c r="O47" s="562"/>
    </row>
    <row r="48" spans="1:20" ht="21.6" customHeight="1">
      <c r="A48" s="330" t="s">
        <v>47</v>
      </c>
      <c r="B48" s="331"/>
      <c r="C48" s="579" t="s">
        <v>154</v>
      </c>
      <c r="D48" s="18" t="s">
        <v>58</v>
      </c>
      <c r="E48" s="40"/>
      <c r="F48" s="40"/>
      <c r="G48" s="40"/>
      <c r="H48" s="40"/>
      <c r="I48" s="40"/>
      <c r="J48" s="41"/>
      <c r="K48" s="41"/>
      <c r="L48" s="38"/>
      <c r="M48" s="38"/>
      <c r="N48" s="285"/>
      <c r="O48" s="3"/>
    </row>
    <row r="49" spans="1:23" ht="21.6" customHeight="1">
      <c r="A49" s="332"/>
      <c r="B49" s="333"/>
      <c r="C49" s="17" t="s">
        <v>59</v>
      </c>
      <c r="D49" s="18">
        <f>D47*100/1320</f>
        <v>17.031942792410081</v>
      </c>
      <c r="E49" s="40"/>
      <c r="F49" s="40"/>
      <c r="G49" s="40"/>
      <c r="H49" s="40"/>
      <c r="I49" s="40"/>
      <c r="J49" s="41"/>
      <c r="K49" s="41"/>
      <c r="L49" s="38"/>
      <c r="M49" s="38"/>
      <c r="N49" s="285"/>
      <c r="O49" s="3"/>
    </row>
    <row r="50" spans="1:23" ht="21.6" customHeight="1">
      <c r="A50" s="372" t="s">
        <v>109</v>
      </c>
      <c r="B50" s="372"/>
      <c r="C50" s="357"/>
      <c r="D50" s="289">
        <f>D28+D46</f>
        <v>141315.541</v>
      </c>
      <c r="E50" s="113">
        <f t="shared" ref="E50:K50" si="4">SUM(E16:E41)</f>
        <v>2983.5875999999998</v>
      </c>
      <c r="F50" s="113">
        <f t="shared" si="4"/>
        <v>2972.4753000000001</v>
      </c>
      <c r="G50" s="113">
        <f t="shared" si="4"/>
        <v>2866.2188000000001</v>
      </c>
      <c r="H50" s="113">
        <f t="shared" si="4"/>
        <v>1227.0757999999998</v>
      </c>
      <c r="I50" s="367">
        <f t="shared" si="4"/>
        <v>19511.464800000002</v>
      </c>
      <c r="J50" s="358">
        <f t="shared" si="4"/>
        <v>46654.46</v>
      </c>
      <c r="K50" s="358">
        <f t="shared" si="4"/>
        <v>80.017939999999996</v>
      </c>
      <c r="L50" s="358"/>
      <c r="M50" s="358"/>
      <c r="N50" s="364">
        <f>N28+N46</f>
        <v>4707995</v>
      </c>
      <c r="P50" s="163"/>
    </row>
    <row r="51" spans="1:23" ht="21.6" customHeight="1">
      <c r="A51" s="372"/>
      <c r="B51" s="372"/>
      <c r="C51" s="357"/>
      <c r="D51" s="290"/>
      <c r="E51" s="350">
        <f>E50+F50</f>
        <v>5956.0628999999999</v>
      </c>
      <c r="F51" s="350"/>
      <c r="G51" s="350">
        <f>G50+H50</f>
        <v>4093.2946000000002</v>
      </c>
      <c r="H51" s="350"/>
      <c r="I51" s="367"/>
      <c r="J51" s="360"/>
      <c r="K51" s="360"/>
      <c r="L51" s="359"/>
      <c r="M51" s="359"/>
      <c r="N51" s="365"/>
      <c r="U51" s="274"/>
      <c r="V51" s="274"/>
    </row>
    <row r="52" spans="1:23" ht="21.6" customHeight="1">
      <c r="A52" s="351" t="s">
        <v>77</v>
      </c>
      <c r="B52" s="352"/>
      <c r="C52" s="353"/>
      <c r="D52" s="124">
        <f>D50/D10</f>
        <v>660.3529953271028</v>
      </c>
      <c r="E52" s="543">
        <f>E50/D10</f>
        <v>13.941998130841121</v>
      </c>
      <c r="F52" s="543">
        <f>F50/D10</f>
        <v>13.890071495327103</v>
      </c>
      <c r="G52" s="543">
        <f>G50/D10</f>
        <v>13.393545794392525</v>
      </c>
      <c r="H52" s="543">
        <f>H50/D10</f>
        <v>5.7339990654205604</v>
      </c>
      <c r="I52" s="288">
        <f>I50/D10</f>
        <v>91.175069158878514</v>
      </c>
      <c r="J52" s="368">
        <f>J50/D10</f>
        <v>218.01149532710281</v>
      </c>
      <c r="K52" s="368">
        <f>K50/D10</f>
        <v>0.37391560747663549</v>
      </c>
      <c r="L52" s="359"/>
      <c r="M52" s="359"/>
      <c r="N52" s="365"/>
      <c r="Q52" s="558"/>
      <c r="R52" s="558"/>
      <c r="S52" s="558"/>
      <c r="T52" s="558"/>
      <c r="U52" s="559"/>
      <c r="V52" s="559"/>
      <c r="W52" s="1">
        <f>Q52+S52+U52</f>
        <v>0</v>
      </c>
    </row>
    <row r="53" spans="1:23" ht="21.6" customHeight="1">
      <c r="A53" s="354"/>
      <c r="B53" s="355"/>
      <c r="C53" s="356"/>
      <c r="D53" s="116"/>
      <c r="E53" s="581">
        <f>E52+F52</f>
        <v>27.832069626168224</v>
      </c>
      <c r="F53" s="581"/>
      <c r="G53" s="581">
        <f>G52+H52</f>
        <v>19.127544859813085</v>
      </c>
      <c r="H53" s="581"/>
      <c r="I53" s="288"/>
      <c r="J53" s="369"/>
      <c r="K53" s="369"/>
      <c r="L53" s="359"/>
      <c r="M53" s="359"/>
      <c r="N53" s="365"/>
      <c r="P53" s="547"/>
      <c r="Q53" s="558"/>
      <c r="R53" s="558"/>
      <c r="S53" s="558"/>
      <c r="T53" s="558"/>
      <c r="U53" s="558"/>
      <c r="V53" s="558"/>
    </row>
    <row r="54" spans="1:23" ht="21.6" customHeight="1">
      <c r="A54" s="348" t="s">
        <v>80</v>
      </c>
      <c r="B54" s="380"/>
      <c r="C54" s="349"/>
      <c r="D54" s="286" t="s">
        <v>28</v>
      </c>
      <c r="E54" s="582" t="s">
        <v>21</v>
      </c>
      <c r="F54" s="582"/>
      <c r="G54" s="582" t="s">
        <v>22</v>
      </c>
      <c r="H54" s="582"/>
      <c r="I54" s="583" t="s">
        <v>23</v>
      </c>
      <c r="J54" s="583">
        <v>600</v>
      </c>
      <c r="K54" s="583">
        <v>0.7</v>
      </c>
      <c r="L54" s="359"/>
      <c r="M54" s="359"/>
      <c r="N54" s="365"/>
      <c r="O54" s="548"/>
      <c r="P54" s="133"/>
      <c r="Q54" s="557"/>
      <c r="R54" s="557"/>
      <c r="S54" s="557"/>
      <c r="T54" s="85"/>
    </row>
    <row r="55" spans="1:23" ht="21.6" customHeight="1">
      <c r="A55" s="348" t="s">
        <v>78</v>
      </c>
      <c r="B55" s="380"/>
      <c r="C55" s="349"/>
      <c r="D55" s="42"/>
      <c r="E55" s="381">
        <f>E53*4.1</f>
        <v>114.11148546728971</v>
      </c>
      <c r="F55" s="382"/>
      <c r="G55" s="381">
        <f>G53*9</f>
        <v>172.14790373831778</v>
      </c>
      <c r="H55" s="382"/>
      <c r="I55" s="112">
        <f>I52*4.1</f>
        <v>373.81778355140187</v>
      </c>
      <c r="J55" s="361"/>
      <c r="K55" s="361"/>
      <c r="L55" s="359"/>
      <c r="M55" s="359"/>
      <c r="N55" s="365"/>
      <c r="O55" s="548"/>
      <c r="P55" s="556"/>
      <c r="Q55" s="133"/>
      <c r="R55" s="133"/>
      <c r="S55" s="133"/>
    </row>
    <row r="56" spans="1:23" ht="21.6" customHeight="1">
      <c r="A56" s="383" t="s">
        <v>81</v>
      </c>
      <c r="B56" s="384"/>
      <c r="C56" s="348" t="s">
        <v>59</v>
      </c>
      <c r="D56" s="349"/>
      <c r="E56" s="584">
        <f>E55*100/D52</f>
        <v>17.280376749221091</v>
      </c>
      <c r="F56" s="585"/>
      <c r="G56" s="298">
        <f>G55*100/D52</f>
        <v>26.069072898358716</v>
      </c>
      <c r="H56" s="299"/>
      <c r="I56" s="106">
        <f>I55*100/D52</f>
        <v>56.608781393689746</v>
      </c>
      <c r="J56" s="362"/>
      <c r="K56" s="362"/>
      <c r="L56" s="359"/>
      <c r="M56" s="359"/>
      <c r="N56" s="365"/>
      <c r="O56" s="548"/>
    </row>
    <row r="57" spans="1:23" ht="21.6" customHeight="1">
      <c r="A57" s="385"/>
      <c r="B57" s="386"/>
      <c r="C57" s="348" t="s">
        <v>79</v>
      </c>
      <c r="D57" s="349"/>
      <c r="E57" s="348" t="s">
        <v>82</v>
      </c>
      <c r="F57" s="349"/>
      <c r="G57" s="348" t="s">
        <v>83</v>
      </c>
      <c r="H57" s="349"/>
      <c r="I57" s="282" t="s">
        <v>84</v>
      </c>
      <c r="J57" s="363"/>
      <c r="K57" s="363"/>
      <c r="L57" s="360"/>
      <c r="M57" s="360"/>
      <c r="N57" s="366"/>
      <c r="O57" s="548"/>
      <c r="P57" s="2"/>
    </row>
    <row r="58" spans="1:23" ht="21.6" customHeight="1">
      <c r="A58" s="79"/>
      <c r="B58" s="82"/>
      <c r="C58" s="79"/>
      <c r="D58" s="79"/>
      <c r="E58" s="79"/>
      <c r="F58" s="79"/>
      <c r="G58" s="79"/>
      <c r="H58" s="79"/>
      <c r="I58" s="79"/>
      <c r="J58" s="79"/>
      <c r="K58" s="79"/>
      <c r="L58" s="80"/>
      <c r="M58" s="80"/>
      <c r="N58" s="81"/>
      <c r="O58" s="548"/>
      <c r="Q58" s="2"/>
    </row>
    <row r="59" spans="1:23" ht="21" customHeight="1">
      <c r="A59" s="291" t="s">
        <v>116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548"/>
    </row>
    <row r="60" spans="1:23" ht="21" customHeight="1">
      <c r="A60" s="107" t="s">
        <v>117</v>
      </c>
      <c r="B60" s="292" t="s">
        <v>118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548"/>
    </row>
    <row r="61" spans="1:23" ht="21" customHeight="1">
      <c r="A61" s="108"/>
      <c r="B61" s="293" t="s">
        <v>208</v>
      </c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548"/>
    </row>
    <row r="62" spans="1:23" ht="21" customHeight="1">
      <c r="A62" s="108"/>
      <c r="B62" s="293" t="s">
        <v>207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548"/>
    </row>
    <row r="63" spans="1:23" ht="21" customHeight="1">
      <c r="A63" s="108"/>
      <c r="B63" s="293" t="s">
        <v>209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548"/>
    </row>
    <row r="64" spans="1:23" ht="21" customHeight="1">
      <c r="A64" s="79"/>
      <c r="B64" s="294" t="s">
        <v>119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548"/>
    </row>
    <row r="65" spans="1:16" ht="21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3"/>
      <c r="M65" s="83"/>
      <c r="N65" s="84"/>
      <c r="O65" s="548"/>
    </row>
    <row r="66" spans="1:16" ht="21" customHeight="1">
      <c r="A66" s="295" t="s">
        <v>62</v>
      </c>
      <c r="B66" s="295"/>
      <c r="C66" s="295"/>
      <c r="D66" s="295"/>
      <c r="E66" s="549"/>
      <c r="F66" s="549"/>
      <c r="G66" s="549"/>
      <c r="H66" s="549"/>
      <c r="I66" s="549"/>
      <c r="J66" s="550" t="s">
        <v>33</v>
      </c>
      <c r="K66" s="550"/>
      <c r="L66" s="550"/>
      <c r="M66" s="550"/>
      <c r="N66" s="550"/>
      <c r="O66" s="548"/>
    </row>
    <row r="67" spans="1:16" ht="21" customHeight="1">
      <c r="A67" s="283"/>
      <c r="B67" s="283"/>
      <c r="C67" s="283"/>
      <c r="D67" s="549"/>
      <c r="E67" s="549"/>
      <c r="F67" s="549"/>
      <c r="G67" s="549"/>
      <c r="H67" s="551"/>
      <c r="I67" s="551"/>
      <c r="J67" s="551"/>
      <c r="K67" s="551"/>
      <c r="L67" s="551"/>
      <c r="M67" s="551"/>
      <c r="N67" s="551"/>
      <c r="O67" s="548"/>
    </row>
    <row r="68" spans="1:16" ht="21" customHeight="1">
      <c r="A68" s="283"/>
      <c r="B68" s="283"/>
      <c r="C68" s="283"/>
      <c r="D68" s="549"/>
      <c r="E68" s="549"/>
      <c r="F68" s="549"/>
      <c r="G68" s="549"/>
      <c r="H68" s="551"/>
      <c r="I68" s="551"/>
      <c r="J68" s="551"/>
      <c r="K68" s="551"/>
      <c r="L68" s="551"/>
      <c r="M68" s="551"/>
      <c r="N68" s="551"/>
      <c r="O68" s="548"/>
    </row>
    <row r="69" spans="1:16" ht="21" customHeight="1">
      <c r="A69" s="283"/>
      <c r="B69" s="283"/>
      <c r="C69" s="283"/>
      <c r="D69" s="549"/>
      <c r="E69" s="549"/>
      <c r="F69" s="549"/>
      <c r="G69" s="549"/>
      <c r="H69" s="551"/>
      <c r="I69" s="551"/>
      <c r="J69" s="552" t="s">
        <v>126</v>
      </c>
      <c r="K69" s="552"/>
      <c r="L69" s="552"/>
      <c r="M69" s="552"/>
      <c r="N69" s="552"/>
      <c r="O69" s="548"/>
    </row>
    <row r="70" spans="1:16" ht="21" customHeight="1">
      <c r="A70" s="287" t="s">
        <v>93</v>
      </c>
      <c r="B70" s="287"/>
      <c r="C70" s="287"/>
      <c r="D70" s="287"/>
      <c r="E70" s="549"/>
      <c r="F70" s="549"/>
      <c r="G70" s="549"/>
      <c r="H70" s="551"/>
      <c r="I70" s="551"/>
      <c r="J70" s="552"/>
      <c r="K70" s="552"/>
      <c r="L70" s="552"/>
      <c r="M70" s="552"/>
      <c r="N70" s="552"/>
      <c r="O70" s="548"/>
    </row>
    <row r="71" spans="1:16" ht="21.6" customHeight="1">
      <c r="A71" s="283"/>
      <c r="B71" s="283"/>
      <c r="C71" s="283"/>
      <c r="D71" s="549"/>
      <c r="E71" s="549"/>
      <c r="F71" s="549"/>
      <c r="G71" s="549"/>
      <c r="H71" s="551"/>
      <c r="I71" s="551"/>
      <c r="J71" s="551"/>
      <c r="K71" s="551"/>
      <c r="L71" s="551"/>
      <c r="M71" s="551"/>
      <c r="N71" s="551"/>
      <c r="O71" s="548"/>
    </row>
    <row r="72" spans="1:16" ht="21.6" customHeight="1">
      <c r="A72" s="283"/>
      <c r="B72" s="283"/>
      <c r="C72" s="283"/>
      <c r="D72" s="549"/>
      <c r="E72" s="549"/>
      <c r="F72" s="549"/>
      <c r="G72" s="549"/>
      <c r="H72" s="551"/>
      <c r="I72" s="551"/>
      <c r="J72" s="551"/>
      <c r="K72" s="551"/>
      <c r="L72" s="551"/>
      <c r="M72" s="551"/>
      <c r="N72" s="551"/>
      <c r="O72" s="548"/>
    </row>
    <row r="73" spans="1:16" ht="21.6" customHeight="1">
      <c r="A73" s="283"/>
      <c r="B73" s="283"/>
      <c r="C73" s="283"/>
      <c r="D73" s="549"/>
      <c r="E73" s="549"/>
      <c r="F73" s="549"/>
      <c r="G73" s="549"/>
      <c r="H73" s="551"/>
      <c r="I73" s="551"/>
      <c r="J73" s="552" t="s">
        <v>129</v>
      </c>
      <c r="K73" s="552"/>
      <c r="L73" s="552"/>
      <c r="M73" s="552"/>
      <c r="N73" s="552"/>
      <c r="O73" s="548"/>
    </row>
    <row r="74" spans="1:16" ht="21.6" customHeight="1">
      <c r="A74" s="283"/>
      <c r="B74" s="283"/>
      <c r="C74" s="283"/>
      <c r="D74" s="549"/>
      <c r="E74" s="549"/>
      <c r="F74" s="549"/>
      <c r="G74" s="549"/>
      <c r="H74" s="551"/>
      <c r="I74" s="551"/>
      <c r="J74" s="551"/>
      <c r="K74" s="551"/>
      <c r="L74" s="551"/>
      <c r="M74" s="551"/>
      <c r="N74" s="551"/>
      <c r="O74" s="548"/>
    </row>
    <row r="75" spans="1:16" ht="21.6" customHeight="1">
      <c r="A75" s="283"/>
      <c r="B75" s="283"/>
      <c r="C75" s="283"/>
      <c r="D75" s="549"/>
      <c r="E75" s="549"/>
      <c r="F75" s="549"/>
      <c r="G75" s="549"/>
      <c r="H75" s="551"/>
      <c r="I75" s="551"/>
      <c r="J75" s="551"/>
      <c r="K75" s="551"/>
      <c r="L75" s="551"/>
      <c r="M75" s="551"/>
      <c r="N75" s="551"/>
      <c r="O75" s="548"/>
    </row>
    <row r="76" spans="1:16" ht="21.6" customHeight="1">
      <c r="A76" s="283"/>
      <c r="B76" s="283"/>
      <c r="C76" s="283"/>
      <c r="D76" s="549"/>
      <c r="E76" s="549"/>
      <c r="F76" s="549"/>
      <c r="G76" s="549"/>
      <c r="H76" s="551"/>
      <c r="I76" s="551"/>
      <c r="J76" s="551"/>
      <c r="K76" s="551"/>
      <c r="L76" s="551"/>
      <c r="M76" s="551"/>
      <c r="N76" s="551"/>
      <c r="O76" s="548"/>
    </row>
    <row r="77" spans="1:16" ht="21.6" customHeight="1">
      <c r="A77" s="283"/>
      <c r="B77" s="283"/>
      <c r="C77" s="283"/>
      <c r="D77" s="549"/>
      <c r="E77" s="549"/>
      <c r="F77" s="549"/>
      <c r="G77" s="549"/>
      <c r="H77" s="551"/>
      <c r="I77" s="551"/>
      <c r="J77" s="551"/>
      <c r="K77" s="551"/>
      <c r="L77" s="551"/>
      <c r="M77" s="551"/>
      <c r="N77" s="551"/>
      <c r="O77" s="548"/>
    </row>
    <row r="78" spans="1:16" ht="24" customHeight="1">
      <c r="A78" s="283"/>
      <c r="B78" s="283"/>
      <c r="C78" s="283"/>
      <c r="D78" s="549"/>
      <c r="E78" s="549"/>
      <c r="F78" s="549"/>
      <c r="G78" s="549"/>
      <c r="H78" s="551"/>
      <c r="I78" s="551"/>
      <c r="J78" s="551"/>
      <c r="K78" s="551"/>
      <c r="L78" s="551"/>
      <c r="M78" s="551"/>
      <c r="N78" s="551"/>
      <c r="O78" s="548"/>
    </row>
    <row r="79" spans="1:16" ht="26.4" customHeight="1">
      <c r="A79" s="283"/>
      <c r="B79" s="283"/>
      <c r="C79" s="283"/>
      <c r="D79" s="549"/>
      <c r="E79" s="549"/>
      <c r="F79" s="549"/>
      <c r="G79" s="549"/>
      <c r="H79" s="551"/>
      <c r="I79" s="551"/>
      <c r="J79" s="551"/>
      <c r="K79" s="551"/>
      <c r="L79" s="551"/>
      <c r="M79" s="551"/>
      <c r="N79" s="551"/>
      <c r="O79" s="548"/>
    </row>
    <row r="80" spans="1:16" ht="17.399999999999999" customHeight="1">
      <c r="A80" s="10" t="s">
        <v>61</v>
      </c>
      <c r="B80" s="7"/>
      <c r="C80" s="7"/>
      <c r="D80" s="7"/>
      <c r="E80" s="7"/>
      <c r="F80" s="401" t="s">
        <v>32</v>
      </c>
      <c r="G80" s="401"/>
      <c r="H80" s="401"/>
      <c r="I80" s="401"/>
      <c r="J80" s="401"/>
      <c r="K80" s="401"/>
      <c r="L80" s="401"/>
      <c r="M80" s="401"/>
      <c r="N80" s="401"/>
      <c r="O80" s="537"/>
      <c r="P80" s="537"/>
    </row>
    <row r="81" spans="1:16" ht="15" customHeight="1">
      <c r="A81" s="7"/>
      <c r="B81" s="7"/>
      <c r="C81" s="7"/>
      <c r="D81" s="7"/>
      <c r="E81" s="7"/>
      <c r="F81" s="280"/>
      <c r="G81" s="280"/>
      <c r="H81" s="280"/>
      <c r="I81" s="280"/>
      <c r="J81" s="280"/>
      <c r="K81" s="280"/>
      <c r="L81" s="280"/>
      <c r="M81" s="280"/>
      <c r="N81" s="280"/>
      <c r="O81" s="537"/>
      <c r="P81" s="537"/>
    </row>
    <row r="82" spans="1:16" ht="17.399999999999999" customHeight="1">
      <c r="A82" s="7" t="s">
        <v>206</v>
      </c>
      <c r="B82" s="7"/>
      <c r="C82" s="7"/>
      <c r="D82" s="7"/>
      <c r="E82" s="7"/>
      <c r="F82" s="280"/>
      <c r="G82" s="280"/>
      <c r="H82" s="280"/>
      <c r="I82" s="280"/>
      <c r="J82" s="280"/>
      <c r="K82" s="280"/>
      <c r="L82" s="280"/>
      <c r="M82" s="280"/>
      <c r="N82" s="280"/>
      <c r="O82" s="537"/>
      <c r="P82" s="537"/>
    </row>
    <row r="83" spans="1:16" ht="15" customHeight="1">
      <c r="A83" s="300"/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538"/>
    </row>
    <row r="84" spans="1:16" ht="16.2" customHeight="1">
      <c r="A84" s="301" t="s">
        <v>88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538"/>
    </row>
    <row r="85" spans="1:16" ht="16.2" customHeight="1">
      <c r="A85" s="304" t="s">
        <v>99</v>
      </c>
      <c r="B85" s="304"/>
      <c r="C85" s="304"/>
      <c r="D85" s="304"/>
      <c r="E85" s="304" t="s">
        <v>89</v>
      </c>
      <c r="F85" s="304"/>
      <c r="G85" s="304"/>
      <c r="H85" s="304"/>
      <c r="I85" s="304"/>
      <c r="J85" s="304"/>
      <c r="K85" s="304"/>
      <c r="L85" s="304"/>
      <c r="M85" s="304"/>
      <c r="N85" s="304"/>
      <c r="O85" s="538"/>
    </row>
    <row r="86" spans="1:16" ht="16.2" customHeight="1">
      <c r="A86" s="304"/>
      <c r="B86" s="304"/>
      <c r="C86" s="304"/>
      <c r="D86" s="304"/>
      <c r="E86" s="304" t="s">
        <v>102</v>
      </c>
      <c r="F86" s="304"/>
      <c r="G86" s="304"/>
      <c r="H86" s="304"/>
      <c r="I86" s="304"/>
      <c r="J86" s="304" t="s">
        <v>103</v>
      </c>
      <c r="K86" s="304"/>
      <c r="L86" s="304"/>
      <c r="M86" s="304"/>
      <c r="N86" s="304"/>
      <c r="O86" s="538"/>
    </row>
    <row r="87" spans="1:16" ht="17.399999999999999" customHeight="1">
      <c r="A87" s="305" t="s">
        <v>90</v>
      </c>
      <c r="B87" s="305"/>
      <c r="C87" s="305"/>
      <c r="D87" s="305"/>
      <c r="E87" s="308" t="s">
        <v>151</v>
      </c>
      <c r="F87" s="308"/>
      <c r="G87" s="308"/>
      <c r="H87" s="308"/>
      <c r="I87" s="308"/>
      <c r="J87" s="305" t="s">
        <v>90</v>
      </c>
      <c r="K87" s="305"/>
      <c r="L87" s="305"/>
      <c r="M87" s="305"/>
      <c r="N87" s="305"/>
      <c r="O87" s="538"/>
    </row>
    <row r="88" spans="1:16" ht="17.399999999999999" customHeight="1">
      <c r="A88" s="306" t="s">
        <v>156</v>
      </c>
      <c r="B88" s="306"/>
      <c r="C88" s="306"/>
      <c r="D88" s="306"/>
      <c r="E88" s="308"/>
      <c r="F88" s="308"/>
      <c r="G88" s="308"/>
      <c r="H88" s="308"/>
      <c r="I88" s="308"/>
      <c r="J88" s="306" t="s">
        <v>114</v>
      </c>
      <c r="K88" s="306"/>
      <c r="L88" s="306"/>
      <c r="M88" s="306"/>
      <c r="N88" s="306"/>
      <c r="O88" s="538"/>
    </row>
    <row r="89" spans="1:16" ht="17.399999999999999" customHeight="1">
      <c r="A89" s="337" t="s">
        <v>157</v>
      </c>
      <c r="B89" s="338"/>
      <c r="C89" s="338"/>
      <c r="D89" s="339"/>
      <c r="E89" s="308"/>
      <c r="F89" s="308"/>
      <c r="G89" s="308"/>
      <c r="H89" s="308"/>
      <c r="I89" s="308"/>
      <c r="J89" s="306" t="s">
        <v>186</v>
      </c>
      <c r="K89" s="306"/>
      <c r="L89" s="306"/>
      <c r="M89" s="306"/>
      <c r="N89" s="306"/>
      <c r="O89" s="538"/>
    </row>
    <row r="90" spans="1:16" ht="17.399999999999999" customHeight="1">
      <c r="A90" s="307" t="s">
        <v>185</v>
      </c>
      <c r="B90" s="307"/>
      <c r="C90" s="307"/>
      <c r="D90" s="307"/>
      <c r="E90" s="308"/>
      <c r="F90" s="308"/>
      <c r="G90" s="308"/>
      <c r="H90" s="308"/>
      <c r="I90" s="308"/>
      <c r="J90" s="307"/>
      <c r="K90" s="307"/>
      <c r="L90" s="307"/>
      <c r="M90" s="307"/>
      <c r="N90" s="307"/>
      <c r="O90" s="538"/>
    </row>
    <row r="91" spans="1:16" ht="17.399999999999999" customHeight="1">
      <c r="A91" s="334" t="s">
        <v>124</v>
      </c>
      <c r="B91" s="335"/>
      <c r="C91" s="336"/>
      <c r="D91" s="115">
        <v>57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538"/>
    </row>
    <row r="92" spans="1:16" ht="17.399999999999999" customHeight="1">
      <c r="A92" s="318" t="s">
        <v>0</v>
      </c>
      <c r="B92" s="321" t="s">
        <v>19</v>
      </c>
      <c r="C92" s="321" t="s">
        <v>8</v>
      </c>
      <c r="D92" s="321" t="s">
        <v>9</v>
      </c>
      <c r="E92" s="324" t="s">
        <v>11</v>
      </c>
      <c r="F92" s="325"/>
      <c r="G92" s="324" t="s">
        <v>43</v>
      </c>
      <c r="H92" s="325"/>
      <c r="I92" s="318" t="s">
        <v>16</v>
      </c>
      <c r="J92" s="318" t="s">
        <v>41</v>
      </c>
      <c r="K92" s="318" t="s">
        <v>42</v>
      </c>
      <c r="L92" s="318" t="s">
        <v>17</v>
      </c>
      <c r="M92" s="318" t="s">
        <v>40</v>
      </c>
      <c r="N92" s="318" t="s">
        <v>18</v>
      </c>
      <c r="O92" s="539"/>
    </row>
    <row r="93" spans="1:16" ht="17.399999999999999" customHeight="1">
      <c r="A93" s="319"/>
      <c r="B93" s="322"/>
      <c r="C93" s="322"/>
      <c r="D93" s="322"/>
      <c r="E93" s="326"/>
      <c r="F93" s="327"/>
      <c r="G93" s="326"/>
      <c r="H93" s="327"/>
      <c r="I93" s="328"/>
      <c r="J93" s="328"/>
      <c r="K93" s="328"/>
      <c r="L93" s="328"/>
      <c r="M93" s="328"/>
      <c r="N93" s="319"/>
      <c r="O93" s="283"/>
    </row>
    <row r="94" spans="1:16" ht="17.399999999999999" customHeight="1">
      <c r="A94" s="319"/>
      <c r="B94" s="322"/>
      <c r="C94" s="322"/>
      <c r="D94" s="322"/>
      <c r="E94" s="318" t="s">
        <v>10</v>
      </c>
      <c r="F94" s="318" t="s">
        <v>12</v>
      </c>
      <c r="G94" s="318" t="s">
        <v>14</v>
      </c>
      <c r="H94" s="318" t="s">
        <v>15</v>
      </c>
      <c r="I94" s="328"/>
      <c r="J94" s="328"/>
      <c r="K94" s="328"/>
      <c r="L94" s="328"/>
      <c r="M94" s="328"/>
      <c r="N94" s="319"/>
      <c r="O94" s="283"/>
    </row>
    <row r="95" spans="1:16" ht="17.399999999999999" customHeight="1">
      <c r="A95" s="320"/>
      <c r="B95" s="323"/>
      <c r="C95" s="323"/>
      <c r="D95" s="323"/>
      <c r="E95" s="329"/>
      <c r="F95" s="329"/>
      <c r="G95" s="329"/>
      <c r="H95" s="329"/>
      <c r="I95" s="329"/>
      <c r="J95" s="329"/>
      <c r="K95" s="329"/>
      <c r="L95" s="329"/>
      <c r="M95" s="329"/>
      <c r="N95" s="320"/>
      <c r="O95" s="283"/>
    </row>
    <row r="96" spans="1:16" ht="16.2" customHeight="1">
      <c r="A96" s="343" t="s">
        <v>39</v>
      </c>
      <c r="B96" s="344"/>
      <c r="C96" s="344"/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5"/>
      <c r="O96" s="283"/>
    </row>
    <row r="97" spans="1:20" ht="16.2" customHeight="1">
      <c r="A97" s="14">
        <v>1</v>
      </c>
      <c r="B97" s="15" t="s">
        <v>2</v>
      </c>
      <c r="C97" s="44">
        <f>L97/100*100</f>
        <v>70</v>
      </c>
      <c r="D97" s="45">
        <f>C97/100*60</f>
        <v>42</v>
      </c>
      <c r="E97" s="46">
        <f>C97/100*15</f>
        <v>10.5</v>
      </c>
      <c r="F97" s="46"/>
      <c r="G97" s="46"/>
      <c r="H97" s="46"/>
      <c r="I97" s="46"/>
      <c r="J97" s="23">
        <f>C97/100*387</f>
        <v>270.89999999999998</v>
      </c>
      <c r="K97" s="23">
        <f>C97/100*0.09</f>
        <v>6.3E-2</v>
      </c>
      <c r="L97" s="575">
        <v>70</v>
      </c>
      <c r="M97" s="67">
        <v>20</v>
      </c>
      <c r="N97" s="21">
        <f t="shared" ref="N97:N107" si="5">L97*M97</f>
        <v>1400</v>
      </c>
      <c r="O97" s="3"/>
    </row>
    <row r="98" spans="1:20" ht="16.2" customHeight="1">
      <c r="A98" s="8">
        <v>2</v>
      </c>
      <c r="B98" s="9" t="s">
        <v>143</v>
      </c>
      <c r="C98" s="21">
        <f>L98/100*100</f>
        <v>500</v>
      </c>
      <c r="D98" s="22">
        <f>C98/100*899</f>
        <v>4495</v>
      </c>
      <c r="E98" s="23"/>
      <c r="F98" s="23"/>
      <c r="G98" s="23">
        <f>C98/100*100</f>
        <v>500</v>
      </c>
      <c r="H98" s="23"/>
      <c r="I98" s="23"/>
      <c r="J98" s="23"/>
      <c r="K98" s="23"/>
      <c r="L98" s="130">
        <v>500</v>
      </c>
      <c r="M98" s="22">
        <v>68</v>
      </c>
      <c r="N98" s="21">
        <f t="shared" si="5"/>
        <v>34000</v>
      </c>
      <c r="O98" s="542"/>
    </row>
    <row r="99" spans="1:20" ht="16.2" customHeight="1">
      <c r="A99" s="8">
        <v>3</v>
      </c>
      <c r="B99" s="4" t="s">
        <v>1</v>
      </c>
      <c r="C99" s="21">
        <f>L99/100*100</f>
        <v>2451</v>
      </c>
      <c r="D99" s="22">
        <f>C99/100*344</f>
        <v>8431.44</v>
      </c>
      <c r="E99" s="23"/>
      <c r="F99" s="23">
        <f>C99/100*7.9</f>
        <v>193.62900000000002</v>
      </c>
      <c r="G99" s="23"/>
      <c r="H99" s="23">
        <f>C99/100*1</f>
        <v>24.51</v>
      </c>
      <c r="I99" s="109">
        <f>C99/100*72</f>
        <v>1764.72</v>
      </c>
      <c r="J99" s="23">
        <f>C99/100*30</f>
        <v>735.30000000000007</v>
      </c>
      <c r="K99" s="23">
        <f>C99/100*0.1</f>
        <v>2.4510000000000005</v>
      </c>
      <c r="L99" s="130">
        <v>2451</v>
      </c>
      <c r="M99" s="67">
        <v>18</v>
      </c>
      <c r="N99" s="21">
        <f t="shared" si="5"/>
        <v>44118</v>
      </c>
      <c r="O99" s="3"/>
    </row>
    <row r="100" spans="1:20" ht="16.2" customHeight="1">
      <c r="A100" s="8">
        <v>4</v>
      </c>
      <c r="B100" s="9" t="s">
        <v>159</v>
      </c>
      <c r="C100" s="21">
        <f>L100/100*60</f>
        <v>2052</v>
      </c>
      <c r="D100" s="22">
        <f>C100/100*97</f>
        <v>1990.44</v>
      </c>
      <c r="E100" s="109">
        <f>C100/100*18.2</f>
        <v>373.464</v>
      </c>
      <c r="F100" s="23"/>
      <c r="G100" s="23">
        <f>C100/100*2.7</f>
        <v>55.404000000000003</v>
      </c>
      <c r="H100" s="23"/>
      <c r="I100" s="23"/>
      <c r="J100" s="71">
        <f>C100/100*90</f>
        <v>1846.8</v>
      </c>
      <c r="K100" s="25">
        <f>C100/100*0.04</f>
        <v>0.82079999999999997</v>
      </c>
      <c r="L100" s="130">
        <v>3420</v>
      </c>
      <c r="M100" s="65">
        <v>95</v>
      </c>
      <c r="N100" s="21">
        <f t="shared" si="5"/>
        <v>324900</v>
      </c>
      <c r="O100" s="3"/>
    </row>
    <row r="101" spans="1:20" ht="16.2" customHeight="1">
      <c r="A101" s="8">
        <v>5</v>
      </c>
      <c r="B101" s="4" t="s">
        <v>69</v>
      </c>
      <c r="C101" s="21">
        <f>L101/100*48</f>
        <v>412.79999999999995</v>
      </c>
      <c r="D101" s="22">
        <f>C101/100*199</f>
        <v>821.47199999999987</v>
      </c>
      <c r="E101" s="23">
        <f>C101/100*20.3</f>
        <v>83.798399999999987</v>
      </c>
      <c r="F101" s="23"/>
      <c r="G101" s="23">
        <f>C101/100*13.1</f>
        <v>54.076799999999992</v>
      </c>
      <c r="H101" s="23"/>
      <c r="I101" s="23"/>
      <c r="J101" s="25">
        <f>C101/100*12</f>
        <v>49.535999999999987</v>
      </c>
      <c r="K101" s="25">
        <f>C101/100*0.15</f>
        <v>0.61919999999999986</v>
      </c>
      <c r="L101" s="130">
        <v>860</v>
      </c>
      <c r="M101" s="24">
        <v>84</v>
      </c>
      <c r="N101" s="21">
        <f t="shared" si="5"/>
        <v>72240</v>
      </c>
      <c r="O101" s="3"/>
      <c r="Q101" s="2"/>
      <c r="R101" s="2"/>
      <c r="S101" s="3"/>
    </row>
    <row r="102" spans="1:20" ht="16.2" customHeight="1">
      <c r="A102" s="8">
        <v>6</v>
      </c>
      <c r="B102" s="4" t="s">
        <v>3</v>
      </c>
      <c r="C102" s="21">
        <f>L102/100*98</f>
        <v>558.6</v>
      </c>
      <c r="D102" s="22">
        <f>C102/100*118</f>
        <v>659.14800000000002</v>
      </c>
      <c r="E102" s="23">
        <f>C102/100*21</f>
        <v>117.30600000000001</v>
      </c>
      <c r="F102" s="23"/>
      <c r="G102" s="23">
        <f>C102/100*3.8</f>
        <v>21.226800000000001</v>
      </c>
      <c r="H102" s="23"/>
      <c r="I102" s="23"/>
      <c r="J102" s="25">
        <f>C102/100*12</f>
        <v>67.032000000000011</v>
      </c>
      <c r="K102" s="25">
        <f>C102/100*0.1</f>
        <v>0.5586000000000001</v>
      </c>
      <c r="L102" s="130">
        <v>570</v>
      </c>
      <c r="M102" s="24">
        <v>250</v>
      </c>
      <c r="N102" s="114">
        <f t="shared" si="5"/>
        <v>142500</v>
      </c>
      <c r="O102" s="3"/>
      <c r="Q102" s="2"/>
      <c r="R102" s="2"/>
      <c r="S102" s="3"/>
    </row>
    <row r="103" spans="1:20" ht="16.2" customHeight="1">
      <c r="A103" s="8">
        <v>7</v>
      </c>
      <c r="B103" s="4" t="s">
        <v>20</v>
      </c>
      <c r="C103" s="21">
        <f>L103/100*95</f>
        <v>541.5</v>
      </c>
      <c r="D103" s="22">
        <f>C103/100*20</f>
        <v>108.3</v>
      </c>
      <c r="E103" s="23"/>
      <c r="F103" s="23">
        <f>C103/100*0.6</f>
        <v>3.2490000000000001</v>
      </c>
      <c r="G103" s="23"/>
      <c r="H103" s="23">
        <f>C103/100*0.2</f>
        <v>1.083</v>
      </c>
      <c r="I103" s="23">
        <f>C103/100*4</f>
        <v>21.66</v>
      </c>
      <c r="J103" s="25">
        <f>C103/100*12</f>
        <v>64.98</v>
      </c>
      <c r="K103" s="22">
        <f>C103/100*0.04</f>
        <v>0.21660000000000001</v>
      </c>
      <c r="L103" s="130">
        <v>570</v>
      </c>
      <c r="M103" s="67">
        <v>40</v>
      </c>
      <c r="N103" s="21">
        <f t="shared" si="5"/>
        <v>22800</v>
      </c>
      <c r="O103" s="16"/>
      <c r="Q103" s="2"/>
      <c r="R103" s="2"/>
      <c r="S103" s="3"/>
    </row>
    <row r="104" spans="1:20" ht="16.2" customHeight="1">
      <c r="A104" s="8">
        <v>8</v>
      </c>
      <c r="B104" s="4" t="s">
        <v>72</v>
      </c>
      <c r="C104" s="21">
        <f>L104/100*75</f>
        <v>82.5</v>
      </c>
      <c r="D104" s="22">
        <f>C104/100*17</f>
        <v>14.024999999999999</v>
      </c>
      <c r="E104" s="26"/>
      <c r="F104" s="26">
        <f>C104/100*1.9</f>
        <v>1.5674999999999999</v>
      </c>
      <c r="G104" s="26"/>
      <c r="H104" s="26"/>
      <c r="I104" s="26">
        <f>C104/100*2.2</f>
        <v>1.8149999999999999</v>
      </c>
      <c r="J104" s="25">
        <f>C104/100*150</f>
        <v>123.75</v>
      </c>
      <c r="K104" s="22">
        <f>C104/100*0.04</f>
        <v>3.3000000000000002E-2</v>
      </c>
      <c r="L104" s="540">
        <v>110</v>
      </c>
      <c r="M104" s="67">
        <v>30</v>
      </c>
      <c r="N104" s="21">
        <f t="shared" si="5"/>
        <v>3300</v>
      </c>
      <c r="O104" s="16"/>
      <c r="Q104" s="2"/>
      <c r="R104" s="2"/>
      <c r="S104" s="3"/>
    </row>
    <row r="105" spans="1:20" ht="15" customHeight="1">
      <c r="A105" s="8">
        <v>9</v>
      </c>
      <c r="B105" s="4" t="s">
        <v>183</v>
      </c>
      <c r="C105" s="21">
        <f>L105/100*78</f>
        <v>1248</v>
      </c>
      <c r="D105" s="22">
        <f>C105/100*37</f>
        <v>461.76</v>
      </c>
      <c r="E105" s="26"/>
      <c r="F105" s="26">
        <f>C105/100*2.8</f>
        <v>34.943999999999996</v>
      </c>
      <c r="G105" s="26"/>
      <c r="H105" s="26">
        <f>C105/100*0.1</f>
        <v>1.2480000000000002</v>
      </c>
      <c r="I105" s="26">
        <f>C105/100*6.2</f>
        <v>77.376000000000005</v>
      </c>
      <c r="J105" s="26">
        <f>C105/100*46</f>
        <v>574.08000000000004</v>
      </c>
      <c r="K105" s="26">
        <f>C105/100*0.06</f>
        <v>0.74880000000000002</v>
      </c>
      <c r="L105" s="540">
        <v>1600</v>
      </c>
      <c r="M105" s="24">
        <v>24</v>
      </c>
      <c r="N105" s="21">
        <f t="shared" si="5"/>
        <v>38400</v>
      </c>
      <c r="O105" s="3"/>
      <c r="Q105" s="2"/>
      <c r="R105" s="2"/>
      <c r="S105" s="3"/>
    </row>
    <row r="106" spans="1:20" ht="16.2" customHeight="1">
      <c r="A106" s="8">
        <v>10</v>
      </c>
      <c r="B106" s="4" t="s">
        <v>158</v>
      </c>
      <c r="C106" s="21">
        <f>L106/100*81</f>
        <v>696.6</v>
      </c>
      <c r="D106" s="22">
        <f>C106/100*17</f>
        <v>118.422</v>
      </c>
      <c r="E106" s="26"/>
      <c r="F106" s="26">
        <f>C106/100*0.9</f>
        <v>6.2694000000000001</v>
      </c>
      <c r="G106" s="26"/>
      <c r="H106" s="26">
        <f>C106/100*0.2</f>
        <v>1.3932000000000002</v>
      </c>
      <c r="I106" s="26">
        <f>C106/100*2.8</f>
        <v>19.504799999999999</v>
      </c>
      <c r="J106" s="23">
        <f>C106/100*28</f>
        <v>195.048</v>
      </c>
      <c r="K106" s="25">
        <f>C106/100*0.04</f>
        <v>0.27864</v>
      </c>
      <c r="L106" s="540">
        <v>860</v>
      </c>
      <c r="M106" s="65">
        <v>20</v>
      </c>
      <c r="N106" s="21">
        <f t="shared" si="5"/>
        <v>17200</v>
      </c>
      <c r="O106" s="3"/>
      <c r="P106" s="2"/>
    </row>
    <row r="107" spans="1:20" ht="16.2" customHeight="1">
      <c r="A107" s="8">
        <v>11</v>
      </c>
      <c r="B107" s="4" t="s">
        <v>138</v>
      </c>
      <c r="C107" s="21">
        <f>L107/100*100</f>
        <v>40</v>
      </c>
      <c r="D107" s="22">
        <f>C107/100*247</f>
        <v>98.800000000000011</v>
      </c>
      <c r="E107" s="26"/>
      <c r="F107" s="26">
        <f>C107/100*17.5</f>
        <v>7</v>
      </c>
      <c r="G107" s="26"/>
      <c r="H107" s="26">
        <f>C107/100*1.6</f>
        <v>0.64000000000000012</v>
      </c>
      <c r="I107" s="26">
        <f>C107/100*39.2</f>
        <v>15.680000000000001</v>
      </c>
      <c r="J107" s="62"/>
      <c r="K107" s="62"/>
      <c r="L107" s="540">
        <v>40</v>
      </c>
      <c r="M107" s="65">
        <v>50</v>
      </c>
      <c r="N107" s="21">
        <f t="shared" si="5"/>
        <v>2000</v>
      </c>
      <c r="O107" s="3"/>
      <c r="Q107" s="2"/>
      <c r="R107" s="2"/>
      <c r="S107" s="3"/>
      <c r="T107" s="2"/>
    </row>
    <row r="108" spans="1:20" ht="16.2" customHeight="1">
      <c r="A108" s="8">
        <v>12</v>
      </c>
      <c r="B108" s="5" t="s">
        <v>125</v>
      </c>
      <c r="C108" s="21"/>
      <c r="D108" s="22"/>
      <c r="E108" s="26"/>
      <c r="F108" s="26"/>
      <c r="G108" s="26"/>
      <c r="H108" s="26"/>
      <c r="I108" s="26"/>
      <c r="J108" s="26"/>
      <c r="K108" s="26"/>
      <c r="L108" s="27"/>
      <c r="M108" s="67"/>
      <c r="N108" s="21">
        <v>3950</v>
      </c>
      <c r="O108" s="3"/>
    </row>
    <row r="109" spans="1:20" ht="16.2" customHeight="1">
      <c r="A109" s="342" t="s">
        <v>110</v>
      </c>
      <c r="B109" s="342"/>
      <c r="C109" s="30"/>
      <c r="D109" s="31">
        <f>SUM(D97:D108)</f>
        <v>17240.806999999997</v>
      </c>
      <c r="E109" s="6"/>
      <c r="F109" s="6"/>
      <c r="G109" s="6"/>
      <c r="H109" s="6"/>
      <c r="I109" s="6"/>
      <c r="J109" s="6"/>
      <c r="K109" s="6"/>
      <c r="L109" s="38"/>
      <c r="M109" s="38"/>
      <c r="N109" s="302">
        <f>SUM(N97:N108)</f>
        <v>706808</v>
      </c>
      <c r="O109" s="3"/>
    </row>
    <row r="110" spans="1:20" ht="16.2" customHeight="1">
      <c r="A110" s="342" t="s">
        <v>37</v>
      </c>
      <c r="B110" s="342"/>
      <c r="C110" s="39"/>
      <c r="D110" s="40">
        <f>D109/D91</f>
        <v>302.470298245614</v>
      </c>
      <c r="E110" s="40"/>
      <c r="F110" s="40"/>
      <c r="G110" s="40"/>
      <c r="H110" s="40"/>
      <c r="I110" s="40"/>
      <c r="J110" s="40"/>
      <c r="K110" s="40"/>
      <c r="L110" s="38"/>
      <c r="M110" s="38"/>
      <c r="N110" s="303"/>
      <c r="O110" s="3"/>
    </row>
    <row r="111" spans="1:20" ht="16.2" customHeight="1">
      <c r="A111" s="330" t="s">
        <v>44</v>
      </c>
      <c r="B111" s="331"/>
      <c r="C111" s="541" t="s">
        <v>154</v>
      </c>
      <c r="D111" s="18" t="s">
        <v>45</v>
      </c>
      <c r="E111" s="40"/>
      <c r="F111" s="40"/>
      <c r="G111" s="40"/>
      <c r="H111" s="40"/>
      <c r="I111" s="40"/>
      <c r="J111" s="41"/>
      <c r="K111" s="41"/>
      <c r="L111" s="38"/>
      <c r="M111" s="38"/>
      <c r="N111" s="285"/>
      <c r="O111" s="3"/>
    </row>
    <row r="112" spans="1:20" ht="16.2" customHeight="1">
      <c r="A112" s="332"/>
      <c r="B112" s="333"/>
      <c r="C112" s="17" t="s">
        <v>59</v>
      </c>
      <c r="D112" s="68">
        <f>D110*100/930</f>
        <v>32.523687983399356</v>
      </c>
      <c r="E112" s="40"/>
      <c r="F112" s="40"/>
      <c r="G112" s="40"/>
      <c r="H112" s="40"/>
      <c r="I112" s="40"/>
      <c r="J112" s="41"/>
      <c r="K112" s="41"/>
      <c r="L112" s="38"/>
      <c r="M112" s="38"/>
      <c r="N112" s="285"/>
      <c r="O112" s="3"/>
    </row>
    <row r="113" spans="1:20" ht="16.2" customHeight="1">
      <c r="A113" s="341" t="s">
        <v>38</v>
      </c>
      <c r="B113" s="341"/>
      <c r="C113" s="48"/>
      <c r="D113" s="49"/>
      <c r="E113" s="50"/>
      <c r="F113" s="50"/>
      <c r="G113" s="50"/>
      <c r="H113" s="50"/>
      <c r="I113" s="50"/>
      <c r="J113" s="50"/>
      <c r="K113" s="50"/>
      <c r="L113" s="51"/>
      <c r="M113" s="51"/>
      <c r="N113" s="48"/>
      <c r="O113" s="3"/>
    </row>
    <row r="114" spans="1:20" ht="16.2" customHeight="1">
      <c r="A114" s="14">
        <v>1</v>
      </c>
      <c r="B114" s="15" t="s">
        <v>2</v>
      </c>
      <c r="C114" s="44">
        <f>L114/100*100</f>
        <v>70</v>
      </c>
      <c r="D114" s="45">
        <f>C114/100*60</f>
        <v>42</v>
      </c>
      <c r="E114" s="46">
        <f>C114/100*15</f>
        <v>10.5</v>
      </c>
      <c r="F114" s="46"/>
      <c r="G114" s="46"/>
      <c r="H114" s="46"/>
      <c r="I114" s="46"/>
      <c r="J114" s="23">
        <f>C114/100*387</f>
        <v>270.89999999999998</v>
      </c>
      <c r="K114" s="23">
        <f>C114/100*0.09</f>
        <v>6.3E-2</v>
      </c>
      <c r="L114" s="575">
        <v>70</v>
      </c>
      <c r="M114" s="67">
        <v>20</v>
      </c>
      <c r="N114" s="21">
        <f>L114*M114</f>
        <v>1400</v>
      </c>
      <c r="O114" s="3"/>
    </row>
    <row r="115" spans="1:20" ht="16.2" customHeight="1">
      <c r="A115" s="8">
        <v>2</v>
      </c>
      <c r="B115" s="147" t="s">
        <v>149</v>
      </c>
      <c r="C115" s="21">
        <f>L115/100*100</f>
        <v>80</v>
      </c>
      <c r="D115" s="110">
        <f>C115/100*900</f>
        <v>720</v>
      </c>
      <c r="E115" s="23"/>
      <c r="F115" s="23"/>
      <c r="G115" s="109"/>
      <c r="H115" s="23">
        <f>C115/100*100</f>
        <v>80</v>
      </c>
      <c r="I115" s="23"/>
      <c r="J115" s="23"/>
      <c r="K115" s="23"/>
      <c r="L115" s="130">
        <v>80</v>
      </c>
      <c r="M115" s="65">
        <v>63.5</v>
      </c>
      <c r="N115" s="21">
        <f t="shared" ref="N115" si="6">L115*M115</f>
        <v>5080</v>
      </c>
      <c r="O115" s="542"/>
    </row>
    <row r="116" spans="1:20" ht="16.2" customHeight="1">
      <c r="A116" s="8">
        <v>3</v>
      </c>
      <c r="B116" s="4" t="s">
        <v>1</v>
      </c>
      <c r="C116" s="21">
        <f>L116/100*100</f>
        <v>2394</v>
      </c>
      <c r="D116" s="22">
        <f>C116/100*344</f>
        <v>8235.36</v>
      </c>
      <c r="E116" s="23"/>
      <c r="F116" s="23">
        <f>C116/100*7.9</f>
        <v>189.126</v>
      </c>
      <c r="G116" s="23"/>
      <c r="H116" s="23">
        <f>C116/100*1</f>
        <v>23.94</v>
      </c>
      <c r="I116" s="109">
        <f>C116/100*72</f>
        <v>1723.68</v>
      </c>
      <c r="J116" s="23">
        <f>C116/100*30</f>
        <v>718.2</v>
      </c>
      <c r="K116" s="23">
        <f>C116/100*0.1</f>
        <v>2.3940000000000001</v>
      </c>
      <c r="L116" s="130">
        <v>2394</v>
      </c>
      <c r="M116" s="67">
        <v>18</v>
      </c>
      <c r="N116" s="21">
        <f t="shared" ref="N116:N122" si="7">L116*M116</f>
        <v>43092</v>
      </c>
      <c r="O116" s="3"/>
    </row>
    <row r="117" spans="1:20" ht="16.2" customHeight="1">
      <c r="A117" s="8">
        <v>4</v>
      </c>
      <c r="B117" s="4" t="s">
        <v>138</v>
      </c>
      <c r="C117" s="21">
        <f>L117/100*100</f>
        <v>40</v>
      </c>
      <c r="D117" s="22">
        <f>C117/100*247</f>
        <v>98.800000000000011</v>
      </c>
      <c r="E117" s="26"/>
      <c r="F117" s="26">
        <f>C117/100*17.5</f>
        <v>7</v>
      </c>
      <c r="G117" s="26"/>
      <c r="H117" s="26">
        <f>C117/100*1.6</f>
        <v>0.64000000000000012</v>
      </c>
      <c r="I117" s="26">
        <f>C117/100*39.2</f>
        <v>15.680000000000001</v>
      </c>
      <c r="J117" s="62"/>
      <c r="K117" s="62"/>
      <c r="L117" s="540">
        <v>40</v>
      </c>
      <c r="M117" s="65">
        <v>50</v>
      </c>
      <c r="N117" s="21">
        <f t="shared" si="7"/>
        <v>2000</v>
      </c>
      <c r="O117" s="3"/>
      <c r="Q117" s="2"/>
      <c r="R117" s="2"/>
      <c r="S117" s="3"/>
      <c r="T117" s="2"/>
    </row>
    <row r="118" spans="1:20" ht="16.2" customHeight="1">
      <c r="A118" s="8">
        <v>5</v>
      </c>
      <c r="B118" s="9" t="s">
        <v>5</v>
      </c>
      <c r="C118" s="21">
        <f>L118/100*90</f>
        <v>72</v>
      </c>
      <c r="D118" s="22">
        <f>C118/100*281</f>
        <v>202.32</v>
      </c>
      <c r="E118" s="23"/>
      <c r="F118" s="23">
        <f>C118/100*9.5</f>
        <v>6.84</v>
      </c>
      <c r="G118" s="23"/>
      <c r="H118" s="23">
        <f>C118/100*0.2</f>
        <v>0.14399999999999999</v>
      </c>
      <c r="I118" s="23">
        <f>D118/100*58.5</f>
        <v>118.35720000000001</v>
      </c>
      <c r="J118" s="25">
        <f>C118/100*321</f>
        <v>231.12</v>
      </c>
      <c r="K118" s="25">
        <f>C118/100*0.14</f>
        <v>0.1008</v>
      </c>
      <c r="L118" s="130">
        <v>80</v>
      </c>
      <c r="M118" s="67">
        <v>120</v>
      </c>
      <c r="N118" s="21">
        <f t="shared" si="7"/>
        <v>9600</v>
      </c>
      <c r="O118" s="16"/>
    </row>
    <row r="119" spans="1:20" ht="16.2" customHeight="1">
      <c r="A119" s="8">
        <v>6</v>
      </c>
      <c r="B119" s="9" t="s">
        <v>27</v>
      </c>
      <c r="C119" s="21">
        <f>L119/100*90</f>
        <v>54</v>
      </c>
      <c r="D119" s="22">
        <f>C119/100*253</f>
        <v>136.62</v>
      </c>
      <c r="E119" s="23"/>
      <c r="F119" s="23">
        <f>C119/100*32.4</f>
        <v>17.495999999999999</v>
      </c>
      <c r="G119" s="23"/>
      <c r="H119" s="23">
        <f>C119/100*3.6</f>
        <v>1.9440000000000002</v>
      </c>
      <c r="I119" s="23">
        <f>C119/100*21.1</f>
        <v>11.394000000000002</v>
      </c>
      <c r="J119" s="25">
        <f>C119/100*165</f>
        <v>89.100000000000009</v>
      </c>
      <c r="K119" s="25">
        <f>C119/100*0.14</f>
        <v>7.5600000000000014E-2</v>
      </c>
      <c r="L119" s="130">
        <v>60</v>
      </c>
      <c r="M119" s="67">
        <v>275</v>
      </c>
      <c r="N119" s="21">
        <f t="shared" si="7"/>
        <v>16500</v>
      </c>
      <c r="O119" s="16"/>
    </row>
    <row r="120" spans="1:20" ht="16.2" customHeight="1">
      <c r="A120" s="8">
        <v>7</v>
      </c>
      <c r="B120" s="9" t="s">
        <v>63</v>
      </c>
      <c r="C120" s="21">
        <f>L120/100*86</f>
        <v>1720</v>
      </c>
      <c r="D120" s="22">
        <f>C120/100*166</f>
        <v>2855.2</v>
      </c>
      <c r="E120" s="23">
        <f>C120/100*14.8</f>
        <v>254.56</v>
      </c>
      <c r="F120" s="23"/>
      <c r="G120" s="23">
        <f>C120/100*11.6</f>
        <v>199.51999999999998</v>
      </c>
      <c r="H120" s="23"/>
      <c r="I120" s="23">
        <f>C120/100*0.5</f>
        <v>8.6</v>
      </c>
      <c r="J120" s="23">
        <f>C120/100*55</f>
        <v>946</v>
      </c>
      <c r="K120" s="23">
        <f>C120/100*0.16</f>
        <v>2.7519999999999998</v>
      </c>
      <c r="L120" s="130">
        <v>2000</v>
      </c>
      <c r="M120" s="67">
        <v>62</v>
      </c>
      <c r="N120" s="21">
        <f t="shared" si="7"/>
        <v>124000</v>
      </c>
      <c r="O120" s="3"/>
      <c r="Q120" s="2"/>
      <c r="R120" s="2"/>
      <c r="S120" s="3"/>
      <c r="T120" s="2"/>
    </row>
    <row r="121" spans="1:20" ht="16.2" customHeight="1">
      <c r="A121" s="8">
        <v>8</v>
      </c>
      <c r="B121" s="147" t="s">
        <v>74</v>
      </c>
      <c r="C121" s="21">
        <f>L121/100*98</f>
        <v>499.79999999999995</v>
      </c>
      <c r="D121" s="22">
        <f>C121/100*139</f>
        <v>694.72199999999987</v>
      </c>
      <c r="E121" s="23">
        <f>C121/100*19</f>
        <v>94.961999999999989</v>
      </c>
      <c r="F121" s="23"/>
      <c r="G121" s="23">
        <f>C121/100*7</f>
        <v>34.985999999999997</v>
      </c>
      <c r="H121" s="23"/>
      <c r="I121" s="23"/>
      <c r="J121" s="23">
        <f>C121/100*7</f>
        <v>34.985999999999997</v>
      </c>
      <c r="K121" s="23">
        <f>C121/100*0.9</f>
        <v>4.4981999999999998</v>
      </c>
      <c r="L121" s="130">
        <v>510</v>
      </c>
      <c r="M121" s="65">
        <v>130</v>
      </c>
      <c r="N121" s="21">
        <f t="shared" si="7"/>
        <v>66300</v>
      </c>
      <c r="O121" s="3"/>
      <c r="S121" s="163"/>
    </row>
    <row r="122" spans="1:20" ht="16.95" customHeight="1">
      <c r="A122" s="8">
        <v>9</v>
      </c>
      <c r="B122" s="4" t="s">
        <v>184</v>
      </c>
      <c r="C122" s="21">
        <f>L122/100*90</f>
        <v>1386</v>
      </c>
      <c r="D122" s="22">
        <f>C122/100*29</f>
        <v>401.94</v>
      </c>
      <c r="E122" s="23"/>
      <c r="F122" s="23">
        <f>C122/100*1.8</f>
        <v>24.948</v>
      </c>
      <c r="G122" s="23"/>
      <c r="H122" s="23">
        <f>C122/100*0.1</f>
        <v>1.3860000000000001</v>
      </c>
      <c r="I122" s="23">
        <f>C122/100*5.3</f>
        <v>73.457999999999998</v>
      </c>
      <c r="J122" s="23">
        <f>C122/100*48</f>
        <v>665.28</v>
      </c>
      <c r="K122" s="23">
        <f>C122/100*0.05</f>
        <v>0.69300000000000006</v>
      </c>
      <c r="L122" s="130">
        <v>1540</v>
      </c>
      <c r="M122" s="65">
        <v>15</v>
      </c>
      <c r="N122" s="21">
        <f t="shared" si="7"/>
        <v>23100</v>
      </c>
      <c r="O122" s="3"/>
      <c r="S122" s="163"/>
    </row>
    <row r="123" spans="1:20" ht="16.2" customHeight="1">
      <c r="A123" s="8">
        <v>10</v>
      </c>
      <c r="B123" s="5" t="s">
        <v>125</v>
      </c>
      <c r="C123" s="21"/>
      <c r="D123" s="22"/>
      <c r="E123" s="23"/>
      <c r="F123" s="23"/>
      <c r="G123" s="23"/>
      <c r="H123" s="23"/>
      <c r="I123" s="23"/>
      <c r="J123" s="23"/>
      <c r="K123" s="23"/>
      <c r="L123" s="24"/>
      <c r="M123" s="24"/>
      <c r="N123" s="21">
        <v>3950</v>
      </c>
      <c r="O123" s="3"/>
    </row>
    <row r="124" spans="1:20" ht="16.2" customHeight="1">
      <c r="A124" s="19" t="s">
        <v>111</v>
      </c>
      <c r="B124" s="20"/>
      <c r="C124" s="30"/>
      <c r="D124" s="31">
        <f>SUM(D114:D123)</f>
        <v>13386.962</v>
      </c>
      <c r="E124" s="6"/>
      <c r="F124" s="6"/>
      <c r="G124" s="6"/>
      <c r="H124" s="6"/>
      <c r="I124" s="6"/>
      <c r="J124" s="6"/>
      <c r="K124" s="6"/>
      <c r="L124" s="38"/>
      <c r="M124" s="38"/>
      <c r="N124" s="302">
        <f>SUM(N114:N123)</f>
        <v>295022</v>
      </c>
      <c r="O124" s="3"/>
    </row>
    <row r="125" spans="1:20" ht="16.2" customHeight="1">
      <c r="A125" s="19" t="s">
        <v>36</v>
      </c>
      <c r="B125" s="20"/>
      <c r="C125" s="52"/>
      <c r="D125" s="41">
        <f>D124/D91</f>
        <v>234.85898245614035</v>
      </c>
      <c r="E125" s="41"/>
      <c r="F125" s="41"/>
      <c r="G125" s="41"/>
      <c r="H125" s="41"/>
      <c r="I125" s="41"/>
      <c r="J125" s="41"/>
      <c r="K125" s="41"/>
      <c r="L125" s="53"/>
      <c r="M125" s="38"/>
      <c r="N125" s="340"/>
      <c r="O125" s="3"/>
      <c r="P125" s="163"/>
    </row>
    <row r="126" spans="1:20" ht="16.2" customHeight="1">
      <c r="A126" s="330" t="s">
        <v>49</v>
      </c>
      <c r="B126" s="331"/>
      <c r="C126" s="541" t="s">
        <v>154</v>
      </c>
      <c r="D126" s="18" t="s">
        <v>46</v>
      </c>
      <c r="E126" s="40"/>
      <c r="F126" s="40"/>
      <c r="G126" s="40"/>
      <c r="H126" s="40"/>
      <c r="I126" s="40"/>
      <c r="J126" s="41"/>
      <c r="K126" s="41"/>
      <c r="L126" s="38"/>
      <c r="M126" s="38"/>
      <c r="N126" s="285"/>
      <c r="O126" s="3"/>
    </row>
    <row r="127" spans="1:20" ht="16.2" customHeight="1">
      <c r="A127" s="332"/>
      <c r="B127" s="333"/>
      <c r="C127" s="17" t="s">
        <v>60</v>
      </c>
      <c r="D127" s="68">
        <f>D125*100/930</f>
        <v>25.253654027541973</v>
      </c>
      <c r="E127" s="40"/>
      <c r="F127" s="40"/>
      <c r="G127" s="40"/>
      <c r="H127" s="40"/>
      <c r="I127" s="40"/>
      <c r="J127" s="41"/>
      <c r="K127" s="41"/>
      <c r="L127" s="38"/>
      <c r="M127" s="38"/>
      <c r="N127" s="285"/>
      <c r="O127" s="3"/>
    </row>
    <row r="128" spans="1:20" ht="16.2" customHeight="1">
      <c r="A128" s="341" t="s">
        <v>35</v>
      </c>
      <c r="B128" s="341"/>
      <c r="C128" s="54"/>
      <c r="D128" s="55"/>
      <c r="E128" s="55"/>
      <c r="F128" s="55"/>
      <c r="G128" s="55"/>
      <c r="H128" s="55"/>
      <c r="I128" s="55"/>
      <c r="J128" s="55"/>
      <c r="K128" s="55"/>
      <c r="L128" s="56"/>
      <c r="M128" s="56"/>
      <c r="N128" s="57"/>
      <c r="O128" s="3"/>
    </row>
    <row r="129" spans="1:22" ht="16.2" customHeight="1">
      <c r="A129" s="100">
        <v>1</v>
      </c>
      <c r="B129" s="152" t="s">
        <v>152</v>
      </c>
      <c r="C129" s="30">
        <f>L129/100*100</f>
        <v>969.99999999999989</v>
      </c>
      <c r="D129" s="101">
        <f>C129/100*487</f>
        <v>4723.8999999999996</v>
      </c>
      <c r="E129" s="32"/>
      <c r="F129" s="32">
        <f>C129/100*19.5</f>
        <v>189.14999999999998</v>
      </c>
      <c r="G129" s="32"/>
      <c r="H129" s="32">
        <f>C129/100*23.2</f>
        <v>225.03999999999996</v>
      </c>
      <c r="I129" s="32">
        <f>C129/100*46</f>
        <v>446.2</v>
      </c>
      <c r="J129" s="119">
        <f>C129/100*680</f>
        <v>6595.9999999999991</v>
      </c>
      <c r="K129" s="32">
        <f>C129/100*0.55</f>
        <v>5.335</v>
      </c>
      <c r="L129" s="33">
        <v>970</v>
      </c>
      <c r="M129" s="153">
        <v>260</v>
      </c>
      <c r="N129" s="30">
        <f t="shared" ref="N129" si="8">L129*M129</f>
        <v>252200</v>
      </c>
      <c r="O129" s="3"/>
      <c r="P129" s="2"/>
    </row>
    <row r="130" spans="1:22" ht="17.399999999999999" customHeight="1">
      <c r="A130" s="318" t="s">
        <v>0</v>
      </c>
      <c r="B130" s="321" t="s">
        <v>19</v>
      </c>
      <c r="C130" s="321" t="s">
        <v>8</v>
      </c>
      <c r="D130" s="321" t="s">
        <v>9</v>
      </c>
      <c r="E130" s="324" t="s">
        <v>11</v>
      </c>
      <c r="F130" s="325"/>
      <c r="G130" s="324" t="s">
        <v>43</v>
      </c>
      <c r="H130" s="325"/>
      <c r="I130" s="318" t="s">
        <v>16</v>
      </c>
      <c r="J130" s="318" t="s">
        <v>41</v>
      </c>
      <c r="K130" s="318" t="s">
        <v>42</v>
      </c>
      <c r="L130" s="318" t="s">
        <v>17</v>
      </c>
      <c r="M130" s="318" t="s">
        <v>40</v>
      </c>
      <c r="N130" s="318" t="s">
        <v>18</v>
      </c>
      <c r="O130" s="539"/>
    </row>
    <row r="131" spans="1:22" ht="17.399999999999999" customHeight="1">
      <c r="A131" s="319"/>
      <c r="B131" s="322"/>
      <c r="C131" s="322"/>
      <c r="D131" s="322"/>
      <c r="E131" s="326"/>
      <c r="F131" s="327"/>
      <c r="G131" s="326"/>
      <c r="H131" s="327"/>
      <c r="I131" s="328"/>
      <c r="J131" s="328"/>
      <c r="K131" s="328"/>
      <c r="L131" s="328"/>
      <c r="M131" s="328"/>
      <c r="N131" s="319"/>
      <c r="O131" s="283"/>
    </row>
    <row r="132" spans="1:22" ht="17.399999999999999" customHeight="1">
      <c r="A132" s="319"/>
      <c r="B132" s="322"/>
      <c r="C132" s="322"/>
      <c r="D132" s="322"/>
      <c r="E132" s="318" t="s">
        <v>10</v>
      </c>
      <c r="F132" s="318" t="s">
        <v>12</v>
      </c>
      <c r="G132" s="318" t="s">
        <v>14</v>
      </c>
      <c r="H132" s="318" t="s">
        <v>15</v>
      </c>
      <c r="I132" s="328"/>
      <c r="J132" s="328"/>
      <c r="K132" s="328"/>
      <c r="L132" s="328"/>
      <c r="M132" s="328"/>
      <c r="N132" s="319"/>
      <c r="O132" s="283"/>
    </row>
    <row r="133" spans="1:22" ht="17.399999999999999" customHeight="1">
      <c r="A133" s="320"/>
      <c r="B133" s="323"/>
      <c r="C133" s="323"/>
      <c r="D133" s="323"/>
      <c r="E133" s="329"/>
      <c r="F133" s="329"/>
      <c r="G133" s="329"/>
      <c r="H133" s="329"/>
      <c r="I133" s="329"/>
      <c r="J133" s="329"/>
      <c r="K133" s="329"/>
      <c r="L133" s="329"/>
      <c r="M133" s="329"/>
      <c r="N133" s="320"/>
      <c r="O133" s="283"/>
    </row>
    <row r="134" spans="1:22" ht="21.6" customHeight="1">
      <c r="A134" s="342" t="s">
        <v>112</v>
      </c>
      <c r="B134" s="342"/>
      <c r="C134" s="30"/>
      <c r="D134" s="31">
        <f>SUM(D129:D129)</f>
        <v>4723.8999999999996</v>
      </c>
      <c r="E134" s="6"/>
      <c r="F134" s="6"/>
      <c r="G134" s="6"/>
      <c r="H134" s="6"/>
      <c r="I134" s="6"/>
      <c r="J134" s="6"/>
      <c r="K134" s="6"/>
      <c r="L134" s="38"/>
      <c r="M134" s="53"/>
      <c r="N134" s="302">
        <f>SUM(N129:N129)</f>
        <v>252200</v>
      </c>
      <c r="O134" s="3"/>
    </row>
    <row r="135" spans="1:22" ht="21.6" customHeight="1">
      <c r="A135" s="342" t="s">
        <v>7</v>
      </c>
      <c r="B135" s="342"/>
      <c r="C135" s="39"/>
      <c r="D135" s="40">
        <f>D134/D91</f>
        <v>82.875438596491222</v>
      </c>
      <c r="E135" s="40"/>
      <c r="F135" s="40"/>
      <c r="G135" s="40"/>
      <c r="H135" s="40"/>
      <c r="I135" s="40"/>
      <c r="J135" s="40"/>
      <c r="K135" s="40"/>
      <c r="L135" s="38"/>
      <c r="M135" s="58"/>
      <c r="N135" s="303"/>
      <c r="O135" s="3"/>
    </row>
    <row r="136" spans="1:22" ht="21.6" customHeight="1">
      <c r="A136" s="330" t="s">
        <v>47</v>
      </c>
      <c r="B136" s="331"/>
      <c r="C136" s="541" t="s">
        <v>154</v>
      </c>
      <c r="D136" s="18" t="s">
        <v>50</v>
      </c>
      <c r="E136" s="40"/>
      <c r="F136" s="40"/>
      <c r="G136" s="40"/>
      <c r="H136" s="40"/>
      <c r="I136" s="40"/>
      <c r="J136" s="41"/>
      <c r="K136" s="41"/>
      <c r="L136" s="38"/>
      <c r="M136" s="38"/>
      <c r="N136" s="285"/>
      <c r="O136" s="3"/>
    </row>
    <row r="137" spans="1:22" ht="21.6" customHeight="1">
      <c r="A137" s="332"/>
      <c r="B137" s="333"/>
      <c r="C137" s="17" t="s">
        <v>59</v>
      </c>
      <c r="D137" s="18">
        <f>D135*100/930</f>
        <v>8.9113374834936803</v>
      </c>
      <c r="E137" s="40"/>
      <c r="F137" s="40"/>
      <c r="G137" s="40"/>
      <c r="H137" s="40"/>
      <c r="I137" s="40"/>
      <c r="J137" s="41"/>
      <c r="K137" s="41"/>
      <c r="L137" s="38"/>
      <c r="M137" s="38"/>
      <c r="N137" s="285"/>
      <c r="O137" s="3"/>
    </row>
    <row r="138" spans="1:22" ht="21.6" customHeight="1">
      <c r="A138" s="394" t="s">
        <v>113</v>
      </c>
      <c r="B138" s="395"/>
      <c r="C138" s="398"/>
      <c r="D138" s="400">
        <f>D109+D124+D134</f>
        <v>35351.668999999994</v>
      </c>
      <c r="E138" s="6">
        <f t="shared" ref="E138:K138" si="9">SUM(E97:E129)</f>
        <v>945.09040000000005</v>
      </c>
      <c r="F138" s="6">
        <f t="shared" si="9"/>
        <v>681.21889999999985</v>
      </c>
      <c r="G138" s="6">
        <f t="shared" si="9"/>
        <v>865.21360000000004</v>
      </c>
      <c r="H138" s="6">
        <f t="shared" si="9"/>
        <v>361.96819999999991</v>
      </c>
      <c r="I138" s="358">
        <f t="shared" si="9"/>
        <v>4298.125</v>
      </c>
      <c r="J138" s="358">
        <f t="shared" si="9"/>
        <v>13479.011999999999</v>
      </c>
      <c r="K138" s="390">
        <f t="shared" si="9"/>
        <v>21.701240000000002</v>
      </c>
      <c r="L138" s="373"/>
      <c r="M138" s="373"/>
      <c r="N138" s="364">
        <f>N109+N124+N134</f>
        <v>1254030</v>
      </c>
    </row>
    <row r="139" spans="1:22" ht="21.6" customHeight="1">
      <c r="A139" s="396"/>
      <c r="B139" s="397"/>
      <c r="C139" s="399"/>
      <c r="D139" s="363"/>
      <c r="E139" s="387">
        <f>E138+F138</f>
        <v>1626.3092999999999</v>
      </c>
      <c r="F139" s="388"/>
      <c r="G139" s="387">
        <f>G138+H138</f>
        <v>1227.1817999999998</v>
      </c>
      <c r="H139" s="388"/>
      <c r="I139" s="360"/>
      <c r="J139" s="360"/>
      <c r="K139" s="391"/>
      <c r="L139" s="373"/>
      <c r="M139" s="373"/>
      <c r="N139" s="365"/>
      <c r="U139" s="274"/>
      <c r="V139" s="274"/>
    </row>
    <row r="140" spans="1:22" ht="21.6" customHeight="1">
      <c r="A140" s="374" t="s">
        <v>77</v>
      </c>
      <c r="B140" s="375"/>
      <c r="C140" s="376"/>
      <c r="D140" s="125">
        <f>D138/D91</f>
        <v>620.20471929824555</v>
      </c>
      <c r="E140" s="565">
        <f>E138/D91</f>
        <v>16.580533333333335</v>
      </c>
      <c r="F140" s="564">
        <f>F138/D91</f>
        <v>11.951208771929823</v>
      </c>
      <c r="G140" s="565">
        <f>G138/D91</f>
        <v>15.179185964912282</v>
      </c>
      <c r="H140" s="564">
        <f>H138/D91</f>
        <v>6.350319298245612</v>
      </c>
      <c r="I140" s="368">
        <f>I138/D91</f>
        <v>75.405701754385959</v>
      </c>
      <c r="J140" s="413">
        <f>J138/D91</f>
        <v>236.47389473684208</v>
      </c>
      <c r="K140" s="413">
        <f>K138/D91</f>
        <v>0.38072350877192984</v>
      </c>
      <c r="L140" s="373"/>
      <c r="M140" s="373"/>
      <c r="N140" s="365"/>
      <c r="Q140" s="274"/>
      <c r="R140" s="274"/>
      <c r="S140" s="274"/>
      <c r="T140" s="274"/>
      <c r="U140" s="586"/>
      <c r="V140" s="274"/>
    </row>
    <row r="141" spans="1:22" ht="21.6" customHeight="1">
      <c r="A141" s="377"/>
      <c r="B141" s="378"/>
      <c r="C141" s="379"/>
      <c r="D141" s="117"/>
      <c r="E141" s="545">
        <f>E140+F140</f>
        <v>28.531742105263156</v>
      </c>
      <c r="F141" s="546"/>
      <c r="G141" s="545">
        <f>G140+H140</f>
        <v>21.529505263157894</v>
      </c>
      <c r="H141" s="546"/>
      <c r="I141" s="369"/>
      <c r="J141" s="414"/>
      <c r="K141" s="414"/>
      <c r="L141" s="373"/>
      <c r="M141" s="373"/>
      <c r="N141" s="365"/>
      <c r="P141" s="547"/>
      <c r="Q141" s="274"/>
      <c r="R141" s="274"/>
      <c r="S141" s="587"/>
      <c r="T141" s="587"/>
      <c r="U141" s="571"/>
      <c r="V141" s="274"/>
    </row>
    <row r="142" spans="1:22" ht="21.6" customHeight="1">
      <c r="A142" s="348" t="s">
        <v>80</v>
      </c>
      <c r="B142" s="380"/>
      <c r="C142" s="349"/>
      <c r="D142" s="282" t="s">
        <v>29</v>
      </c>
      <c r="E142" s="304" t="s">
        <v>24</v>
      </c>
      <c r="F142" s="304"/>
      <c r="G142" s="304" t="s">
        <v>25</v>
      </c>
      <c r="H142" s="304"/>
      <c r="I142" s="555" t="s">
        <v>26</v>
      </c>
      <c r="J142" s="281">
        <v>500</v>
      </c>
      <c r="K142" s="281">
        <v>0.5</v>
      </c>
      <c r="L142" s="373"/>
      <c r="M142" s="373"/>
      <c r="N142" s="365"/>
      <c r="O142" s="548"/>
      <c r="P142" s="133"/>
      <c r="Q142" s="557"/>
      <c r="R142" s="557"/>
      <c r="S142" s="557"/>
      <c r="T142" s="85"/>
    </row>
    <row r="143" spans="1:22" ht="21.6" customHeight="1">
      <c r="A143" s="348" t="s">
        <v>78</v>
      </c>
      <c r="B143" s="380"/>
      <c r="C143" s="349"/>
      <c r="D143" s="42"/>
      <c r="E143" s="381">
        <f>E141*4.1</f>
        <v>116.98014263157893</v>
      </c>
      <c r="F143" s="382"/>
      <c r="G143" s="381">
        <f>G141*9</f>
        <v>193.76554736842104</v>
      </c>
      <c r="H143" s="382"/>
      <c r="I143" s="74">
        <f>I140*4.1</f>
        <v>309.16337719298241</v>
      </c>
      <c r="J143" s="361"/>
      <c r="K143" s="361"/>
      <c r="L143" s="373"/>
      <c r="M143" s="373"/>
      <c r="N143" s="365"/>
      <c r="O143" s="548"/>
      <c r="P143" s="556"/>
      <c r="Q143" s="133"/>
      <c r="R143" s="133"/>
      <c r="S143" s="133"/>
    </row>
    <row r="144" spans="1:22" ht="21.6" customHeight="1">
      <c r="A144" s="383" t="s">
        <v>81</v>
      </c>
      <c r="B144" s="384"/>
      <c r="C144" s="348" t="s">
        <v>59</v>
      </c>
      <c r="D144" s="349"/>
      <c r="E144" s="298">
        <f>E143*100/D140</f>
        <v>18.861537004094487</v>
      </c>
      <c r="F144" s="299"/>
      <c r="G144" s="298">
        <f>G143*100/D140</f>
        <v>31.242191705291198</v>
      </c>
      <c r="H144" s="299"/>
      <c r="I144" s="106">
        <f>I143*100/D140</f>
        <v>49.848601207484712</v>
      </c>
      <c r="J144" s="362"/>
      <c r="K144" s="362"/>
      <c r="L144" s="373"/>
      <c r="M144" s="373"/>
      <c r="N144" s="365"/>
      <c r="O144" s="548"/>
    </row>
    <row r="145" spans="1:16" ht="21.6" customHeight="1">
      <c r="A145" s="385"/>
      <c r="B145" s="386"/>
      <c r="C145" s="348" t="s">
        <v>79</v>
      </c>
      <c r="D145" s="349"/>
      <c r="E145" s="348" t="s">
        <v>82</v>
      </c>
      <c r="F145" s="349"/>
      <c r="G145" s="348" t="s">
        <v>85</v>
      </c>
      <c r="H145" s="349"/>
      <c r="I145" s="282" t="s">
        <v>86</v>
      </c>
      <c r="J145" s="363"/>
      <c r="K145" s="363"/>
      <c r="L145" s="373"/>
      <c r="M145" s="373"/>
      <c r="N145" s="366"/>
      <c r="O145" s="548"/>
      <c r="P145" s="2"/>
    </row>
    <row r="146" spans="1:16" ht="21.6" customHeight="1">
      <c r="A146" s="79"/>
      <c r="B146" s="82"/>
      <c r="C146" s="79"/>
      <c r="D146" s="79"/>
      <c r="E146" s="79"/>
      <c r="F146" s="79"/>
      <c r="G146" s="79"/>
      <c r="H146" s="79"/>
      <c r="I146" s="79"/>
      <c r="J146" s="79"/>
      <c r="K146" s="79"/>
      <c r="L146" s="80"/>
      <c r="M146" s="80"/>
      <c r="N146" s="81"/>
      <c r="O146" s="548"/>
      <c r="P146" s="2"/>
    </row>
    <row r="147" spans="1:16" ht="21" customHeight="1">
      <c r="A147" s="291" t="s">
        <v>116</v>
      </c>
      <c r="B147" s="291"/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548"/>
    </row>
    <row r="148" spans="1:16" ht="21" customHeight="1">
      <c r="A148" s="107" t="s">
        <v>117</v>
      </c>
      <c r="B148" s="292" t="s">
        <v>118</v>
      </c>
      <c r="C148" s="292"/>
      <c r="D148" s="292"/>
      <c r="E148" s="292"/>
      <c r="F148" s="292"/>
      <c r="G148" s="292"/>
      <c r="H148" s="292"/>
      <c r="I148" s="292"/>
      <c r="J148" s="292"/>
      <c r="K148" s="292"/>
      <c r="L148" s="292"/>
      <c r="M148" s="292"/>
      <c r="N148" s="292"/>
      <c r="O148" s="548"/>
    </row>
    <row r="149" spans="1:16" ht="21" customHeight="1">
      <c r="A149" s="108"/>
      <c r="B149" s="293" t="s">
        <v>210</v>
      </c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548"/>
    </row>
    <row r="150" spans="1:16" ht="21" customHeight="1">
      <c r="A150" s="108"/>
      <c r="B150" s="293" t="s">
        <v>187</v>
      </c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548"/>
    </row>
    <row r="151" spans="1:16" ht="21" customHeight="1">
      <c r="A151" s="108"/>
      <c r="B151" s="293" t="s">
        <v>198</v>
      </c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548"/>
    </row>
    <row r="152" spans="1:16" ht="21" customHeight="1">
      <c r="A152" s="79"/>
      <c r="B152" s="294" t="s">
        <v>137</v>
      </c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548"/>
    </row>
    <row r="153" spans="1:16" ht="21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83"/>
      <c r="M153" s="83"/>
      <c r="N153" s="84"/>
      <c r="O153" s="548"/>
    </row>
    <row r="154" spans="1:16" ht="21" customHeight="1">
      <c r="A154" s="295" t="s">
        <v>62</v>
      </c>
      <c r="B154" s="295"/>
      <c r="C154" s="295"/>
      <c r="D154" s="295"/>
      <c r="E154" s="549"/>
      <c r="F154" s="549"/>
      <c r="G154" s="549"/>
      <c r="H154" s="549"/>
      <c r="I154" s="549"/>
      <c r="J154" s="550" t="s">
        <v>33</v>
      </c>
      <c r="K154" s="550"/>
      <c r="L154" s="550"/>
      <c r="M154" s="550"/>
      <c r="N154" s="550"/>
      <c r="O154" s="548"/>
    </row>
    <row r="155" spans="1:16" ht="21" customHeight="1">
      <c r="A155" s="283"/>
      <c r="B155" s="283"/>
      <c r="C155" s="283"/>
      <c r="D155" s="549"/>
      <c r="E155" s="549"/>
      <c r="F155" s="549"/>
      <c r="G155" s="549"/>
      <c r="H155" s="551"/>
      <c r="I155" s="551"/>
      <c r="J155" s="551"/>
      <c r="K155" s="551"/>
      <c r="L155" s="551"/>
      <c r="M155" s="551"/>
      <c r="N155" s="551"/>
      <c r="O155" s="548"/>
    </row>
    <row r="156" spans="1:16" ht="21" customHeight="1">
      <c r="A156" s="283"/>
      <c r="B156" s="283"/>
      <c r="C156" s="283"/>
      <c r="D156" s="549"/>
      <c r="E156" s="549"/>
      <c r="F156" s="549"/>
      <c r="G156" s="549"/>
      <c r="H156" s="551"/>
      <c r="I156" s="551"/>
      <c r="J156" s="551"/>
      <c r="K156" s="551"/>
      <c r="L156" s="551"/>
      <c r="M156" s="551"/>
      <c r="N156" s="551"/>
      <c r="O156" s="548"/>
    </row>
    <row r="157" spans="1:16" ht="21" customHeight="1">
      <c r="A157" s="283"/>
      <c r="B157" s="283"/>
      <c r="C157" s="283"/>
      <c r="D157" s="549"/>
      <c r="E157" s="549"/>
      <c r="F157" s="549"/>
      <c r="G157" s="549"/>
      <c r="H157" s="551"/>
      <c r="I157" s="551"/>
      <c r="J157" s="552" t="s">
        <v>126</v>
      </c>
      <c r="K157" s="552"/>
      <c r="L157" s="552"/>
      <c r="M157" s="552"/>
      <c r="N157" s="552"/>
      <c r="O157" s="548"/>
    </row>
    <row r="158" spans="1:16" ht="21" customHeight="1">
      <c r="A158" s="287" t="s">
        <v>93</v>
      </c>
      <c r="B158" s="287"/>
      <c r="C158" s="287"/>
      <c r="D158" s="287"/>
      <c r="E158" s="549"/>
      <c r="F158" s="549"/>
      <c r="G158" s="549"/>
      <c r="H158" s="551"/>
      <c r="I158" s="551"/>
      <c r="J158" s="552"/>
      <c r="K158" s="552"/>
      <c r="L158" s="552"/>
      <c r="M158" s="552"/>
      <c r="N158" s="552"/>
      <c r="O158" s="548"/>
    </row>
    <row r="161" spans="10:14" ht="21.6" customHeight="1">
      <c r="J161" s="552" t="s">
        <v>129</v>
      </c>
      <c r="K161" s="552"/>
      <c r="L161" s="552"/>
      <c r="M161" s="552"/>
      <c r="N161" s="552"/>
    </row>
  </sheetData>
  <mergeCells count="207">
    <mergeCell ref="A89:D89"/>
    <mergeCell ref="J89:N89"/>
    <mergeCell ref="J157:N157"/>
    <mergeCell ref="J161:N161"/>
    <mergeCell ref="F1:N1"/>
    <mergeCell ref="F80:N80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4:F54"/>
    <mergeCell ref="G54:H54"/>
    <mergeCell ref="F13:F14"/>
    <mergeCell ref="G13:G14"/>
    <mergeCell ref="H13:H14"/>
    <mergeCell ref="E55:F55"/>
    <mergeCell ref="G55:H55"/>
    <mergeCell ref="J52:J53"/>
    <mergeCell ref="E142:F142"/>
    <mergeCell ref="G142:H142"/>
    <mergeCell ref="A111:B112"/>
    <mergeCell ref="A126:B127"/>
    <mergeCell ref="K138:K139"/>
    <mergeCell ref="G53:H53"/>
    <mergeCell ref="I138:I139"/>
    <mergeCell ref="I140:I141"/>
    <mergeCell ref="E141:F141"/>
    <mergeCell ref="G141:H141"/>
    <mergeCell ref="A55:C55"/>
    <mergeCell ref="A56:B57"/>
    <mergeCell ref="G139:H139"/>
    <mergeCell ref="A138:B139"/>
    <mergeCell ref="C138:C139"/>
    <mergeCell ref="D138:D139"/>
    <mergeCell ref="E85:N85"/>
    <mergeCell ref="E86:I86"/>
    <mergeCell ref="J86:N86"/>
    <mergeCell ref="A130:A133"/>
    <mergeCell ref="J69:N69"/>
    <mergeCell ref="J73:N73"/>
    <mergeCell ref="A134:B134"/>
    <mergeCell ref="A135:B135"/>
    <mergeCell ref="A109:B109"/>
    <mergeCell ref="E92:F93"/>
    <mergeCell ref="G92:H93"/>
    <mergeCell ref="A96:N96"/>
    <mergeCell ref="I130:I133"/>
    <mergeCell ref="J130:J133"/>
    <mergeCell ref="K130:K133"/>
    <mergeCell ref="F132:F133"/>
    <mergeCell ref="G132:G133"/>
    <mergeCell ref="H132:H133"/>
    <mergeCell ref="B130:B133"/>
    <mergeCell ref="C130:C133"/>
    <mergeCell ref="D130:D133"/>
    <mergeCell ref="M130:M133"/>
    <mergeCell ref="U52:V52"/>
    <mergeCell ref="U53:V53"/>
    <mergeCell ref="A136:B137"/>
    <mergeCell ref="J140:J141"/>
    <mergeCell ref="K140:K141"/>
    <mergeCell ref="J138:J139"/>
    <mergeCell ref="C50:C51"/>
    <mergeCell ref="E53:F53"/>
    <mergeCell ref="E51:F51"/>
    <mergeCell ref="A50:B51"/>
    <mergeCell ref="L138:L145"/>
    <mergeCell ref="M138:M145"/>
    <mergeCell ref="N138:N145"/>
    <mergeCell ref="A140:C141"/>
    <mergeCell ref="A142:C142"/>
    <mergeCell ref="A143:C143"/>
    <mergeCell ref="E143:F143"/>
    <mergeCell ref="G143:H143"/>
    <mergeCell ref="J143:J145"/>
    <mergeCell ref="K143:K145"/>
    <mergeCell ref="A144:B145"/>
    <mergeCell ref="C144:D144"/>
    <mergeCell ref="E144:F144"/>
    <mergeCell ref="E139:F139"/>
    <mergeCell ref="Q52:R52"/>
    <mergeCell ref="S52:T52"/>
    <mergeCell ref="Q53:R53"/>
    <mergeCell ref="S53:T53"/>
    <mergeCell ref="L92:L95"/>
    <mergeCell ref="N92:N95"/>
    <mergeCell ref="L50:L57"/>
    <mergeCell ref="M50:M57"/>
    <mergeCell ref="J55:J57"/>
    <mergeCell ref="K55:K57"/>
    <mergeCell ref="J50:J51"/>
    <mergeCell ref="J92:J95"/>
    <mergeCell ref="K92:K95"/>
    <mergeCell ref="K50:K51"/>
    <mergeCell ref="N50:N57"/>
    <mergeCell ref="B63:N63"/>
    <mergeCell ref="B64:N64"/>
    <mergeCell ref="A66:D66"/>
    <mergeCell ref="J66:N66"/>
    <mergeCell ref="A70:D70"/>
    <mergeCell ref="J70:N70"/>
    <mergeCell ref="I50:I51"/>
    <mergeCell ref="K52:K53"/>
    <mergeCell ref="A85:D86"/>
    <mergeCell ref="A15:N15"/>
    <mergeCell ref="E94:E95"/>
    <mergeCell ref="A46:B46"/>
    <mergeCell ref="A47:B47"/>
    <mergeCell ref="N28:N29"/>
    <mergeCell ref="N46:N47"/>
    <mergeCell ref="E44:E45"/>
    <mergeCell ref="F44:F45"/>
    <mergeCell ref="G44:G45"/>
    <mergeCell ref="H44:H45"/>
    <mergeCell ref="C56:D56"/>
    <mergeCell ref="C57:D57"/>
    <mergeCell ref="E56:F56"/>
    <mergeCell ref="G56:H56"/>
    <mergeCell ref="E57:F57"/>
    <mergeCell ref="G51:H51"/>
    <mergeCell ref="A87:D87"/>
    <mergeCell ref="A48:B49"/>
    <mergeCell ref="E87:I90"/>
    <mergeCell ref="J87:N87"/>
    <mergeCell ref="F94:F95"/>
    <mergeCell ref="A52:C53"/>
    <mergeCell ref="A54:C54"/>
    <mergeCell ref="A32:B32"/>
    <mergeCell ref="N42:N45"/>
    <mergeCell ref="A88:D88"/>
    <mergeCell ref="J88:N88"/>
    <mergeCell ref="A90:D90"/>
    <mergeCell ref="J90:N90"/>
    <mergeCell ref="I92:I95"/>
    <mergeCell ref="E130:F131"/>
    <mergeCell ref="G130:H131"/>
    <mergeCell ref="M92:M95"/>
    <mergeCell ref="A91:C91"/>
    <mergeCell ref="G94:G95"/>
    <mergeCell ref="H94:H95"/>
    <mergeCell ref="N124:N125"/>
    <mergeCell ref="A128:B128"/>
    <mergeCell ref="A110:B110"/>
    <mergeCell ref="A113:B113"/>
    <mergeCell ref="A92:A95"/>
    <mergeCell ref="B92:B95"/>
    <mergeCell ref="C92:C95"/>
    <mergeCell ref="L130:L133"/>
    <mergeCell ref="N109:N110"/>
    <mergeCell ref="N130:N133"/>
    <mergeCell ref="E132:E133"/>
    <mergeCell ref="D92:D95"/>
    <mergeCell ref="E5:N5"/>
    <mergeCell ref="A5:D5"/>
    <mergeCell ref="A6:D6"/>
    <mergeCell ref="A7:D7"/>
    <mergeCell ref="A9:D9"/>
    <mergeCell ref="E6:I9"/>
    <mergeCell ref="J6:N9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M11:M14"/>
    <mergeCell ref="J11:J14"/>
    <mergeCell ref="K11:K14"/>
    <mergeCell ref="A30:B31"/>
    <mergeCell ref="A10:C10"/>
    <mergeCell ref="L42:L45"/>
    <mergeCell ref="M42:M45"/>
    <mergeCell ref="A8:D8"/>
    <mergeCell ref="A158:D158"/>
    <mergeCell ref="J158:N158"/>
    <mergeCell ref="I52:I53"/>
    <mergeCell ref="D50:D51"/>
    <mergeCell ref="A147:N147"/>
    <mergeCell ref="B148:N148"/>
    <mergeCell ref="B149:N149"/>
    <mergeCell ref="B150:N150"/>
    <mergeCell ref="B151:N151"/>
    <mergeCell ref="B152:N152"/>
    <mergeCell ref="A154:D154"/>
    <mergeCell ref="J154:N154"/>
    <mergeCell ref="G57:H57"/>
    <mergeCell ref="A59:N59"/>
    <mergeCell ref="B60:N60"/>
    <mergeCell ref="B61:N61"/>
    <mergeCell ref="B62:N62"/>
    <mergeCell ref="G144:H144"/>
    <mergeCell ref="C145:D145"/>
    <mergeCell ref="E145:F145"/>
    <mergeCell ref="G145:H145"/>
    <mergeCell ref="A83:N83"/>
    <mergeCell ref="A84:N84"/>
    <mergeCell ref="N134:N135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8"/>
  <sheetViews>
    <sheetView view="pageLayout" workbookViewId="0">
      <selection activeCell="Q52" sqref="Q52:V53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33203125" style="1" customWidth="1"/>
    <col min="5" max="8" width="6.6640625" style="1" customWidth="1"/>
    <col min="9" max="9" width="7.664062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16" ht="22.2" customHeight="1">
      <c r="A1" s="10" t="s">
        <v>61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12" customHeight="1">
      <c r="A2" s="10"/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22.2" customHeight="1">
      <c r="A3" s="7" t="s">
        <v>211</v>
      </c>
      <c r="B3" s="7"/>
      <c r="C3" s="7"/>
      <c r="D3" s="7"/>
      <c r="E3" s="7"/>
      <c r="F3" s="280"/>
      <c r="G3" s="280"/>
      <c r="H3" s="280"/>
      <c r="I3" s="280"/>
      <c r="J3" s="280"/>
      <c r="K3" s="280"/>
      <c r="L3" s="280"/>
      <c r="M3" s="280"/>
      <c r="N3" s="280"/>
      <c r="O3" s="537"/>
      <c r="P3" s="537"/>
    </row>
    <row r="4" spans="1:16" ht="12" customHeight="1">
      <c r="A4" s="7"/>
      <c r="B4" s="7"/>
      <c r="C4" s="7"/>
      <c r="D4" s="7"/>
      <c r="E4" s="7"/>
      <c r="F4" s="280"/>
      <c r="G4" s="280"/>
      <c r="H4" s="280"/>
      <c r="I4" s="280"/>
      <c r="J4" s="280"/>
      <c r="K4" s="280"/>
      <c r="L4" s="280"/>
      <c r="M4" s="280"/>
      <c r="N4" s="280"/>
      <c r="O4" s="537"/>
      <c r="P4" s="537"/>
    </row>
    <row r="5" spans="1:16" ht="19.2" customHeight="1">
      <c r="A5" s="304" t="s">
        <v>99</v>
      </c>
      <c r="B5" s="304"/>
      <c r="C5" s="304"/>
      <c r="D5" s="304"/>
      <c r="E5" s="304" t="s">
        <v>100</v>
      </c>
      <c r="F5" s="304"/>
      <c r="G5" s="304"/>
      <c r="H5" s="304"/>
      <c r="I5" s="304"/>
      <c r="J5" s="304"/>
      <c r="K5" s="304"/>
      <c r="L5" s="304"/>
      <c r="M5" s="304"/>
      <c r="N5" s="304"/>
      <c r="O5" s="538"/>
    </row>
    <row r="6" spans="1:16" ht="19.2" customHeight="1">
      <c r="A6" s="305" t="s">
        <v>90</v>
      </c>
      <c r="B6" s="305"/>
      <c r="C6" s="305"/>
      <c r="D6" s="305"/>
      <c r="E6" s="308" t="s">
        <v>151</v>
      </c>
      <c r="F6" s="308"/>
      <c r="G6" s="308"/>
      <c r="H6" s="308"/>
      <c r="I6" s="308"/>
      <c r="J6" s="309" t="s">
        <v>146</v>
      </c>
      <c r="K6" s="310"/>
      <c r="L6" s="310"/>
      <c r="M6" s="310"/>
      <c r="N6" s="311"/>
      <c r="O6" s="538"/>
    </row>
    <row r="7" spans="1:16" ht="19.2" customHeight="1">
      <c r="A7" s="306" t="s">
        <v>136</v>
      </c>
      <c r="B7" s="306"/>
      <c r="C7" s="306"/>
      <c r="D7" s="306"/>
      <c r="E7" s="308"/>
      <c r="F7" s="308"/>
      <c r="G7" s="308"/>
      <c r="H7" s="308"/>
      <c r="I7" s="308"/>
      <c r="J7" s="312"/>
      <c r="K7" s="313"/>
      <c r="L7" s="313"/>
      <c r="M7" s="313"/>
      <c r="N7" s="314"/>
      <c r="O7" s="538"/>
    </row>
    <row r="8" spans="1:16" ht="19.2" customHeight="1">
      <c r="A8" s="337" t="s">
        <v>161</v>
      </c>
      <c r="B8" s="338"/>
      <c r="C8" s="338"/>
      <c r="D8" s="339"/>
      <c r="E8" s="308"/>
      <c r="F8" s="308"/>
      <c r="G8" s="308"/>
      <c r="H8" s="308"/>
      <c r="I8" s="308"/>
      <c r="J8" s="312"/>
      <c r="K8" s="313"/>
      <c r="L8" s="313"/>
      <c r="M8" s="313"/>
      <c r="N8" s="314"/>
      <c r="O8" s="538"/>
    </row>
    <row r="9" spans="1:16" ht="19.2" customHeight="1">
      <c r="A9" s="307" t="s">
        <v>172</v>
      </c>
      <c r="B9" s="307"/>
      <c r="C9" s="307"/>
      <c r="D9" s="307"/>
      <c r="E9" s="308"/>
      <c r="F9" s="308"/>
      <c r="G9" s="308"/>
      <c r="H9" s="308"/>
      <c r="I9" s="308"/>
      <c r="J9" s="315"/>
      <c r="K9" s="316"/>
      <c r="L9" s="316"/>
      <c r="M9" s="316"/>
      <c r="N9" s="317"/>
      <c r="O9" s="538"/>
    </row>
    <row r="10" spans="1:16" ht="19.2" customHeight="1">
      <c r="A10" s="334" t="s">
        <v>124</v>
      </c>
      <c r="B10" s="335"/>
      <c r="C10" s="336"/>
      <c r="D10" s="118">
        <v>218</v>
      </c>
      <c r="E10" s="7"/>
      <c r="F10" s="280"/>
      <c r="G10" s="280"/>
      <c r="H10" s="280"/>
      <c r="I10" s="280"/>
      <c r="J10" s="280"/>
      <c r="K10" s="280"/>
      <c r="L10" s="280"/>
      <c r="M10" s="280"/>
      <c r="N10" s="280"/>
      <c r="O10" s="537"/>
      <c r="P10" s="537"/>
    </row>
    <row r="11" spans="1:16" ht="22.2" customHeight="1">
      <c r="A11" s="318" t="s">
        <v>0</v>
      </c>
      <c r="B11" s="321" t="s">
        <v>19</v>
      </c>
      <c r="C11" s="321" t="s">
        <v>8</v>
      </c>
      <c r="D11" s="321" t="s">
        <v>9</v>
      </c>
      <c r="E11" s="324" t="s">
        <v>11</v>
      </c>
      <c r="F11" s="325"/>
      <c r="G11" s="324" t="s">
        <v>13</v>
      </c>
      <c r="H11" s="325"/>
      <c r="I11" s="318" t="s">
        <v>16</v>
      </c>
      <c r="J11" s="318" t="s">
        <v>41</v>
      </c>
      <c r="K11" s="318" t="s">
        <v>42</v>
      </c>
      <c r="L11" s="318" t="s">
        <v>17</v>
      </c>
      <c r="M11" s="318" t="s">
        <v>40</v>
      </c>
      <c r="N11" s="318" t="s">
        <v>18</v>
      </c>
      <c r="O11" s="539"/>
    </row>
    <row r="12" spans="1:16" ht="22.2" customHeight="1">
      <c r="A12" s="319"/>
      <c r="B12" s="322"/>
      <c r="C12" s="322"/>
      <c r="D12" s="322"/>
      <c r="E12" s="326"/>
      <c r="F12" s="327"/>
      <c r="G12" s="326"/>
      <c r="H12" s="327"/>
      <c r="I12" s="328"/>
      <c r="J12" s="328"/>
      <c r="K12" s="328"/>
      <c r="L12" s="328"/>
      <c r="M12" s="328"/>
      <c r="N12" s="319"/>
      <c r="O12" s="283"/>
    </row>
    <row r="13" spans="1:16" ht="22.2" customHeight="1">
      <c r="A13" s="319"/>
      <c r="B13" s="322"/>
      <c r="C13" s="322"/>
      <c r="D13" s="322"/>
      <c r="E13" s="318" t="s">
        <v>10</v>
      </c>
      <c r="F13" s="318" t="s">
        <v>12</v>
      </c>
      <c r="G13" s="318" t="s">
        <v>14</v>
      </c>
      <c r="H13" s="318" t="s">
        <v>15</v>
      </c>
      <c r="I13" s="328"/>
      <c r="J13" s="328"/>
      <c r="K13" s="328"/>
      <c r="L13" s="328"/>
      <c r="M13" s="328"/>
      <c r="N13" s="319"/>
      <c r="O13" s="283"/>
    </row>
    <row r="14" spans="1:16" ht="22.2" customHeight="1">
      <c r="A14" s="320"/>
      <c r="B14" s="323"/>
      <c r="C14" s="323"/>
      <c r="D14" s="323"/>
      <c r="E14" s="329"/>
      <c r="F14" s="329"/>
      <c r="G14" s="329"/>
      <c r="H14" s="329"/>
      <c r="I14" s="329"/>
      <c r="J14" s="329"/>
      <c r="K14" s="329"/>
      <c r="L14" s="329"/>
      <c r="M14" s="329"/>
      <c r="N14" s="320"/>
      <c r="O14" s="283"/>
    </row>
    <row r="15" spans="1:16" ht="19.95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283"/>
    </row>
    <row r="16" spans="1:16" ht="19.95" customHeight="1">
      <c r="A16" s="14">
        <v>1</v>
      </c>
      <c r="B16" s="15" t="s">
        <v>2</v>
      </c>
      <c r="C16" s="44">
        <f>L16/100*100</f>
        <v>290</v>
      </c>
      <c r="D16" s="45">
        <f>C16/100*60</f>
        <v>174</v>
      </c>
      <c r="E16" s="46">
        <f>C16/100*15</f>
        <v>43.5</v>
      </c>
      <c r="F16" s="46"/>
      <c r="G16" s="46"/>
      <c r="H16" s="46"/>
      <c r="I16" s="46"/>
      <c r="J16" s="88">
        <f>C16/100*387</f>
        <v>1122.3</v>
      </c>
      <c r="K16" s="88">
        <f>C16/100*0.09</f>
        <v>0.26100000000000001</v>
      </c>
      <c r="L16" s="575">
        <v>290</v>
      </c>
      <c r="M16" s="67">
        <v>20</v>
      </c>
      <c r="N16" s="44">
        <f>L16*M16</f>
        <v>5800</v>
      </c>
      <c r="O16" s="16"/>
    </row>
    <row r="17" spans="1:20" ht="19.95" customHeight="1">
      <c r="A17" s="8">
        <v>2</v>
      </c>
      <c r="B17" s="142" t="s">
        <v>143</v>
      </c>
      <c r="C17" s="21">
        <f>L17/100*100</f>
        <v>650</v>
      </c>
      <c r="D17" s="22">
        <f>C17/100*899</f>
        <v>5843.5</v>
      </c>
      <c r="E17" s="23"/>
      <c r="F17" s="23"/>
      <c r="G17" s="23">
        <f>C17/100*100</f>
        <v>650</v>
      </c>
      <c r="H17" s="23"/>
      <c r="I17" s="23"/>
      <c r="J17" s="25"/>
      <c r="K17" s="25"/>
      <c r="L17" s="130">
        <v>650</v>
      </c>
      <c r="M17" s="65">
        <v>68</v>
      </c>
      <c r="N17" s="21">
        <f t="shared" ref="N17:N26" si="0">L17*M17</f>
        <v>44200</v>
      </c>
      <c r="O17" s="3"/>
    </row>
    <row r="18" spans="1:20" ht="19.95" customHeight="1">
      <c r="A18" s="8">
        <v>3</v>
      </c>
      <c r="B18" s="4" t="s">
        <v>1</v>
      </c>
      <c r="C18" s="21">
        <f>L18/100*100</f>
        <v>20710</v>
      </c>
      <c r="D18" s="110">
        <f>C18/100*344</f>
        <v>71242.399999999994</v>
      </c>
      <c r="E18" s="129"/>
      <c r="F18" s="109">
        <f>C18/100*7.9</f>
        <v>1636.09</v>
      </c>
      <c r="G18" s="129"/>
      <c r="H18" s="23">
        <f>C18/100*1</f>
        <v>207.1</v>
      </c>
      <c r="I18" s="109">
        <f>C18/100*72</f>
        <v>14911.199999999999</v>
      </c>
      <c r="J18" s="25">
        <f>C18/100*30</f>
        <v>6213</v>
      </c>
      <c r="K18" s="25">
        <f>C18/100*0.1</f>
        <v>20.71</v>
      </c>
      <c r="L18" s="130">
        <v>20710</v>
      </c>
      <c r="M18" s="67">
        <v>18</v>
      </c>
      <c r="N18" s="21">
        <f t="shared" si="0"/>
        <v>372780</v>
      </c>
      <c r="O18" s="16"/>
    </row>
    <row r="19" spans="1:20" ht="19.95" customHeight="1">
      <c r="A19" s="8">
        <v>4</v>
      </c>
      <c r="B19" s="4" t="s">
        <v>95</v>
      </c>
      <c r="C19" s="21">
        <f>L19/100*81.7</f>
        <v>6266.39</v>
      </c>
      <c r="D19" s="22">
        <f>C19/100*27</f>
        <v>1691.9253000000001</v>
      </c>
      <c r="E19" s="26"/>
      <c r="F19" s="26">
        <f>C19/100*0.3</f>
        <v>18.79917</v>
      </c>
      <c r="G19" s="26"/>
      <c r="H19" s="26">
        <f>C19/100*0.1</f>
        <v>6.2663900000000012</v>
      </c>
      <c r="I19" s="26">
        <f>C19/100*6.1</f>
        <v>382.24979000000002</v>
      </c>
      <c r="J19" s="62">
        <f>C19/100*24</f>
        <v>1503.9336000000001</v>
      </c>
      <c r="K19" s="62">
        <f>C19/100*0.06</f>
        <v>3.7598340000000001</v>
      </c>
      <c r="L19" s="540">
        <v>7670</v>
      </c>
      <c r="M19" s="24">
        <v>22</v>
      </c>
      <c r="N19" s="21">
        <f t="shared" si="0"/>
        <v>168740</v>
      </c>
      <c r="O19" s="3"/>
      <c r="Q19" s="2"/>
      <c r="R19" s="2"/>
      <c r="S19" s="3"/>
    </row>
    <row r="20" spans="1:20" ht="19.95" customHeight="1">
      <c r="A20" s="8">
        <v>5</v>
      </c>
      <c r="B20" s="4" t="s">
        <v>4</v>
      </c>
      <c r="C20" s="21">
        <f>L20/100*98.5</f>
        <v>2147.3000000000002</v>
      </c>
      <c r="D20" s="22">
        <f>C20/100*39</f>
        <v>837.44700000000012</v>
      </c>
      <c r="E20" s="26"/>
      <c r="F20" s="26">
        <f>C20/100*1.5</f>
        <v>32.209500000000006</v>
      </c>
      <c r="G20" s="26"/>
      <c r="H20" s="26">
        <f>C20/100*0.2</f>
        <v>4.2946000000000009</v>
      </c>
      <c r="I20" s="26">
        <f>C20/100*7.8</f>
        <v>167.48940000000002</v>
      </c>
      <c r="J20" s="26">
        <f>C20/100*43</f>
        <v>923.33900000000006</v>
      </c>
      <c r="K20" s="26">
        <f>C20/100*0.06</f>
        <v>1.2883800000000001</v>
      </c>
      <c r="L20" s="540">
        <v>2180</v>
      </c>
      <c r="M20" s="24">
        <v>17</v>
      </c>
      <c r="N20" s="21">
        <f t="shared" si="0"/>
        <v>37060</v>
      </c>
      <c r="O20" s="3"/>
      <c r="Q20" s="2"/>
      <c r="R20" s="2"/>
      <c r="S20" s="3"/>
    </row>
    <row r="21" spans="1:20" ht="19.95" customHeight="1">
      <c r="A21" s="8">
        <v>6</v>
      </c>
      <c r="B21" s="4" t="s">
        <v>75</v>
      </c>
      <c r="C21" s="21">
        <f>L21/100*75</f>
        <v>1635</v>
      </c>
      <c r="D21" s="22">
        <f>C21/100*12</f>
        <v>196.20000000000002</v>
      </c>
      <c r="E21" s="23"/>
      <c r="F21" s="23">
        <f>C21/100*0.6</f>
        <v>9.81</v>
      </c>
      <c r="G21" s="23"/>
      <c r="H21" s="23"/>
      <c r="I21" s="23">
        <f>C21/100*2.4</f>
        <v>39.24</v>
      </c>
      <c r="J21" s="23">
        <f>C21/100*26</f>
        <v>425.1</v>
      </c>
      <c r="K21" s="23">
        <f>C21/100*0.02</f>
        <v>0.32700000000000001</v>
      </c>
      <c r="L21" s="130">
        <v>2180</v>
      </c>
      <c r="M21" s="65">
        <v>30</v>
      </c>
      <c r="N21" s="21">
        <f t="shared" si="0"/>
        <v>65400</v>
      </c>
      <c r="O21" s="3"/>
    </row>
    <row r="22" spans="1:20" ht="19.95" customHeight="1">
      <c r="A22" s="8">
        <v>7</v>
      </c>
      <c r="B22" s="4" t="s">
        <v>138</v>
      </c>
      <c r="C22" s="21">
        <f>L22/100*100</f>
        <v>220.00000000000003</v>
      </c>
      <c r="D22" s="22">
        <f>C22/100*247</f>
        <v>543.40000000000009</v>
      </c>
      <c r="E22" s="26"/>
      <c r="F22" s="26">
        <f>C22/100*17.5</f>
        <v>38.5</v>
      </c>
      <c r="G22" s="26"/>
      <c r="H22" s="26">
        <f>C22/100*1.6</f>
        <v>3.5200000000000005</v>
      </c>
      <c r="I22" s="26">
        <f>C22/100*39.2</f>
        <v>86.240000000000009</v>
      </c>
      <c r="J22" s="62"/>
      <c r="K22" s="62"/>
      <c r="L22" s="540">
        <v>220</v>
      </c>
      <c r="M22" s="65">
        <v>50</v>
      </c>
      <c r="N22" s="21">
        <f t="shared" si="0"/>
        <v>11000</v>
      </c>
      <c r="O22" s="3"/>
      <c r="Q22" s="2"/>
      <c r="R22" s="2"/>
      <c r="S22" s="3"/>
      <c r="T22" s="2"/>
    </row>
    <row r="23" spans="1:20" ht="19.95" customHeight="1">
      <c r="A23" s="8">
        <v>8</v>
      </c>
      <c r="B23" s="4" t="s">
        <v>20</v>
      </c>
      <c r="C23" s="21">
        <f>L23/100*95</f>
        <v>2071</v>
      </c>
      <c r="D23" s="22">
        <f>C23/100*20</f>
        <v>414.20000000000005</v>
      </c>
      <c r="E23" s="23"/>
      <c r="F23" s="23">
        <f>C23/100*0.6</f>
        <v>12.426</v>
      </c>
      <c r="G23" s="23"/>
      <c r="H23" s="23">
        <f>C23/100*0.2</f>
        <v>4.1420000000000003</v>
      </c>
      <c r="I23" s="23">
        <f>C23/100*4</f>
        <v>82.84</v>
      </c>
      <c r="J23" s="62">
        <f>C23/100*12</f>
        <v>248.52</v>
      </c>
      <c r="K23" s="62">
        <f>C23/100*0.04</f>
        <v>0.82840000000000003</v>
      </c>
      <c r="L23" s="540">
        <v>2180</v>
      </c>
      <c r="M23" s="65">
        <v>40</v>
      </c>
      <c r="N23" s="21">
        <f t="shared" si="0"/>
        <v>87200</v>
      </c>
      <c r="O23" s="3"/>
      <c r="Q23" s="2"/>
      <c r="R23" s="2"/>
    </row>
    <row r="24" spans="1:20" ht="19.95" customHeight="1">
      <c r="A24" s="8">
        <v>9</v>
      </c>
      <c r="B24" s="4" t="s">
        <v>69</v>
      </c>
      <c r="C24" s="21">
        <f>L24/100*48</f>
        <v>1915.1999999999998</v>
      </c>
      <c r="D24" s="22">
        <f>C24/100*199</f>
        <v>3811.2479999999996</v>
      </c>
      <c r="E24" s="23">
        <f>C24/100*20.3</f>
        <v>388.78559999999999</v>
      </c>
      <c r="F24" s="23"/>
      <c r="G24" s="23">
        <f>C24/100*13.1</f>
        <v>250.89119999999997</v>
      </c>
      <c r="H24" s="23"/>
      <c r="I24" s="23"/>
      <c r="J24" s="25">
        <f>C24/100*12</f>
        <v>229.82399999999996</v>
      </c>
      <c r="K24" s="25">
        <f>C24/100*0.15</f>
        <v>2.8727999999999994</v>
      </c>
      <c r="L24" s="130">
        <v>3990</v>
      </c>
      <c r="M24" s="24">
        <v>84</v>
      </c>
      <c r="N24" s="21">
        <f t="shared" si="0"/>
        <v>335160</v>
      </c>
      <c r="O24" s="3"/>
      <c r="Q24" s="2"/>
      <c r="R24" s="2"/>
      <c r="S24" s="3"/>
    </row>
    <row r="25" spans="1:20" ht="19.95" customHeight="1">
      <c r="A25" s="8">
        <v>10</v>
      </c>
      <c r="B25" s="9" t="s">
        <v>74</v>
      </c>
      <c r="C25" s="21">
        <f>L25/100*98</f>
        <v>2146.1999999999998</v>
      </c>
      <c r="D25" s="22">
        <f>C25/100*139</f>
        <v>2983.2179999999998</v>
      </c>
      <c r="E25" s="23">
        <f>C25/100*19</f>
        <v>407.77800000000002</v>
      </c>
      <c r="F25" s="23"/>
      <c r="G25" s="23">
        <f>C25/100*7</f>
        <v>150.23400000000001</v>
      </c>
      <c r="H25" s="23"/>
      <c r="I25" s="23"/>
      <c r="J25" s="23">
        <f>C25/100*7</f>
        <v>150.23400000000001</v>
      </c>
      <c r="K25" s="23">
        <f>C25/100*0.9</f>
        <v>19.315799999999999</v>
      </c>
      <c r="L25" s="130">
        <v>2190</v>
      </c>
      <c r="M25" s="65">
        <v>130</v>
      </c>
      <c r="N25" s="21">
        <f t="shared" si="0"/>
        <v>284700</v>
      </c>
      <c r="O25" s="3"/>
    </row>
    <row r="26" spans="1:20" ht="19.95" customHeight="1">
      <c r="A26" s="8">
        <v>11</v>
      </c>
      <c r="B26" s="4" t="s">
        <v>3</v>
      </c>
      <c r="C26" s="21">
        <f>L26/100*98</f>
        <v>6938.4</v>
      </c>
      <c r="D26" s="22">
        <f>C26/100*118</f>
        <v>8187.3119999999999</v>
      </c>
      <c r="E26" s="109">
        <f>C26/100*27</f>
        <v>1873.3679999999999</v>
      </c>
      <c r="F26" s="23"/>
      <c r="G26" s="23">
        <f>C26/100*3.8</f>
        <v>263.6592</v>
      </c>
      <c r="H26" s="23"/>
      <c r="I26" s="23"/>
      <c r="J26" s="62">
        <f>C26/100*12</f>
        <v>832.60799999999995</v>
      </c>
      <c r="K26" s="62">
        <f>C26/100*0.1</f>
        <v>6.9384000000000006</v>
      </c>
      <c r="L26" s="540">
        <v>7080</v>
      </c>
      <c r="M26" s="67">
        <v>250</v>
      </c>
      <c r="N26" s="114">
        <f t="shared" si="0"/>
        <v>1770000</v>
      </c>
      <c r="O26" s="16"/>
      <c r="Q26" s="2"/>
      <c r="R26" s="2"/>
    </row>
    <row r="27" spans="1:20" ht="19.95" customHeight="1">
      <c r="A27" s="8">
        <v>12</v>
      </c>
      <c r="B27" s="5" t="s">
        <v>125</v>
      </c>
      <c r="C27" s="21"/>
      <c r="D27" s="22"/>
      <c r="E27" s="23"/>
      <c r="F27" s="23"/>
      <c r="G27" s="23"/>
      <c r="H27" s="23"/>
      <c r="I27" s="23"/>
      <c r="J27" s="23"/>
      <c r="K27" s="23"/>
      <c r="L27" s="24"/>
      <c r="M27" s="24"/>
      <c r="N27" s="21">
        <v>16500</v>
      </c>
      <c r="O27" s="3"/>
    </row>
    <row r="28" spans="1:20" ht="19.95" customHeight="1">
      <c r="A28" s="19" t="s">
        <v>107</v>
      </c>
      <c r="B28" s="20"/>
      <c r="C28" s="30"/>
      <c r="D28" s="111">
        <f>SUM(D16:D26)</f>
        <v>95924.850299999991</v>
      </c>
      <c r="E28" s="32"/>
      <c r="F28" s="32"/>
      <c r="G28" s="32"/>
      <c r="H28" s="32"/>
      <c r="I28" s="32"/>
      <c r="J28" s="32"/>
      <c r="K28" s="32"/>
      <c r="L28" s="33"/>
      <c r="M28" s="33"/>
      <c r="N28" s="406">
        <f>SUM(N16:N27)</f>
        <v>3198540</v>
      </c>
      <c r="O28" s="3"/>
    </row>
    <row r="29" spans="1:20" ht="19.95" customHeight="1">
      <c r="A29" s="19" t="s">
        <v>6</v>
      </c>
      <c r="B29" s="20"/>
      <c r="C29" s="30"/>
      <c r="D29" s="31">
        <f>D28/D10</f>
        <v>440.02224908256875</v>
      </c>
      <c r="E29" s="32"/>
      <c r="F29" s="32"/>
      <c r="G29" s="32"/>
      <c r="H29" s="32"/>
      <c r="I29" s="32"/>
      <c r="J29" s="32"/>
      <c r="K29" s="32"/>
      <c r="L29" s="33"/>
      <c r="M29" s="33"/>
      <c r="N29" s="407"/>
      <c r="O29" s="3"/>
    </row>
    <row r="30" spans="1:20" ht="19.95" customHeight="1">
      <c r="A30" s="402" t="s">
        <v>51</v>
      </c>
      <c r="B30" s="331"/>
      <c r="C30" s="541" t="s">
        <v>154</v>
      </c>
      <c r="D30" s="18" t="s">
        <v>45</v>
      </c>
      <c r="E30" s="32"/>
      <c r="F30" s="32"/>
      <c r="G30" s="32"/>
      <c r="H30" s="32"/>
      <c r="I30" s="32"/>
      <c r="J30" s="32"/>
      <c r="K30" s="32"/>
      <c r="L30" s="33"/>
      <c r="M30" s="33"/>
      <c r="N30" s="34"/>
      <c r="O30" s="3"/>
    </row>
    <row r="31" spans="1:20" ht="19.95" customHeight="1">
      <c r="A31" s="332"/>
      <c r="B31" s="333"/>
      <c r="C31" s="66" t="s">
        <v>59</v>
      </c>
      <c r="D31" s="18">
        <f>D29*100/1320</f>
        <v>33.33501886989157</v>
      </c>
      <c r="E31" s="32"/>
      <c r="F31" s="32"/>
      <c r="G31" s="32"/>
      <c r="H31" s="32"/>
      <c r="I31" s="32"/>
      <c r="J31" s="32"/>
      <c r="K31" s="32"/>
      <c r="L31" s="33"/>
      <c r="M31" s="33"/>
      <c r="N31" s="34"/>
      <c r="O31" s="3"/>
    </row>
    <row r="32" spans="1:20" ht="19.95" customHeight="1">
      <c r="A32" s="341" t="s">
        <v>35</v>
      </c>
      <c r="B32" s="341"/>
      <c r="C32" s="48"/>
      <c r="D32" s="49"/>
      <c r="E32" s="50"/>
      <c r="F32" s="50"/>
      <c r="G32" s="50"/>
      <c r="H32" s="50"/>
      <c r="I32" s="50"/>
      <c r="J32" s="50"/>
      <c r="K32" s="50"/>
      <c r="L32" s="51"/>
      <c r="M32" s="51"/>
      <c r="N32" s="60"/>
      <c r="O32" s="3"/>
    </row>
    <row r="33" spans="1:20" ht="19.95" customHeight="1">
      <c r="A33" s="14">
        <v>1</v>
      </c>
      <c r="B33" s="5" t="s">
        <v>125</v>
      </c>
      <c r="C33" s="44"/>
      <c r="D33" s="45"/>
      <c r="E33" s="46"/>
      <c r="F33" s="46"/>
      <c r="G33" s="46"/>
      <c r="H33" s="46"/>
      <c r="I33" s="46"/>
      <c r="J33" s="46"/>
      <c r="K33" s="46"/>
      <c r="L33" s="47"/>
      <c r="M33" s="47"/>
      <c r="N33" s="44">
        <v>14300</v>
      </c>
      <c r="O33" s="3"/>
    </row>
    <row r="34" spans="1:20" ht="19.95" customHeight="1">
      <c r="A34" s="8">
        <v>2</v>
      </c>
      <c r="B34" s="4" t="s">
        <v>1</v>
      </c>
      <c r="C34" s="21">
        <f t="shared" ref="C34:C39" si="1">L34/100*100</f>
        <v>3270.0000000000005</v>
      </c>
      <c r="D34" s="110">
        <f>C34/100*344</f>
        <v>11248.800000000001</v>
      </c>
      <c r="E34" s="23"/>
      <c r="F34" s="23">
        <f>C34/100*7.9</f>
        <v>258.33000000000004</v>
      </c>
      <c r="G34" s="23"/>
      <c r="H34" s="23">
        <f>C34/100*1</f>
        <v>32.700000000000003</v>
      </c>
      <c r="I34" s="23">
        <f>C34/100*72</f>
        <v>2354.4</v>
      </c>
      <c r="J34" s="25">
        <f>C34/100*30</f>
        <v>981.00000000000011</v>
      </c>
      <c r="K34" s="25">
        <f>C34/100*0.1</f>
        <v>3.2700000000000005</v>
      </c>
      <c r="L34" s="130">
        <v>3270</v>
      </c>
      <c r="M34" s="67">
        <v>18</v>
      </c>
      <c r="N34" s="21">
        <f t="shared" ref="N34:N42" si="2">L34*M34</f>
        <v>58860</v>
      </c>
      <c r="O34" s="16"/>
    </row>
    <row r="35" spans="1:20" ht="19.95" customHeight="1">
      <c r="A35" s="8">
        <v>3</v>
      </c>
      <c r="B35" s="4" t="s">
        <v>73</v>
      </c>
      <c r="C35" s="21">
        <f t="shared" si="1"/>
        <v>2180</v>
      </c>
      <c r="D35" s="22">
        <f>C35/100*344</f>
        <v>7499.2</v>
      </c>
      <c r="E35" s="23"/>
      <c r="F35" s="23">
        <f>C35/100*8.6</f>
        <v>187.48</v>
      </c>
      <c r="G35" s="23"/>
      <c r="H35" s="23">
        <f>C35/100*1.5</f>
        <v>32.700000000000003</v>
      </c>
      <c r="I35" s="23">
        <f>C35/100*74.5</f>
        <v>1624.1000000000001</v>
      </c>
      <c r="J35" s="23">
        <f>C35/100*32</f>
        <v>697.6</v>
      </c>
      <c r="K35" s="23">
        <f>C35/100*0.14</f>
        <v>3.0520000000000005</v>
      </c>
      <c r="L35" s="130">
        <v>2180</v>
      </c>
      <c r="M35" s="65">
        <v>30</v>
      </c>
      <c r="N35" s="21">
        <f t="shared" si="2"/>
        <v>65400</v>
      </c>
      <c r="O35" s="3"/>
      <c r="P35" s="16"/>
    </row>
    <row r="36" spans="1:20" ht="19.95" customHeight="1">
      <c r="A36" s="8">
        <v>4</v>
      </c>
      <c r="B36" s="15" t="s">
        <v>2</v>
      </c>
      <c r="C36" s="44">
        <f t="shared" si="1"/>
        <v>260</v>
      </c>
      <c r="D36" s="45">
        <f>C36/100*60</f>
        <v>156</v>
      </c>
      <c r="E36" s="46">
        <f>C36/100*15</f>
        <v>39</v>
      </c>
      <c r="F36" s="46"/>
      <c r="G36" s="46"/>
      <c r="H36" s="46"/>
      <c r="I36" s="46"/>
      <c r="J36" s="88">
        <f>C36/100*387</f>
        <v>1006.2</v>
      </c>
      <c r="K36" s="88">
        <f>C36/100*0.09</f>
        <v>0.23399999999999999</v>
      </c>
      <c r="L36" s="575">
        <v>260</v>
      </c>
      <c r="M36" s="67">
        <v>20</v>
      </c>
      <c r="N36" s="21">
        <f t="shared" si="2"/>
        <v>5200</v>
      </c>
      <c r="O36" s="3"/>
    </row>
    <row r="37" spans="1:20" ht="19.95" customHeight="1">
      <c r="A37" s="8">
        <v>5</v>
      </c>
      <c r="B37" s="4" t="s">
        <v>138</v>
      </c>
      <c r="C37" s="21">
        <f t="shared" si="1"/>
        <v>130</v>
      </c>
      <c r="D37" s="22">
        <f>C37/100*247</f>
        <v>321.10000000000002</v>
      </c>
      <c r="E37" s="26"/>
      <c r="F37" s="26">
        <f>C37/100*17.5</f>
        <v>22.75</v>
      </c>
      <c r="G37" s="26"/>
      <c r="H37" s="26">
        <f>C37/100*1.6</f>
        <v>2.08</v>
      </c>
      <c r="I37" s="26">
        <f>C37/100*39.2</f>
        <v>50.960000000000008</v>
      </c>
      <c r="J37" s="62"/>
      <c r="K37" s="62"/>
      <c r="L37" s="540">
        <v>130</v>
      </c>
      <c r="M37" s="65">
        <v>50</v>
      </c>
      <c r="N37" s="21">
        <f t="shared" si="2"/>
        <v>6500</v>
      </c>
      <c r="O37" s="3"/>
      <c r="Q37" s="2"/>
      <c r="R37" s="2"/>
      <c r="S37" s="3"/>
      <c r="T37" s="2"/>
    </row>
    <row r="38" spans="1:20" ht="19.95" customHeight="1">
      <c r="A38" s="8">
        <v>6</v>
      </c>
      <c r="B38" s="69" t="s">
        <v>143</v>
      </c>
      <c r="C38" s="21">
        <f t="shared" si="1"/>
        <v>1570</v>
      </c>
      <c r="D38" s="110">
        <f>C38/100*899</f>
        <v>14114.3</v>
      </c>
      <c r="E38" s="23"/>
      <c r="F38" s="23"/>
      <c r="G38" s="109">
        <f>C38/100*99.6</f>
        <v>1563.7199999999998</v>
      </c>
      <c r="H38" s="23"/>
      <c r="I38" s="23"/>
      <c r="J38" s="23"/>
      <c r="K38" s="23"/>
      <c r="L38" s="130">
        <v>1570</v>
      </c>
      <c r="M38" s="22">
        <v>68</v>
      </c>
      <c r="N38" s="21">
        <f t="shared" si="2"/>
        <v>106760</v>
      </c>
      <c r="O38" s="542"/>
    </row>
    <row r="39" spans="1:20" ht="19.95" customHeight="1">
      <c r="A39" s="8">
        <v>7</v>
      </c>
      <c r="B39" s="147" t="s">
        <v>149</v>
      </c>
      <c r="C39" s="21">
        <f t="shared" si="1"/>
        <v>220.00000000000003</v>
      </c>
      <c r="D39" s="110">
        <f>C39/100*900</f>
        <v>1980.0000000000002</v>
      </c>
      <c r="E39" s="23"/>
      <c r="F39" s="23"/>
      <c r="G39" s="109"/>
      <c r="H39" s="23">
        <f>C39/100*100</f>
        <v>220.00000000000003</v>
      </c>
      <c r="I39" s="23"/>
      <c r="J39" s="23"/>
      <c r="K39" s="23"/>
      <c r="L39" s="130">
        <v>220</v>
      </c>
      <c r="M39" s="65">
        <v>63.5</v>
      </c>
      <c r="N39" s="21">
        <f t="shared" si="2"/>
        <v>13970</v>
      </c>
      <c r="O39" s="542"/>
    </row>
    <row r="40" spans="1:20" ht="19.95" customHeight="1">
      <c r="A40" s="8">
        <v>8</v>
      </c>
      <c r="B40" s="4" t="s">
        <v>4</v>
      </c>
      <c r="C40" s="21">
        <f>L40/100*98.5</f>
        <v>2147.3000000000002</v>
      </c>
      <c r="D40" s="22">
        <f>C40/100*39</f>
        <v>837.44700000000012</v>
      </c>
      <c r="E40" s="26"/>
      <c r="F40" s="26">
        <f>C40/100*1.5</f>
        <v>32.209500000000006</v>
      </c>
      <c r="G40" s="26"/>
      <c r="H40" s="26">
        <f>C40/100*0.2</f>
        <v>4.2946000000000009</v>
      </c>
      <c r="I40" s="26">
        <f>C40/100*7.8</f>
        <v>167.48940000000002</v>
      </c>
      <c r="J40" s="62">
        <f>C40/100*43</f>
        <v>923.33900000000006</v>
      </c>
      <c r="K40" s="62">
        <f>C40/100*0.06</f>
        <v>1.2883800000000001</v>
      </c>
      <c r="L40" s="540">
        <v>2180</v>
      </c>
      <c r="M40" s="24">
        <v>17</v>
      </c>
      <c r="N40" s="21">
        <f t="shared" si="2"/>
        <v>37060</v>
      </c>
      <c r="O40" s="3"/>
      <c r="Q40" s="2"/>
      <c r="R40" s="2"/>
      <c r="S40" s="3"/>
    </row>
    <row r="41" spans="1:20" ht="19.95" customHeight="1">
      <c r="A41" s="8">
        <v>9</v>
      </c>
      <c r="B41" s="9" t="s">
        <v>64</v>
      </c>
      <c r="C41" s="21">
        <f>L41/100*40</f>
        <v>2068</v>
      </c>
      <c r="D41" s="22">
        <f>C41/100*276</f>
        <v>5707.68</v>
      </c>
      <c r="E41" s="23">
        <f>C41/100*17.8</f>
        <v>368.10399999999998</v>
      </c>
      <c r="F41" s="129"/>
      <c r="G41" s="23">
        <f>C41/100*21.8</f>
        <v>450.82400000000001</v>
      </c>
      <c r="H41" s="23"/>
      <c r="I41" s="23"/>
      <c r="J41" s="25">
        <f>C41/100*13</f>
        <v>268.83999999999997</v>
      </c>
      <c r="K41" s="25">
        <f>C41/100*0.07</f>
        <v>1.4476000000000002</v>
      </c>
      <c r="L41" s="130">
        <v>5170</v>
      </c>
      <c r="M41" s="65">
        <v>63</v>
      </c>
      <c r="N41" s="128">
        <f t="shared" si="2"/>
        <v>325710</v>
      </c>
      <c r="O41" s="3"/>
    </row>
    <row r="42" spans="1:20" ht="19.95" customHeight="1">
      <c r="A42" s="95">
        <v>10</v>
      </c>
      <c r="B42" s="154" t="s">
        <v>152</v>
      </c>
      <c r="C42" s="96">
        <f>L42/100*100</f>
        <v>3710</v>
      </c>
      <c r="D42" s="168">
        <f>C42/100*487</f>
        <v>18067.7</v>
      </c>
      <c r="E42" s="98"/>
      <c r="F42" s="98">
        <f>C42/100*19.5</f>
        <v>723.45</v>
      </c>
      <c r="G42" s="98"/>
      <c r="H42" s="98">
        <f>C42/100*23.2</f>
        <v>860.72</v>
      </c>
      <c r="I42" s="98">
        <f>C42/100*46</f>
        <v>1706.6000000000001</v>
      </c>
      <c r="J42" s="146">
        <f>C42/100*680</f>
        <v>25228</v>
      </c>
      <c r="K42" s="98">
        <f>C42/100*0.55</f>
        <v>20.405000000000001</v>
      </c>
      <c r="L42" s="99">
        <v>3710</v>
      </c>
      <c r="M42" s="155">
        <v>260</v>
      </c>
      <c r="N42" s="96">
        <f t="shared" si="2"/>
        <v>964600</v>
      </c>
      <c r="O42" s="3"/>
      <c r="P42" s="2"/>
    </row>
    <row r="43" spans="1:20" ht="21.6" customHeight="1">
      <c r="A43" s="318" t="s">
        <v>0</v>
      </c>
      <c r="B43" s="321" t="s">
        <v>19</v>
      </c>
      <c r="C43" s="321" t="s">
        <v>8</v>
      </c>
      <c r="D43" s="321" t="s">
        <v>9</v>
      </c>
      <c r="E43" s="324" t="s">
        <v>11</v>
      </c>
      <c r="F43" s="325"/>
      <c r="G43" s="324" t="s">
        <v>13</v>
      </c>
      <c r="H43" s="325"/>
      <c r="I43" s="318" t="s">
        <v>16</v>
      </c>
      <c r="J43" s="318" t="s">
        <v>41</v>
      </c>
      <c r="K43" s="318" t="s">
        <v>42</v>
      </c>
      <c r="L43" s="318" t="s">
        <v>17</v>
      </c>
      <c r="M43" s="318" t="s">
        <v>40</v>
      </c>
      <c r="N43" s="318" t="s">
        <v>18</v>
      </c>
      <c r="O43" s="539"/>
    </row>
    <row r="44" spans="1:20" ht="21.6" customHeight="1">
      <c r="A44" s="319"/>
      <c r="B44" s="322"/>
      <c r="C44" s="322"/>
      <c r="D44" s="322"/>
      <c r="E44" s="326"/>
      <c r="F44" s="327"/>
      <c r="G44" s="326"/>
      <c r="H44" s="327"/>
      <c r="I44" s="328"/>
      <c r="J44" s="328"/>
      <c r="K44" s="328"/>
      <c r="L44" s="328"/>
      <c r="M44" s="328"/>
      <c r="N44" s="319"/>
      <c r="O44" s="283"/>
    </row>
    <row r="45" spans="1:20" ht="21.6" customHeight="1">
      <c r="A45" s="319"/>
      <c r="B45" s="322"/>
      <c r="C45" s="322"/>
      <c r="D45" s="322"/>
      <c r="E45" s="318" t="s">
        <v>10</v>
      </c>
      <c r="F45" s="318" t="s">
        <v>12</v>
      </c>
      <c r="G45" s="318" t="s">
        <v>14</v>
      </c>
      <c r="H45" s="318" t="s">
        <v>15</v>
      </c>
      <c r="I45" s="328"/>
      <c r="J45" s="328"/>
      <c r="K45" s="328"/>
      <c r="L45" s="328"/>
      <c r="M45" s="328"/>
      <c r="N45" s="319"/>
      <c r="O45" s="283"/>
    </row>
    <row r="46" spans="1:20" ht="21.6" customHeight="1">
      <c r="A46" s="320"/>
      <c r="B46" s="323"/>
      <c r="C46" s="323"/>
      <c r="D46" s="323"/>
      <c r="E46" s="329"/>
      <c r="F46" s="329"/>
      <c r="G46" s="329"/>
      <c r="H46" s="329"/>
      <c r="I46" s="329"/>
      <c r="J46" s="329"/>
      <c r="K46" s="329"/>
      <c r="L46" s="329"/>
      <c r="M46" s="329"/>
      <c r="N46" s="320"/>
      <c r="O46" s="283"/>
    </row>
    <row r="47" spans="1:20" ht="21.6" customHeight="1">
      <c r="A47" s="19" t="s">
        <v>108</v>
      </c>
      <c r="B47" s="20"/>
      <c r="C47" s="30"/>
      <c r="D47" s="111">
        <f>SUM(D33:D42)</f>
        <v>59932.226999999999</v>
      </c>
      <c r="E47" s="6"/>
      <c r="F47" s="6"/>
      <c r="G47" s="6"/>
      <c r="H47" s="6"/>
      <c r="I47" s="6"/>
      <c r="J47" s="6"/>
      <c r="K47" s="6"/>
      <c r="L47" s="38"/>
      <c r="M47" s="38"/>
      <c r="N47" s="406">
        <f>SUM(N33:N42)</f>
        <v>1598360</v>
      </c>
      <c r="O47" s="3"/>
    </row>
    <row r="48" spans="1:20" ht="21.6" customHeight="1">
      <c r="A48" s="19" t="s">
        <v>7</v>
      </c>
      <c r="B48" s="20"/>
      <c r="C48" s="39"/>
      <c r="D48" s="31">
        <f>D47/D10</f>
        <v>274.9184724770642</v>
      </c>
      <c r="E48" s="40"/>
      <c r="F48" s="40"/>
      <c r="G48" s="40"/>
      <c r="H48" s="40"/>
      <c r="I48" s="40"/>
      <c r="J48" s="40"/>
      <c r="K48" s="40"/>
      <c r="L48" s="38"/>
      <c r="M48" s="38"/>
      <c r="N48" s="407"/>
      <c r="O48" s="3"/>
    </row>
    <row r="49" spans="1:22" ht="21.6" customHeight="1">
      <c r="A49" s="402" t="s">
        <v>52</v>
      </c>
      <c r="B49" s="331"/>
      <c r="C49" s="541" t="s">
        <v>154</v>
      </c>
      <c r="D49" s="18" t="s">
        <v>58</v>
      </c>
      <c r="E49" s="40"/>
      <c r="F49" s="40"/>
      <c r="G49" s="40"/>
      <c r="H49" s="40"/>
      <c r="I49" s="40"/>
      <c r="J49" s="41"/>
      <c r="K49" s="41"/>
      <c r="L49" s="38"/>
      <c r="M49" s="38"/>
      <c r="N49" s="285"/>
      <c r="O49" s="3"/>
    </row>
    <row r="50" spans="1:22" ht="21.6" customHeight="1">
      <c r="A50" s="332"/>
      <c r="B50" s="333"/>
      <c r="C50" s="66" t="s">
        <v>60</v>
      </c>
      <c r="D50" s="18">
        <f>D48*100/1320</f>
        <v>20.827157005838199</v>
      </c>
      <c r="E50" s="40"/>
      <c r="F50" s="40"/>
      <c r="G50" s="40"/>
      <c r="H50" s="40"/>
      <c r="I50" s="40"/>
      <c r="J50" s="41"/>
      <c r="K50" s="41"/>
      <c r="L50" s="38"/>
      <c r="M50" s="38"/>
      <c r="N50" s="285"/>
      <c r="O50" s="3"/>
    </row>
    <row r="51" spans="1:22" ht="21.6" customHeight="1">
      <c r="A51" s="394" t="s">
        <v>115</v>
      </c>
      <c r="B51" s="395"/>
      <c r="C51" s="398"/>
      <c r="D51" s="410">
        <f>D28+D47</f>
        <v>155857.0773</v>
      </c>
      <c r="E51" s="113">
        <f t="shared" ref="E51:K51" si="3">SUM(E16:E42)</f>
        <v>3120.5355999999997</v>
      </c>
      <c r="F51" s="113">
        <f t="shared" si="3"/>
        <v>2972.0541699999994</v>
      </c>
      <c r="G51" s="113">
        <f t="shared" si="3"/>
        <v>3329.3283999999999</v>
      </c>
      <c r="H51" s="113">
        <f t="shared" si="3"/>
        <v>1377.8175900000001</v>
      </c>
      <c r="I51" s="358">
        <f t="shared" si="3"/>
        <v>21572.808589999993</v>
      </c>
      <c r="J51" s="390">
        <f t="shared" si="3"/>
        <v>40753.837599999999</v>
      </c>
      <c r="K51" s="390">
        <f t="shared" si="3"/>
        <v>85.998593999999997</v>
      </c>
      <c r="L51" s="390"/>
      <c r="M51" s="390"/>
      <c r="N51" s="364">
        <f>N28+N47</f>
        <v>4796900</v>
      </c>
      <c r="U51" s="274"/>
      <c r="V51" s="274"/>
    </row>
    <row r="52" spans="1:22" ht="21.6" customHeight="1">
      <c r="A52" s="396"/>
      <c r="B52" s="397"/>
      <c r="C52" s="399"/>
      <c r="D52" s="411"/>
      <c r="E52" s="387">
        <f>E51+F51</f>
        <v>6092.5897699999987</v>
      </c>
      <c r="F52" s="388"/>
      <c r="G52" s="387">
        <f>G51+H51</f>
        <v>4707.14599</v>
      </c>
      <c r="H52" s="388"/>
      <c r="I52" s="360"/>
      <c r="J52" s="391"/>
      <c r="K52" s="391"/>
      <c r="L52" s="412"/>
      <c r="M52" s="412"/>
      <c r="N52" s="365"/>
      <c r="Q52" s="558"/>
      <c r="R52" s="558"/>
      <c r="S52" s="558"/>
      <c r="T52" s="558"/>
      <c r="U52" s="559"/>
      <c r="V52" s="559"/>
    </row>
    <row r="53" spans="1:22" ht="21.6" customHeight="1">
      <c r="A53" s="351" t="s">
        <v>77</v>
      </c>
      <c r="B53" s="352"/>
      <c r="C53" s="353"/>
      <c r="D53" s="126">
        <f>D51/D10</f>
        <v>714.94072155963306</v>
      </c>
      <c r="E53" s="543">
        <f>E51/D10</f>
        <v>14.314383486238532</v>
      </c>
      <c r="F53" s="544">
        <f>F51/D10</f>
        <v>13.63327600917431</v>
      </c>
      <c r="G53" s="543">
        <f>G51/D10</f>
        <v>15.27214862385321</v>
      </c>
      <c r="H53" s="564">
        <f>H51/D10</f>
        <v>6.3202641743119274</v>
      </c>
      <c r="I53" s="368">
        <f>I51/D10</f>
        <v>98.957837568807307</v>
      </c>
      <c r="J53" s="413">
        <f>J51/D10</f>
        <v>186.94420917431191</v>
      </c>
      <c r="K53" s="413">
        <f>K51/D10</f>
        <v>0.39448896330275229</v>
      </c>
      <c r="L53" s="412"/>
      <c r="M53" s="412"/>
      <c r="N53" s="365"/>
      <c r="P53" s="547"/>
      <c r="Q53" s="558"/>
      <c r="R53" s="558"/>
      <c r="S53" s="558"/>
      <c r="T53" s="558"/>
      <c r="U53" s="558"/>
      <c r="V53" s="558"/>
    </row>
    <row r="54" spans="1:22" ht="21.6" customHeight="1">
      <c r="A54" s="354"/>
      <c r="B54" s="355"/>
      <c r="C54" s="356"/>
      <c r="D54" s="117"/>
      <c r="E54" s="545">
        <f>E53+F53</f>
        <v>27.947659495412843</v>
      </c>
      <c r="F54" s="546"/>
      <c r="G54" s="545">
        <f>G53+H53</f>
        <v>21.592412798165139</v>
      </c>
      <c r="H54" s="546"/>
      <c r="I54" s="369"/>
      <c r="J54" s="414"/>
      <c r="K54" s="414"/>
      <c r="L54" s="412"/>
      <c r="M54" s="412"/>
      <c r="N54" s="365"/>
    </row>
    <row r="55" spans="1:22" ht="21.6" customHeight="1">
      <c r="A55" s="422" t="s">
        <v>80</v>
      </c>
      <c r="B55" s="423"/>
      <c r="C55" s="424"/>
      <c r="D55" s="282" t="s">
        <v>28</v>
      </c>
      <c r="E55" s="304" t="s">
        <v>21</v>
      </c>
      <c r="F55" s="304"/>
      <c r="G55" s="304" t="s">
        <v>22</v>
      </c>
      <c r="H55" s="304"/>
      <c r="I55" s="282" t="s">
        <v>23</v>
      </c>
      <c r="J55" s="286">
        <v>600</v>
      </c>
      <c r="K55" s="286">
        <v>0.7</v>
      </c>
      <c r="L55" s="412"/>
      <c r="M55" s="412"/>
      <c r="N55" s="365"/>
      <c r="O55" s="548"/>
    </row>
    <row r="56" spans="1:22" ht="21.6" customHeight="1">
      <c r="A56" s="348" t="s">
        <v>78</v>
      </c>
      <c r="B56" s="380"/>
      <c r="C56" s="349"/>
      <c r="D56" s="42"/>
      <c r="E56" s="381">
        <f>E54*4.1</f>
        <v>114.58540393119264</v>
      </c>
      <c r="F56" s="382"/>
      <c r="G56" s="381">
        <f>G54*9</f>
        <v>194.33171518348624</v>
      </c>
      <c r="H56" s="382"/>
      <c r="I56" s="74">
        <f>I53*4.1</f>
        <v>405.72713403210992</v>
      </c>
      <c r="J56" s="361"/>
      <c r="K56" s="361"/>
      <c r="L56" s="412"/>
      <c r="M56" s="412"/>
      <c r="N56" s="365"/>
      <c r="O56" s="548"/>
      <c r="P56" s="556"/>
      <c r="Q56" s="557"/>
      <c r="R56" s="557"/>
      <c r="S56" s="557"/>
      <c r="T56" s="85"/>
    </row>
    <row r="57" spans="1:22" ht="21.6" customHeight="1">
      <c r="A57" s="383" t="s">
        <v>81</v>
      </c>
      <c r="B57" s="384"/>
      <c r="C57" s="348" t="s">
        <v>59</v>
      </c>
      <c r="D57" s="349"/>
      <c r="E57" s="298">
        <f>E56*100/D53</f>
        <v>16.027259390292695</v>
      </c>
      <c r="F57" s="299"/>
      <c r="G57" s="298">
        <f>G56*100/D53</f>
        <v>27.181514400180529</v>
      </c>
      <c r="H57" s="299"/>
      <c r="I57" s="106">
        <f>I56*100/D53</f>
        <v>56.749758657895704</v>
      </c>
      <c r="J57" s="362"/>
      <c r="K57" s="362"/>
      <c r="L57" s="412"/>
      <c r="M57" s="412"/>
      <c r="N57" s="365"/>
      <c r="O57" s="548"/>
      <c r="P57" s="133"/>
      <c r="Q57" s="133"/>
      <c r="R57" s="133"/>
      <c r="S57" s="133"/>
    </row>
    <row r="58" spans="1:22" ht="18" customHeight="1">
      <c r="A58" s="385"/>
      <c r="B58" s="386"/>
      <c r="C58" s="348" t="s">
        <v>79</v>
      </c>
      <c r="D58" s="349"/>
      <c r="E58" s="348" t="s">
        <v>82</v>
      </c>
      <c r="F58" s="349"/>
      <c r="G58" s="348" t="s">
        <v>83</v>
      </c>
      <c r="H58" s="349"/>
      <c r="I58" s="282" t="s">
        <v>84</v>
      </c>
      <c r="J58" s="363"/>
      <c r="K58" s="363"/>
      <c r="L58" s="391"/>
      <c r="M58" s="391"/>
      <c r="N58" s="366"/>
      <c r="O58" s="548"/>
    </row>
    <row r="59" spans="1:22" ht="21" customHeight="1">
      <c r="A59" s="79"/>
      <c r="B59" s="82"/>
      <c r="C59" s="79"/>
      <c r="D59" s="79"/>
      <c r="E59" s="79"/>
      <c r="F59" s="79"/>
      <c r="G59" s="79"/>
      <c r="H59" s="79"/>
      <c r="I59" s="79"/>
      <c r="J59" s="79"/>
      <c r="K59" s="79"/>
      <c r="L59" s="80"/>
      <c r="M59" s="80"/>
      <c r="N59" s="81"/>
      <c r="O59" s="548"/>
      <c r="P59" s="2"/>
    </row>
    <row r="60" spans="1:22" ht="21" customHeight="1">
      <c r="A60" s="291" t="s">
        <v>116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548"/>
    </row>
    <row r="61" spans="1:22" ht="21" customHeight="1">
      <c r="A61" s="107" t="s">
        <v>117</v>
      </c>
      <c r="B61" s="292" t="s">
        <v>118</v>
      </c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548"/>
    </row>
    <row r="62" spans="1:22" ht="21" customHeight="1">
      <c r="A62" s="108"/>
      <c r="B62" s="293" t="s">
        <v>213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548"/>
    </row>
    <row r="63" spans="1:22" ht="21" customHeight="1">
      <c r="A63" s="108"/>
      <c r="B63" s="293" t="s">
        <v>214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548"/>
    </row>
    <row r="64" spans="1:22" ht="21" customHeight="1">
      <c r="A64" s="108"/>
      <c r="B64" s="293" t="s">
        <v>155</v>
      </c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548"/>
    </row>
    <row r="65" spans="1:15" ht="21" customHeight="1">
      <c r="A65" s="79"/>
      <c r="B65" s="294" t="s">
        <v>119</v>
      </c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548"/>
    </row>
    <row r="66" spans="1:15" ht="21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83"/>
      <c r="M66" s="83"/>
      <c r="N66" s="84"/>
      <c r="O66" s="548"/>
    </row>
    <row r="67" spans="1:15" ht="22.2" customHeight="1">
      <c r="A67" s="295" t="s">
        <v>62</v>
      </c>
      <c r="B67" s="295"/>
      <c r="C67" s="295"/>
      <c r="D67" s="295"/>
      <c r="E67" s="549"/>
      <c r="F67" s="549"/>
      <c r="G67" s="549"/>
      <c r="H67" s="549"/>
      <c r="I67" s="549"/>
      <c r="J67" s="550" t="s">
        <v>33</v>
      </c>
      <c r="K67" s="550"/>
      <c r="L67" s="550"/>
      <c r="M67" s="550"/>
      <c r="N67" s="550"/>
      <c r="O67" s="548"/>
    </row>
    <row r="68" spans="1:15" ht="22.2" customHeight="1">
      <c r="A68" s="283"/>
      <c r="B68" s="283"/>
      <c r="C68" s="283"/>
      <c r="D68" s="549"/>
      <c r="E68" s="549"/>
      <c r="F68" s="549"/>
      <c r="G68" s="549"/>
      <c r="H68" s="551"/>
      <c r="I68" s="551"/>
      <c r="J68" s="551"/>
      <c r="K68" s="551"/>
      <c r="L68" s="551"/>
      <c r="M68" s="551"/>
      <c r="N68" s="551"/>
      <c r="O68" s="548"/>
    </row>
    <row r="69" spans="1:15" ht="22.2" customHeight="1">
      <c r="A69" s="283"/>
      <c r="B69" s="283"/>
      <c r="C69" s="283"/>
      <c r="D69" s="549"/>
      <c r="E69" s="549"/>
      <c r="F69" s="549"/>
      <c r="G69" s="549"/>
      <c r="H69" s="551"/>
      <c r="I69" s="551"/>
      <c r="J69" s="551"/>
      <c r="K69" s="551"/>
      <c r="L69" s="551"/>
      <c r="M69" s="551"/>
      <c r="N69" s="551"/>
      <c r="O69" s="548"/>
    </row>
    <row r="70" spans="1:15" ht="22.2" customHeight="1">
      <c r="A70" s="283"/>
      <c r="B70" s="283"/>
      <c r="C70" s="283"/>
      <c r="D70" s="549"/>
      <c r="E70" s="549"/>
      <c r="F70" s="549"/>
      <c r="G70" s="549"/>
      <c r="H70" s="551"/>
      <c r="I70" s="551"/>
      <c r="J70" s="552" t="s">
        <v>126</v>
      </c>
      <c r="K70" s="552"/>
      <c r="L70" s="552"/>
      <c r="M70" s="552"/>
      <c r="N70" s="552"/>
      <c r="O70" s="548"/>
    </row>
    <row r="71" spans="1:15" ht="22.2" customHeight="1">
      <c r="A71" s="287" t="s">
        <v>93</v>
      </c>
      <c r="B71" s="287"/>
      <c r="C71" s="287"/>
      <c r="D71" s="287"/>
      <c r="E71" s="549"/>
      <c r="F71" s="549"/>
      <c r="G71" s="549"/>
      <c r="H71" s="551"/>
      <c r="I71" s="551"/>
      <c r="J71" s="552"/>
      <c r="K71" s="552"/>
      <c r="L71" s="552"/>
      <c r="M71" s="552"/>
      <c r="N71" s="552"/>
      <c r="O71" s="548"/>
    </row>
    <row r="72" spans="1:15" ht="22.2" customHeight="1">
      <c r="A72" s="283"/>
      <c r="B72" s="283"/>
      <c r="C72" s="283"/>
      <c r="D72" s="549"/>
      <c r="E72" s="549"/>
      <c r="F72" s="549"/>
      <c r="G72" s="549"/>
      <c r="H72" s="551"/>
      <c r="I72" s="551"/>
      <c r="J72" s="551"/>
      <c r="K72" s="551"/>
      <c r="L72" s="551"/>
      <c r="M72" s="551"/>
      <c r="N72" s="551"/>
      <c r="O72" s="548"/>
    </row>
    <row r="73" spans="1:15" ht="18" customHeight="1">
      <c r="A73" s="283"/>
      <c r="B73" s="283"/>
      <c r="C73" s="283"/>
      <c r="D73" s="549"/>
      <c r="E73" s="549"/>
      <c r="F73" s="549"/>
      <c r="G73" s="549"/>
      <c r="H73" s="551"/>
      <c r="I73" s="551"/>
      <c r="J73" s="552" t="s">
        <v>129</v>
      </c>
      <c r="K73" s="552"/>
      <c r="L73" s="552"/>
      <c r="M73" s="552"/>
      <c r="N73" s="552"/>
      <c r="O73" s="548"/>
    </row>
    <row r="74" spans="1:15" ht="18" customHeight="1">
      <c r="A74" s="283"/>
      <c r="B74" s="283"/>
      <c r="C74" s="283"/>
      <c r="D74" s="549"/>
      <c r="E74" s="549"/>
      <c r="F74" s="549"/>
      <c r="G74" s="549"/>
      <c r="H74" s="551"/>
      <c r="I74" s="551"/>
      <c r="J74" s="552"/>
      <c r="K74" s="552"/>
      <c r="L74" s="552"/>
      <c r="M74" s="552"/>
      <c r="N74" s="552"/>
      <c r="O74" s="548"/>
    </row>
    <row r="75" spans="1:15" ht="18" customHeight="1">
      <c r="A75" s="283"/>
      <c r="B75" s="283"/>
      <c r="C75" s="283"/>
      <c r="D75" s="549"/>
      <c r="E75" s="549"/>
      <c r="F75" s="549"/>
      <c r="G75" s="549"/>
      <c r="H75" s="551"/>
      <c r="I75" s="551"/>
      <c r="J75" s="551"/>
      <c r="K75" s="551"/>
      <c r="L75" s="551"/>
      <c r="M75" s="551"/>
      <c r="N75" s="551"/>
      <c r="O75" s="548"/>
    </row>
    <row r="76" spans="1:15" ht="18" customHeight="1">
      <c r="A76" s="283"/>
      <c r="B76" s="283"/>
      <c r="C76" s="283"/>
      <c r="D76" s="549"/>
      <c r="E76" s="549"/>
      <c r="F76" s="549"/>
      <c r="G76" s="549"/>
      <c r="H76" s="551"/>
      <c r="I76" s="551"/>
      <c r="J76" s="551"/>
      <c r="K76" s="551"/>
      <c r="L76" s="551"/>
      <c r="M76" s="551"/>
      <c r="N76" s="551"/>
      <c r="O76" s="548"/>
    </row>
    <row r="77" spans="1:15" ht="18" customHeight="1">
      <c r="A77" s="283"/>
      <c r="B77" s="283"/>
      <c r="C77" s="283"/>
      <c r="D77" s="549"/>
      <c r="E77" s="549"/>
      <c r="F77" s="549"/>
      <c r="G77" s="549"/>
      <c r="H77" s="551"/>
      <c r="I77" s="551"/>
      <c r="J77" s="551"/>
      <c r="K77" s="551"/>
      <c r="L77" s="551"/>
      <c r="M77" s="551"/>
      <c r="N77" s="551"/>
      <c r="O77" s="548"/>
    </row>
    <row r="78" spans="1:15" ht="18" customHeight="1">
      <c r="A78" s="283"/>
      <c r="B78" s="283"/>
      <c r="C78" s="283"/>
      <c r="D78" s="549"/>
      <c r="E78" s="549"/>
      <c r="F78" s="549"/>
      <c r="G78" s="549"/>
      <c r="H78" s="551"/>
      <c r="I78" s="551"/>
      <c r="J78" s="551"/>
      <c r="K78" s="551"/>
      <c r="L78" s="551"/>
      <c r="M78" s="551"/>
      <c r="N78" s="551"/>
      <c r="O78" s="548"/>
    </row>
    <row r="79" spans="1:15" ht="18" customHeight="1">
      <c r="A79" s="283"/>
      <c r="B79" s="283"/>
      <c r="C79" s="283"/>
      <c r="D79" s="549"/>
      <c r="E79" s="549"/>
      <c r="F79" s="549"/>
      <c r="G79" s="549"/>
      <c r="H79" s="551"/>
      <c r="I79" s="551"/>
      <c r="J79" s="551"/>
      <c r="K79" s="551"/>
      <c r="L79" s="551"/>
      <c r="M79" s="551"/>
      <c r="N79" s="551"/>
      <c r="O79" s="548"/>
    </row>
    <row r="80" spans="1:15" ht="18" customHeight="1">
      <c r="A80" s="283"/>
      <c r="B80" s="283"/>
      <c r="C80" s="283"/>
      <c r="D80" s="549"/>
      <c r="E80" s="549"/>
      <c r="F80" s="549"/>
      <c r="G80" s="549"/>
      <c r="H80" s="551"/>
      <c r="I80" s="551"/>
      <c r="J80" s="551"/>
      <c r="K80" s="551"/>
      <c r="L80" s="551"/>
      <c r="M80" s="551"/>
      <c r="N80" s="551"/>
      <c r="O80" s="548"/>
    </row>
    <row r="81" spans="1:16" ht="18" customHeight="1">
      <c r="A81" s="283"/>
      <c r="B81" s="283"/>
      <c r="C81" s="283"/>
      <c r="D81" s="549"/>
      <c r="E81" s="549"/>
      <c r="F81" s="549"/>
      <c r="G81" s="549"/>
      <c r="H81" s="551"/>
      <c r="I81" s="551"/>
      <c r="J81" s="551"/>
      <c r="K81" s="551"/>
      <c r="L81" s="551"/>
      <c r="M81" s="551"/>
      <c r="N81" s="551"/>
      <c r="O81" s="548"/>
    </row>
    <row r="82" spans="1:16" ht="19.2" customHeight="1">
      <c r="A82" s="283"/>
      <c r="B82" s="283"/>
      <c r="C82" s="283"/>
      <c r="D82" s="549"/>
      <c r="E82" s="549"/>
      <c r="F82" s="549"/>
      <c r="G82" s="549"/>
      <c r="H82" s="551"/>
      <c r="I82" s="551"/>
      <c r="J82" s="551"/>
      <c r="K82" s="551"/>
      <c r="L82" s="551"/>
      <c r="M82" s="551"/>
      <c r="N82" s="551"/>
      <c r="O82" s="548"/>
    </row>
    <row r="83" spans="1:16" ht="19.2" customHeight="1">
      <c r="A83" s="10" t="s">
        <v>61</v>
      </c>
      <c r="B83" s="7"/>
      <c r="C83" s="7"/>
      <c r="D83" s="7"/>
      <c r="E83" s="7"/>
      <c r="F83" s="401" t="s">
        <v>32</v>
      </c>
      <c r="G83" s="401"/>
      <c r="H83" s="401"/>
      <c r="I83" s="401"/>
      <c r="J83" s="401"/>
      <c r="K83" s="401"/>
      <c r="L83" s="401"/>
      <c r="M83" s="401"/>
      <c r="N83" s="401"/>
      <c r="O83" s="537"/>
      <c r="P83" s="537"/>
    </row>
    <row r="84" spans="1:16" ht="11.4" customHeight="1">
      <c r="A84" s="10"/>
      <c r="B84" s="7"/>
      <c r="C84" s="7"/>
      <c r="D84" s="7"/>
      <c r="E84" s="7"/>
      <c r="F84" s="280"/>
      <c r="G84" s="280"/>
      <c r="H84" s="280"/>
      <c r="I84" s="280"/>
      <c r="J84" s="280"/>
      <c r="K84" s="280"/>
      <c r="L84" s="280"/>
      <c r="M84" s="280"/>
      <c r="N84" s="280"/>
      <c r="O84" s="537"/>
      <c r="P84" s="537"/>
    </row>
    <row r="85" spans="1:16" ht="19.2" customHeight="1">
      <c r="A85" s="7" t="s">
        <v>211</v>
      </c>
      <c r="B85" s="7"/>
      <c r="C85" s="7"/>
      <c r="D85" s="7"/>
      <c r="E85" s="7"/>
      <c r="F85" s="280"/>
      <c r="G85" s="280"/>
      <c r="H85" s="280"/>
      <c r="I85" s="280"/>
      <c r="J85" s="280"/>
      <c r="K85" s="280"/>
      <c r="L85" s="280"/>
      <c r="M85" s="280"/>
      <c r="N85" s="280"/>
      <c r="O85" s="537"/>
      <c r="P85" s="537"/>
    </row>
    <row r="86" spans="1:16" ht="10.95" customHeight="1">
      <c r="A86" s="7"/>
      <c r="B86" s="7"/>
      <c r="C86" s="7"/>
      <c r="D86" s="7"/>
      <c r="E86" s="7"/>
      <c r="F86" s="280"/>
      <c r="G86" s="280"/>
      <c r="H86" s="280"/>
      <c r="I86" s="280"/>
      <c r="J86" s="280"/>
      <c r="K86" s="280"/>
      <c r="L86" s="280"/>
      <c r="M86" s="280"/>
      <c r="N86" s="280"/>
      <c r="O86" s="537"/>
      <c r="P86" s="537"/>
    </row>
    <row r="87" spans="1:16" ht="19.2" customHeight="1">
      <c r="A87" s="304" t="s">
        <v>99</v>
      </c>
      <c r="B87" s="304"/>
      <c r="C87" s="304"/>
      <c r="D87" s="304"/>
      <c r="E87" s="304" t="s">
        <v>89</v>
      </c>
      <c r="F87" s="304"/>
      <c r="G87" s="304"/>
      <c r="H87" s="304"/>
      <c r="I87" s="304"/>
      <c r="J87" s="304"/>
      <c r="K87" s="304"/>
      <c r="L87" s="304"/>
      <c r="M87" s="304"/>
      <c r="N87" s="304"/>
      <c r="O87" s="538"/>
    </row>
    <row r="88" spans="1:16" ht="19.2" customHeight="1">
      <c r="A88" s="304"/>
      <c r="B88" s="304"/>
      <c r="C88" s="304"/>
      <c r="D88" s="304"/>
      <c r="E88" s="304" t="s">
        <v>102</v>
      </c>
      <c r="F88" s="304"/>
      <c r="G88" s="304"/>
      <c r="H88" s="304"/>
      <c r="I88" s="304"/>
      <c r="J88" s="304" t="s">
        <v>103</v>
      </c>
      <c r="K88" s="304"/>
      <c r="L88" s="304"/>
      <c r="M88" s="304"/>
      <c r="N88" s="304"/>
      <c r="O88" s="538"/>
    </row>
    <row r="89" spans="1:16" ht="19.2" customHeight="1">
      <c r="A89" s="305" t="s">
        <v>90</v>
      </c>
      <c r="B89" s="305"/>
      <c r="C89" s="305"/>
      <c r="D89" s="305"/>
      <c r="E89" s="308" t="s">
        <v>151</v>
      </c>
      <c r="F89" s="308"/>
      <c r="G89" s="308"/>
      <c r="H89" s="308"/>
      <c r="I89" s="308"/>
      <c r="J89" s="305" t="s">
        <v>90</v>
      </c>
      <c r="K89" s="305"/>
      <c r="L89" s="305"/>
      <c r="M89" s="305"/>
      <c r="N89" s="305"/>
      <c r="O89" s="538"/>
    </row>
    <row r="90" spans="1:16" ht="19.2" customHeight="1">
      <c r="A90" s="306" t="s">
        <v>136</v>
      </c>
      <c r="B90" s="306"/>
      <c r="C90" s="306"/>
      <c r="D90" s="306"/>
      <c r="E90" s="308"/>
      <c r="F90" s="308"/>
      <c r="G90" s="308"/>
      <c r="H90" s="308"/>
      <c r="I90" s="308"/>
      <c r="J90" s="306" t="s">
        <v>153</v>
      </c>
      <c r="K90" s="306"/>
      <c r="L90" s="306"/>
      <c r="M90" s="306"/>
      <c r="N90" s="306"/>
      <c r="O90" s="538"/>
    </row>
    <row r="91" spans="1:16" ht="19.2" customHeight="1">
      <c r="A91" s="307" t="s">
        <v>172</v>
      </c>
      <c r="B91" s="307"/>
      <c r="C91" s="307"/>
      <c r="D91" s="307"/>
      <c r="E91" s="308"/>
      <c r="F91" s="308"/>
      <c r="G91" s="308"/>
      <c r="H91" s="308"/>
      <c r="I91" s="308"/>
      <c r="J91" s="307" t="s">
        <v>97</v>
      </c>
      <c r="K91" s="307"/>
      <c r="L91" s="307"/>
      <c r="M91" s="307"/>
      <c r="N91" s="307"/>
      <c r="O91" s="538"/>
    </row>
    <row r="92" spans="1:16" ht="19.2" customHeight="1">
      <c r="A92" s="334" t="s">
        <v>124</v>
      </c>
      <c r="B92" s="335"/>
      <c r="C92" s="336"/>
      <c r="D92" s="118">
        <v>54</v>
      </c>
      <c r="E92" s="7"/>
      <c r="F92" s="280"/>
      <c r="G92" s="280"/>
      <c r="H92" s="280"/>
      <c r="I92" s="280"/>
      <c r="J92" s="280"/>
      <c r="K92" s="280"/>
      <c r="L92" s="280"/>
      <c r="M92" s="280"/>
      <c r="N92" s="280"/>
      <c r="O92" s="537"/>
      <c r="P92" s="537"/>
    </row>
    <row r="93" spans="1:16" ht="19.2" customHeight="1">
      <c r="A93" s="318" t="s">
        <v>0</v>
      </c>
      <c r="B93" s="321" t="s">
        <v>19</v>
      </c>
      <c r="C93" s="321" t="s">
        <v>8</v>
      </c>
      <c r="D93" s="321" t="s">
        <v>9</v>
      </c>
      <c r="E93" s="324" t="s">
        <v>11</v>
      </c>
      <c r="F93" s="325"/>
      <c r="G93" s="324" t="s">
        <v>13</v>
      </c>
      <c r="H93" s="325"/>
      <c r="I93" s="318" t="s">
        <v>16</v>
      </c>
      <c r="J93" s="318" t="s">
        <v>41</v>
      </c>
      <c r="K93" s="318" t="s">
        <v>42</v>
      </c>
      <c r="L93" s="318" t="s">
        <v>17</v>
      </c>
      <c r="M93" s="318" t="s">
        <v>40</v>
      </c>
      <c r="N93" s="318" t="s">
        <v>18</v>
      </c>
      <c r="O93" s="539"/>
    </row>
    <row r="94" spans="1:16" ht="19.2" customHeight="1">
      <c r="A94" s="319"/>
      <c r="B94" s="322"/>
      <c r="C94" s="322"/>
      <c r="D94" s="322"/>
      <c r="E94" s="326"/>
      <c r="F94" s="327"/>
      <c r="G94" s="326"/>
      <c r="H94" s="327"/>
      <c r="I94" s="328"/>
      <c r="J94" s="328"/>
      <c r="K94" s="328"/>
      <c r="L94" s="328"/>
      <c r="M94" s="328"/>
      <c r="N94" s="319"/>
      <c r="O94" s="283"/>
    </row>
    <row r="95" spans="1:16" ht="19.2" customHeight="1">
      <c r="A95" s="319"/>
      <c r="B95" s="322"/>
      <c r="C95" s="322"/>
      <c r="D95" s="322"/>
      <c r="E95" s="318" t="s">
        <v>10</v>
      </c>
      <c r="F95" s="318" t="s">
        <v>12</v>
      </c>
      <c r="G95" s="318" t="s">
        <v>14</v>
      </c>
      <c r="H95" s="318" t="s">
        <v>15</v>
      </c>
      <c r="I95" s="328"/>
      <c r="J95" s="328"/>
      <c r="K95" s="328"/>
      <c r="L95" s="328"/>
      <c r="M95" s="328"/>
      <c r="N95" s="319"/>
      <c r="O95" s="283"/>
    </row>
    <row r="96" spans="1:16" ht="19.2" customHeight="1">
      <c r="A96" s="320"/>
      <c r="B96" s="323"/>
      <c r="C96" s="323"/>
      <c r="D96" s="323"/>
      <c r="E96" s="329"/>
      <c r="F96" s="329"/>
      <c r="G96" s="329"/>
      <c r="H96" s="329"/>
      <c r="I96" s="329"/>
      <c r="J96" s="329"/>
      <c r="K96" s="329"/>
      <c r="L96" s="329"/>
      <c r="M96" s="329"/>
      <c r="N96" s="320"/>
      <c r="O96" s="283"/>
    </row>
    <row r="97" spans="1:20" ht="18.600000000000001" customHeight="1">
      <c r="A97" s="343" t="s">
        <v>39</v>
      </c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5"/>
      <c r="O97" s="283"/>
    </row>
    <row r="98" spans="1:20" ht="18.600000000000001" customHeight="1">
      <c r="A98" s="284">
        <v>1</v>
      </c>
      <c r="B98" s="5" t="s">
        <v>125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21">
        <v>3950</v>
      </c>
      <c r="O98" s="576"/>
    </row>
    <row r="99" spans="1:20" ht="18.600000000000001" customHeight="1">
      <c r="A99" s="8">
        <v>2</v>
      </c>
      <c r="B99" s="9" t="s">
        <v>2</v>
      </c>
      <c r="C99" s="21">
        <f>L99/100*100</f>
        <v>70</v>
      </c>
      <c r="D99" s="22">
        <f>C99/100*60</f>
        <v>42</v>
      </c>
      <c r="E99" s="23">
        <f>C99/100*15</f>
        <v>10.5</v>
      </c>
      <c r="F99" s="23"/>
      <c r="G99" s="23"/>
      <c r="H99" s="23"/>
      <c r="I99" s="23"/>
      <c r="J99" s="25">
        <f>C99/100*387</f>
        <v>270.89999999999998</v>
      </c>
      <c r="K99" s="25">
        <f>C99/100*0.09</f>
        <v>6.3E-2</v>
      </c>
      <c r="L99" s="130">
        <v>70</v>
      </c>
      <c r="M99" s="65">
        <v>20</v>
      </c>
      <c r="N99" s="21">
        <f>L99*M99</f>
        <v>1400</v>
      </c>
      <c r="O99" s="16"/>
    </row>
    <row r="100" spans="1:20" ht="18.600000000000001" customHeight="1">
      <c r="A100" s="8">
        <v>3</v>
      </c>
      <c r="B100" s="69" t="s">
        <v>143</v>
      </c>
      <c r="C100" s="21">
        <f>L100/100*100</f>
        <v>430</v>
      </c>
      <c r="D100" s="22">
        <f>C100/100*899</f>
        <v>3865.7</v>
      </c>
      <c r="E100" s="23"/>
      <c r="F100" s="23"/>
      <c r="G100" s="23">
        <f>C100/100*100</f>
        <v>430</v>
      </c>
      <c r="H100" s="23"/>
      <c r="I100" s="23"/>
      <c r="J100" s="23"/>
      <c r="K100" s="23"/>
      <c r="L100" s="130">
        <v>430</v>
      </c>
      <c r="M100" s="22">
        <v>68</v>
      </c>
      <c r="N100" s="21">
        <f t="shared" ref="N100:N107" si="4">L100*M100</f>
        <v>29240</v>
      </c>
      <c r="O100" s="542"/>
    </row>
    <row r="101" spans="1:20" ht="18.600000000000001" customHeight="1">
      <c r="A101" s="8">
        <v>4</v>
      </c>
      <c r="B101" s="4" t="s">
        <v>1</v>
      </c>
      <c r="C101" s="21">
        <f>L101/100*100</f>
        <v>2322</v>
      </c>
      <c r="D101" s="22">
        <f>C101/100*364</f>
        <v>8452.08</v>
      </c>
      <c r="E101" s="23"/>
      <c r="F101" s="23">
        <f>C101/100*7.9</f>
        <v>183.43799999999999</v>
      </c>
      <c r="G101" s="23"/>
      <c r="H101" s="23">
        <f>C101/100*1</f>
        <v>23.22</v>
      </c>
      <c r="I101" s="23">
        <f>C101/100*73.4</f>
        <v>1704.348</v>
      </c>
      <c r="J101" s="25">
        <f>C101/100*30</f>
        <v>696.59999999999991</v>
      </c>
      <c r="K101" s="25">
        <f>C101/100*0.1</f>
        <v>2.3220000000000001</v>
      </c>
      <c r="L101" s="130">
        <v>2322</v>
      </c>
      <c r="M101" s="65">
        <v>18</v>
      </c>
      <c r="N101" s="21">
        <f t="shared" si="4"/>
        <v>41796</v>
      </c>
      <c r="O101" s="16"/>
    </row>
    <row r="102" spans="1:20" ht="18.600000000000001" customHeight="1">
      <c r="A102" s="8">
        <v>5</v>
      </c>
      <c r="B102" s="4" t="s">
        <v>95</v>
      </c>
      <c r="C102" s="21">
        <f>L102/100*81.7</f>
        <v>988.57</v>
      </c>
      <c r="D102" s="22">
        <f>C102/100*27</f>
        <v>266.91390000000001</v>
      </c>
      <c r="E102" s="26"/>
      <c r="F102" s="26">
        <f>C102/100*0.3</f>
        <v>2.9657100000000001</v>
      </c>
      <c r="G102" s="26"/>
      <c r="H102" s="26">
        <f>C102/100*0.1</f>
        <v>0.98857000000000006</v>
      </c>
      <c r="I102" s="26">
        <f>C102/100*6.1</f>
        <v>60.302769999999995</v>
      </c>
      <c r="J102" s="62">
        <f>C102/100*24</f>
        <v>237.2568</v>
      </c>
      <c r="K102" s="62">
        <f>C102/100*0.06</f>
        <v>0.59314199999999995</v>
      </c>
      <c r="L102" s="540">
        <v>1210</v>
      </c>
      <c r="M102" s="24">
        <v>22</v>
      </c>
      <c r="N102" s="21">
        <f t="shared" si="4"/>
        <v>26620</v>
      </c>
      <c r="O102" s="3"/>
      <c r="Q102" s="2"/>
      <c r="R102" s="2"/>
      <c r="S102" s="3"/>
    </row>
    <row r="103" spans="1:20" ht="18.600000000000001" customHeight="1">
      <c r="A103" s="8">
        <v>6</v>
      </c>
      <c r="B103" s="4" t="s">
        <v>4</v>
      </c>
      <c r="C103" s="21">
        <f>L103/100*98.5</f>
        <v>423.54999999999995</v>
      </c>
      <c r="D103" s="22">
        <f>C103/100*39</f>
        <v>165.18449999999996</v>
      </c>
      <c r="E103" s="26"/>
      <c r="F103" s="26">
        <f>C103/100*1.5</f>
        <v>6.3532499999999992</v>
      </c>
      <c r="G103" s="26"/>
      <c r="H103" s="26">
        <f>C103/100*0.2</f>
        <v>0.84709999999999985</v>
      </c>
      <c r="I103" s="26">
        <f>C103/100*7.8</f>
        <v>33.036899999999996</v>
      </c>
      <c r="J103" s="62">
        <f>C103/100*43</f>
        <v>182.12649999999996</v>
      </c>
      <c r="K103" s="62">
        <f>C103/100*0.06</f>
        <v>0.25412999999999997</v>
      </c>
      <c r="L103" s="540">
        <v>430</v>
      </c>
      <c r="M103" s="24">
        <v>17</v>
      </c>
      <c r="N103" s="21">
        <f t="shared" si="4"/>
        <v>7310</v>
      </c>
      <c r="O103" s="3"/>
      <c r="Q103" s="2"/>
      <c r="R103" s="2"/>
      <c r="S103" s="3"/>
    </row>
    <row r="104" spans="1:20" ht="18.600000000000001" customHeight="1">
      <c r="A104" s="8">
        <v>7</v>
      </c>
      <c r="B104" s="4" t="s">
        <v>138</v>
      </c>
      <c r="C104" s="21">
        <f>L104/100*100</f>
        <v>40</v>
      </c>
      <c r="D104" s="22">
        <f>C104/100*247</f>
        <v>98.800000000000011</v>
      </c>
      <c r="E104" s="26"/>
      <c r="F104" s="26">
        <f>C104/100*17.5</f>
        <v>7</v>
      </c>
      <c r="G104" s="26"/>
      <c r="H104" s="26">
        <f>C104/100*1.6</f>
        <v>0.64000000000000012</v>
      </c>
      <c r="I104" s="26">
        <f>C104/100*39.2</f>
        <v>15.680000000000001</v>
      </c>
      <c r="J104" s="62"/>
      <c r="K104" s="62"/>
      <c r="L104" s="540">
        <v>40</v>
      </c>
      <c r="M104" s="65">
        <v>50</v>
      </c>
      <c r="N104" s="21">
        <f t="shared" si="4"/>
        <v>2000</v>
      </c>
      <c r="O104" s="3"/>
      <c r="Q104" s="2"/>
      <c r="R104" s="2"/>
      <c r="S104" s="3"/>
      <c r="T104" s="2"/>
    </row>
    <row r="105" spans="1:20" ht="18.600000000000001" customHeight="1">
      <c r="A105" s="8">
        <v>8</v>
      </c>
      <c r="B105" s="9" t="s">
        <v>74</v>
      </c>
      <c r="C105" s="21">
        <f>L105/100*98</f>
        <v>431.20000000000005</v>
      </c>
      <c r="D105" s="22">
        <f>C105/100*139</f>
        <v>599.36800000000005</v>
      </c>
      <c r="E105" s="23">
        <f>C105/100*19</f>
        <v>81.928000000000011</v>
      </c>
      <c r="F105" s="23"/>
      <c r="G105" s="23">
        <f>C105/100*7</f>
        <v>30.184000000000001</v>
      </c>
      <c r="H105" s="23"/>
      <c r="I105" s="23"/>
      <c r="J105" s="23">
        <f>C105/100*7</f>
        <v>30.184000000000001</v>
      </c>
      <c r="K105" s="23">
        <f>C105/100*0.9</f>
        <v>3.8808000000000002</v>
      </c>
      <c r="L105" s="130">
        <v>440</v>
      </c>
      <c r="M105" s="65">
        <v>130</v>
      </c>
      <c r="N105" s="21">
        <f t="shared" si="4"/>
        <v>57200</v>
      </c>
      <c r="O105" s="3"/>
    </row>
    <row r="106" spans="1:20" ht="18.600000000000001" customHeight="1">
      <c r="A106" s="8">
        <v>9</v>
      </c>
      <c r="B106" s="69" t="s">
        <v>3</v>
      </c>
      <c r="C106" s="21">
        <f>L106/100*98</f>
        <v>1646.4</v>
      </c>
      <c r="D106" s="22">
        <f>C106/100*118</f>
        <v>1942.7520000000002</v>
      </c>
      <c r="E106" s="23">
        <f>C106/100*21</f>
        <v>345.74400000000003</v>
      </c>
      <c r="F106" s="23"/>
      <c r="G106" s="23">
        <f>C106/100*3.8</f>
        <v>62.563200000000002</v>
      </c>
      <c r="H106" s="23"/>
      <c r="I106" s="23"/>
      <c r="J106" s="23">
        <f>C106/100*12</f>
        <v>197.56800000000004</v>
      </c>
      <c r="K106" s="23">
        <f>C106/100*0.1</f>
        <v>1.6464000000000003</v>
      </c>
      <c r="L106" s="130">
        <v>1680</v>
      </c>
      <c r="M106" s="65">
        <v>250</v>
      </c>
      <c r="N106" s="21">
        <f t="shared" si="4"/>
        <v>420000</v>
      </c>
      <c r="O106" s="3"/>
    </row>
    <row r="107" spans="1:20" ht="18.600000000000001" customHeight="1">
      <c r="A107" s="8">
        <v>10</v>
      </c>
      <c r="B107" s="4" t="s">
        <v>20</v>
      </c>
      <c r="C107" s="21">
        <f>L107/100*95</f>
        <v>513</v>
      </c>
      <c r="D107" s="22">
        <f>C107/100*20</f>
        <v>102.6</v>
      </c>
      <c r="E107" s="23"/>
      <c r="F107" s="23">
        <f>C107/100*0.6</f>
        <v>3.0779999999999998</v>
      </c>
      <c r="G107" s="23"/>
      <c r="H107" s="23">
        <f>C107/100*0.2</f>
        <v>1.026</v>
      </c>
      <c r="I107" s="23">
        <f>C107/100*4</f>
        <v>20.52</v>
      </c>
      <c r="J107" s="62">
        <f>C107/100*12</f>
        <v>61.56</v>
      </c>
      <c r="K107" s="62">
        <f>C107/100*0.04</f>
        <v>0.20519999999999999</v>
      </c>
      <c r="L107" s="27">
        <v>540</v>
      </c>
      <c r="M107" s="65">
        <v>40</v>
      </c>
      <c r="N107" s="21">
        <f t="shared" si="4"/>
        <v>21600</v>
      </c>
      <c r="O107" s="3"/>
      <c r="Q107" s="2"/>
      <c r="R107" s="2"/>
    </row>
    <row r="108" spans="1:20" ht="18.600000000000001" customHeight="1">
      <c r="A108" s="19" t="s">
        <v>120</v>
      </c>
      <c r="B108" s="20"/>
      <c r="C108" s="30"/>
      <c r="D108" s="111">
        <f>SUM(D98:D107)</f>
        <v>15535.398399999998</v>
      </c>
      <c r="E108" s="6"/>
      <c r="F108" s="6"/>
      <c r="G108" s="6"/>
      <c r="H108" s="6"/>
      <c r="I108" s="6"/>
      <c r="J108" s="6"/>
      <c r="K108" s="6"/>
      <c r="L108" s="38"/>
      <c r="M108" s="38"/>
      <c r="N108" s="302">
        <f>SUM(N98:N107)</f>
        <v>611116</v>
      </c>
      <c r="O108" s="3"/>
    </row>
    <row r="109" spans="1:20" ht="18.600000000000001" customHeight="1">
      <c r="A109" s="19" t="s">
        <v>37</v>
      </c>
      <c r="B109" s="20"/>
      <c r="C109" s="39"/>
      <c r="D109" s="40">
        <f>D108/D92</f>
        <v>287.69256296296294</v>
      </c>
      <c r="E109" s="40"/>
      <c r="F109" s="40"/>
      <c r="G109" s="40"/>
      <c r="H109" s="40"/>
      <c r="I109" s="40"/>
      <c r="J109" s="40"/>
      <c r="K109" s="40"/>
      <c r="L109" s="38"/>
      <c r="M109" s="38"/>
      <c r="N109" s="303"/>
      <c r="O109" s="3"/>
    </row>
    <row r="110" spans="1:20" ht="18.600000000000001" customHeight="1">
      <c r="A110" s="402" t="s">
        <v>53</v>
      </c>
      <c r="B110" s="331"/>
      <c r="C110" s="541" t="s">
        <v>154</v>
      </c>
      <c r="D110" s="18" t="s">
        <v>45</v>
      </c>
      <c r="E110" s="40"/>
      <c r="F110" s="40"/>
      <c r="G110" s="40"/>
      <c r="H110" s="40"/>
      <c r="I110" s="40"/>
      <c r="J110" s="41"/>
      <c r="K110" s="41"/>
      <c r="L110" s="38"/>
      <c r="M110" s="38"/>
      <c r="N110" s="285"/>
      <c r="O110" s="3"/>
    </row>
    <row r="111" spans="1:20" ht="18.600000000000001" customHeight="1">
      <c r="A111" s="332"/>
      <c r="B111" s="333"/>
      <c r="C111" s="66" t="s">
        <v>60</v>
      </c>
      <c r="D111" s="68">
        <f>D109*100/930</f>
        <v>30.934684189565907</v>
      </c>
      <c r="E111" s="40"/>
      <c r="F111" s="40"/>
      <c r="G111" s="40"/>
      <c r="H111" s="40"/>
      <c r="I111" s="40"/>
      <c r="J111" s="41"/>
      <c r="K111" s="41"/>
      <c r="L111" s="38"/>
      <c r="M111" s="38"/>
      <c r="N111" s="285"/>
      <c r="O111" s="3"/>
    </row>
    <row r="112" spans="1:20" ht="18.600000000000001" customHeight="1">
      <c r="A112" s="341" t="s">
        <v>38</v>
      </c>
      <c r="B112" s="341"/>
      <c r="C112" s="48"/>
      <c r="D112" s="49"/>
      <c r="E112" s="50"/>
      <c r="F112" s="50"/>
      <c r="G112" s="50"/>
      <c r="H112" s="50"/>
      <c r="I112" s="50"/>
      <c r="J112" s="50"/>
      <c r="K112" s="50"/>
      <c r="L112" s="51"/>
      <c r="M112" s="51"/>
      <c r="N112" s="48"/>
      <c r="O112" s="3"/>
    </row>
    <row r="113" spans="1:20" ht="18.600000000000001" customHeight="1">
      <c r="A113" s="13">
        <v>1</v>
      </c>
      <c r="B113" s="5" t="s">
        <v>125</v>
      </c>
      <c r="C113" s="35"/>
      <c r="D113" s="577"/>
      <c r="E113" s="36"/>
      <c r="F113" s="36"/>
      <c r="G113" s="36"/>
      <c r="H113" s="36"/>
      <c r="I113" s="36"/>
      <c r="J113" s="36"/>
      <c r="K113" s="36"/>
      <c r="L113" s="37"/>
      <c r="M113" s="37"/>
      <c r="N113" s="35">
        <v>3950</v>
      </c>
      <c r="O113" s="3"/>
    </row>
    <row r="114" spans="1:20" ht="18.600000000000001" customHeight="1">
      <c r="A114" s="8">
        <v>2</v>
      </c>
      <c r="B114" s="4" t="s">
        <v>1</v>
      </c>
      <c r="C114" s="21">
        <f>L114/100*100</f>
        <v>2268</v>
      </c>
      <c r="D114" s="22">
        <f>C114/100*364</f>
        <v>8255.52</v>
      </c>
      <c r="E114" s="23"/>
      <c r="F114" s="23">
        <f>C114/100*7.9</f>
        <v>179.172</v>
      </c>
      <c r="G114" s="23"/>
      <c r="H114" s="23">
        <f>C114/100*1</f>
        <v>22.68</v>
      </c>
      <c r="I114" s="23">
        <f>C114/100*73.4</f>
        <v>1664.7120000000002</v>
      </c>
      <c r="J114" s="25">
        <f>C114/100*30</f>
        <v>680.4</v>
      </c>
      <c r="K114" s="25">
        <f>C114/100*0.1</f>
        <v>2.2680000000000002</v>
      </c>
      <c r="L114" s="24">
        <v>2268</v>
      </c>
      <c r="M114" s="65">
        <v>18</v>
      </c>
      <c r="N114" s="128">
        <f>L114*M114</f>
        <v>40824</v>
      </c>
      <c r="O114" s="16"/>
    </row>
    <row r="115" spans="1:20" ht="18.600000000000001" customHeight="1">
      <c r="A115" s="8">
        <v>3</v>
      </c>
      <c r="B115" s="9" t="s">
        <v>2</v>
      </c>
      <c r="C115" s="21">
        <f>L115/100*100</f>
        <v>70</v>
      </c>
      <c r="D115" s="22">
        <f>C115/100*60</f>
        <v>42</v>
      </c>
      <c r="E115" s="23">
        <f>C115/100*15</f>
        <v>10.5</v>
      </c>
      <c r="F115" s="23"/>
      <c r="G115" s="23"/>
      <c r="H115" s="23"/>
      <c r="I115" s="23"/>
      <c r="J115" s="25">
        <f>C115/100*387</f>
        <v>270.89999999999998</v>
      </c>
      <c r="K115" s="25">
        <f>C115/100*0.09</f>
        <v>6.3E-2</v>
      </c>
      <c r="L115" s="24">
        <v>70</v>
      </c>
      <c r="M115" s="65">
        <v>20</v>
      </c>
      <c r="N115" s="128">
        <f t="shared" ref="N115:N121" si="5">L115*M115</f>
        <v>1400</v>
      </c>
      <c r="O115" s="16"/>
    </row>
    <row r="116" spans="1:20" ht="18.600000000000001" customHeight="1">
      <c r="A116" s="8">
        <v>4</v>
      </c>
      <c r="B116" s="69" t="s">
        <v>143</v>
      </c>
      <c r="C116" s="21">
        <f>L116/100*100</f>
        <v>110.00000000000001</v>
      </c>
      <c r="D116" s="22">
        <f>C116/100*900</f>
        <v>990.00000000000011</v>
      </c>
      <c r="E116" s="23"/>
      <c r="F116" s="23"/>
      <c r="G116" s="23">
        <f>C116/100*100</f>
        <v>110.00000000000001</v>
      </c>
      <c r="H116" s="23">
        <f>C116/100*100</f>
        <v>110.00000000000001</v>
      </c>
      <c r="I116" s="23"/>
      <c r="J116" s="25"/>
      <c r="K116" s="25"/>
      <c r="L116" s="24">
        <v>110</v>
      </c>
      <c r="M116" s="65">
        <v>68</v>
      </c>
      <c r="N116" s="128">
        <f t="shared" si="5"/>
        <v>7480</v>
      </c>
      <c r="O116" s="3"/>
    </row>
    <row r="117" spans="1:20" ht="18.600000000000001" customHeight="1">
      <c r="A117" s="8">
        <v>5</v>
      </c>
      <c r="B117" s="9" t="s">
        <v>141</v>
      </c>
      <c r="C117" s="21">
        <f>L117/100*100</f>
        <v>280</v>
      </c>
      <c r="D117" s="22">
        <f>C117/100*53</f>
        <v>148.39999999999998</v>
      </c>
      <c r="E117" s="23"/>
      <c r="F117" s="23">
        <f>C117/100*6.3</f>
        <v>17.639999999999997</v>
      </c>
      <c r="G117" s="23"/>
      <c r="H117" s="23">
        <f>C117/100*0.04</f>
        <v>0.11199999999999999</v>
      </c>
      <c r="I117" s="23">
        <f>C117/100*6.8</f>
        <v>19.04</v>
      </c>
      <c r="J117" s="25">
        <f>C117/100*19</f>
        <v>53.199999999999996</v>
      </c>
      <c r="K117" s="25">
        <f>C117/100*0.03</f>
        <v>8.3999999999999991E-2</v>
      </c>
      <c r="L117" s="24">
        <v>280</v>
      </c>
      <c r="M117" s="65">
        <v>42.5</v>
      </c>
      <c r="N117" s="128">
        <f t="shared" si="5"/>
        <v>11900</v>
      </c>
      <c r="O117" s="16"/>
    </row>
    <row r="118" spans="1:20" ht="18.600000000000001" customHeight="1">
      <c r="A118" s="8">
        <v>6</v>
      </c>
      <c r="B118" s="4" t="s">
        <v>75</v>
      </c>
      <c r="C118" s="21">
        <f>L118/100*75</f>
        <v>975</v>
      </c>
      <c r="D118" s="22">
        <f>C118/100*12</f>
        <v>117</v>
      </c>
      <c r="E118" s="23">
        <f>C118/100*0.6</f>
        <v>5.85</v>
      </c>
      <c r="F118" s="23"/>
      <c r="G118" s="23"/>
      <c r="H118" s="23"/>
      <c r="I118" s="23">
        <f>C118/100*2.4</f>
        <v>23.4</v>
      </c>
      <c r="J118" s="25">
        <f>C118/100*26</f>
        <v>253.5</v>
      </c>
      <c r="K118" s="25">
        <f>C118/100*0.02</f>
        <v>0.19500000000000001</v>
      </c>
      <c r="L118" s="24">
        <v>1300</v>
      </c>
      <c r="M118" s="24">
        <v>30</v>
      </c>
      <c r="N118" s="128">
        <f t="shared" si="5"/>
        <v>39000</v>
      </c>
      <c r="O118" s="3"/>
    </row>
    <row r="119" spans="1:20" ht="18.600000000000001" customHeight="1">
      <c r="A119" s="8">
        <v>7</v>
      </c>
      <c r="B119" s="4" t="s">
        <v>4</v>
      </c>
      <c r="C119" s="21">
        <f>L119/100*98.5</f>
        <v>423.54999999999995</v>
      </c>
      <c r="D119" s="22">
        <f>C119/100*39</f>
        <v>165.18449999999996</v>
      </c>
      <c r="E119" s="26"/>
      <c r="F119" s="26">
        <f>C119/100*1.5</f>
        <v>6.3532499999999992</v>
      </c>
      <c r="G119" s="578"/>
      <c r="H119" s="26">
        <f>C119/100*0.2</f>
        <v>0.84709999999999985</v>
      </c>
      <c r="I119" s="26">
        <f>C119/100*7.8</f>
        <v>33.036899999999996</v>
      </c>
      <c r="J119" s="62">
        <f>C119/100*43</f>
        <v>182.12649999999996</v>
      </c>
      <c r="K119" s="62">
        <f>C119/100*0.06</f>
        <v>0.25412999999999997</v>
      </c>
      <c r="L119" s="27">
        <v>430</v>
      </c>
      <c r="M119" s="24">
        <v>17</v>
      </c>
      <c r="N119" s="128">
        <f t="shared" si="5"/>
        <v>7310</v>
      </c>
      <c r="O119" s="3"/>
      <c r="Q119" s="2"/>
      <c r="R119" s="2"/>
      <c r="S119" s="3"/>
    </row>
    <row r="120" spans="1:20" ht="18.600000000000001" customHeight="1">
      <c r="A120" s="8">
        <v>8</v>
      </c>
      <c r="B120" s="9" t="s">
        <v>64</v>
      </c>
      <c r="C120" s="21">
        <f>L120/100*40</f>
        <v>1416</v>
      </c>
      <c r="D120" s="22">
        <f>C120/100*276</f>
        <v>3908.16</v>
      </c>
      <c r="E120" s="23">
        <f>C120/100*17.8</f>
        <v>252.048</v>
      </c>
      <c r="F120" s="129"/>
      <c r="G120" s="23">
        <f>C120/100*21.8</f>
        <v>308.68799999999999</v>
      </c>
      <c r="H120" s="23"/>
      <c r="I120" s="23"/>
      <c r="J120" s="25">
        <f>C120/100*13</f>
        <v>184.08</v>
      </c>
      <c r="K120" s="25">
        <f>C120/100*0.07</f>
        <v>0.99120000000000008</v>
      </c>
      <c r="L120" s="24">
        <v>3540</v>
      </c>
      <c r="M120" s="65">
        <v>63</v>
      </c>
      <c r="N120" s="128">
        <f t="shared" si="5"/>
        <v>223020</v>
      </c>
      <c r="O120" s="3"/>
    </row>
    <row r="121" spans="1:20" ht="18.600000000000001" customHeight="1">
      <c r="A121" s="8">
        <v>9</v>
      </c>
      <c r="B121" s="4" t="s">
        <v>138</v>
      </c>
      <c r="C121" s="21">
        <f>L121/100*100</f>
        <v>40</v>
      </c>
      <c r="D121" s="22">
        <f>C121/100*247</f>
        <v>98.800000000000011</v>
      </c>
      <c r="E121" s="26"/>
      <c r="F121" s="26">
        <f>C121/100*17.5</f>
        <v>7</v>
      </c>
      <c r="G121" s="26"/>
      <c r="H121" s="26">
        <f>C121/100*1.6</f>
        <v>0.64000000000000012</v>
      </c>
      <c r="I121" s="26">
        <f>C121/100*39.2</f>
        <v>15.680000000000001</v>
      </c>
      <c r="J121" s="62"/>
      <c r="K121" s="62"/>
      <c r="L121" s="540">
        <v>40</v>
      </c>
      <c r="M121" s="65">
        <v>50</v>
      </c>
      <c r="N121" s="21">
        <f t="shared" si="5"/>
        <v>2000</v>
      </c>
      <c r="O121" s="3"/>
      <c r="Q121" s="2"/>
      <c r="R121" s="2"/>
      <c r="S121" s="3"/>
      <c r="T121" s="2"/>
    </row>
    <row r="122" spans="1:20" ht="18.600000000000001" customHeight="1">
      <c r="A122" s="19" t="s">
        <v>121</v>
      </c>
      <c r="B122" s="20"/>
      <c r="C122" s="30"/>
      <c r="D122" s="111">
        <f>SUM(D113:D121)</f>
        <v>13725.064499999999</v>
      </c>
      <c r="E122" s="6"/>
      <c r="F122" s="6"/>
      <c r="G122" s="6"/>
      <c r="H122" s="6"/>
      <c r="I122" s="6"/>
      <c r="J122" s="6"/>
      <c r="K122" s="6"/>
      <c r="L122" s="38"/>
      <c r="M122" s="38"/>
      <c r="N122" s="302">
        <f>SUM(N113:N121)</f>
        <v>336884</v>
      </c>
      <c r="O122" s="3"/>
    </row>
    <row r="123" spans="1:20" ht="18.600000000000001" customHeight="1">
      <c r="A123" s="19" t="s">
        <v>36</v>
      </c>
      <c r="B123" s="20"/>
      <c r="C123" s="52"/>
      <c r="D123" s="41">
        <f>D122/D92</f>
        <v>254.16786111111108</v>
      </c>
      <c r="E123" s="41"/>
      <c r="F123" s="41"/>
      <c r="G123" s="41"/>
      <c r="H123" s="41"/>
      <c r="I123" s="41"/>
      <c r="J123" s="41"/>
      <c r="K123" s="41"/>
      <c r="L123" s="53"/>
      <c r="M123" s="38"/>
      <c r="N123" s="340"/>
      <c r="O123" s="3"/>
    </row>
    <row r="124" spans="1:20" ht="18.600000000000001" customHeight="1">
      <c r="A124" s="402" t="s">
        <v>54</v>
      </c>
      <c r="B124" s="331"/>
      <c r="C124" s="541" t="s">
        <v>154</v>
      </c>
      <c r="D124" s="18" t="s">
        <v>46</v>
      </c>
      <c r="E124" s="40"/>
      <c r="F124" s="40"/>
      <c r="G124" s="40"/>
      <c r="H124" s="40"/>
      <c r="I124" s="40"/>
      <c r="J124" s="41"/>
      <c r="K124" s="41"/>
      <c r="L124" s="38"/>
      <c r="M124" s="38"/>
      <c r="N124" s="285"/>
      <c r="O124" s="3"/>
    </row>
    <row r="125" spans="1:20" ht="18.600000000000001" customHeight="1">
      <c r="A125" s="332"/>
      <c r="B125" s="333"/>
      <c r="C125" s="66" t="s">
        <v>60</v>
      </c>
      <c r="D125" s="68">
        <f>D123*100/930</f>
        <v>27.329877538829148</v>
      </c>
      <c r="E125" s="40"/>
      <c r="F125" s="40"/>
      <c r="G125" s="40"/>
      <c r="H125" s="40">
        <v>13</v>
      </c>
      <c r="I125" s="40"/>
      <c r="J125" s="41"/>
      <c r="K125" s="41"/>
      <c r="L125" s="38"/>
      <c r="M125" s="38"/>
      <c r="N125" s="285"/>
      <c r="O125" s="3"/>
    </row>
    <row r="126" spans="1:20" ht="18.600000000000001" customHeight="1">
      <c r="A126" s="341" t="s">
        <v>35</v>
      </c>
      <c r="B126" s="341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3"/>
      <c r="Q126" s="163"/>
    </row>
    <row r="127" spans="1:20" ht="18.600000000000001" customHeight="1">
      <c r="A127" s="95">
        <v>1</v>
      </c>
      <c r="B127" s="154" t="s">
        <v>152</v>
      </c>
      <c r="C127" s="96">
        <f>L127/100*100</f>
        <v>919.99999999999989</v>
      </c>
      <c r="D127" s="97">
        <f>C127/100*487</f>
        <v>4480.3999999999996</v>
      </c>
      <c r="E127" s="98"/>
      <c r="F127" s="98">
        <f>C127/100*19.5</f>
        <v>179.39999999999998</v>
      </c>
      <c r="G127" s="98"/>
      <c r="H127" s="98">
        <f>C127/100*23.2</f>
        <v>213.43999999999997</v>
      </c>
      <c r="I127" s="98">
        <f>C127/100*46</f>
        <v>423.2</v>
      </c>
      <c r="J127" s="146">
        <f>C127/100*680</f>
        <v>6255.9999999999991</v>
      </c>
      <c r="K127" s="98">
        <f>C127/100*0.55</f>
        <v>5.0599999999999996</v>
      </c>
      <c r="L127" s="99">
        <v>920</v>
      </c>
      <c r="M127" s="155">
        <v>260</v>
      </c>
      <c r="N127" s="96">
        <f t="shared" ref="N127" si="6">L127*M127</f>
        <v>239200</v>
      </c>
      <c r="O127" s="3"/>
      <c r="P127" s="2"/>
    </row>
    <row r="128" spans="1:20" ht="19.2" customHeight="1">
      <c r="A128" s="318" t="s">
        <v>0</v>
      </c>
      <c r="B128" s="321" t="s">
        <v>19</v>
      </c>
      <c r="C128" s="321" t="s">
        <v>8</v>
      </c>
      <c r="D128" s="321" t="s">
        <v>9</v>
      </c>
      <c r="E128" s="324" t="s">
        <v>11</v>
      </c>
      <c r="F128" s="325"/>
      <c r="G128" s="324" t="s">
        <v>13</v>
      </c>
      <c r="H128" s="325"/>
      <c r="I128" s="318" t="s">
        <v>16</v>
      </c>
      <c r="J128" s="318" t="s">
        <v>41</v>
      </c>
      <c r="K128" s="318" t="s">
        <v>42</v>
      </c>
      <c r="L128" s="318" t="s">
        <v>17</v>
      </c>
      <c r="M128" s="318" t="s">
        <v>40</v>
      </c>
      <c r="N128" s="318" t="s">
        <v>18</v>
      </c>
      <c r="O128" s="539"/>
    </row>
    <row r="129" spans="1:22" ht="19.2" customHeight="1">
      <c r="A129" s="319"/>
      <c r="B129" s="322"/>
      <c r="C129" s="322"/>
      <c r="D129" s="322"/>
      <c r="E129" s="326"/>
      <c r="F129" s="327"/>
      <c r="G129" s="326"/>
      <c r="H129" s="327"/>
      <c r="I129" s="328"/>
      <c r="J129" s="328"/>
      <c r="K129" s="328"/>
      <c r="L129" s="328"/>
      <c r="M129" s="328"/>
      <c r="N129" s="319"/>
      <c r="O129" s="283"/>
    </row>
    <row r="130" spans="1:22" ht="19.2" customHeight="1">
      <c r="A130" s="319"/>
      <c r="B130" s="322"/>
      <c r="C130" s="322"/>
      <c r="D130" s="322"/>
      <c r="E130" s="318" t="s">
        <v>10</v>
      </c>
      <c r="F130" s="318" t="s">
        <v>12</v>
      </c>
      <c r="G130" s="318" t="s">
        <v>14</v>
      </c>
      <c r="H130" s="318" t="s">
        <v>15</v>
      </c>
      <c r="I130" s="328"/>
      <c r="J130" s="328"/>
      <c r="K130" s="328"/>
      <c r="L130" s="328"/>
      <c r="M130" s="328"/>
      <c r="N130" s="319"/>
      <c r="O130" s="283"/>
    </row>
    <row r="131" spans="1:22" ht="19.2" customHeight="1">
      <c r="A131" s="320"/>
      <c r="B131" s="323"/>
      <c r="C131" s="323"/>
      <c r="D131" s="323"/>
      <c r="E131" s="329"/>
      <c r="F131" s="329"/>
      <c r="G131" s="329"/>
      <c r="H131" s="329"/>
      <c r="I131" s="329"/>
      <c r="J131" s="329"/>
      <c r="K131" s="329"/>
      <c r="L131" s="329"/>
      <c r="M131" s="329"/>
      <c r="N131" s="320"/>
      <c r="O131" s="283"/>
    </row>
    <row r="132" spans="1:22" ht="19.2" customHeight="1">
      <c r="A132" s="19" t="s">
        <v>108</v>
      </c>
      <c r="B132" s="20"/>
      <c r="C132" s="30"/>
      <c r="D132" s="31">
        <f>SUM(D126:D127)</f>
        <v>4480.3999999999996</v>
      </c>
      <c r="E132" s="6"/>
      <c r="F132" s="6"/>
      <c r="G132" s="6"/>
      <c r="H132" s="6"/>
      <c r="I132" s="6"/>
      <c r="J132" s="6"/>
      <c r="K132" s="6"/>
      <c r="L132" s="38"/>
      <c r="M132" s="38"/>
      <c r="N132" s="302">
        <f>SUM(N126:N127)</f>
        <v>239200</v>
      </c>
      <c r="O132" s="3"/>
    </row>
    <row r="133" spans="1:22" ht="19.2" customHeight="1">
      <c r="A133" s="19" t="s">
        <v>7</v>
      </c>
      <c r="B133" s="20"/>
      <c r="C133" s="39"/>
      <c r="D133" s="40">
        <f>D132/D92</f>
        <v>82.970370370370361</v>
      </c>
      <c r="E133" s="40"/>
      <c r="F133" s="40"/>
      <c r="G133" s="40"/>
      <c r="H133" s="40"/>
      <c r="I133" s="40"/>
      <c r="J133" s="40"/>
      <c r="K133" s="40"/>
      <c r="L133" s="38"/>
      <c r="M133" s="38"/>
      <c r="N133" s="303"/>
      <c r="O133" s="3"/>
    </row>
    <row r="134" spans="1:22" ht="19.2" customHeight="1">
      <c r="A134" s="402" t="s">
        <v>52</v>
      </c>
      <c r="B134" s="331"/>
      <c r="C134" s="541" t="s">
        <v>154</v>
      </c>
      <c r="D134" s="18" t="s">
        <v>50</v>
      </c>
      <c r="E134" s="40"/>
      <c r="F134" s="40"/>
      <c r="G134" s="40"/>
      <c r="H134" s="40"/>
      <c r="I134" s="40"/>
      <c r="J134" s="41"/>
      <c r="K134" s="41"/>
      <c r="L134" s="38"/>
      <c r="M134" s="38"/>
      <c r="N134" s="285"/>
      <c r="O134" s="3"/>
    </row>
    <row r="135" spans="1:22" ht="19.2" customHeight="1">
      <c r="A135" s="332"/>
      <c r="B135" s="333"/>
      <c r="C135" s="66" t="s">
        <v>60</v>
      </c>
      <c r="D135" s="18">
        <f>D133*100/930</f>
        <v>8.9215452011150926</v>
      </c>
      <c r="E135" s="40"/>
      <c r="F135" s="40"/>
      <c r="G135" s="40"/>
      <c r="H135" s="40"/>
      <c r="I135" s="40"/>
      <c r="J135" s="41"/>
      <c r="K135" s="41"/>
      <c r="L135" s="38"/>
      <c r="M135" s="38"/>
      <c r="N135" s="285"/>
      <c r="O135" s="3"/>
    </row>
    <row r="136" spans="1:22" ht="19.2" customHeight="1">
      <c r="A136" s="394" t="s">
        <v>109</v>
      </c>
      <c r="B136" s="395"/>
      <c r="C136" s="398"/>
      <c r="D136" s="415">
        <f>D108+D122+D132</f>
        <v>33740.8629</v>
      </c>
      <c r="E136" s="6">
        <f>SUM(E99:E126)</f>
        <v>706.57</v>
      </c>
      <c r="F136" s="6">
        <f>SUM(F98:F127)</f>
        <v>592.40021000000002</v>
      </c>
      <c r="G136" s="6">
        <f t="shared" ref="G136" si="7">SUM(G99:G126)</f>
        <v>941.43520000000001</v>
      </c>
      <c r="H136" s="6">
        <f>SUM(H98:H127)</f>
        <v>387.44076999999999</v>
      </c>
      <c r="I136" s="390">
        <f>SUM(I98:I127)</f>
        <v>4012.9565700000003</v>
      </c>
      <c r="J136" s="390">
        <f>SUM(J98:J127)</f>
        <v>9556.4017999999996</v>
      </c>
      <c r="K136" s="390">
        <f>SUM(K98:K127)</f>
        <v>17.880002000000001</v>
      </c>
      <c r="L136" s="373"/>
      <c r="M136" s="373"/>
      <c r="N136" s="417">
        <f>N108+N122+N132</f>
        <v>1187200</v>
      </c>
    </row>
    <row r="137" spans="1:22" ht="19.2" customHeight="1">
      <c r="A137" s="396"/>
      <c r="B137" s="397"/>
      <c r="C137" s="399"/>
      <c r="D137" s="416"/>
      <c r="E137" s="408">
        <f>E136+F136</f>
        <v>1298.97021</v>
      </c>
      <c r="F137" s="409"/>
      <c r="G137" s="408">
        <f>G136+H136</f>
        <v>1328.8759700000001</v>
      </c>
      <c r="H137" s="409"/>
      <c r="I137" s="391"/>
      <c r="J137" s="391"/>
      <c r="K137" s="391"/>
      <c r="L137" s="373"/>
      <c r="M137" s="373"/>
      <c r="N137" s="417"/>
      <c r="U137" s="274"/>
      <c r="V137" s="274"/>
    </row>
    <row r="138" spans="1:22" ht="19.2" customHeight="1">
      <c r="A138" s="374" t="s">
        <v>77</v>
      </c>
      <c r="B138" s="375"/>
      <c r="C138" s="376"/>
      <c r="D138" s="125">
        <f>D136/D92</f>
        <v>624.83079444444445</v>
      </c>
      <c r="E138" s="565">
        <f>E136/D92</f>
        <v>13.08462962962963</v>
      </c>
      <c r="F138" s="564">
        <f>F136/D92</f>
        <v>10.970374259259259</v>
      </c>
      <c r="G138" s="565">
        <f>G136/D92</f>
        <v>17.433985185185186</v>
      </c>
      <c r="H138" s="564">
        <f>H136/D92</f>
        <v>7.1748290740740739</v>
      </c>
      <c r="I138" s="413">
        <f>I136/D92</f>
        <v>74.314010555555555</v>
      </c>
      <c r="J138" s="413">
        <f>J136/D92</f>
        <v>176.97040370370371</v>
      </c>
      <c r="K138" s="413">
        <f>K136/D92</f>
        <v>0.33111114814814818</v>
      </c>
      <c r="L138" s="373"/>
      <c r="M138" s="373"/>
      <c r="N138" s="417"/>
      <c r="Q138" s="558"/>
      <c r="R138" s="558"/>
      <c r="S138" s="558"/>
      <c r="T138" s="558"/>
      <c r="U138" s="559"/>
      <c r="V138" s="559"/>
    </row>
    <row r="139" spans="1:22" ht="19.2" customHeight="1">
      <c r="A139" s="377"/>
      <c r="B139" s="378"/>
      <c r="C139" s="379"/>
      <c r="D139" s="117"/>
      <c r="E139" s="545">
        <f>E138+F138</f>
        <v>24.055003888888891</v>
      </c>
      <c r="F139" s="546"/>
      <c r="G139" s="545">
        <f>G138+H138</f>
        <v>24.608814259259262</v>
      </c>
      <c r="H139" s="546"/>
      <c r="I139" s="414"/>
      <c r="J139" s="414"/>
      <c r="K139" s="414"/>
      <c r="L139" s="373"/>
      <c r="M139" s="373"/>
      <c r="N139" s="417"/>
      <c r="P139" s="547"/>
      <c r="Q139" s="558"/>
      <c r="R139" s="558"/>
      <c r="S139" s="560"/>
      <c r="T139" s="560"/>
      <c r="U139" s="558"/>
      <c r="V139" s="558"/>
    </row>
    <row r="140" spans="1:22" ht="19.2" customHeight="1">
      <c r="A140" s="422" t="s">
        <v>80</v>
      </c>
      <c r="B140" s="423"/>
      <c r="C140" s="424"/>
      <c r="D140" s="282" t="s">
        <v>29</v>
      </c>
      <c r="E140" s="304" t="s">
        <v>24</v>
      </c>
      <c r="F140" s="304"/>
      <c r="G140" s="304" t="s">
        <v>25</v>
      </c>
      <c r="H140" s="304"/>
      <c r="I140" s="282" t="s">
        <v>26</v>
      </c>
      <c r="J140" s="281">
        <v>500</v>
      </c>
      <c r="K140" s="281">
        <v>0.5</v>
      </c>
      <c r="L140" s="373"/>
      <c r="M140" s="373"/>
      <c r="N140" s="417"/>
      <c r="O140" s="548"/>
      <c r="P140" s="133"/>
      <c r="Q140" s="557"/>
      <c r="R140" s="557"/>
      <c r="S140" s="557"/>
      <c r="T140" s="85"/>
    </row>
    <row r="141" spans="1:22" ht="19.2" customHeight="1">
      <c r="A141" s="348" t="s">
        <v>78</v>
      </c>
      <c r="B141" s="380"/>
      <c r="C141" s="349"/>
      <c r="D141" s="42"/>
      <c r="E141" s="381">
        <f>E139*4.1</f>
        <v>98.625515944444444</v>
      </c>
      <c r="F141" s="382"/>
      <c r="G141" s="381">
        <f>G139*9</f>
        <v>221.47932833333334</v>
      </c>
      <c r="H141" s="382"/>
      <c r="I141" s="74">
        <f>I138*4.1</f>
        <v>304.68744327777773</v>
      </c>
      <c r="J141" s="361"/>
      <c r="K141" s="361"/>
      <c r="L141" s="373"/>
      <c r="M141" s="373"/>
      <c r="N141" s="417"/>
      <c r="O141" s="548"/>
      <c r="P141" s="556"/>
      <c r="Q141" s="133"/>
      <c r="R141" s="133"/>
      <c r="S141" s="133"/>
    </row>
    <row r="142" spans="1:22" ht="19.2" customHeight="1">
      <c r="A142" s="383" t="s">
        <v>87</v>
      </c>
      <c r="B142" s="384"/>
      <c r="C142" s="348" t="s">
        <v>59</v>
      </c>
      <c r="D142" s="349"/>
      <c r="E142" s="420">
        <f>E141*100/D138</f>
        <v>15.784355832227398</v>
      </c>
      <c r="F142" s="421"/>
      <c r="G142" s="420">
        <f>G141*100/D138</f>
        <v>35.446288867733728</v>
      </c>
      <c r="H142" s="421"/>
      <c r="I142" s="105">
        <f>I141*100/D138</f>
        <v>48.763192529376589</v>
      </c>
      <c r="J142" s="362"/>
      <c r="K142" s="362"/>
      <c r="L142" s="373"/>
      <c r="M142" s="373"/>
      <c r="N142" s="417"/>
      <c r="O142" s="548"/>
    </row>
    <row r="143" spans="1:22" ht="19.2" customHeight="1">
      <c r="A143" s="385"/>
      <c r="B143" s="386"/>
      <c r="C143" s="348" t="s">
        <v>79</v>
      </c>
      <c r="D143" s="349"/>
      <c r="E143" s="348" t="s">
        <v>82</v>
      </c>
      <c r="F143" s="349"/>
      <c r="G143" s="348" t="s">
        <v>85</v>
      </c>
      <c r="H143" s="349"/>
      <c r="I143" s="282" t="s">
        <v>86</v>
      </c>
      <c r="J143" s="363"/>
      <c r="K143" s="363"/>
      <c r="L143" s="373"/>
      <c r="M143" s="373"/>
      <c r="N143" s="417"/>
      <c r="O143" s="548"/>
      <c r="P143" s="2"/>
    </row>
    <row r="144" spans="1:22" ht="18" customHeight="1">
      <c r="A144" s="79"/>
      <c r="B144" s="82"/>
      <c r="C144" s="79"/>
      <c r="D144" s="79"/>
      <c r="E144" s="79"/>
      <c r="F144" s="79"/>
      <c r="G144" s="79"/>
      <c r="H144" s="79"/>
      <c r="I144" s="79"/>
      <c r="J144" s="79"/>
      <c r="K144" s="79"/>
      <c r="L144" s="80"/>
      <c r="M144" s="80"/>
      <c r="N144" s="81"/>
      <c r="O144" s="548"/>
    </row>
    <row r="145" spans="1:15" ht="21" customHeight="1">
      <c r="A145" s="291" t="s">
        <v>116</v>
      </c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548"/>
    </row>
    <row r="146" spans="1:15" ht="21" customHeight="1">
      <c r="A146" s="107" t="s">
        <v>117</v>
      </c>
      <c r="B146" s="292" t="s">
        <v>118</v>
      </c>
      <c r="C146" s="292"/>
      <c r="D146" s="292"/>
      <c r="E146" s="292"/>
      <c r="F146" s="292"/>
      <c r="G146" s="292"/>
      <c r="H146" s="292"/>
      <c r="I146" s="292"/>
      <c r="J146" s="292"/>
      <c r="K146" s="292"/>
      <c r="L146" s="292"/>
      <c r="M146" s="292"/>
      <c r="N146" s="292"/>
      <c r="O146" s="548"/>
    </row>
    <row r="147" spans="1:15" ht="21" customHeight="1">
      <c r="A147" s="108"/>
      <c r="B147" s="293" t="s">
        <v>216</v>
      </c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548"/>
    </row>
    <row r="148" spans="1:15" ht="21" customHeight="1">
      <c r="A148" s="108"/>
      <c r="B148" s="293" t="s">
        <v>200</v>
      </c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548"/>
    </row>
    <row r="149" spans="1:15" ht="21" customHeight="1">
      <c r="A149" s="108"/>
      <c r="B149" s="293" t="s">
        <v>215</v>
      </c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548"/>
    </row>
    <row r="150" spans="1:15" ht="21" customHeight="1">
      <c r="A150" s="79"/>
      <c r="B150" s="294" t="s">
        <v>132</v>
      </c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548"/>
    </row>
    <row r="151" spans="1:15" ht="21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83"/>
      <c r="M151" s="83"/>
      <c r="N151" s="84"/>
      <c r="O151" s="548"/>
    </row>
    <row r="152" spans="1:15" ht="21" customHeight="1">
      <c r="A152" s="295" t="s">
        <v>62</v>
      </c>
      <c r="B152" s="295"/>
      <c r="C152" s="295"/>
      <c r="D152" s="295"/>
      <c r="E152" s="549"/>
      <c r="F152" s="549"/>
      <c r="G152" s="549"/>
      <c r="H152" s="549"/>
      <c r="I152" s="549"/>
      <c r="J152" s="550" t="s">
        <v>33</v>
      </c>
      <c r="K152" s="550"/>
      <c r="L152" s="550"/>
      <c r="M152" s="550"/>
      <c r="N152" s="550"/>
      <c r="O152" s="548"/>
    </row>
    <row r="153" spans="1:15" ht="21" customHeight="1">
      <c r="A153" s="283"/>
      <c r="B153" s="283"/>
      <c r="C153" s="283"/>
      <c r="D153" s="549"/>
      <c r="E153" s="549"/>
      <c r="F153" s="549"/>
      <c r="G153" s="549"/>
      <c r="H153" s="551"/>
      <c r="I153" s="551"/>
      <c r="J153" s="551"/>
      <c r="K153" s="551"/>
      <c r="L153" s="551"/>
      <c r="M153" s="551"/>
      <c r="N153" s="551"/>
      <c r="O153" s="548"/>
    </row>
    <row r="154" spans="1:15" ht="21" customHeight="1">
      <c r="A154" s="283"/>
      <c r="B154" s="283"/>
      <c r="C154" s="283"/>
      <c r="D154" s="549"/>
      <c r="E154" s="549"/>
      <c r="F154" s="549"/>
      <c r="G154" s="549"/>
      <c r="H154" s="551"/>
      <c r="I154" s="551"/>
      <c r="J154" s="551"/>
      <c r="K154" s="551"/>
      <c r="L154" s="551"/>
      <c r="M154" s="551"/>
      <c r="N154" s="551"/>
      <c r="O154" s="548"/>
    </row>
    <row r="155" spans="1:15" ht="21" customHeight="1">
      <c r="A155" s="283"/>
      <c r="B155" s="283"/>
      <c r="C155" s="283"/>
      <c r="D155" s="549"/>
      <c r="E155" s="549"/>
      <c r="F155" s="549"/>
      <c r="G155" s="549"/>
      <c r="H155" s="551"/>
      <c r="I155" s="551"/>
      <c r="J155" s="552" t="s">
        <v>126</v>
      </c>
      <c r="K155" s="552"/>
      <c r="L155" s="552"/>
      <c r="M155" s="552"/>
      <c r="N155" s="552"/>
      <c r="O155" s="548"/>
    </row>
    <row r="156" spans="1:15" ht="21" customHeight="1">
      <c r="A156" s="287" t="s">
        <v>93</v>
      </c>
      <c r="B156" s="287"/>
      <c r="C156" s="287"/>
      <c r="D156" s="287"/>
      <c r="E156" s="549"/>
      <c r="F156" s="549"/>
      <c r="G156" s="549"/>
      <c r="H156" s="551"/>
      <c r="I156" s="551"/>
      <c r="J156" s="552"/>
      <c r="K156" s="552"/>
      <c r="L156" s="552"/>
      <c r="M156" s="552"/>
      <c r="N156" s="552"/>
      <c r="O156" s="548"/>
    </row>
    <row r="157" spans="1:15" ht="21" customHeight="1"/>
    <row r="158" spans="1:15" ht="21" customHeight="1">
      <c r="J158" s="552" t="s">
        <v>129</v>
      </c>
      <c r="K158" s="552"/>
      <c r="L158" s="552"/>
      <c r="M158" s="552"/>
      <c r="N158" s="552"/>
    </row>
  </sheetData>
  <mergeCells count="203"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6"/>
  <sheetViews>
    <sheetView workbookViewId="0">
      <selection activeCell="P54" sqref="P54:S55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6640625" style="1" customWidth="1"/>
    <col min="10" max="10" width="8.3320312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16" ht="19.95" customHeight="1">
      <c r="A1" s="10" t="s">
        <v>61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19.95" customHeight="1">
      <c r="A2" s="10"/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19.95" customHeight="1">
      <c r="A3" s="7" t="s">
        <v>217</v>
      </c>
      <c r="B3" s="7"/>
      <c r="C3" s="7"/>
      <c r="D3" s="7"/>
      <c r="E3" s="7"/>
      <c r="F3" s="280"/>
      <c r="G3" s="280"/>
      <c r="H3" s="280"/>
      <c r="I3" s="280"/>
      <c r="J3" s="280"/>
      <c r="K3" s="280"/>
      <c r="L3" s="280"/>
      <c r="M3" s="280"/>
      <c r="N3" s="280"/>
      <c r="O3" s="537"/>
      <c r="P3" s="537"/>
    </row>
    <row r="4" spans="1:16" ht="19.95" customHeight="1">
      <c r="A4" s="7"/>
      <c r="B4" s="7"/>
      <c r="C4" s="7"/>
      <c r="D4" s="7"/>
      <c r="E4" s="7"/>
      <c r="F4" s="280"/>
      <c r="G4" s="280"/>
      <c r="H4" s="280"/>
      <c r="I4" s="280"/>
      <c r="J4" s="280"/>
      <c r="K4" s="280"/>
      <c r="L4" s="280"/>
      <c r="M4" s="280"/>
      <c r="N4" s="280"/>
      <c r="O4" s="537"/>
      <c r="P4" s="537"/>
    </row>
    <row r="5" spans="1:16" ht="19.95" customHeight="1">
      <c r="A5" s="304" t="s">
        <v>99</v>
      </c>
      <c r="B5" s="304"/>
      <c r="C5" s="304"/>
      <c r="D5" s="304"/>
      <c r="E5" s="304" t="s">
        <v>100</v>
      </c>
      <c r="F5" s="304"/>
      <c r="G5" s="304"/>
      <c r="H5" s="304"/>
      <c r="I5" s="304"/>
      <c r="J5" s="304"/>
      <c r="K5" s="304"/>
      <c r="L5" s="304"/>
      <c r="M5" s="304"/>
      <c r="N5" s="304"/>
      <c r="O5" s="538"/>
    </row>
    <row r="6" spans="1:16" ht="19.95" customHeight="1">
      <c r="A6" s="305" t="s">
        <v>90</v>
      </c>
      <c r="B6" s="305"/>
      <c r="C6" s="305"/>
      <c r="D6" s="305"/>
      <c r="E6" s="308" t="s">
        <v>151</v>
      </c>
      <c r="F6" s="308"/>
      <c r="G6" s="308"/>
      <c r="H6" s="308"/>
      <c r="I6" s="308"/>
      <c r="J6" s="309" t="s">
        <v>147</v>
      </c>
      <c r="K6" s="310"/>
      <c r="L6" s="310"/>
      <c r="M6" s="310"/>
      <c r="N6" s="311"/>
      <c r="O6" s="538"/>
    </row>
    <row r="7" spans="1:16" ht="19.95" customHeight="1">
      <c r="A7" s="430" t="s">
        <v>163</v>
      </c>
      <c r="B7" s="431"/>
      <c r="C7" s="431"/>
      <c r="D7" s="432"/>
      <c r="E7" s="308"/>
      <c r="F7" s="308"/>
      <c r="G7" s="308"/>
      <c r="H7" s="308"/>
      <c r="I7" s="308"/>
      <c r="J7" s="312"/>
      <c r="K7" s="313"/>
      <c r="L7" s="313"/>
      <c r="M7" s="313"/>
      <c r="N7" s="314"/>
      <c r="O7" s="538"/>
    </row>
    <row r="8" spans="1:16" ht="19.95" customHeight="1">
      <c r="A8" s="306" t="s">
        <v>190</v>
      </c>
      <c r="B8" s="306"/>
      <c r="C8" s="306"/>
      <c r="D8" s="306"/>
      <c r="E8" s="308"/>
      <c r="F8" s="308"/>
      <c r="G8" s="308"/>
      <c r="H8" s="308"/>
      <c r="I8" s="308"/>
      <c r="J8" s="312"/>
      <c r="K8" s="313"/>
      <c r="L8" s="313"/>
      <c r="M8" s="313"/>
      <c r="N8" s="314"/>
      <c r="O8" s="538"/>
    </row>
    <row r="9" spans="1:16" ht="19.95" customHeight="1">
      <c r="A9" s="307" t="s">
        <v>189</v>
      </c>
      <c r="B9" s="307"/>
      <c r="C9" s="307"/>
      <c r="D9" s="307"/>
      <c r="E9" s="308"/>
      <c r="F9" s="308"/>
      <c r="G9" s="308"/>
      <c r="H9" s="308"/>
      <c r="I9" s="308"/>
      <c r="J9" s="315"/>
      <c r="K9" s="316"/>
      <c r="L9" s="316"/>
      <c r="M9" s="316"/>
      <c r="N9" s="317"/>
      <c r="O9" s="538"/>
    </row>
    <row r="10" spans="1:16" ht="19.95" customHeight="1">
      <c r="A10" s="334" t="s">
        <v>124</v>
      </c>
      <c r="B10" s="335"/>
      <c r="C10" s="336"/>
      <c r="D10" s="118">
        <v>217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538"/>
    </row>
    <row r="11" spans="1:16" ht="19.95" customHeight="1">
      <c r="A11" s="318" t="s">
        <v>0</v>
      </c>
      <c r="B11" s="321" t="s">
        <v>19</v>
      </c>
      <c r="C11" s="321" t="s">
        <v>8</v>
      </c>
      <c r="D11" s="321" t="s">
        <v>9</v>
      </c>
      <c r="E11" s="324" t="s">
        <v>11</v>
      </c>
      <c r="F11" s="325"/>
      <c r="G11" s="324" t="s">
        <v>13</v>
      </c>
      <c r="H11" s="325"/>
      <c r="I11" s="318" t="s">
        <v>16</v>
      </c>
      <c r="J11" s="318" t="s">
        <v>41</v>
      </c>
      <c r="K11" s="318" t="s">
        <v>42</v>
      </c>
      <c r="L11" s="433" t="s">
        <v>17</v>
      </c>
      <c r="M11" s="318" t="s">
        <v>55</v>
      </c>
      <c r="N11" s="318" t="s">
        <v>18</v>
      </c>
      <c r="O11" s="539"/>
    </row>
    <row r="12" spans="1:16" ht="19.95" customHeight="1">
      <c r="A12" s="319"/>
      <c r="B12" s="322"/>
      <c r="C12" s="322"/>
      <c r="D12" s="322"/>
      <c r="E12" s="326"/>
      <c r="F12" s="327"/>
      <c r="G12" s="326"/>
      <c r="H12" s="327"/>
      <c r="I12" s="328"/>
      <c r="J12" s="328"/>
      <c r="K12" s="328"/>
      <c r="L12" s="434"/>
      <c r="M12" s="328"/>
      <c r="N12" s="319"/>
      <c r="O12" s="283"/>
    </row>
    <row r="13" spans="1:16" ht="19.95" customHeight="1">
      <c r="A13" s="319"/>
      <c r="B13" s="322"/>
      <c r="C13" s="322"/>
      <c r="D13" s="322"/>
      <c r="E13" s="318" t="s">
        <v>10</v>
      </c>
      <c r="F13" s="318" t="s">
        <v>12</v>
      </c>
      <c r="G13" s="318" t="s">
        <v>14</v>
      </c>
      <c r="H13" s="318" t="s">
        <v>15</v>
      </c>
      <c r="I13" s="328"/>
      <c r="J13" s="328"/>
      <c r="K13" s="328"/>
      <c r="L13" s="434"/>
      <c r="M13" s="328"/>
      <c r="N13" s="319"/>
      <c r="O13" s="283"/>
    </row>
    <row r="14" spans="1:16" ht="19.95" customHeight="1">
      <c r="A14" s="320"/>
      <c r="B14" s="323"/>
      <c r="C14" s="323"/>
      <c r="D14" s="323"/>
      <c r="E14" s="329"/>
      <c r="F14" s="329"/>
      <c r="G14" s="329"/>
      <c r="H14" s="329"/>
      <c r="I14" s="329"/>
      <c r="J14" s="329"/>
      <c r="K14" s="329"/>
      <c r="L14" s="435"/>
      <c r="M14" s="329"/>
      <c r="N14" s="320"/>
      <c r="O14" s="283"/>
    </row>
    <row r="15" spans="1:16" ht="20.399999999999999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283"/>
    </row>
    <row r="16" spans="1:16" ht="20.399999999999999" customHeight="1">
      <c r="A16" s="8">
        <v>1</v>
      </c>
      <c r="B16" s="5" t="s">
        <v>125</v>
      </c>
      <c r="C16" s="21"/>
      <c r="D16" s="131"/>
      <c r="E16" s="23"/>
      <c r="F16" s="23"/>
      <c r="G16" s="23"/>
      <c r="H16" s="23"/>
      <c r="I16" s="23"/>
      <c r="J16" s="23"/>
      <c r="K16" s="23"/>
      <c r="L16" s="24"/>
      <c r="M16" s="24"/>
      <c r="N16" s="21">
        <v>16500</v>
      </c>
      <c r="O16" s="3"/>
    </row>
    <row r="17" spans="1:20" ht="20.399999999999999" customHeight="1">
      <c r="A17" s="8">
        <v>2</v>
      </c>
      <c r="B17" s="9" t="s">
        <v>2</v>
      </c>
      <c r="C17" s="21">
        <f>L17/100*100</f>
        <v>290</v>
      </c>
      <c r="D17" s="22">
        <f>C17/100*60</f>
        <v>174</v>
      </c>
      <c r="E17" s="23">
        <f>C17/100*15</f>
        <v>43.5</v>
      </c>
      <c r="F17" s="23"/>
      <c r="G17" s="23"/>
      <c r="H17" s="23"/>
      <c r="I17" s="23"/>
      <c r="J17" s="25">
        <f>C17/100*387</f>
        <v>1122.3</v>
      </c>
      <c r="K17" s="25">
        <f>C17/100*0.09</f>
        <v>0.26100000000000001</v>
      </c>
      <c r="L17" s="130">
        <v>290</v>
      </c>
      <c r="M17" s="65">
        <v>20</v>
      </c>
      <c r="N17" s="21">
        <f>L17*M17</f>
        <v>5800</v>
      </c>
      <c r="O17" s="3"/>
    </row>
    <row r="18" spans="1:20" ht="20.399999999999999" customHeight="1">
      <c r="A18" s="8">
        <v>3</v>
      </c>
      <c r="B18" s="9" t="s">
        <v>143</v>
      </c>
      <c r="C18" s="21">
        <f>L18/100*100</f>
        <v>1560</v>
      </c>
      <c r="D18" s="110">
        <f>C18/100*899</f>
        <v>14024.4</v>
      </c>
      <c r="E18" s="23"/>
      <c r="F18" s="23"/>
      <c r="G18" s="109">
        <f>C18/100*100</f>
        <v>1560</v>
      </c>
      <c r="H18" s="23"/>
      <c r="I18" s="23"/>
      <c r="J18" s="23"/>
      <c r="K18" s="23"/>
      <c r="L18" s="130">
        <v>1560</v>
      </c>
      <c r="M18" s="22">
        <v>68</v>
      </c>
      <c r="N18" s="21">
        <f t="shared" ref="N18:N27" si="0">L18*M18</f>
        <v>106080</v>
      </c>
      <c r="O18" s="542"/>
    </row>
    <row r="19" spans="1:20" ht="20.399999999999999" customHeight="1">
      <c r="A19" s="8">
        <v>4</v>
      </c>
      <c r="B19" s="9" t="s">
        <v>5</v>
      </c>
      <c r="C19" s="21">
        <f>L19/100*90</f>
        <v>171</v>
      </c>
      <c r="D19" s="22">
        <f>C19/100*281</f>
        <v>480.51</v>
      </c>
      <c r="E19" s="23"/>
      <c r="F19" s="23">
        <f>C19/100*9.5</f>
        <v>16.245000000000001</v>
      </c>
      <c r="G19" s="23"/>
      <c r="H19" s="23">
        <f>C19/100*0.2</f>
        <v>0.34200000000000003</v>
      </c>
      <c r="I19" s="23">
        <f>C19/100*58.5</f>
        <v>100.035</v>
      </c>
      <c r="J19" s="25">
        <f>C19/100*321.3</f>
        <v>549.423</v>
      </c>
      <c r="K19" s="25">
        <f>C19/100*0.14</f>
        <v>0.23940000000000003</v>
      </c>
      <c r="L19" s="130">
        <v>190</v>
      </c>
      <c r="M19" s="65">
        <v>120</v>
      </c>
      <c r="N19" s="21">
        <f t="shared" si="0"/>
        <v>22800</v>
      </c>
      <c r="O19" s="3"/>
    </row>
    <row r="20" spans="1:20" ht="20.399999999999999" customHeight="1">
      <c r="A20" s="8">
        <v>5</v>
      </c>
      <c r="B20" s="9" t="s">
        <v>70</v>
      </c>
      <c r="C20" s="21">
        <f>L20/100*90</f>
        <v>117</v>
      </c>
      <c r="D20" s="22">
        <f>C20/100*253</f>
        <v>296.01</v>
      </c>
      <c r="E20" s="23"/>
      <c r="F20" s="23">
        <f>C20/100*32.4</f>
        <v>37.907999999999994</v>
      </c>
      <c r="G20" s="23"/>
      <c r="H20" s="23">
        <f>C20/100*3.6</f>
        <v>4.2119999999999997</v>
      </c>
      <c r="I20" s="23">
        <f>C20/100*21.1</f>
        <v>24.687000000000001</v>
      </c>
      <c r="J20" s="25">
        <f>C20/100*165.6</f>
        <v>193.75199999999998</v>
      </c>
      <c r="K20" s="25">
        <f>C20/100*0.14</f>
        <v>0.1638</v>
      </c>
      <c r="L20" s="130">
        <v>130</v>
      </c>
      <c r="M20" s="65">
        <v>275</v>
      </c>
      <c r="N20" s="21">
        <f t="shared" si="0"/>
        <v>35750</v>
      </c>
      <c r="O20" s="3"/>
    </row>
    <row r="21" spans="1:20" ht="20.399999999999999" customHeight="1">
      <c r="A21" s="8">
        <v>6</v>
      </c>
      <c r="B21" s="4" t="s">
        <v>1</v>
      </c>
      <c r="C21" s="21">
        <f>L21/100*100</f>
        <v>20615</v>
      </c>
      <c r="D21" s="110">
        <f>C21/100*344</f>
        <v>70915.600000000006</v>
      </c>
      <c r="E21" s="23"/>
      <c r="F21" s="132">
        <f>C21/100*7.9</f>
        <v>1628.585</v>
      </c>
      <c r="G21" s="23"/>
      <c r="H21" s="23">
        <f>C21/100*1</f>
        <v>206.15</v>
      </c>
      <c r="I21" s="132">
        <f>C21/100*73.3</f>
        <v>15110.795</v>
      </c>
      <c r="J21" s="25">
        <f>C21/100*30</f>
        <v>6184.5</v>
      </c>
      <c r="K21" s="25">
        <f>C21/100*0.1</f>
        <v>20.615000000000002</v>
      </c>
      <c r="L21" s="561">
        <v>20615</v>
      </c>
      <c r="M21" s="65">
        <v>18</v>
      </c>
      <c r="N21" s="21">
        <f t="shared" si="0"/>
        <v>371070</v>
      </c>
      <c r="O21" s="3"/>
      <c r="R21" s="16"/>
      <c r="S21" s="16"/>
    </row>
    <row r="22" spans="1:20" ht="20.399999999999999" customHeight="1">
      <c r="A22" s="8">
        <v>7</v>
      </c>
      <c r="B22" s="4" t="s">
        <v>63</v>
      </c>
      <c r="C22" s="21">
        <f>L22/100*86</f>
        <v>2803.6</v>
      </c>
      <c r="D22" s="22">
        <f>C22/100*166</f>
        <v>4653.9759999999997</v>
      </c>
      <c r="E22" s="23">
        <f>C22/100*14.8</f>
        <v>414.93279999999999</v>
      </c>
      <c r="F22" s="23"/>
      <c r="G22" s="23">
        <f>C22/100*11.6</f>
        <v>325.21759999999995</v>
      </c>
      <c r="H22" s="23"/>
      <c r="I22" s="23">
        <f>C22/100*0.5</f>
        <v>14.017999999999999</v>
      </c>
      <c r="J22" s="25">
        <f>C22/100*55</f>
        <v>1541.9799999999998</v>
      </c>
      <c r="K22" s="25">
        <f>C22/100*0.16</f>
        <v>4.48576</v>
      </c>
      <c r="L22" s="130">
        <v>3260</v>
      </c>
      <c r="M22" s="65">
        <v>62</v>
      </c>
      <c r="N22" s="21">
        <f t="shared" si="0"/>
        <v>202120</v>
      </c>
      <c r="O22" s="3"/>
      <c r="Q22" s="2"/>
      <c r="R22" s="2"/>
      <c r="S22" s="3"/>
    </row>
    <row r="23" spans="1:20" ht="20.399999999999999" customHeight="1">
      <c r="A23" s="8">
        <v>8</v>
      </c>
      <c r="B23" s="9" t="s">
        <v>71</v>
      </c>
      <c r="C23" s="21">
        <f>L23/100*98</f>
        <v>8506.4</v>
      </c>
      <c r="D23" s="110">
        <f>C23/100*139</f>
        <v>11823.895999999999</v>
      </c>
      <c r="E23" s="109">
        <f>C23/100*19</f>
        <v>1616.2159999999999</v>
      </c>
      <c r="F23" s="23"/>
      <c r="G23" s="23">
        <f>C23/100*7</f>
        <v>595.44799999999998</v>
      </c>
      <c r="H23" s="23"/>
      <c r="I23" s="23"/>
      <c r="J23" s="25">
        <f>C23/100*7</f>
        <v>595.44799999999998</v>
      </c>
      <c r="K23" s="25">
        <f>C23/100*0.9</f>
        <v>76.557599999999994</v>
      </c>
      <c r="L23" s="130">
        <v>8680</v>
      </c>
      <c r="M23" s="65">
        <v>130</v>
      </c>
      <c r="N23" s="114">
        <f t="shared" si="0"/>
        <v>1128400</v>
      </c>
      <c r="O23" s="3"/>
    </row>
    <row r="24" spans="1:20" ht="20.399999999999999" customHeight="1">
      <c r="A24" s="8">
        <v>9</v>
      </c>
      <c r="B24" s="148" t="s">
        <v>98</v>
      </c>
      <c r="C24" s="21">
        <f>L24/100*90</f>
        <v>1818</v>
      </c>
      <c r="D24" s="22">
        <f>C24/100*90</f>
        <v>1636.2</v>
      </c>
      <c r="E24" s="23">
        <f>C24/100*18.4</f>
        <v>334.51199999999994</v>
      </c>
      <c r="F24" s="23"/>
      <c r="G24" s="23">
        <f>C24/100*1.8</f>
        <v>32.724000000000004</v>
      </c>
      <c r="H24" s="23"/>
      <c r="I24" s="23"/>
      <c r="J24" s="71">
        <f>C24/100*1120</f>
        <v>20361.599999999999</v>
      </c>
      <c r="K24" s="25">
        <f>C24/100*0.02</f>
        <v>0.36359999999999998</v>
      </c>
      <c r="L24" s="130">
        <v>2020</v>
      </c>
      <c r="M24" s="24">
        <v>250</v>
      </c>
      <c r="N24" s="114">
        <f t="shared" si="0"/>
        <v>505000</v>
      </c>
      <c r="O24" s="3"/>
      <c r="Q24" s="2"/>
      <c r="R24" s="2"/>
      <c r="S24" s="3"/>
    </row>
    <row r="25" spans="1:20" ht="20.399999999999999" customHeight="1">
      <c r="A25" s="8">
        <v>10</v>
      </c>
      <c r="B25" s="4" t="s">
        <v>184</v>
      </c>
      <c r="C25" s="21">
        <f>L25/100*90</f>
        <v>6633</v>
      </c>
      <c r="D25" s="22">
        <f>C25/100*29</f>
        <v>1923.57</v>
      </c>
      <c r="E25" s="23"/>
      <c r="F25" s="23">
        <f>C25/100*1.8</f>
        <v>119.39400000000001</v>
      </c>
      <c r="G25" s="23"/>
      <c r="H25" s="23">
        <f>C25/100*0.1</f>
        <v>6.633</v>
      </c>
      <c r="I25" s="23">
        <f>C25/100*5.3</f>
        <v>351.54899999999998</v>
      </c>
      <c r="J25" s="23">
        <f>C25/100*48</f>
        <v>3183.84</v>
      </c>
      <c r="K25" s="23">
        <f>C25/100*0.05</f>
        <v>3.3165</v>
      </c>
      <c r="L25" s="130">
        <v>7370</v>
      </c>
      <c r="M25" s="65">
        <v>15</v>
      </c>
      <c r="N25" s="21">
        <f t="shared" si="0"/>
        <v>110550</v>
      </c>
      <c r="O25" s="3"/>
    </row>
    <row r="26" spans="1:20" ht="20.399999999999999" customHeight="1">
      <c r="A26" s="8">
        <v>11</v>
      </c>
      <c r="B26" s="4" t="s">
        <v>95</v>
      </c>
      <c r="C26" s="21">
        <f>L26/100*81.7</f>
        <v>3545.78</v>
      </c>
      <c r="D26" s="22">
        <f>C26/100*27</f>
        <v>957.36059999999998</v>
      </c>
      <c r="E26" s="26"/>
      <c r="F26" s="26">
        <f>C26/100*0.3</f>
        <v>10.63734</v>
      </c>
      <c r="G26" s="26"/>
      <c r="H26" s="26">
        <f>C26/100*0.1</f>
        <v>3.5457800000000002</v>
      </c>
      <c r="I26" s="26">
        <f>C26/100*6.1</f>
        <v>216.29257999999999</v>
      </c>
      <c r="J26" s="62">
        <f>C26/100*24</f>
        <v>850.98720000000003</v>
      </c>
      <c r="K26" s="62">
        <f>C26/100*0.06</f>
        <v>2.1274679999999999</v>
      </c>
      <c r="L26" s="540">
        <v>4340</v>
      </c>
      <c r="M26" s="24">
        <v>22</v>
      </c>
      <c r="N26" s="21">
        <f t="shared" si="0"/>
        <v>95480</v>
      </c>
      <c r="O26" s="3"/>
      <c r="Q26" s="2"/>
      <c r="R26" s="2"/>
      <c r="S26" s="3"/>
    </row>
    <row r="27" spans="1:20" ht="20.399999999999999" customHeight="1">
      <c r="A27" s="8">
        <v>12</v>
      </c>
      <c r="B27" s="4" t="s">
        <v>138</v>
      </c>
      <c r="C27" s="21">
        <f>L27/100*100</f>
        <v>220.00000000000003</v>
      </c>
      <c r="D27" s="22">
        <f>C27/100*247</f>
        <v>543.40000000000009</v>
      </c>
      <c r="E27" s="26"/>
      <c r="F27" s="26">
        <f>C27/100*17.5</f>
        <v>38.5</v>
      </c>
      <c r="G27" s="26"/>
      <c r="H27" s="26">
        <f>C27/100*1.6</f>
        <v>3.5200000000000005</v>
      </c>
      <c r="I27" s="26">
        <f>C27/100*39.2</f>
        <v>86.240000000000009</v>
      </c>
      <c r="J27" s="62"/>
      <c r="K27" s="62"/>
      <c r="L27" s="540">
        <v>220</v>
      </c>
      <c r="M27" s="65">
        <v>50</v>
      </c>
      <c r="N27" s="21">
        <f t="shared" si="0"/>
        <v>11000</v>
      </c>
      <c r="O27" s="3"/>
      <c r="Q27" s="2"/>
      <c r="R27" s="2"/>
      <c r="S27" s="3"/>
      <c r="T27" s="2"/>
    </row>
    <row r="28" spans="1:20" ht="20.399999999999999" customHeight="1">
      <c r="A28" s="19" t="s">
        <v>107</v>
      </c>
      <c r="B28" s="20"/>
      <c r="C28" s="30"/>
      <c r="D28" s="277">
        <f>SUM(D16:D27)</f>
        <v>107428.92259999999</v>
      </c>
      <c r="E28" s="32"/>
      <c r="F28" s="32"/>
      <c r="G28" s="32"/>
      <c r="H28" s="32"/>
      <c r="I28" s="32"/>
      <c r="J28" s="32"/>
      <c r="K28" s="32"/>
      <c r="L28" s="33"/>
      <c r="M28" s="428"/>
      <c r="N28" s="406">
        <f>SUM(N16:N27)</f>
        <v>2610550</v>
      </c>
      <c r="O28" s="3"/>
    </row>
    <row r="29" spans="1:20" ht="20.399999999999999" customHeight="1">
      <c r="A29" s="19" t="s">
        <v>6</v>
      </c>
      <c r="B29" s="20"/>
      <c r="C29" s="30"/>
      <c r="D29" s="31">
        <f>D28/D10</f>
        <v>495.06415944700456</v>
      </c>
      <c r="E29" s="32"/>
      <c r="F29" s="32"/>
      <c r="G29" s="32"/>
      <c r="H29" s="32"/>
      <c r="I29" s="32"/>
      <c r="J29" s="32"/>
      <c r="K29" s="32"/>
      <c r="L29" s="33"/>
      <c r="M29" s="429"/>
      <c r="N29" s="407"/>
      <c r="O29" s="3"/>
    </row>
    <row r="30" spans="1:20" ht="20.399999999999999" customHeight="1">
      <c r="A30" s="402" t="s">
        <v>51</v>
      </c>
      <c r="B30" s="331"/>
      <c r="C30" s="541" t="s">
        <v>154</v>
      </c>
      <c r="D30" s="18" t="s">
        <v>45</v>
      </c>
      <c r="E30" s="32"/>
      <c r="F30" s="32"/>
      <c r="G30" s="32"/>
      <c r="H30" s="32"/>
      <c r="I30" s="32"/>
      <c r="J30" s="32"/>
      <c r="K30" s="32"/>
      <c r="L30" s="33"/>
      <c r="M30" s="33"/>
      <c r="N30" s="34"/>
      <c r="O30" s="3"/>
    </row>
    <row r="31" spans="1:20" ht="20.399999999999999" customHeight="1">
      <c r="A31" s="332"/>
      <c r="B31" s="333"/>
      <c r="C31" s="66" t="s">
        <v>60</v>
      </c>
      <c r="D31" s="18">
        <f>D29*100/1320</f>
        <v>37.504860564167011</v>
      </c>
      <c r="E31" s="32"/>
      <c r="F31" s="32"/>
      <c r="G31" s="32"/>
      <c r="H31" s="32"/>
      <c r="I31" s="32"/>
      <c r="J31" s="32"/>
      <c r="K31" s="32"/>
      <c r="L31" s="33"/>
      <c r="M31" s="33"/>
      <c r="N31" s="34"/>
      <c r="O31" s="3"/>
    </row>
    <row r="32" spans="1:20" ht="20.399999999999999" customHeight="1">
      <c r="A32" s="341" t="s">
        <v>35</v>
      </c>
      <c r="B32" s="341"/>
      <c r="C32" s="48"/>
      <c r="D32" s="49"/>
      <c r="E32" s="50"/>
      <c r="F32" s="50"/>
      <c r="G32" s="50"/>
      <c r="H32" s="50"/>
      <c r="I32" s="50"/>
      <c r="J32" s="50"/>
      <c r="K32" s="50"/>
      <c r="L32" s="51"/>
      <c r="M32" s="51"/>
      <c r="N32" s="60"/>
      <c r="O32" s="3"/>
    </row>
    <row r="33" spans="1:20" ht="20.399999999999999" customHeight="1">
      <c r="A33" s="8">
        <v>1</v>
      </c>
      <c r="B33" s="5" t="s">
        <v>125</v>
      </c>
      <c r="C33" s="21"/>
      <c r="D33" s="131"/>
      <c r="E33" s="23"/>
      <c r="F33" s="23"/>
      <c r="G33" s="23"/>
      <c r="H33" s="23"/>
      <c r="I33" s="23">
        <v>49</v>
      </c>
      <c r="J33" s="23"/>
      <c r="K33" s="23"/>
      <c r="L33" s="24"/>
      <c r="M33" s="24"/>
      <c r="N33" s="21">
        <v>14300</v>
      </c>
      <c r="O33" s="3"/>
    </row>
    <row r="34" spans="1:20" ht="20.399999999999999" customHeight="1">
      <c r="A34" s="8">
        <v>2</v>
      </c>
      <c r="B34" s="4" t="s">
        <v>1</v>
      </c>
      <c r="C34" s="21">
        <f>L34/100*100</f>
        <v>3254.9999999999995</v>
      </c>
      <c r="D34" s="110">
        <f>C34/100*344</f>
        <v>11197.199999999999</v>
      </c>
      <c r="E34" s="23"/>
      <c r="F34" s="23">
        <f>C34/100*7.9</f>
        <v>257.14499999999998</v>
      </c>
      <c r="G34" s="23"/>
      <c r="H34" s="23">
        <f>C34/100*1</f>
        <v>32.549999999999997</v>
      </c>
      <c r="I34" s="23">
        <f>C34/100*73.3</f>
        <v>2385.9149999999995</v>
      </c>
      <c r="J34" s="25">
        <f>C34/100*30</f>
        <v>976.49999999999989</v>
      </c>
      <c r="K34" s="25">
        <f>C34/100*0.1</f>
        <v>3.2549999999999999</v>
      </c>
      <c r="L34" s="130">
        <v>3255</v>
      </c>
      <c r="M34" s="67">
        <v>18</v>
      </c>
      <c r="N34" s="21">
        <f t="shared" ref="N34:N35" si="1">L34*M34</f>
        <v>58590</v>
      </c>
      <c r="O34" s="3"/>
    </row>
    <row r="35" spans="1:20" ht="20.399999999999999" customHeight="1">
      <c r="A35" s="8">
        <v>3</v>
      </c>
      <c r="B35" s="4" t="s">
        <v>73</v>
      </c>
      <c r="C35" s="21">
        <f>L35/100*100</f>
        <v>2170</v>
      </c>
      <c r="D35" s="22">
        <f>C35/100*344</f>
        <v>7464.8</v>
      </c>
      <c r="E35" s="23"/>
      <c r="F35" s="23">
        <f>C35/100*8.6</f>
        <v>186.61999999999998</v>
      </c>
      <c r="G35" s="23"/>
      <c r="H35" s="23">
        <f>C35/100*1.5</f>
        <v>32.549999999999997</v>
      </c>
      <c r="I35" s="23">
        <f>C35/100*74.5</f>
        <v>1616.6499999999999</v>
      </c>
      <c r="J35" s="23">
        <f>C35/100*32</f>
        <v>694.4</v>
      </c>
      <c r="K35" s="23">
        <f>C35/100*0.14</f>
        <v>3.0380000000000003</v>
      </c>
      <c r="L35" s="130">
        <v>2170</v>
      </c>
      <c r="M35" s="65">
        <v>30</v>
      </c>
      <c r="N35" s="21">
        <f t="shared" si="1"/>
        <v>65100</v>
      </c>
      <c r="O35" s="3"/>
      <c r="P35" s="16"/>
    </row>
    <row r="36" spans="1:20" ht="20.399999999999999" customHeight="1">
      <c r="A36" s="8">
        <v>4</v>
      </c>
      <c r="B36" s="9" t="s">
        <v>2</v>
      </c>
      <c r="C36" s="21">
        <f>L36/100*100</f>
        <v>260</v>
      </c>
      <c r="D36" s="22">
        <f>C36/100*60</f>
        <v>156</v>
      </c>
      <c r="E36" s="23">
        <f>C36/100*15</f>
        <v>39</v>
      </c>
      <c r="F36" s="23"/>
      <c r="G36" s="23"/>
      <c r="H36" s="23"/>
      <c r="I36" s="23"/>
      <c r="J36" s="25">
        <f>C36/100*387</f>
        <v>1006.2</v>
      </c>
      <c r="K36" s="25">
        <f>C36/100*0.09</f>
        <v>0.23399999999999999</v>
      </c>
      <c r="L36" s="130">
        <v>260</v>
      </c>
      <c r="M36" s="65">
        <v>20</v>
      </c>
      <c r="N36" s="21">
        <f>L36*M36</f>
        <v>5200</v>
      </c>
      <c r="O36" s="3"/>
    </row>
    <row r="37" spans="1:20" ht="20.399999999999999" customHeight="1">
      <c r="A37" s="8">
        <v>5</v>
      </c>
      <c r="B37" s="147" t="s">
        <v>149</v>
      </c>
      <c r="C37" s="21">
        <f t="shared" ref="C37" si="2">L37/100*100</f>
        <v>220.00000000000003</v>
      </c>
      <c r="D37" s="110">
        <f>C37/100*900</f>
        <v>1980.0000000000002</v>
      </c>
      <c r="E37" s="23"/>
      <c r="F37" s="23"/>
      <c r="G37" s="109"/>
      <c r="H37" s="23">
        <f>C37/100*100</f>
        <v>220.00000000000003</v>
      </c>
      <c r="I37" s="23"/>
      <c r="J37" s="23"/>
      <c r="K37" s="23"/>
      <c r="L37" s="130">
        <v>220</v>
      </c>
      <c r="M37" s="65">
        <v>63.5</v>
      </c>
      <c r="N37" s="21">
        <f t="shared" ref="N37:N41" si="3">L37*M37</f>
        <v>13970</v>
      </c>
      <c r="O37" s="542"/>
    </row>
    <row r="38" spans="1:20" ht="20.399999999999999" customHeight="1">
      <c r="A38" s="8">
        <v>6</v>
      </c>
      <c r="B38" s="4" t="s">
        <v>69</v>
      </c>
      <c r="C38" s="21">
        <f>L38/100*48</f>
        <v>5203.2000000000007</v>
      </c>
      <c r="D38" s="110">
        <f>C38/100*199</f>
        <v>10354.368000000002</v>
      </c>
      <c r="E38" s="109">
        <f>C38/100*20.3</f>
        <v>1056.2496000000003</v>
      </c>
      <c r="F38" s="23"/>
      <c r="G38" s="23">
        <f>C38/100*13.1</f>
        <v>681.61920000000009</v>
      </c>
      <c r="H38" s="23"/>
      <c r="I38" s="23"/>
      <c r="J38" s="25">
        <f>C38/100*12</f>
        <v>624.38400000000013</v>
      </c>
      <c r="K38" s="25">
        <f>C38/100*0.15</f>
        <v>7.8048000000000011</v>
      </c>
      <c r="L38" s="567">
        <v>10840</v>
      </c>
      <c r="M38" s="130">
        <v>84</v>
      </c>
      <c r="N38" s="21">
        <f t="shared" si="3"/>
        <v>910560</v>
      </c>
      <c r="O38" s="3"/>
      <c r="Q38" s="2"/>
      <c r="R38" s="2"/>
      <c r="S38" s="3"/>
    </row>
    <row r="39" spans="1:20" ht="20.399999999999999" customHeight="1">
      <c r="A39" s="8">
        <v>7</v>
      </c>
      <c r="B39" s="4" t="s">
        <v>138</v>
      </c>
      <c r="C39" s="21">
        <f>L39/100*100</f>
        <v>130</v>
      </c>
      <c r="D39" s="22">
        <f>C39/100*247</f>
        <v>321.10000000000002</v>
      </c>
      <c r="E39" s="26"/>
      <c r="F39" s="26">
        <f>C39/100*17.5</f>
        <v>22.75</v>
      </c>
      <c r="G39" s="26"/>
      <c r="H39" s="26">
        <f>C39/100*1.6</f>
        <v>2.08</v>
      </c>
      <c r="I39" s="26">
        <f>C39/100*39.2</f>
        <v>50.960000000000008</v>
      </c>
      <c r="J39" s="62"/>
      <c r="K39" s="62"/>
      <c r="L39" s="540">
        <v>130</v>
      </c>
      <c r="M39" s="65">
        <v>50</v>
      </c>
      <c r="N39" s="21">
        <f t="shared" si="3"/>
        <v>6500</v>
      </c>
      <c r="O39" s="3"/>
      <c r="Q39" s="2"/>
      <c r="R39" s="2"/>
      <c r="S39" s="3"/>
      <c r="T39" s="2"/>
    </row>
    <row r="40" spans="1:20" ht="20.399999999999999" customHeight="1">
      <c r="A40" s="8">
        <v>8</v>
      </c>
      <c r="B40" s="4" t="s">
        <v>75</v>
      </c>
      <c r="C40" s="21">
        <f>L40/100*75</f>
        <v>3255</v>
      </c>
      <c r="D40" s="22">
        <f>C40/100*12</f>
        <v>390.59999999999997</v>
      </c>
      <c r="E40" s="23"/>
      <c r="F40" s="23">
        <f>C40/100*0.6</f>
        <v>19.529999999999998</v>
      </c>
      <c r="G40" s="23"/>
      <c r="H40" s="23"/>
      <c r="I40" s="23">
        <f>C40/100*2.4</f>
        <v>78.11999999999999</v>
      </c>
      <c r="J40" s="23">
        <f>C40/100*26</f>
        <v>846.3</v>
      </c>
      <c r="K40" s="23">
        <f>C40/100*0.02</f>
        <v>0.65099999999999991</v>
      </c>
      <c r="L40" s="130">
        <v>4340</v>
      </c>
      <c r="M40" s="65">
        <v>30</v>
      </c>
      <c r="N40" s="21">
        <f t="shared" si="3"/>
        <v>130200</v>
      </c>
      <c r="O40" s="3"/>
    </row>
    <row r="41" spans="1:20" ht="20.399999999999999" customHeight="1">
      <c r="A41" s="95">
        <v>9</v>
      </c>
      <c r="B41" s="154" t="s">
        <v>152</v>
      </c>
      <c r="C41" s="96">
        <f>L41/100*100</f>
        <v>3690</v>
      </c>
      <c r="D41" s="168">
        <f>C41/100*487</f>
        <v>17970.3</v>
      </c>
      <c r="E41" s="98"/>
      <c r="F41" s="98">
        <f>C41/100*19.5</f>
        <v>719.55</v>
      </c>
      <c r="G41" s="98"/>
      <c r="H41" s="98">
        <f>C41/100*23.2</f>
        <v>856.07999999999993</v>
      </c>
      <c r="I41" s="98">
        <f>C41/100*46</f>
        <v>1697.3999999999999</v>
      </c>
      <c r="J41" s="146">
        <f>C41/100*680</f>
        <v>25092</v>
      </c>
      <c r="K41" s="98">
        <f>C41/100*0.55</f>
        <v>20.295000000000002</v>
      </c>
      <c r="L41" s="99">
        <v>3690</v>
      </c>
      <c r="M41" s="155">
        <v>260</v>
      </c>
      <c r="N41" s="96">
        <f t="shared" si="3"/>
        <v>959400</v>
      </c>
      <c r="O41" s="3"/>
      <c r="P41" s="2"/>
    </row>
    <row r="42" spans="1:20" ht="19.2" customHeight="1">
      <c r="A42" s="318" t="s">
        <v>0</v>
      </c>
      <c r="B42" s="321" t="s">
        <v>19</v>
      </c>
      <c r="C42" s="321" t="s">
        <v>8</v>
      </c>
      <c r="D42" s="321" t="s">
        <v>9</v>
      </c>
      <c r="E42" s="324" t="s">
        <v>11</v>
      </c>
      <c r="F42" s="325"/>
      <c r="G42" s="324" t="s">
        <v>13</v>
      </c>
      <c r="H42" s="325"/>
      <c r="I42" s="318" t="s">
        <v>16</v>
      </c>
      <c r="J42" s="318" t="s">
        <v>41</v>
      </c>
      <c r="K42" s="318" t="s">
        <v>42</v>
      </c>
      <c r="L42" s="318" t="s">
        <v>17</v>
      </c>
      <c r="M42" s="318" t="s">
        <v>55</v>
      </c>
      <c r="N42" s="318" t="s">
        <v>18</v>
      </c>
      <c r="O42" s="539"/>
    </row>
    <row r="43" spans="1:20" ht="19.2" customHeight="1">
      <c r="A43" s="319"/>
      <c r="B43" s="322"/>
      <c r="C43" s="322"/>
      <c r="D43" s="322"/>
      <c r="E43" s="326"/>
      <c r="F43" s="327"/>
      <c r="G43" s="326"/>
      <c r="H43" s="327"/>
      <c r="I43" s="328"/>
      <c r="J43" s="328"/>
      <c r="K43" s="328"/>
      <c r="L43" s="328"/>
      <c r="M43" s="328"/>
      <c r="N43" s="319"/>
      <c r="O43" s="283"/>
    </row>
    <row r="44" spans="1:20" ht="19.2" customHeight="1">
      <c r="A44" s="319"/>
      <c r="B44" s="322"/>
      <c r="C44" s="322"/>
      <c r="D44" s="322"/>
      <c r="E44" s="318" t="s">
        <v>10</v>
      </c>
      <c r="F44" s="318" t="s">
        <v>12</v>
      </c>
      <c r="G44" s="318" t="s">
        <v>14</v>
      </c>
      <c r="H44" s="318" t="s">
        <v>15</v>
      </c>
      <c r="I44" s="328"/>
      <c r="J44" s="328"/>
      <c r="K44" s="328"/>
      <c r="L44" s="328"/>
      <c r="M44" s="328"/>
      <c r="N44" s="319"/>
      <c r="O44" s="283"/>
    </row>
    <row r="45" spans="1:20" ht="30.6" customHeight="1">
      <c r="A45" s="320"/>
      <c r="B45" s="323"/>
      <c r="C45" s="323"/>
      <c r="D45" s="323"/>
      <c r="E45" s="329"/>
      <c r="F45" s="329"/>
      <c r="G45" s="329"/>
      <c r="H45" s="329"/>
      <c r="I45" s="329"/>
      <c r="J45" s="329"/>
      <c r="K45" s="329"/>
      <c r="L45" s="329"/>
      <c r="M45" s="329"/>
      <c r="N45" s="320"/>
      <c r="O45" s="283"/>
    </row>
    <row r="46" spans="1:20" ht="22.2" customHeight="1">
      <c r="A46" s="19" t="s">
        <v>108</v>
      </c>
      <c r="B46" s="20"/>
      <c r="C46" s="30"/>
      <c r="D46" s="111">
        <f>SUM(D33:D41)</f>
        <v>49834.368000000002</v>
      </c>
      <c r="E46" s="6"/>
      <c r="F46" s="6"/>
      <c r="G46" s="6"/>
      <c r="H46" s="6"/>
      <c r="I46" s="6"/>
      <c r="J46" s="6"/>
      <c r="K46" s="6"/>
      <c r="L46" s="38"/>
      <c r="M46" s="425"/>
      <c r="N46" s="406">
        <f>SUM(N33:N41)</f>
        <v>2163820</v>
      </c>
      <c r="O46" s="3"/>
    </row>
    <row r="47" spans="1:20" ht="22.2" customHeight="1">
      <c r="A47" s="19" t="s">
        <v>7</v>
      </c>
      <c r="B47" s="20"/>
      <c r="C47" s="39"/>
      <c r="D47" s="40">
        <f>D46/D10</f>
        <v>229.65146543778803</v>
      </c>
      <c r="E47" s="40"/>
      <c r="F47" s="40"/>
      <c r="G47" s="40"/>
      <c r="H47" s="40"/>
      <c r="I47" s="40"/>
      <c r="J47" s="40"/>
      <c r="K47" s="40"/>
      <c r="L47" s="38"/>
      <c r="M47" s="426"/>
      <c r="N47" s="407"/>
      <c r="O47" s="562"/>
    </row>
    <row r="48" spans="1:20" ht="22.2" customHeight="1">
      <c r="A48" s="402" t="s">
        <v>52</v>
      </c>
      <c r="B48" s="331"/>
      <c r="C48" s="541" t="s">
        <v>154</v>
      </c>
      <c r="D48" s="18" t="s">
        <v>58</v>
      </c>
      <c r="E48" s="40"/>
      <c r="F48" s="40"/>
      <c r="G48" s="40"/>
      <c r="H48" s="40"/>
      <c r="I48" s="40"/>
      <c r="J48" s="41"/>
      <c r="K48" s="41"/>
      <c r="L48" s="38"/>
      <c r="M48" s="38"/>
      <c r="N48" s="285"/>
      <c r="O48" s="3"/>
    </row>
    <row r="49" spans="1:22" ht="22.2" customHeight="1">
      <c r="A49" s="332"/>
      <c r="B49" s="333"/>
      <c r="C49" s="66" t="s">
        <v>60</v>
      </c>
      <c r="D49" s="18">
        <f>D47*100/1320</f>
        <v>17.397838290741518</v>
      </c>
      <c r="E49" s="40"/>
      <c r="F49" s="40"/>
      <c r="G49" s="40"/>
      <c r="H49" s="40"/>
      <c r="I49" s="40"/>
      <c r="J49" s="41"/>
      <c r="K49" s="41"/>
      <c r="L49" s="38"/>
      <c r="M49" s="38"/>
      <c r="N49" s="285"/>
      <c r="O49" s="3"/>
    </row>
    <row r="50" spans="1:22" ht="22.2" customHeight="1">
      <c r="A50" s="394" t="s">
        <v>109</v>
      </c>
      <c r="B50" s="395"/>
      <c r="C50" s="398"/>
      <c r="D50" s="410">
        <f>D28+D46</f>
        <v>157263.29060000001</v>
      </c>
      <c r="E50" s="113">
        <f>SUM(E16:E41)</f>
        <v>3504.4103999999998</v>
      </c>
      <c r="F50" s="113">
        <f>SUM(F17:F41)</f>
        <v>3056.8643400000001</v>
      </c>
      <c r="G50" s="113">
        <f>SUM(G17:G41)</f>
        <v>3195.0088000000001</v>
      </c>
      <c r="H50" s="113">
        <f>SUM(H17:H41)</f>
        <v>1367.6627799999999</v>
      </c>
      <c r="I50" s="358">
        <f>SUM(I17:I41)</f>
        <v>21781.66158</v>
      </c>
      <c r="J50" s="358">
        <f>SUM(J16:J41)</f>
        <v>63823.614199999996</v>
      </c>
      <c r="K50" s="390">
        <f>SUM(K16:K41)</f>
        <v>143.40792799999997</v>
      </c>
      <c r="L50" s="373"/>
      <c r="M50" s="373"/>
      <c r="N50" s="417">
        <f>N28+N46</f>
        <v>4774370</v>
      </c>
    </row>
    <row r="51" spans="1:22" ht="22.2" customHeight="1">
      <c r="A51" s="396"/>
      <c r="B51" s="397"/>
      <c r="C51" s="399"/>
      <c r="D51" s="411"/>
      <c r="E51" s="387">
        <f>E50+F50</f>
        <v>6561.2747399999998</v>
      </c>
      <c r="F51" s="388"/>
      <c r="G51" s="387">
        <f>G50+H50</f>
        <v>4562.6715800000002</v>
      </c>
      <c r="H51" s="388"/>
      <c r="I51" s="360"/>
      <c r="J51" s="360"/>
      <c r="K51" s="391"/>
      <c r="L51" s="373"/>
      <c r="M51" s="373"/>
      <c r="N51" s="417"/>
      <c r="U51" s="274"/>
      <c r="V51" s="274"/>
    </row>
    <row r="52" spans="1:22" ht="22.2" customHeight="1">
      <c r="A52" s="351" t="s">
        <v>77</v>
      </c>
      <c r="B52" s="352"/>
      <c r="C52" s="353"/>
      <c r="D52" s="125">
        <f>D50/D10</f>
        <v>724.71562488479265</v>
      </c>
      <c r="E52" s="543">
        <f>E50/D10</f>
        <v>16.149356682027648</v>
      </c>
      <c r="F52" s="544">
        <f>F50/D10</f>
        <v>14.086932442396314</v>
      </c>
      <c r="G52" s="543">
        <f>G50/D10</f>
        <v>14.723542857142858</v>
      </c>
      <c r="H52" s="564">
        <f>H50/D10</f>
        <v>6.3025934562211976</v>
      </c>
      <c r="I52" s="368">
        <f>I50/D10</f>
        <v>100.37632064516129</v>
      </c>
      <c r="J52" s="413">
        <f>J50/D10</f>
        <v>294.1180377880184</v>
      </c>
      <c r="K52" s="413">
        <f>K50/D10</f>
        <v>0.66086602764976943</v>
      </c>
      <c r="L52" s="373"/>
      <c r="M52" s="373"/>
      <c r="N52" s="417"/>
      <c r="Q52" s="558"/>
      <c r="R52" s="558"/>
      <c r="S52" s="558"/>
      <c r="T52" s="558"/>
      <c r="U52" s="559"/>
      <c r="V52" s="559"/>
    </row>
    <row r="53" spans="1:22" ht="22.2" customHeight="1">
      <c r="A53" s="354"/>
      <c r="B53" s="355"/>
      <c r="C53" s="356"/>
      <c r="D53" s="568"/>
      <c r="E53" s="545">
        <f>E52+F52</f>
        <v>30.236289124423962</v>
      </c>
      <c r="F53" s="546"/>
      <c r="G53" s="545">
        <f>G52+H52</f>
        <v>21.026136313364056</v>
      </c>
      <c r="H53" s="546"/>
      <c r="I53" s="369"/>
      <c r="J53" s="414"/>
      <c r="K53" s="414"/>
      <c r="L53" s="373"/>
      <c r="M53" s="373"/>
      <c r="N53" s="417"/>
      <c r="P53" s="547"/>
      <c r="Q53" s="558"/>
      <c r="R53" s="558"/>
      <c r="S53" s="558"/>
      <c r="T53" s="558"/>
      <c r="U53" s="558"/>
      <c r="V53" s="558"/>
    </row>
    <row r="54" spans="1:22" ht="22.2" customHeight="1">
      <c r="A54" s="422" t="s">
        <v>80</v>
      </c>
      <c r="B54" s="423"/>
      <c r="C54" s="424"/>
      <c r="D54" s="282" t="s">
        <v>28</v>
      </c>
      <c r="E54" s="304" t="s">
        <v>21</v>
      </c>
      <c r="F54" s="304"/>
      <c r="G54" s="304" t="s">
        <v>22</v>
      </c>
      <c r="H54" s="304"/>
      <c r="I54" s="282" t="s">
        <v>23</v>
      </c>
      <c r="J54" s="286">
        <v>600</v>
      </c>
      <c r="K54" s="286">
        <v>0.7</v>
      </c>
      <c r="L54" s="373"/>
      <c r="M54" s="373"/>
      <c r="N54" s="417"/>
      <c r="O54" s="548"/>
      <c r="P54" s="133"/>
      <c r="Q54" s="557"/>
      <c r="R54" s="557"/>
      <c r="S54" s="557"/>
      <c r="T54" s="85"/>
    </row>
    <row r="55" spans="1:22" ht="22.2" customHeight="1">
      <c r="A55" s="348" t="s">
        <v>78</v>
      </c>
      <c r="B55" s="380"/>
      <c r="C55" s="349"/>
      <c r="D55" s="42"/>
      <c r="E55" s="381">
        <f>E53*4.1</f>
        <v>123.96878541013824</v>
      </c>
      <c r="F55" s="382"/>
      <c r="G55" s="381">
        <f>G53*9</f>
        <v>189.23522682027649</v>
      </c>
      <c r="H55" s="382"/>
      <c r="I55" s="74">
        <f>I52*4.1</f>
        <v>411.54291464516126</v>
      </c>
      <c r="J55" s="361"/>
      <c r="K55" s="361"/>
      <c r="L55" s="373"/>
      <c r="M55" s="373"/>
      <c r="N55" s="417"/>
      <c r="O55" s="548"/>
      <c r="P55" s="556"/>
      <c r="Q55" s="133"/>
      <c r="R55" s="133"/>
      <c r="S55" s="133"/>
    </row>
    <row r="56" spans="1:22" ht="22.2" customHeight="1">
      <c r="A56" s="383" t="s">
        <v>81</v>
      </c>
      <c r="B56" s="384"/>
      <c r="C56" s="348" t="s">
        <v>59</v>
      </c>
      <c r="D56" s="349"/>
      <c r="E56" s="420">
        <f>E55*100/D52</f>
        <v>17.10585244106548</v>
      </c>
      <c r="F56" s="421"/>
      <c r="G56" s="420">
        <f>G55*100/D52</f>
        <v>26.111652670709155</v>
      </c>
      <c r="H56" s="421"/>
      <c r="I56" s="105">
        <f>I55*100/D52</f>
        <v>56.786814098369121</v>
      </c>
      <c r="J56" s="362"/>
      <c r="K56" s="362"/>
      <c r="L56" s="373"/>
      <c r="M56" s="373"/>
      <c r="N56" s="417"/>
      <c r="O56" s="548"/>
    </row>
    <row r="57" spans="1:22" ht="22.2" customHeight="1">
      <c r="A57" s="385"/>
      <c r="B57" s="386"/>
      <c r="C57" s="348" t="s">
        <v>79</v>
      </c>
      <c r="D57" s="349"/>
      <c r="E57" s="348" t="s">
        <v>82</v>
      </c>
      <c r="F57" s="349"/>
      <c r="G57" s="348" t="s">
        <v>83</v>
      </c>
      <c r="H57" s="349"/>
      <c r="I57" s="282" t="s">
        <v>84</v>
      </c>
      <c r="J57" s="363"/>
      <c r="K57" s="363"/>
      <c r="L57" s="373"/>
      <c r="M57" s="373"/>
      <c r="N57" s="417"/>
      <c r="O57" s="548"/>
      <c r="P57" s="2"/>
    </row>
    <row r="58" spans="1:22" ht="22.2" customHeight="1">
      <c r="A58" s="79"/>
      <c r="B58" s="82"/>
      <c r="C58" s="79"/>
      <c r="D58" s="79"/>
      <c r="E58" s="79"/>
      <c r="F58" s="79"/>
      <c r="G58" s="79"/>
      <c r="H58" s="79"/>
      <c r="I58" s="79"/>
      <c r="J58" s="79"/>
      <c r="K58" s="79"/>
      <c r="L58" s="80"/>
      <c r="M58" s="80"/>
      <c r="N58" s="81"/>
      <c r="O58" s="548"/>
    </row>
    <row r="59" spans="1:22" ht="21" customHeight="1">
      <c r="A59" s="291" t="s">
        <v>116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548"/>
    </row>
    <row r="60" spans="1:22" ht="21" customHeight="1">
      <c r="A60" s="107" t="s">
        <v>117</v>
      </c>
      <c r="B60" s="292" t="s">
        <v>127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548"/>
    </row>
    <row r="61" spans="1:22" ht="21" customHeight="1">
      <c r="A61" s="108"/>
      <c r="B61" s="293" t="s">
        <v>220</v>
      </c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548"/>
    </row>
    <row r="62" spans="1:22" ht="21" customHeight="1">
      <c r="A62" s="108"/>
      <c r="B62" s="293" t="s">
        <v>191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548"/>
    </row>
    <row r="63" spans="1:22" ht="21" customHeight="1">
      <c r="A63" s="108"/>
      <c r="B63" s="293" t="s">
        <v>209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548"/>
    </row>
    <row r="64" spans="1:22" ht="21" customHeight="1">
      <c r="A64" s="79"/>
      <c r="B64" s="294" t="s">
        <v>119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548"/>
    </row>
    <row r="65" spans="1:19" ht="21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3"/>
      <c r="M65" s="83"/>
      <c r="N65" s="84"/>
      <c r="O65" s="548"/>
    </row>
    <row r="66" spans="1:19" ht="21" customHeight="1">
      <c r="A66" s="295" t="s">
        <v>62</v>
      </c>
      <c r="B66" s="295"/>
      <c r="C66" s="295"/>
      <c r="D66" s="295"/>
      <c r="E66" s="549"/>
      <c r="F66" s="549"/>
      <c r="G66" s="549"/>
      <c r="H66" s="549"/>
      <c r="I66" s="549"/>
      <c r="J66" s="550" t="s">
        <v>33</v>
      </c>
      <c r="K66" s="550"/>
      <c r="L66" s="550"/>
      <c r="M66" s="550"/>
      <c r="N66" s="550"/>
      <c r="O66" s="548"/>
    </row>
    <row r="67" spans="1:19" ht="21" customHeight="1">
      <c r="A67" s="283"/>
      <c r="B67" s="283"/>
      <c r="C67" s="283"/>
      <c r="D67" s="549"/>
      <c r="E67" s="549"/>
      <c r="F67" s="549"/>
      <c r="G67" s="549"/>
      <c r="H67" s="551"/>
      <c r="I67" s="551"/>
      <c r="J67" s="551"/>
      <c r="K67" s="551"/>
      <c r="L67" s="551"/>
      <c r="M67" s="551"/>
      <c r="N67" s="551"/>
      <c r="O67" s="548"/>
    </row>
    <row r="68" spans="1:19" ht="21" customHeight="1">
      <c r="A68" s="283"/>
      <c r="B68" s="283"/>
      <c r="C68" s="283"/>
      <c r="D68" s="549"/>
      <c r="E68" s="549"/>
      <c r="F68" s="549"/>
      <c r="G68" s="549"/>
      <c r="H68" s="551"/>
      <c r="I68" s="551"/>
      <c r="J68" s="551"/>
      <c r="K68" s="551"/>
      <c r="L68" s="551"/>
      <c r="M68" s="551"/>
      <c r="N68" s="551"/>
      <c r="O68" s="548"/>
    </row>
    <row r="69" spans="1:19" ht="21" customHeight="1">
      <c r="A69" s="283"/>
      <c r="B69" s="283"/>
      <c r="C69" s="283"/>
      <c r="D69" s="549"/>
      <c r="E69" s="549"/>
      <c r="F69" s="549"/>
      <c r="G69" s="549"/>
      <c r="H69" s="551"/>
      <c r="I69" s="551"/>
      <c r="J69" s="552" t="s">
        <v>126</v>
      </c>
      <c r="K69" s="552"/>
      <c r="L69" s="552"/>
      <c r="M69" s="552"/>
      <c r="N69" s="552"/>
      <c r="O69" s="548"/>
    </row>
    <row r="70" spans="1:19" ht="22.2" customHeight="1">
      <c r="A70" s="287" t="s">
        <v>93</v>
      </c>
      <c r="B70" s="287"/>
      <c r="C70" s="287"/>
      <c r="D70" s="287"/>
      <c r="E70" s="549"/>
      <c r="F70" s="549"/>
      <c r="G70" s="549"/>
      <c r="H70" s="551"/>
      <c r="I70" s="551"/>
      <c r="J70" s="552"/>
      <c r="K70" s="552"/>
      <c r="L70" s="552"/>
      <c r="M70" s="552"/>
      <c r="N70" s="552"/>
      <c r="O70" s="548"/>
    </row>
    <row r="71" spans="1:19" ht="22.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83"/>
      <c r="M71" s="83"/>
      <c r="N71" s="84"/>
      <c r="O71" s="548"/>
    </row>
    <row r="72" spans="1:19" ht="22.2" customHeight="1">
      <c r="A72" s="79"/>
      <c r="B72" s="79"/>
      <c r="C72" s="79"/>
      <c r="D72" s="79"/>
      <c r="E72" s="79"/>
      <c r="F72" s="79"/>
      <c r="G72" s="79"/>
      <c r="H72" s="79"/>
      <c r="I72" s="79"/>
      <c r="J72" s="552" t="s">
        <v>129</v>
      </c>
      <c r="K72" s="552"/>
      <c r="L72" s="552"/>
      <c r="M72" s="552"/>
      <c r="N72" s="552"/>
      <c r="O72" s="548"/>
    </row>
    <row r="73" spans="1:19" ht="22.2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83"/>
      <c r="M73" s="83"/>
      <c r="N73" s="84"/>
      <c r="O73" s="548"/>
    </row>
    <row r="74" spans="1:19" ht="22.2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83"/>
      <c r="M74" s="83"/>
      <c r="N74" s="84"/>
      <c r="O74" s="548"/>
    </row>
    <row r="75" spans="1:19" ht="22.2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83"/>
      <c r="M75" s="83"/>
      <c r="N75" s="84"/>
      <c r="O75" s="548"/>
    </row>
    <row r="76" spans="1:19" ht="22.2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83"/>
      <c r="M76" s="83"/>
      <c r="N76" s="84"/>
      <c r="O76" s="548"/>
    </row>
    <row r="77" spans="1:19" ht="22.2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83"/>
      <c r="M77" s="83"/>
      <c r="N77" s="84"/>
      <c r="O77" s="548"/>
    </row>
    <row r="78" spans="1:19" ht="22.2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3"/>
      <c r="M78" s="83"/>
      <c r="N78" s="84"/>
      <c r="O78" s="548"/>
    </row>
    <row r="79" spans="1:19" ht="22.2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83"/>
      <c r="M79" s="83"/>
      <c r="N79" s="84"/>
      <c r="O79" s="548"/>
    </row>
    <row r="80" spans="1:19" ht="17.399999999999999" customHeight="1">
      <c r="A80" s="10" t="s">
        <v>61</v>
      </c>
      <c r="B80" s="7"/>
      <c r="C80" s="7"/>
      <c r="D80" s="7"/>
      <c r="E80" s="7"/>
      <c r="F80" s="401" t="s">
        <v>32</v>
      </c>
      <c r="G80" s="401"/>
      <c r="H80" s="401"/>
      <c r="I80" s="401"/>
      <c r="J80" s="401"/>
      <c r="K80" s="401"/>
      <c r="L80" s="401"/>
      <c r="M80" s="401"/>
      <c r="N80" s="401"/>
      <c r="O80" s="537"/>
      <c r="P80" s="569"/>
      <c r="Q80" s="569"/>
      <c r="R80" s="133"/>
      <c r="S80" s="133"/>
    </row>
    <row r="81" spans="1:18" ht="17.399999999999999" customHeight="1">
      <c r="A81" s="7" t="s">
        <v>217</v>
      </c>
      <c r="B81" s="7"/>
      <c r="C81" s="7"/>
      <c r="D81" s="7"/>
      <c r="E81" s="7"/>
      <c r="F81" s="280"/>
      <c r="G81" s="280"/>
      <c r="H81" s="280"/>
      <c r="I81" s="280"/>
      <c r="J81" s="280"/>
      <c r="K81" s="280"/>
      <c r="L81" s="280"/>
      <c r="M81" s="280"/>
      <c r="N81" s="280"/>
      <c r="O81" s="537"/>
      <c r="P81" s="537"/>
    </row>
    <row r="82" spans="1:18" ht="17.399999999999999" customHeight="1">
      <c r="A82" s="304" t="s">
        <v>99</v>
      </c>
      <c r="B82" s="304"/>
      <c r="C82" s="304"/>
      <c r="D82" s="304"/>
      <c r="E82" s="304" t="s">
        <v>89</v>
      </c>
      <c r="F82" s="304"/>
      <c r="G82" s="304"/>
      <c r="H82" s="304"/>
      <c r="I82" s="304"/>
      <c r="J82" s="304"/>
      <c r="K82" s="304"/>
      <c r="L82" s="304"/>
      <c r="M82" s="304"/>
      <c r="N82" s="304"/>
      <c r="O82" s="538"/>
    </row>
    <row r="83" spans="1:18" ht="17.399999999999999" customHeight="1">
      <c r="A83" s="304"/>
      <c r="B83" s="304"/>
      <c r="C83" s="304"/>
      <c r="D83" s="304"/>
      <c r="E83" s="304" t="s">
        <v>102</v>
      </c>
      <c r="F83" s="304"/>
      <c r="G83" s="304"/>
      <c r="H83" s="304"/>
      <c r="I83" s="304"/>
      <c r="J83" s="304" t="s">
        <v>103</v>
      </c>
      <c r="K83" s="304"/>
      <c r="L83" s="304"/>
      <c r="M83" s="304"/>
      <c r="N83" s="304"/>
      <c r="O83" s="538"/>
    </row>
    <row r="84" spans="1:18" ht="17.399999999999999" customHeight="1">
      <c r="A84" s="305" t="s">
        <v>90</v>
      </c>
      <c r="B84" s="305"/>
      <c r="C84" s="305"/>
      <c r="D84" s="305"/>
      <c r="E84" s="308" t="s">
        <v>151</v>
      </c>
      <c r="F84" s="308"/>
      <c r="G84" s="308"/>
      <c r="H84" s="308"/>
      <c r="I84" s="308"/>
      <c r="J84" s="305" t="s">
        <v>90</v>
      </c>
      <c r="K84" s="305"/>
      <c r="L84" s="305"/>
      <c r="M84" s="305"/>
      <c r="N84" s="305"/>
      <c r="O84" s="538"/>
    </row>
    <row r="85" spans="1:18" ht="17.399999999999999" customHeight="1">
      <c r="A85" s="430" t="s">
        <v>163</v>
      </c>
      <c r="B85" s="431"/>
      <c r="C85" s="431"/>
      <c r="D85" s="432"/>
      <c r="E85" s="308"/>
      <c r="F85" s="308"/>
      <c r="G85" s="308"/>
      <c r="H85" s="308"/>
      <c r="I85" s="308"/>
      <c r="J85" s="306" t="s">
        <v>104</v>
      </c>
      <c r="K85" s="306"/>
      <c r="L85" s="306"/>
      <c r="M85" s="306"/>
      <c r="N85" s="306"/>
      <c r="O85" s="538"/>
    </row>
    <row r="86" spans="1:18" ht="17.399999999999999" customHeight="1">
      <c r="A86" s="307" t="s">
        <v>189</v>
      </c>
      <c r="B86" s="307"/>
      <c r="C86" s="307"/>
      <c r="D86" s="307"/>
      <c r="E86" s="308"/>
      <c r="F86" s="308"/>
      <c r="G86" s="308"/>
      <c r="H86" s="308"/>
      <c r="I86" s="308"/>
      <c r="J86" s="307" t="s">
        <v>171</v>
      </c>
      <c r="K86" s="307"/>
      <c r="L86" s="307"/>
      <c r="M86" s="307"/>
      <c r="N86" s="307"/>
      <c r="O86" s="307"/>
      <c r="P86" s="307"/>
      <c r="Q86" s="307"/>
      <c r="R86" s="307"/>
    </row>
    <row r="87" spans="1:18" ht="17.399999999999999" customHeight="1">
      <c r="A87" s="334" t="s">
        <v>124</v>
      </c>
      <c r="B87" s="335"/>
      <c r="C87" s="336"/>
      <c r="D87" s="118">
        <v>54</v>
      </c>
      <c r="E87" s="7"/>
      <c r="F87" s="280"/>
      <c r="G87" s="280"/>
      <c r="H87" s="280"/>
      <c r="I87" s="280"/>
      <c r="J87" s="280"/>
      <c r="K87" s="280"/>
      <c r="L87" s="280"/>
      <c r="M87" s="280"/>
      <c r="N87" s="280"/>
      <c r="O87" s="537"/>
      <c r="P87" s="537"/>
    </row>
    <row r="88" spans="1:18" ht="17.399999999999999" customHeight="1">
      <c r="A88" s="318" t="s">
        <v>0</v>
      </c>
      <c r="B88" s="321" t="s">
        <v>19</v>
      </c>
      <c r="C88" s="321" t="s">
        <v>8</v>
      </c>
      <c r="D88" s="321" t="s">
        <v>9</v>
      </c>
      <c r="E88" s="324" t="s">
        <v>11</v>
      </c>
      <c r="F88" s="325"/>
      <c r="G88" s="324" t="s">
        <v>13</v>
      </c>
      <c r="H88" s="325"/>
      <c r="I88" s="318" t="s">
        <v>16</v>
      </c>
      <c r="J88" s="318" t="s">
        <v>41</v>
      </c>
      <c r="K88" s="318" t="s">
        <v>42</v>
      </c>
      <c r="L88" s="318" t="s">
        <v>17</v>
      </c>
      <c r="M88" s="318" t="s">
        <v>55</v>
      </c>
      <c r="N88" s="318" t="s">
        <v>18</v>
      </c>
      <c r="O88" s="539"/>
    </row>
    <row r="89" spans="1:18" ht="17.399999999999999" customHeight="1">
      <c r="A89" s="319"/>
      <c r="B89" s="322"/>
      <c r="C89" s="322"/>
      <c r="D89" s="322"/>
      <c r="E89" s="326"/>
      <c r="F89" s="327"/>
      <c r="G89" s="326"/>
      <c r="H89" s="327"/>
      <c r="I89" s="328"/>
      <c r="J89" s="328"/>
      <c r="K89" s="328"/>
      <c r="L89" s="328"/>
      <c r="M89" s="328"/>
      <c r="N89" s="319"/>
      <c r="O89" s="283"/>
    </row>
    <row r="90" spans="1:18" ht="17.399999999999999" customHeight="1">
      <c r="A90" s="319"/>
      <c r="B90" s="322"/>
      <c r="C90" s="322"/>
      <c r="D90" s="322"/>
      <c r="E90" s="318" t="s">
        <v>10</v>
      </c>
      <c r="F90" s="318" t="s">
        <v>12</v>
      </c>
      <c r="G90" s="318" t="s">
        <v>14</v>
      </c>
      <c r="H90" s="318" t="s">
        <v>15</v>
      </c>
      <c r="I90" s="328"/>
      <c r="J90" s="328"/>
      <c r="K90" s="328"/>
      <c r="L90" s="328"/>
      <c r="M90" s="328"/>
      <c r="N90" s="319"/>
      <c r="O90" s="283"/>
    </row>
    <row r="91" spans="1:18" ht="17.399999999999999" customHeight="1">
      <c r="A91" s="320"/>
      <c r="B91" s="323"/>
      <c r="C91" s="323"/>
      <c r="D91" s="323"/>
      <c r="E91" s="329"/>
      <c r="F91" s="329"/>
      <c r="G91" s="329"/>
      <c r="H91" s="329"/>
      <c r="I91" s="329"/>
      <c r="J91" s="329"/>
      <c r="K91" s="329"/>
      <c r="L91" s="329"/>
      <c r="M91" s="329"/>
      <c r="N91" s="320"/>
      <c r="O91" s="283"/>
    </row>
    <row r="92" spans="1:18" ht="18.600000000000001" customHeight="1">
      <c r="A92" s="343" t="s">
        <v>39</v>
      </c>
      <c r="B92" s="344"/>
      <c r="C92" s="344"/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5"/>
      <c r="O92" s="283"/>
    </row>
    <row r="93" spans="1:18" ht="18.600000000000001" customHeight="1">
      <c r="A93" s="8">
        <v>1</v>
      </c>
      <c r="B93" s="9" t="s">
        <v>2</v>
      </c>
      <c r="C93" s="21">
        <f>L93/100*100</f>
        <v>70</v>
      </c>
      <c r="D93" s="22">
        <f>C93/100*60</f>
        <v>42</v>
      </c>
      <c r="E93" s="23">
        <f>C93/100*15</f>
        <v>10.5</v>
      </c>
      <c r="F93" s="23"/>
      <c r="G93" s="23"/>
      <c r="H93" s="23"/>
      <c r="I93" s="23"/>
      <c r="J93" s="25">
        <f>C93/100*387</f>
        <v>270.89999999999998</v>
      </c>
      <c r="K93" s="25">
        <f>C93/100*0.09</f>
        <v>6.3E-2</v>
      </c>
      <c r="L93" s="130">
        <v>70</v>
      </c>
      <c r="M93" s="65">
        <v>20</v>
      </c>
      <c r="N93" s="21">
        <f>L93*M93</f>
        <v>1400</v>
      </c>
      <c r="O93" s="3"/>
    </row>
    <row r="94" spans="1:18" ht="18.600000000000001" customHeight="1">
      <c r="A94" s="8">
        <v>2</v>
      </c>
      <c r="B94" s="147" t="s">
        <v>143</v>
      </c>
      <c r="C94" s="21">
        <f>L94/100*100</f>
        <v>270</v>
      </c>
      <c r="D94" s="22">
        <f>C94/100*899</f>
        <v>2427.3000000000002</v>
      </c>
      <c r="E94" s="23"/>
      <c r="F94" s="23"/>
      <c r="G94" s="23">
        <f>C94/100*100</f>
        <v>270</v>
      </c>
      <c r="H94" s="23"/>
      <c r="I94" s="23"/>
      <c r="J94" s="23"/>
      <c r="K94" s="23"/>
      <c r="L94" s="130">
        <v>270</v>
      </c>
      <c r="M94" s="22">
        <v>68</v>
      </c>
      <c r="N94" s="21">
        <f t="shared" ref="N94:N103" si="4">L94*M94</f>
        <v>18360</v>
      </c>
      <c r="O94" s="542"/>
    </row>
    <row r="95" spans="1:18" ht="18.600000000000001" customHeight="1">
      <c r="A95" s="8">
        <v>3</v>
      </c>
      <c r="B95" s="147" t="s">
        <v>149</v>
      </c>
      <c r="C95" s="21">
        <f>L95/100*100</f>
        <v>130</v>
      </c>
      <c r="D95" s="110">
        <f>C95/100*900</f>
        <v>1170</v>
      </c>
      <c r="E95" s="23"/>
      <c r="F95" s="23"/>
      <c r="G95" s="109"/>
      <c r="H95" s="23">
        <f>C95/100*100</f>
        <v>130</v>
      </c>
      <c r="I95" s="23"/>
      <c r="J95" s="23"/>
      <c r="K95" s="23"/>
      <c r="L95" s="130">
        <v>130</v>
      </c>
      <c r="M95" s="65">
        <v>63.5</v>
      </c>
      <c r="N95" s="21">
        <f t="shared" si="4"/>
        <v>8255</v>
      </c>
      <c r="O95" s="542"/>
    </row>
    <row r="96" spans="1:18" ht="18.600000000000001" customHeight="1">
      <c r="A96" s="8">
        <v>3</v>
      </c>
      <c r="B96" s="148" t="s">
        <v>1</v>
      </c>
      <c r="C96" s="21">
        <f>L96/100*100</f>
        <v>2322</v>
      </c>
      <c r="D96" s="110">
        <f>C96/100*352.7</f>
        <v>8189.6939999999995</v>
      </c>
      <c r="E96" s="23"/>
      <c r="F96" s="109">
        <f>C96/100*7.9</f>
        <v>183.43799999999999</v>
      </c>
      <c r="G96" s="23"/>
      <c r="H96" s="23">
        <f>C96/100*1</f>
        <v>23.22</v>
      </c>
      <c r="I96" s="109">
        <f>C96/100*75.9</f>
        <v>1762.3980000000001</v>
      </c>
      <c r="J96" s="25">
        <f>C96/100*30</f>
        <v>696.59999999999991</v>
      </c>
      <c r="K96" s="25">
        <f>C96/100*0.1</f>
        <v>2.3220000000000001</v>
      </c>
      <c r="L96" s="561">
        <v>2322</v>
      </c>
      <c r="M96" s="65">
        <v>18</v>
      </c>
      <c r="N96" s="21">
        <f t="shared" si="4"/>
        <v>41796</v>
      </c>
      <c r="O96" s="3"/>
    </row>
    <row r="97" spans="1:20" ht="18.600000000000001" customHeight="1">
      <c r="A97" s="8">
        <v>4</v>
      </c>
      <c r="B97" s="147" t="s">
        <v>5</v>
      </c>
      <c r="C97" s="21">
        <f>L97/100*90</f>
        <v>11.700000000000001</v>
      </c>
      <c r="D97" s="22">
        <f>C97/100*281</f>
        <v>32.877000000000002</v>
      </c>
      <c r="E97" s="23"/>
      <c r="F97" s="23">
        <f>C97/100*9.5</f>
        <v>1.1115000000000002</v>
      </c>
      <c r="G97" s="23"/>
      <c r="H97" s="23">
        <f>C97/100*0.2</f>
        <v>2.3400000000000004E-2</v>
      </c>
      <c r="I97" s="23">
        <f>C97/100*58.5</f>
        <v>6.8445</v>
      </c>
      <c r="J97" s="25">
        <f>C97/100*321.3</f>
        <v>37.592100000000002</v>
      </c>
      <c r="K97" s="25">
        <f>C97/100*0.14</f>
        <v>1.6380000000000002E-2</v>
      </c>
      <c r="L97" s="130">
        <v>13</v>
      </c>
      <c r="M97" s="65">
        <v>120</v>
      </c>
      <c r="N97" s="21">
        <f t="shared" si="4"/>
        <v>1560</v>
      </c>
      <c r="O97" s="3"/>
    </row>
    <row r="98" spans="1:20" ht="18.600000000000001" customHeight="1">
      <c r="A98" s="8">
        <v>5</v>
      </c>
      <c r="B98" s="147" t="s">
        <v>70</v>
      </c>
      <c r="C98" s="21">
        <f>L98/100*90</f>
        <v>13.5</v>
      </c>
      <c r="D98" s="22">
        <f>C98/100*253</f>
        <v>34.155000000000001</v>
      </c>
      <c r="E98" s="23"/>
      <c r="F98" s="23">
        <f>C98/100*32.4</f>
        <v>4.3739999999999997</v>
      </c>
      <c r="G98" s="23"/>
      <c r="H98" s="23">
        <f>C98/100*3.6</f>
        <v>0.48600000000000004</v>
      </c>
      <c r="I98" s="23">
        <f>C98/100*21.1</f>
        <v>2.8485000000000005</v>
      </c>
      <c r="J98" s="25">
        <f>C98/100*165.6</f>
        <v>22.356000000000002</v>
      </c>
      <c r="K98" s="25">
        <f>C98/100*0.14</f>
        <v>1.8900000000000004E-2</v>
      </c>
      <c r="L98" s="130">
        <v>15</v>
      </c>
      <c r="M98" s="65">
        <v>275</v>
      </c>
      <c r="N98" s="21">
        <f t="shared" si="4"/>
        <v>4125</v>
      </c>
      <c r="O98" s="3"/>
    </row>
    <row r="99" spans="1:20" ht="18.600000000000001" customHeight="1">
      <c r="A99" s="8">
        <v>7</v>
      </c>
      <c r="B99" s="148" t="s">
        <v>63</v>
      </c>
      <c r="C99" s="21">
        <f>L99/100*86</f>
        <v>610.6</v>
      </c>
      <c r="D99" s="22">
        <f>C99/100*166</f>
        <v>1013.596</v>
      </c>
      <c r="E99" s="23">
        <f>C99/100*14.8</f>
        <v>90.368800000000007</v>
      </c>
      <c r="F99" s="23"/>
      <c r="G99" s="23">
        <f>C99/100*11.6</f>
        <v>70.829599999999999</v>
      </c>
      <c r="H99" s="23"/>
      <c r="I99" s="23">
        <f>C99/100*0.5</f>
        <v>3.0529999999999999</v>
      </c>
      <c r="J99" s="25">
        <f>C99/100*55</f>
        <v>335.83</v>
      </c>
      <c r="K99" s="25">
        <f>C99/100*0.16</f>
        <v>0.97696000000000005</v>
      </c>
      <c r="L99" s="130">
        <v>710</v>
      </c>
      <c r="M99" s="65">
        <v>62</v>
      </c>
      <c r="N99" s="21">
        <f t="shared" si="4"/>
        <v>44020</v>
      </c>
      <c r="O99" s="3"/>
      <c r="Q99" s="2"/>
      <c r="R99" s="2"/>
      <c r="S99" s="3"/>
    </row>
    <row r="100" spans="1:20" ht="18.600000000000001" customHeight="1">
      <c r="A100" s="8">
        <v>8</v>
      </c>
      <c r="B100" s="147" t="s">
        <v>71</v>
      </c>
      <c r="C100" s="21">
        <f>L100/100*98</f>
        <v>1391.6</v>
      </c>
      <c r="D100" s="22">
        <f>C100/100*139</f>
        <v>1934.3239999999998</v>
      </c>
      <c r="E100" s="23">
        <f>C100/100*19</f>
        <v>264.404</v>
      </c>
      <c r="F100" s="23"/>
      <c r="G100" s="23">
        <f>C100/100*7</f>
        <v>97.411999999999992</v>
      </c>
      <c r="H100" s="23"/>
      <c r="I100" s="23"/>
      <c r="J100" s="25">
        <f>C100/100*7</f>
        <v>97.411999999999992</v>
      </c>
      <c r="K100" s="25">
        <f>C100/100*0.9</f>
        <v>12.524399999999998</v>
      </c>
      <c r="L100" s="130">
        <v>1420</v>
      </c>
      <c r="M100" s="65">
        <v>130</v>
      </c>
      <c r="N100" s="21">
        <f t="shared" si="4"/>
        <v>184600</v>
      </c>
      <c r="O100" s="3"/>
    </row>
    <row r="101" spans="1:20" ht="18.600000000000001" customHeight="1">
      <c r="A101" s="8">
        <v>9</v>
      </c>
      <c r="B101" s="148" t="s">
        <v>98</v>
      </c>
      <c r="C101" s="21">
        <f>L101/100*90</f>
        <v>432</v>
      </c>
      <c r="D101" s="22">
        <f>C101/100*90</f>
        <v>388.8</v>
      </c>
      <c r="E101" s="23">
        <f>C101/100*18.4</f>
        <v>79.488</v>
      </c>
      <c r="F101" s="23"/>
      <c r="G101" s="23">
        <f>C101/100*1.8</f>
        <v>7.7760000000000007</v>
      </c>
      <c r="H101" s="23"/>
      <c r="I101" s="23"/>
      <c r="J101" s="71">
        <f>C101/100*1120</f>
        <v>4838.4000000000005</v>
      </c>
      <c r="K101" s="25">
        <f>C101/100*0.02</f>
        <v>8.6400000000000005E-2</v>
      </c>
      <c r="L101" s="130">
        <v>480</v>
      </c>
      <c r="M101" s="24">
        <v>250</v>
      </c>
      <c r="N101" s="114">
        <f t="shared" si="4"/>
        <v>120000</v>
      </c>
      <c r="O101" s="3"/>
      <c r="Q101" s="2"/>
      <c r="R101" s="2"/>
      <c r="S101" s="3"/>
    </row>
    <row r="102" spans="1:20" ht="18" customHeight="1">
      <c r="A102" s="8">
        <v>10</v>
      </c>
      <c r="B102" s="4" t="s">
        <v>184</v>
      </c>
      <c r="C102" s="21">
        <f>L102/100*90</f>
        <v>1314</v>
      </c>
      <c r="D102" s="22">
        <f>C102/100*29</f>
        <v>381.06</v>
      </c>
      <c r="E102" s="23"/>
      <c r="F102" s="23">
        <f>C102/100*1.8</f>
        <v>23.652000000000001</v>
      </c>
      <c r="G102" s="23"/>
      <c r="H102" s="23">
        <f>C102/100*0.1</f>
        <v>1.3140000000000001</v>
      </c>
      <c r="I102" s="23">
        <f>C102/100*5.3</f>
        <v>69.641999999999996</v>
      </c>
      <c r="J102" s="23">
        <f>C102/100*48</f>
        <v>630.72</v>
      </c>
      <c r="K102" s="23">
        <f>C102/100*0.05</f>
        <v>0.65700000000000003</v>
      </c>
      <c r="L102" s="130">
        <v>1460</v>
      </c>
      <c r="M102" s="65">
        <v>15</v>
      </c>
      <c r="N102" s="21">
        <f t="shared" si="4"/>
        <v>21900</v>
      </c>
      <c r="O102" s="3"/>
    </row>
    <row r="103" spans="1:20" ht="18.600000000000001" customHeight="1">
      <c r="A103" s="8">
        <v>11</v>
      </c>
      <c r="B103" s="4" t="s">
        <v>138</v>
      </c>
      <c r="C103" s="21">
        <f>L103/100*100</f>
        <v>40</v>
      </c>
      <c r="D103" s="22">
        <f>C103/100*247</f>
        <v>98.800000000000011</v>
      </c>
      <c r="E103" s="26"/>
      <c r="F103" s="26">
        <f>C103/100*17.5</f>
        <v>7</v>
      </c>
      <c r="G103" s="26"/>
      <c r="H103" s="26">
        <f>C103/100*1.6</f>
        <v>0.64000000000000012</v>
      </c>
      <c r="I103" s="26">
        <f>C103/100*39.2</f>
        <v>15.680000000000001</v>
      </c>
      <c r="J103" s="62"/>
      <c r="K103" s="62"/>
      <c r="L103" s="540">
        <v>40</v>
      </c>
      <c r="M103" s="65">
        <v>50</v>
      </c>
      <c r="N103" s="21">
        <f t="shared" si="4"/>
        <v>2000</v>
      </c>
      <c r="O103" s="3"/>
      <c r="Q103" s="2"/>
      <c r="R103" s="2"/>
      <c r="S103" s="3"/>
      <c r="T103" s="2"/>
    </row>
    <row r="104" spans="1:20" ht="18.600000000000001" customHeight="1">
      <c r="A104" s="8">
        <v>12</v>
      </c>
      <c r="B104" s="5" t="s">
        <v>125</v>
      </c>
      <c r="C104" s="21"/>
      <c r="D104" s="131"/>
      <c r="E104" s="23"/>
      <c r="F104" s="23"/>
      <c r="G104" s="23"/>
      <c r="H104" s="23"/>
      <c r="I104" s="23"/>
      <c r="J104" s="25"/>
      <c r="K104" s="25"/>
      <c r="L104" s="24"/>
      <c r="M104" s="24"/>
      <c r="N104" s="21">
        <v>3400</v>
      </c>
      <c r="O104" s="3"/>
    </row>
    <row r="105" spans="1:20" ht="18.600000000000001" customHeight="1">
      <c r="A105" s="19" t="s">
        <v>120</v>
      </c>
      <c r="B105" s="20"/>
      <c r="C105" s="30"/>
      <c r="D105" s="111">
        <f>SUM(D93:D104)</f>
        <v>15712.605999999998</v>
      </c>
      <c r="E105" s="6"/>
      <c r="F105" s="6"/>
      <c r="G105" s="6"/>
      <c r="H105" s="6"/>
      <c r="I105" s="6"/>
      <c r="J105" s="6"/>
      <c r="K105" s="6"/>
      <c r="L105" s="38"/>
      <c r="M105" s="425"/>
      <c r="N105" s="302">
        <f>SUM(N93:N104)</f>
        <v>451416</v>
      </c>
      <c r="O105" s="3"/>
    </row>
    <row r="106" spans="1:20" ht="18.600000000000001" customHeight="1">
      <c r="A106" s="19" t="s">
        <v>37</v>
      </c>
      <c r="B106" s="20"/>
      <c r="C106" s="39"/>
      <c r="D106" s="40">
        <f>D105/D87</f>
        <v>290.97418518518515</v>
      </c>
      <c r="E106" s="40"/>
      <c r="F106" s="40"/>
      <c r="G106" s="40"/>
      <c r="H106" s="40"/>
      <c r="I106" s="40"/>
      <c r="J106" s="40"/>
      <c r="K106" s="40"/>
      <c r="L106" s="38"/>
      <c r="M106" s="426"/>
      <c r="N106" s="303"/>
      <c r="O106" s="562"/>
    </row>
    <row r="107" spans="1:20" ht="18.600000000000001" customHeight="1">
      <c r="A107" s="402" t="s">
        <v>53</v>
      </c>
      <c r="B107" s="331"/>
      <c r="C107" s="541" t="s">
        <v>154</v>
      </c>
      <c r="D107" s="18" t="s">
        <v>45</v>
      </c>
      <c r="E107" s="40"/>
      <c r="F107" s="40"/>
      <c r="G107" s="40"/>
      <c r="H107" s="40"/>
      <c r="I107" s="40"/>
      <c r="J107" s="41"/>
      <c r="K107" s="41"/>
      <c r="L107" s="38"/>
      <c r="M107" s="38"/>
      <c r="N107" s="285"/>
      <c r="O107" s="3"/>
    </row>
    <row r="108" spans="1:20" ht="18.600000000000001" customHeight="1">
      <c r="A108" s="332"/>
      <c r="B108" s="333"/>
      <c r="C108" s="66" t="s">
        <v>60</v>
      </c>
      <c r="D108" s="68">
        <f>D106*100/930</f>
        <v>31.287546794105932</v>
      </c>
      <c r="E108" s="40"/>
      <c r="F108" s="40"/>
      <c r="G108" s="40"/>
      <c r="H108" s="40"/>
      <c r="I108" s="40"/>
      <c r="J108" s="41"/>
      <c r="K108" s="41"/>
      <c r="L108" s="38"/>
      <c r="M108" s="38"/>
      <c r="N108" s="285"/>
      <c r="O108" s="3"/>
    </row>
    <row r="109" spans="1:20" ht="18.600000000000001" customHeight="1">
      <c r="A109" s="341" t="s">
        <v>38</v>
      </c>
      <c r="B109" s="341"/>
      <c r="C109" s="48"/>
      <c r="D109" s="49"/>
      <c r="E109" s="50"/>
      <c r="F109" s="50"/>
      <c r="G109" s="50"/>
      <c r="H109" s="50"/>
      <c r="I109" s="50"/>
      <c r="J109" s="50"/>
      <c r="K109" s="50"/>
      <c r="L109" s="51"/>
      <c r="M109" s="51"/>
      <c r="N109" s="48"/>
      <c r="O109" s="3"/>
    </row>
    <row r="110" spans="1:20" ht="18.600000000000001" customHeight="1">
      <c r="A110" s="8">
        <v>1</v>
      </c>
      <c r="B110" s="9" t="s">
        <v>2</v>
      </c>
      <c r="C110" s="21">
        <f>L110/100*100</f>
        <v>70</v>
      </c>
      <c r="D110" s="22">
        <f>C110/100*60</f>
        <v>42</v>
      </c>
      <c r="E110" s="23">
        <f>C110/100*15</f>
        <v>10.5</v>
      </c>
      <c r="F110" s="23"/>
      <c r="G110" s="23"/>
      <c r="H110" s="23"/>
      <c r="I110" s="23"/>
      <c r="J110" s="25">
        <f>C110/100*387</f>
        <v>270.89999999999998</v>
      </c>
      <c r="K110" s="25">
        <f>C110/100*0.09</f>
        <v>6.3E-2</v>
      </c>
      <c r="L110" s="130">
        <v>70</v>
      </c>
      <c r="M110" s="65">
        <v>20</v>
      </c>
      <c r="N110" s="21">
        <f>L110*M110</f>
        <v>1400</v>
      </c>
      <c r="O110" s="3"/>
    </row>
    <row r="111" spans="1:20" ht="18.600000000000001" customHeight="1">
      <c r="A111" s="8">
        <v>2</v>
      </c>
      <c r="B111" s="9" t="s">
        <v>143</v>
      </c>
      <c r="C111" s="21">
        <f>L111/100*100</f>
        <v>210</v>
      </c>
      <c r="D111" s="22">
        <f>C111/100*899</f>
        <v>1887.9</v>
      </c>
      <c r="E111" s="23"/>
      <c r="F111" s="23"/>
      <c r="G111" s="23">
        <f>C111/100*100</f>
        <v>210</v>
      </c>
      <c r="H111" s="23"/>
      <c r="I111" s="23"/>
      <c r="J111" s="25"/>
      <c r="K111" s="25"/>
      <c r="L111" s="130">
        <v>210</v>
      </c>
      <c r="M111" s="65">
        <v>68</v>
      </c>
      <c r="N111" s="21">
        <f t="shared" ref="N111:N117" si="5">L111*M111</f>
        <v>14280</v>
      </c>
      <c r="O111" s="3"/>
    </row>
    <row r="112" spans="1:20" ht="18.600000000000001" customHeight="1">
      <c r="A112" s="8">
        <v>3</v>
      </c>
      <c r="B112" s="4" t="s">
        <v>1</v>
      </c>
      <c r="C112" s="21">
        <f>L112/100*100</f>
        <v>2268</v>
      </c>
      <c r="D112" s="22">
        <f>C112/100*352.7</f>
        <v>7999.2359999999999</v>
      </c>
      <c r="E112" s="23"/>
      <c r="F112" s="23">
        <f>C112/100*7.9</f>
        <v>179.172</v>
      </c>
      <c r="G112" s="23"/>
      <c r="H112" s="23">
        <f>C112/100*1</f>
        <v>22.68</v>
      </c>
      <c r="I112" s="23">
        <f>C112/100*75.9</f>
        <v>1721.412</v>
      </c>
      <c r="J112" s="25">
        <f>C112/100*30</f>
        <v>680.4</v>
      </c>
      <c r="K112" s="25">
        <f>C112/100*0.1</f>
        <v>2.2680000000000002</v>
      </c>
      <c r="L112" s="130">
        <v>2268</v>
      </c>
      <c r="M112" s="65">
        <v>18</v>
      </c>
      <c r="N112" s="21">
        <f t="shared" si="5"/>
        <v>40824</v>
      </c>
      <c r="O112" s="3"/>
    </row>
    <row r="113" spans="1:20" ht="18.600000000000001" customHeight="1">
      <c r="A113" s="8">
        <v>4</v>
      </c>
      <c r="B113" s="4" t="s">
        <v>138</v>
      </c>
      <c r="C113" s="21">
        <f>L113/100*100</f>
        <v>40</v>
      </c>
      <c r="D113" s="22">
        <f>C113/100*247</f>
        <v>98.800000000000011</v>
      </c>
      <c r="E113" s="26"/>
      <c r="F113" s="26">
        <f>C113/100*17.5</f>
        <v>7</v>
      </c>
      <c r="G113" s="26"/>
      <c r="H113" s="26">
        <f>C113/100*1.6</f>
        <v>0.64000000000000012</v>
      </c>
      <c r="I113" s="26">
        <f>C113/100*39.2</f>
        <v>15.680000000000001</v>
      </c>
      <c r="J113" s="62"/>
      <c r="K113" s="62"/>
      <c r="L113" s="540">
        <v>40</v>
      </c>
      <c r="M113" s="65">
        <v>50</v>
      </c>
      <c r="N113" s="21">
        <f t="shared" si="5"/>
        <v>2000</v>
      </c>
      <c r="O113" s="3"/>
      <c r="Q113" s="2"/>
      <c r="R113" s="2"/>
      <c r="S113" s="3"/>
      <c r="T113" s="2"/>
    </row>
    <row r="114" spans="1:20" ht="18.600000000000001" customHeight="1">
      <c r="A114" s="8">
        <v>5</v>
      </c>
      <c r="B114" s="9" t="s">
        <v>70</v>
      </c>
      <c r="C114" s="21">
        <f>L114/100*90</f>
        <v>13.5</v>
      </c>
      <c r="D114" s="22">
        <f>C114/100*253</f>
        <v>34.155000000000001</v>
      </c>
      <c r="E114" s="23"/>
      <c r="F114" s="23">
        <f>C114/100*32.4</f>
        <v>4.3739999999999997</v>
      </c>
      <c r="G114" s="23"/>
      <c r="H114" s="23">
        <f>C114/100*3.6</f>
        <v>0.48600000000000004</v>
      </c>
      <c r="I114" s="23">
        <f>C114/100*21.1</f>
        <v>2.8485000000000005</v>
      </c>
      <c r="J114" s="25">
        <f>C114/100*165.6</f>
        <v>22.356000000000002</v>
      </c>
      <c r="K114" s="25">
        <f>C114/100*0.14</f>
        <v>1.8900000000000004E-2</v>
      </c>
      <c r="L114" s="130">
        <v>15</v>
      </c>
      <c r="M114" s="65">
        <v>275</v>
      </c>
      <c r="N114" s="21">
        <f t="shared" si="5"/>
        <v>4125</v>
      </c>
      <c r="O114" s="3"/>
    </row>
    <row r="115" spans="1:20" ht="18.600000000000001" customHeight="1">
      <c r="A115" s="8">
        <v>6</v>
      </c>
      <c r="B115" s="4" t="s">
        <v>75</v>
      </c>
      <c r="C115" s="21">
        <f>L115/100*75</f>
        <v>1275</v>
      </c>
      <c r="D115" s="22">
        <f>C115/100*12</f>
        <v>153</v>
      </c>
      <c r="E115" s="23"/>
      <c r="F115" s="23">
        <f>C115/100*0.6</f>
        <v>7.6499999999999995</v>
      </c>
      <c r="G115" s="23"/>
      <c r="H115" s="23"/>
      <c r="I115" s="23">
        <f>C115/100*2.4</f>
        <v>30.599999999999998</v>
      </c>
      <c r="J115" s="23">
        <f>C115/100*26</f>
        <v>331.5</v>
      </c>
      <c r="K115" s="23">
        <f>C115/100*0.02</f>
        <v>0.255</v>
      </c>
      <c r="L115" s="130">
        <v>1700</v>
      </c>
      <c r="M115" s="65">
        <v>30</v>
      </c>
      <c r="N115" s="21">
        <f t="shared" si="5"/>
        <v>51000</v>
      </c>
      <c r="O115" s="3"/>
    </row>
    <row r="116" spans="1:20" ht="18.600000000000001" customHeight="1">
      <c r="A116" s="8">
        <v>7</v>
      </c>
      <c r="B116" s="9" t="s">
        <v>71</v>
      </c>
      <c r="C116" s="21">
        <f>L116/100*98</f>
        <v>519.4</v>
      </c>
      <c r="D116" s="22">
        <f>C116/100*139</f>
        <v>721.96600000000001</v>
      </c>
      <c r="E116" s="23">
        <f>C116/100*19</f>
        <v>98.685999999999993</v>
      </c>
      <c r="F116" s="23"/>
      <c r="G116" s="23">
        <f>C116/100*7</f>
        <v>36.357999999999997</v>
      </c>
      <c r="H116" s="23"/>
      <c r="I116" s="23"/>
      <c r="J116" s="25">
        <f>C116/100*7</f>
        <v>36.357999999999997</v>
      </c>
      <c r="K116" s="25">
        <f>C116/100*0.9</f>
        <v>4.6745999999999999</v>
      </c>
      <c r="L116" s="130">
        <v>530</v>
      </c>
      <c r="M116" s="65">
        <v>130</v>
      </c>
      <c r="N116" s="21">
        <f t="shared" si="5"/>
        <v>68900</v>
      </c>
      <c r="O116" s="3"/>
    </row>
    <row r="117" spans="1:20" ht="18.600000000000001" customHeight="1">
      <c r="A117" s="8">
        <v>8</v>
      </c>
      <c r="B117" s="9" t="s">
        <v>94</v>
      </c>
      <c r="C117" s="21">
        <f>L117/100*48</f>
        <v>1780.8000000000002</v>
      </c>
      <c r="D117" s="22">
        <f>C117/100*199</f>
        <v>3543.7920000000008</v>
      </c>
      <c r="E117" s="23">
        <f>C117/100*20.3</f>
        <v>361.50240000000008</v>
      </c>
      <c r="F117" s="23"/>
      <c r="G117" s="23">
        <f>C117/100*13.1</f>
        <v>233.28480000000005</v>
      </c>
      <c r="H117" s="23"/>
      <c r="I117" s="23"/>
      <c r="J117" s="25">
        <f>C117/100*12</f>
        <v>213.69600000000003</v>
      </c>
      <c r="K117" s="25">
        <f>C117/100*0.15</f>
        <v>2.6712000000000002</v>
      </c>
      <c r="L117" s="130">
        <v>3710</v>
      </c>
      <c r="M117" s="65">
        <v>84</v>
      </c>
      <c r="N117" s="21">
        <f t="shared" si="5"/>
        <v>311640</v>
      </c>
      <c r="O117" s="3"/>
      <c r="Q117" s="3"/>
    </row>
    <row r="118" spans="1:20" ht="18.600000000000001" customHeight="1">
      <c r="A118" s="8">
        <v>9</v>
      </c>
      <c r="B118" s="5" t="s">
        <v>125</v>
      </c>
      <c r="C118" s="21"/>
      <c r="D118" s="131"/>
      <c r="E118" s="23"/>
      <c r="F118" s="23"/>
      <c r="G118" s="23"/>
      <c r="H118" s="23"/>
      <c r="I118" s="23"/>
      <c r="J118" s="25"/>
      <c r="K118" s="25"/>
      <c r="L118" s="24"/>
      <c r="M118" s="24"/>
      <c r="N118" s="21">
        <v>3400</v>
      </c>
      <c r="O118" s="3"/>
    </row>
    <row r="119" spans="1:20" ht="18.600000000000001" customHeight="1">
      <c r="A119" s="19" t="s">
        <v>121</v>
      </c>
      <c r="B119" s="20"/>
      <c r="C119" s="30"/>
      <c r="D119" s="111">
        <f>SUM(D110:D118)</f>
        <v>14480.849000000002</v>
      </c>
      <c r="E119" s="6"/>
      <c r="F119" s="6"/>
      <c r="G119" s="6"/>
      <c r="H119" s="6"/>
      <c r="I119" s="6"/>
      <c r="J119" s="6"/>
      <c r="K119" s="6"/>
      <c r="L119" s="38"/>
      <c r="M119" s="425"/>
      <c r="N119" s="302">
        <f>SUM(N110:N118)</f>
        <v>497569</v>
      </c>
      <c r="O119" s="3"/>
    </row>
    <row r="120" spans="1:20" ht="18.600000000000001" customHeight="1">
      <c r="A120" s="19" t="s">
        <v>36</v>
      </c>
      <c r="B120" s="20"/>
      <c r="C120" s="52"/>
      <c r="D120" s="41">
        <f>D119/D87</f>
        <v>268.16387037037043</v>
      </c>
      <c r="E120" s="41"/>
      <c r="F120" s="41"/>
      <c r="G120" s="41"/>
      <c r="H120" s="41"/>
      <c r="I120" s="41"/>
      <c r="J120" s="41"/>
      <c r="K120" s="41"/>
      <c r="L120" s="53"/>
      <c r="M120" s="426"/>
      <c r="N120" s="340"/>
      <c r="O120" s="562"/>
    </row>
    <row r="121" spans="1:20" ht="18.600000000000001" customHeight="1">
      <c r="A121" s="402" t="s">
        <v>54</v>
      </c>
      <c r="B121" s="331"/>
      <c r="C121" s="541" t="s">
        <v>154</v>
      </c>
      <c r="D121" s="18" t="s">
        <v>46</v>
      </c>
      <c r="E121" s="40"/>
      <c r="F121" s="40"/>
      <c r="G121" s="40"/>
      <c r="H121" s="40"/>
      <c r="I121" s="40"/>
      <c r="J121" s="41"/>
      <c r="K121" s="41"/>
      <c r="L121" s="38"/>
      <c r="M121" s="38"/>
      <c r="N121" s="285"/>
      <c r="O121" s="3"/>
      <c r="S121" s="163"/>
    </row>
    <row r="122" spans="1:20" ht="18.600000000000001" customHeight="1">
      <c r="A122" s="332"/>
      <c r="B122" s="333"/>
      <c r="C122" s="66" t="s">
        <v>60</v>
      </c>
      <c r="D122" s="68">
        <f>D120*100/930</f>
        <v>28.834824771007572</v>
      </c>
      <c r="E122" s="40"/>
      <c r="F122" s="40"/>
      <c r="G122" s="40"/>
      <c r="H122" s="40"/>
      <c r="I122" s="40"/>
      <c r="J122" s="41"/>
      <c r="K122" s="41"/>
      <c r="L122" s="38"/>
      <c r="M122" s="38"/>
      <c r="N122" s="285"/>
      <c r="O122" s="3"/>
      <c r="R122" s="163"/>
    </row>
    <row r="123" spans="1:20" ht="18.600000000000001" customHeight="1">
      <c r="A123" s="341" t="s">
        <v>35</v>
      </c>
      <c r="B123" s="341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562"/>
    </row>
    <row r="124" spans="1:20" ht="18.600000000000001" customHeight="1">
      <c r="A124" s="95">
        <v>1</v>
      </c>
      <c r="B124" s="154" t="s">
        <v>152</v>
      </c>
      <c r="C124" s="96">
        <f>L124/100*100</f>
        <v>919.99999999999989</v>
      </c>
      <c r="D124" s="97">
        <f>C124/100*487</f>
        <v>4480.3999999999996</v>
      </c>
      <c r="E124" s="98"/>
      <c r="F124" s="98">
        <f>C124/100*19.5</f>
        <v>179.39999999999998</v>
      </c>
      <c r="G124" s="98"/>
      <c r="H124" s="98">
        <f>C124/100*23.2</f>
        <v>213.43999999999997</v>
      </c>
      <c r="I124" s="98">
        <f>C124/100*46</f>
        <v>423.2</v>
      </c>
      <c r="J124" s="146">
        <f>C124/100*680</f>
        <v>6255.9999999999991</v>
      </c>
      <c r="K124" s="98">
        <f>C124/100*0.55</f>
        <v>5.0599999999999996</v>
      </c>
      <c r="L124" s="99">
        <v>920</v>
      </c>
      <c r="M124" s="155">
        <v>260</v>
      </c>
      <c r="N124" s="96">
        <f t="shared" ref="N124" si="6">L124*M124</f>
        <v>239200</v>
      </c>
      <c r="O124" s="3"/>
      <c r="P124" s="2"/>
    </row>
    <row r="125" spans="1:20" ht="17.399999999999999" customHeight="1">
      <c r="A125" s="318" t="s">
        <v>0</v>
      </c>
      <c r="B125" s="321" t="s">
        <v>19</v>
      </c>
      <c r="C125" s="321" t="s">
        <v>8</v>
      </c>
      <c r="D125" s="321" t="s">
        <v>9</v>
      </c>
      <c r="E125" s="324" t="s">
        <v>11</v>
      </c>
      <c r="F125" s="325"/>
      <c r="G125" s="324" t="s">
        <v>13</v>
      </c>
      <c r="H125" s="325"/>
      <c r="I125" s="318" t="s">
        <v>16</v>
      </c>
      <c r="J125" s="318" t="s">
        <v>41</v>
      </c>
      <c r="K125" s="318" t="s">
        <v>42</v>
      </c>
      <c r="L125" s="318" t="s">
        <v>17</v>
      </c>
      <c r="M125" s="318" t="s">
        <v>55</v>
      </c>
      <c r="N125" s="318" t="s">
        <v>18</v>
      </c>
      <c r="O125" s="539"/>
    </row>
    <row r="126" spans="1:20" ht="17.399999999999999" customHeight="1">
      <c r="A126" s="319"/>
      <c r="B126" s="322"/>
      <c r="C126" s="322"/>
      <c r="D126" s="322"/>
      <c r="E126" s="326"/>
      <c r="F126" s="327"/>
      <c r="G126" s="326"/>
      <c r="H126" s="327"/>
      <c r="I126" s="328"/>
      <c r="J126" s="328"/>
      <c r="K126" s="328"/>
      <c r="L126" s="328"/>
      <c r="M126" s="328"/>
      <c r="N126" s="319"/>
      <c r="O126" s="283"/>
    </row>
    <row r="127" spans="1:20" ht="17.399999999999999" customHeight="1">
      <c r="A127" s="319"/>
      <c r="B127" s="322"/>
      <c r="C127" s="322"/>
      <c r="D127" s="322"/>
      <c r="E127" s="318" t="s">
        <v>10</v>
      </c>
      <c r="F127" s="318" t="s">
        <v>12</v>
      </c>
      <c r="G127" s="318" t="s">
        <v>14</v>
      </c>
      <c r="H127" s="318" t="s">
        <v>15</v>
      </c>
      <c r="I127" s="328"/>
      <c r="J127" s="328"/>
      <c r="K127" s="328"/>
      <c r="L127" s="328"/>
      <c r="M127" s="328"/>
      <c r="N127" s="319"/>
      <c r="O127" s="283"/>
    </row>
    <row r="128" spans="1:20" ht="17.399999999999999" customHeight="1">
      <c r="A128" s="320"/>
      <c r="B128" s="323"/>
      <c r="C128" s="323"/>
      <c r="D128" s="323"/>
      <c r="E128" s="329"/>
      <c r="F128" s="329"/>
      <c r="G128" s="329"/>
      <c r="H128" s="329"/>
      <c r="I128" s="329"/>
      <c r="J128" s="329"/>
      <c r="K128" s="329"/>
      <c r="L128" s="329"/>
      <c r="M128" s="329"/>
      <c r="N128" s="320"/>
      <c r="O128" s="283"/>
    </row>
    <row r="129" spans="1:22" ht="18" customHeight="1">
      <c r="A129" s="19" t="s">
        <v>108</v>
      </c>
      <c r="B129" s="20"/>
      <c r="C129" s="30"/>
      <c r="D129" s="31">
        <f>SUM(D123:D124)</f>
        <v>4480.3999999999996</v>
      </c>
      <c r="E129" s="6"/>
      <c r="F129" s="6"/>
      <c r="G129" s="6"/>
      <c r="H129" s="6"/>
      <c r="I129" s="6"/>
      <c r="J129" s="6"/>
      <c r="K129" s="6"/>
      <c r="L129" s="38"/>
      <c r="M129" s="425"/>
      <c r="N129" s="302">
        <f>SUM(N123:N124)</f>
        <v>239200</v>
      </c>
      <c r="O129" s="3"/>
    </row>
    <row r="130" spans="1:22" ht="18" customHeight="1">
      <c r="A130" s="19" t="s">
        <v>7</v>
      </c>
      <c r="B130" s="20"/>
      <c r="C130" s="39"/>
      <c r="D130" s="40">
        <f>D129/D87</f>
        <v>82.970370370370361</v>
      </c>
      <c r="E130" s="40"/>
      <c r="F130" s="40"/>
      <c r="G130" s="40"/>
      <c r="H130" s="40"/>
      <c r="I130" s="40"/>
      <c r="J130" s="40"/>
      <c r="K130" s="40"/>
      <c r="L130" s="38"/>
      <c r="M130" s="426"/>
      <c r="N130" s="303"/>
      <c r="O130" s="562"/>
    </row>
    <row r="131" spans="1:22" ht="18" customHeight="1">
      <c r="A131" s="402" t="s">
        <v>52</v>
      </c>
      <c r="B131" s="331"/>
      <c r="C131" s="541" t="s">
        <v>154</v>
      </c>
      <c r="D131" s="18" t="s">
        <v>50</v>
      </c>
      <c r="E131" s="40"/>
      <c r="F131" s="40"/>
      <c r="G131" s="40"/>
      <c r="H131" s="40"/>
      <c r="I131" s="40"/>
      <c r="J131" s="41"/>
      <c r="K131" s="41"/>
      <c r="L131" s="38"/>
      <c r="M131" s="38"/>
      <c r="N131" s="285"/>
      <c r="O131" s="3"/>
    </row>
    <row r="132" spans="1:22" ht="18" customHeight="1">
      <c r="A132" s="332"/>
      <c r="B132" s="333"/>
      <c r="C132" s="66" t="s">
        <v>60</v>
      </c>
      <c r="D132" s="18">
        <f>D130*100/930</f>
        <v>8.9215452011150926</v>
      </c>
      <c r="E132" s="40"/>
      <c r="F132" s="40"/>
      <c r="G132" s="40"/>
      <c r="H132" s="40"/>
      <c r="I132" s="40"/>
      <c r="J132" s="41"/>
      <c r="K132" s="41"/>
      <c r="L132" s="38"/>
      <c r="M132" s="38"/>
      <c r="N132" s="285"/>
      <c r="O132" s="3"/>
    </row>
    <row r="133" spans="1:22" ht="18" customHeight="1">
      <c r="A133" s="394" t="s">
        <v>109</v>
      </c>
      <c r="B133" s="395"/>
      <c r="C133" s="398"/>
      <c r="D133" s="415">
        <f>D105+D119+D129</f>
        <v>34673.855000000003</v>
      </c>
      <c r="E133" s="6">
        <f>SUM(E93:E130)</f>
        <v>915.44920000000013</v>
      </c>
      <c r="F133" s="6">
        <f>SUM(F93:F130)</f>
        <v>597.17149999999992</v>
      </c>
      <c r="G133" s="6">
        <f>SUM(G93:G130)</f>
        <v>925.66039999999998</v>
      </c>
      <c r="H133" s="6">
        <f>SUM(H93:H130)</f>
        <v>392.92939999999993</v>
      </c>
      <c r="I133" s="390">
        <f>SUM(I93:I130)</f>
        <v>4054.2065000000002</v>
      </c>
      <c r="J133" s="358">
        <f>SUM(J93:J124)</f>
        <v>14741.020099999998</v>
      </c>
      <c r="K133" s="390">
        <f>SUM(K93:K124)</f>
        <v>31.675739999999994</v>
      </c>
      <c r="L133" s="373"/>
      <c r="M133" s="373"/>
      <c r="N133" s="417">
        <f>N105+N119+N129</f>
        <v>1188185</v>
      </c>
      <c r="U133" s="274"/>
      <c r="V133" s="274"/>
    </row>
    <row r="134" spans="1:22" ht="18" customHeight="1">
      <c r="A134" s="396"/>
      <c r="B134" s="397"/>
      <c r="C134" s="399"/>
      <c r="D134" s="416"/>
      <c r="E134" s="387">
        <f>E133+F133</f>
        <v>1512.6206999999999</v>
      </c>
      <c r="F134" s="388"/>
      <c r="G134" s="387">
        <f>G133+H133</f>
        <v>1318.5898</v>
      </c>
      <c r="H134" s="388"/>
      <c r="I134" s="570"/>
      <c r="J134" s="427"/>
      <c r="K134" s="570"/>
      <c r="L134" s="373"/>
      <c r="M134" s="373"/>
      <c r="N134" s="417"/>
      <c r="Q134" s="558"/>
      <c r="R134" s="558"/>
      <c r="S134" s="558"/>
      <c r="T134" s="558"/>
      <c r="U134" s="559"/>
      <c r="V134" s="559"/>
    </row>
    <row r="135" spans="1:22" ht="18" customHeight="1">
      <c r="A135" s="374" t="s">
        <v>77</v>
      </c>
      <c r="B135" s="375"/>
      <c r="C135" s="376"/>
      <c r="D135" s="125">
        <f>D133/D87</f>
        <v>642.10842592592599</v>
      </c>
      <c r="E135" s="565">
        <f>E133/D87</f>
        <v>16.952762962962964</v>
      </c>
      <c r="F135" s="564">
        <f>F133/D87</f>
        <v>11.05873148148148</v>
      </c>
      <c r="G135" s="565">
        <f>G133/D87</f>
        <v>17.14185925925926</v>
      </c>
      <c r="H135" s="564">
        <f>H133/D87</f>
        <v>7.2764703703703688</v>
      </c>
      <c r="I135" s="413">
        <f>I133/D87</f>
        <v>75.077898148148151</v>
      </c>
      <c r="J135" s="413">
        <f>J133/D87</f>
        <v>272.98185370370368</v>
      </c>
      <c r="K135" s="413">
        <f>K133/D87</f>
        <v>0.58658777777777771</v>
      </c>
      <c r="L135" s="373"/>
      <c r="M135" s="373"/>
      <c r="N135" s="417"/>
      <c r="P135" s="547"/>
      <c r="Q135" s="558"/>
      <c r="R135" s="558"/>
      <c r="S135" s="560"/>
      <c r="T135" s="560"/>
      <c r="U135" s="558"/>
      <c r="V135" s="558"/>
    </row>
    <row r="136" spans="1:22" ht="18" customHeight="1">
      <c r="A136" s="377"/>
      <c r="B136" s="378"/>
      <c r="C136" s="379"/>
      <c r="D136" s="117"/>
      <c r="E136" s="545">
        <f>E135+F135</f>
        <v>28.011494444444445</v>
      </c>
      <c r="F136" s="546"/>
      <c r="G136" s="545">
        <f>G135+H135</f>
        <v>24.418329629629628</v>
      </c>
      <c r="H136" s="546"/>
      <c r="I136" s="570"/>
      <c r="J136" s="570"/>
      <c r="K136" s="570"/>
      <c r="L136" s="373"/>
      <c r="M136" s="373"/>
      <c r="N136" s="417"/>
    </row>
    <row r="137" spans="1:22" ht="18" customHeight="1">
      <c r="A137" s="422" t="s">
        <v>80</v>
      </c>
      <c r="B137" s="423"/>
      <c r="C137" s="424"/>
      <c r="D137" s="282" t="s">
        <v>29</v>
      </c>
      <c r="E137" s="304" t="s">
        <v>24</v>
      </c>
      <c r="F137" s="304"/>
      <c r="G137" s="304" t="s">
        <v>25</v>
      </c>
      <c r="H137" s="304"/>
      <c r="I137" s="282" t="s">
        <v>26</v>
      </c>
      <c r="J137" s="281">
        <v>500</v>
      </c>
      <c r="K137" s="281">
        <v>0.5</v>
      </c>
      <c r="L137" s="373"/>
      <c r="M137" s="373"/>
      <c r="N137" s="417"/>
      <c r="O137" s="548"/>
      <c r="P137" s="572"/>
      <c r="Q137" s="573"/>
      <c r="R137" s="573"/>
      <c r="S137" s="573"/>
    </row>
    <row r="138" spans="1:22" ht="18" customHeight="1">
      <c r="A138" s="348" t="s">
        <v>78</v>
      </c>
      <c r="B138" s="380"/>
      <c r="C138" s="349"/>
      <c r="D138" s="42"/>
      <c r="E138" s="381">
        <f>E136*4.1</f>
        <v>114.84712722222221</v>
      </c>
      <c r="F138" s="382"/>
      <c r="G138" s="381">
        <f>G136*9</f>
        <v>219.76496666666665</v>
      </c>
      <c r="H138" s="382"/>
      <c r="I138" s="74">
        <f>I135*4.1</f>
        <v>307.81938240740737</v>
      </c>
      <c r="J138" s="361"/>
      <c r="K138" s="361"/>
      <c r="L138" s="373"/>
      <c r="M138" s="373"/>
      <c r="N138" s="417"/>
      <c r="O138" s="548"/>
      <c r="P138" s="574"/>
      <c r="Q138" s="572"/>
      <c r="R138" s="572"/>
      <c r="S138" s="572"/>
    </row>
    <row r="139" spans="1:22" ht="18" customHeight="1">
      <c r="A139" s="383" t="s">
        <v>87</v>
      </c>
      <c r="B139" s="384"/>
      <c r="C139" s="348" t="s">
        <v>59</v>
      </c>
      <c r="D139" s="349"/>
      <c r="E139" s="298">
        <f>E138*100/D135</f>
        <v>17.885939910632949</v>
      </c>
      <c r="F139" s="299"/>
      <c r="G139" s="298">
        <f>G138*100/D135</f>
        <v>34.225522948054085</v>
      </c>
      <c r="H139" s="299"/>
      <c r="I139" s="106">
        <f>I138*100/D135</f>
        <v>47.938848016754982</v>
      </c>
      <c r="J139" s="362"/>
      <c r="K139" s="362"/>
      <c r="L139" s="373"/>
      <c r="M139" s="373"/>
      <c r="N139" s="417"/>
      <c r="O139" s="548"/>
    </row>
    <row r="140" spans="1:22" ht="18" customHeight="1">
      <c r="A140" s="385"/>
      <c r="B140" s="386"/>
      <c r="C140" s="348" t="s">
        <v>79</v>
      </c>
      <c r="D140" s="349"/>
      <c r="E140" s="348" t="s">
        <v>82</v>
      </c>
      <c r="F140" s="349"/>
      <c r="G140" s="348" t="s">
        <v>85</v>
      </c>
      <c r="H140" s="349"/>
      <c r="I140" s="282" t="s">
        <v>86</v>
      </c>
      <c r="J140" s="363"/>
      <c r="K140" s="363"/>
      <c r="L140" s="373"/>
      <c r="M140" s="373"/>
      <c r="N140" s="417"/>
      <c r="O140" s="548"/>
      <c r="P140" s="2"/>
    </row>
    <row r="141" spans="1:22" ht="22.2" customHeight="1">
      <c r="A141" s="79"/>
      <c r="B141" s="82"/>
      <c r="C141" s="79"/>
      <c r="D141" s="79"/>
      <c r="E141" s="79"/>
      <c r="F141" s="79"/>
      <c r="G141" s="79"/>
      <c r="H141" s="79"/>
      <c r="I141" s="79"/>
      <c r="J141" s="79"/>
      <c r="K141" s="79"/>
      <c r="L141" s="80"/>
      <c r="M141" s="80"/>
      <c r="N141" s="81"/>
      <c r="O141" s="548"/>
    </row>
    <row r="142" spans="1:22" ht="21" customHeight="1">
      <c r="A142" s="291" t="s">
        <v>116</v>
      </c>
      <c r="B142" s="291"/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548"/>
    </row>
    <row r="143" spans="1:22" ht="21" customHeight="1">
      <c r="A143" s="107" t="s">
        <v>117</v>
      </c>
      <c r="B143" s="292" t="s">
        <v>128</v>
      </c>
      <c r="C143" s="292"/>
      <c r="D143" s="292"/>
      <c r="E143" s="292"/>
      <c r="F143" s="292"/>
      <c r="G143" s="292"/>
      <c r="H143" s="292"/>
      <c r="I143" s="292"/>
      <c r="J143" s="292"/>
      <c r="K143" s="292"/>
      <c r="L143" s="292"/>
      <c r="M143" s="292"/>
      <c r="N143" s="292"/>
      <c r="O143" s="548"/>
    </row>
    <row r="144" spans="1:22" ht="21" customHeight="1">
      <c r="A144" s="108"/>
      <c r="B144" s="293" t="s">
        <v>221</v>
      </c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548"/>
    </row>
    <row r="145" spans="1:15" ht="21" customHeight="1">
      <c r="A145" s="108"/>
      <c r="B145" s="293" t="s">
        <v>222</v>
      </c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548"/>
    </row>
    <row r="146" spans="1:15" ht="21" customHeight="1">
      <c r="A146" s="108"/>
      <c r="B146" s="293" t="s">
        <v>188</v>
      </c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548"/>
    </row>
    <row r="147" spans="1:15" ht="21" customHeight="1">
      <c r="A147" s="79"/>
      <c r="B147" s="294" t="s">
        <v>119</v>
      </c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548"/>
    </row>
    <row r="148" spans="1:15" ht="21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83"/>
      <c r="M148" s="83"/>
      <c r="N148" s="84"/>
      <c r="O148" s="548"/>
    </row>
    <row r="149" spans="1:15" ht="21" customHeight="1">
      <c r="A149" s="295" t="s">
        <v>62</v>
      </c>
      <c r="B149" s="295"/>
      <c r="C149" s="295"/>
      <c r="D149" s="295"/>
      <c r="E149" s="549"/>
      <c r="F149" s="549"/>
      <c r="G149" s="549"/>
      <c r="H149" s="549"/>
      <c r="I149" s="549"/>
      <c r="J149" s="550" t="s">
        <v>33</v>
      </c>
      <c r="K149" s="550"/>
      <c r="L149" s="550"/>
      <c r="M149" s="550"/>
      <c r="N149" s="550"/>
      <c r="O149" s="548"/>
    </row>
    <row r="150" spans="1:15" ht="21" customHeight="1">
      <c r="A150" s="283"/>
      <c r="B150" s="283"/>
      <c r="C150" s="283"/>
      <c r="D150" s="549"/>
      <c r="E150" s="549"/>
      <c r="F150" s="549"/>
      <c r="G150" s="549"/>
      <c r="H150" s="551"/>
      <c r="I150" s="551"/>
      <c r="J150" s="551"/>
      <c r="K150" s="551"/>
      <c r="L150" s="551"/>
      <c r="M150" s="551"/>
      <c r="N150" s="551"/>
      <c r="O150" s="548"/>
    </row>
    <row r="151" spans="1:15" ht="21" customHeight="1">
      <c r="A151" s="283"/>
      <c r="B151" s="283"/>
      <c r="C151" s="283"/>
      <c r="D151" s="549"/>
      <c r="E151" s="549"/>
      <c r="F151" s="549"/>
      <c r="G151" s="549"/>
      <c r="H151" s="551"/>
      <c r="I151" s="551"/>
      <c r="J151" s="551"/>
      <c r="K151" s="551"/>
      <c r="L151" s="551"/>
      <c r="M151" s="551"/>
      <c r="N151" s="551"/>
      <c r="O151" s="548"/>
    </row>
    <row r="152" spans="1:15" ht="21" customHeight="1">
      <c r="A152" s="283"/>
      <c r="B152" s="283"/>
      <c r="C152" s="283"/>
      <c r="D152" s="549"/>
      <c r="E152" s="549"/>
      <c r="F152" s="549"/>
      <c r="G152" s="549"/>
      <c r="H152" s="551"/>
      <c r="I152" s="551"/>
      <c r="J152" s="552" t="s">
        <v>126</v>
      </c>
      <c r="K152" s="552"/>
      <c r="L152" s="552"/>
      <c r="M152" s="552"/>
      <c r="N152" s="552"/>
      <c r="O152" s="548"/>
    </row>
    <row r="153" spans="1:15" ht="22.2" customHeight="1">
      <c r="A153" s="287" t="s">
        <v>93</v>
      </c>
      <c r="B153" s="287"/>
      <c r="C153" s="287"/>
      <c r="D153" s="287"/>
      <c r="E153" s="549"/>
      <c r="F153" s="549"/>
      <c r="G153" s="549"/>
      <c r="H153" s="551"/>
      <c r="I153" s="551"/>
      <c r="O153" s="548"/>
    </row>
    <row r="155" spans="1:15" ht="22.2" customHeight="1">
      <c r="J155" s="552" t="s">
        <v>129</v>
      </c>
      <c r="K155" s="552"/>
      <c r="L155" s="552"/>
      <c r="M155" s="552"/>
      <c r="N155" s="552"/>
    </row>
    <row r="156" spans="1:15" ht="22.2" customHeight="1">
      <c r="J156" s="552"/>
      <c r="K156" s="552"/>
      <c r="L156" s="552"/>
      <c r="M156" s="552"/>
      <c r="N156" s="552"/>
    </row>
  </sheetData>
  <mergeCells count="208"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57"/>
  <sheetViews>
    <sheetView view="pageLayout" zoomScaleNormal="106" workbookViewId="0">
      <selection activeCell="P55" sqref="P55:S56"/>
    </sheetView>
  </sheetViews>
  <sheetFormatPr defaultColWidth="9.109375" defaultRowHeight="19.2" customHeight="1"/>
  <cols>
    <col min="1" max="1" width="2.88671875" style="1" customWidth="1"/>
    <col min="2" max="2" width="11.6640625" style="1" customWidth="1"/>
    <col min="3" max="3" width="6.3320312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16" ht="19.95" customHeight="1">
      <c r="A1" s="10" t="s">
        <v>65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10.199999999999999" customHeight="1">
      <c r="A2" s="10"/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19.95" customHeight="1">
      <c r="A3" s="7" t="s">
        <v>218</v>
      </c>
      <c r="B3" s="7"/>
      <c r="C3" s="7"/>
      <c r="D3" s="7"/>
      <c r="E3" s="7"/>
      <c r="F3" s="280"/>
      <c r="G3" s="280"/>
      <c r="H3" s="280"/>
      <c r="I3" s="280"/>
      <c r="J3" s="280"/>
      <c r="K3" s="280"/>
      <c r="L3" s="280"/>
      <c r="M3" s="280"/>
      <c r="N3" s="280"/>
      <c r="O3" s="537"/>
      <c r="P3" s="537"/>
    </row>
    <row r="4" spans="1:16" ht="10.199999999999999" customHeight="1">
      <c r="A4" s="7"/>
      <c r="B4" s="7"/>
      <c r="C4" s="7"/>
      <c r="D4" s="7"/>
      <c r="E4" s="7"/>
      <c r="F4" s="280"/>
      <c r="G4" s="280"/>
      <c r="H4" s="280"/>
      <c r="I4" s="280"/>
      <c r="J4" s="280"/>
      <c r="K4" s="280"/>
      <c r="L4" s="280"/>
      <c r="M4" s="280"/>
      <c r="N4" s="280"/>
      <c r="O4" s="537"/>
      <c r="P4" s="537"/>
    </row>
    <row r="5" spans="1:16" ht="19.95" customHeight="1">
      <c r="A5" s="304" t="s">
        <v>99</v>
      </c>
      <c r="B5" s="304"/>
      <c r="C5" s="304"/>
      <c r="D5" s="304"/>
      <c r="E5" s="304" t="s">
        <v>100</v>
      </c>
      <c r="F5" s="304"/>
      <c r="G5" s="304"/>
      <c r="H5" s="304"/>
      <c r="I5" s="304"/>
      <c r="J5" s="304"/>
      <c r="K5" s="304"/>
      <c r="L5" s="304"/>
      <c r="M5" s="304"/>
      <c r="N5" s="304"/>
      <c r="O5" s="538"/>
    </row>
    <row r="6" spans="1:16" ht="19.95" customHeight="1">
      <c r="A6" s="305" t="s">
        <v>90</v>
      </c>
      <c r="B6" s="305"/>
      <c r="C6" s="305"/>
      <c r="D6" s="305"/>
      <c r="E6" s="308" t="s">
        <v>76</v>
      </c>
      <c r="F6" s="308"/>
      <c r="G6" s="308"/>
      <c r="H6" s="308"/>
      <c r="I6" s="308"/>
      <c r="J6" s="436" t="s">
        <v>166</v>
      </c>
      <c r="K6" s="310"/>
      <c r="L6" s="310"/>
      <c r="M6" s="310"/>
      <c r="N6" s="311"/>
      <c r="O6" s="538"/>
    </row>
    <row r="7" spans="1:16" ht="19.95" customHeight="1">
      <c r="A7" s="337" t="s">
        <v>167</v>
      </c>
      <c r="B7" s="338"/>
      <c r="C7" s="338"/>
      <c r="D7" s="339"/>
      <c r="E7" s="308"/>
      <c r="F7" s="308"/>
      <c r="G7" s="308"/>
      <c r="H7" s="308"/>
      <c r="I7" s="308"/>
      <c r="J7" s="312"/>
      <c r="K7" s="313"/>
      <c r="L7" s="313"/>
      <c r="M7" s="313"/>
      <c r="N7" s="314"/>
      <c r="O7" s="538"/>
    </row>
    <row r="8" spans="1:16" ht="19.95" customHeight="1">
      <c r="A8" s="306" t="s">
        <v>164</v>
      </c>
      <c r="B8" s="306"/>
      <c r="C8" s="306"/>
      <c r="D8" s="306"/>
      <c r="E8" s="308"/>
      <c r="F8" s="308"/>
      <c r="G8" s="308"/>
      <c r="H8" s="308"/>
      <c r="I8" s="308"/>
      <c r="J8" s="312"/>
      <c r="K8" s="313"/>
      <c r="L8" s="313"/>
      <c r="M8" s="313"/>
      <c r="N8" s="314"/>
      <c r="O8" s="538"/>
    </row>
    <row r="9" spans="1:16" ht="19.95" customHeight="1">
      <c r="A9" s="307" t="s">
        <v>165</v>
      </c>
      <c r="B9" s="307"/>
      <c r="C9" s="307"/>
      <c r="D9" s="307"/>
      <c r="E9" s="308"/>
      <c r="F9" s="308"/>
      <c r="G9" s="308"/>
      <c r="H9" s="308"/>
      <c r="I9" s="308"/>
      <c r="J9" s="315"/>
      <c r="K9" s="316"/>
      <c r="L9" s="316"/>
      <c r="M9" s="316"/>
      <c r="N9" s="317"/>
      <c r="O9" s="538"/>
    </row>
    <row r="10" spans="1:16" ht="19.95" customHeight="1">
      <c r="A10" s="334" t="s">
        <v>124</v>
      </c>
      <c r="B10" s="335"/>
      <c r="C10" s="336"/>
      <c r="D10" s="118">
        <v>217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538"/>
    </row>
    <row r="11" spans="1:16" ht="19.95" customHeight="1">
      <c r="A11" s="318" t="s">
        <v>66</v>
      </c>
      <c r="B11" s="321" t="s">
        <v>19</v>
      </c>
      <c r="C11" s="437" t="s">
        <v>8</v>
      </c>
      <c r="D11" s="321" t="s">
        <v>9</v>
      </c>
      <c r="E11" s="324" t="s">
        <v>11</v>
      </c>
      <c r="F11" s="325"/>
      <c r="G11" s="324" t="s">
        <v>13</v>
      </c>
      <c r="H11" s="325"/>
      <c r="I11" s="318" t="s">
        <v>16</v>
      </c>
      <c r="J11" s="318" t="s">
        <v>41</v>
      </c>
      <c r="K11" s="318" t="s">
        <v>42</v>
      </c>
      <c r="L11" s="318" t="s">
        <v>17</v>
      </c>
      <c r="M11" s="318" t="s">
        <v>55</v>
      </c>
      <c r="N11" s="318" t="s">
        <v>18</v>
      </c>
      <c r="O11" s="539"/>
    </row>
    <row r="12" spans="1:16" ht="19.95" customHeight="1">
      <c r="A12" s="319"/>
      <c r="B12" s="322"/>
      <c r="C12" s="438"/>
      <c r="D12" s="322"/>
      <c r="E12" s="326"/>
      <c r="F12" s="327"/>
      <c r="G12" s="326"/>
      <c r="H12" s="327"/>
      <c r="I12" s="328"/>
      <c r="J12" s="328"/>
      <c r="K12" s="328"/>
      <c r="L12" s="328"/>
      <c r="M12" s="328"/>
      <c r="N12" s="319"/>
      <c r="O12" s="283"/>
    </row>
    <row r="13" spans="1:16" ht="19.95" customHeight="1">
      <c r="A13" s="319"/>
      <c r="B13" s="322"/>
      <c r="C13" s="438"/>
      <c r="D13" s="322"/>
      <c r="E13" s="318" t="s">
        <v>10</v>
      </c>
      <c r="F13" s="318" t="s">
        <v>12</v>
      </c>
      <c r="G13" s="318" t="s">
        <v>14</v>
      </c>
      <c r="H13" s="318" t="s">
        <v>15</v>
      </c>
      <c r="I13" s="328"/>
      <c r="J13" s="328"/>
      <c r="K13" s="328"/>
      <c r="L13" s="328"/>
      <c r="M13" s="328"/>
      <c r="N13" s="319"/>
      <c r="O13" s="283"/>
    </row>
    <row r="14" spans="1:16" ht="19.95" customHeight="1">
      <c r="A14" s="320"/>
      <c r="B14" s="323"/>
      <c r="C14" s="439"/>
      <c r="D14" s="323"/>
      <c r="E14" s="329"/>
      <c r="F14" s="329"/>
      <c r="G14" s="329"/>
      <c r="H14" s="329"/>
      <c r="I14" s="329"/>
      <c r="J14" s="329"/>
      <c r="K14" s="329"/>
      <c r="L14" s="329"/>
      <c r="M14" s="329"/>
      <c r="N14" s="320"/>
      <c r="O14" s="283"/>
    </row>
    <row r="15" spans="1:16" ht="19.95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283"/>
    </row>
    <row r="16" spans="1:16" ht="21" customHeight="1">
      <c r="A16" s="8">
        <v>1</v>
      </c>
      <c r="B16" s="9" t="s">
        <v>2</v>
      </c>
      <c r="C16" s="21">
        <f>L16/100*100</f>
        <v>290</v>
      </c>
      <c r="D16" s="22">
        <f>C16/100*60</f>
        <v>174</v>
      </c>
      <c r="E16" s="23">
        <f>C16/100*15</f>
        <v>43.5</v>
      </c>
      <c r="F16" s="23"/>
      <c r="G16" s="23"/>
      <c r="H16" s="23"/>
      <c r="I16" s="23"/>
      <c r="J16" s="25">
        <f>C16/100*387</f>
        <v>1122.3</v>
      </c>
      <c r="K16" s="25">
        <f>C16/100*0.09</f>
        <v>0.26100000000000001</v>
      </c>
      <c r="L16" s="130">
        <v>290</v>
      </c>
      <c r="M16" s="65">
        <v>20</v>
      </c>
      <c r="N16" s="128">
        <f>L16*M16</f>
        <v>5800</v>
      </c>
      <c r="O16" s="3"/>
    </row>
    <row r="17" spans="1:20" ht="21" customHeight="1">
      <c r="A17" s="8">
        <v>2</v>
      </c>
      <c r="B17" s="142" t="s">
        <v>143</v>
      </c>
      <c r="C17" s="21">
        <f>L17/100*100</f>
        <v>910</v>
      </c>
      <c r="D17" s="22">
        <f>C17/100*899</f>
        <v>8180.9</v>
      </c>
      <c r="E17" s="23"/>
      <c r="F17" s="23"/>
      <c r="G17" s="23">
        <f>C17/100*100</f>
        <v>910</v>
      </c>
      <c r="H17" s="23"/>
      <c r="I17" s="23"/>
      <c r="J17" s="25"/>
      <c r="K17" s="25"/>
      <c r="L17" s="130">
        <v>910</v>
      </c>
      <c r="M17" s="65">
        <v>68</v>
      </c>
      <c r="N17" s="128">
        <f t="shared" ref="N17:N26" si="0">L17*M17</f>
        <v>61880</v>
      </c>
      <c r="O17" s="3"/>
    </row>
    <row r="18" spans="1:20" ht="21" customHeight="1">
      <c r="A18" s="8">
        <v>3</v>
      </c>
      <c r="B18" s="4" t="s">
        <v>1</v>
      </c>
      <c r="C18" s="21">
        <f>L18/100*100</f>
        <v>20615</v>
      </c>
      <c r="D18" s="110">
        <f>C18/100*331</f>
        <v>68235.650000000009</v>
      </c>
      <c r="E18" s="23"/>
      <c r="F18" s="120">
        <f>C18/100*7.9</f>
        <v>1628.585</v>
      </c>
      <c r="G18" s="23"/>
      <c r="H18" s="23">
        <f>C18/100*1</f>
        <v>206.15</v>
      </c>
      <c r="I18" s="109">
        <f>C18/100*75.9</f>
        <v>15646.785000000002</v>
      </c>
      <c r="J18" s="25">
        <f>C18/100*30</f>
        <v>6184.5</v>
      </c>
      <c r="K18" s="25">
        <f>C18/100*0.1</f>
        <v>20.615000000000002</v>
      </c>
      <c r="L18" s="130">
        <v>20615</v>
      </c>
      <c r="M18" s="65">
        <v>18</v>
      </c>
      <c r="N18" s="278">
        <f t="shared" si="0"/>
        <v>371070</v>
      </c>
      <c r="O18" s="3"/>
    </row>
    <row r="19" spans="1:20" ht="21" customHeight="1">
      <c r="A19" s="8">
        <v>4</v>
      </c>
      <c r="B19" s="9" t="s">
        <v>71</v>
      </c>
      <c r="C19" s="21">
        <f>L19/100*98</f>
        <v>4674.6000000000004</v>
      </c>
      <c r="D19" s="22">
        <f>C19/100*139</f>
        <v>6497.6940000000004</v>
      </c>
      <c r="E19" s="109">
        <f>C19/100*19</f>
        <v>888.17400000000009</v>
      </c>
      <c r="F19" s="23"/>
      <c r="G19" s="23">
        <f>C19/100*7</f>
        <v>327.22200000000004</v>
      </c>
      <c r="H19" s="23"/>
      <c r="I19" s="23"/>
      <c r="J19" s="25">
        <f>C19/100*7</f>
        <v>327.22200000000004</v>
      </c>
      <c r="K19" s="25">
        <f>C19/100*0.9</f>
        <v>42.071400000000004</v>
      </c>
      <c r="L19" s="130">
        <v>4770</v>
      </c>
      <c r="M19" s="136">
        <v>130</v>
      </c>
      <c r="N19" s="278">
        <f t="shared" si="0"/>
        <v>620100</v>
      </c>
      <c r="O19" s="3"/>
    </row>
    <row r="20" spans="1:20" ht="21" customHeight="1">
      <c r="A20" s="8">
        <v>5</v>
      </c>
      <c r="B20" s="9" t="s">
        <v>145</v>
      </c>
      <c r="C20" s="21">
        <f>L20/100*43</f>
        <v>1302.9000000000001</v>
      </c>
      <c r="D20" s="22">
        <f>C20/100*83</f>
        <v>1081.4070000000002</v>
      </c>
      <c r="E20" s="109">
        <f>C20/100*7.7</f>
        <v>100.32330000000002</v>
      </c>
      <c r="F20" s="23"/>
      <c r="G20" s="23">
        <f>C20/100*5.5</f>
        <v>71.659500000000008</v>
      </c>
      <c r="H20" s="23"/>
      <c r="I20" s="23"/>
      <c r="J20" s="25"/>
      <c r="K20" s="25"/>
      <c r="L20" s="130">
        <v>3030</v>
      </c>
      <c r="M20" s="136">
        <v>132</v>
      </c>
      <c r="N20" s="278">
        <f>L20*M20</f>
        <v>399960</v>
      </c>
      <c r="O20" s="3"/>
    </row>
    <row r="21" spans="1:20" ht="21" customHeight="1">
      <c r="A21" s="8">
        <v>6</v>
      </c>
      <c r="B21" s="4" t="s">
        <v>30</v>
      </c>
      <c r="C21" s="21">
        <f>L21/100*88</f>
        <v>5341.6</v>
      </c>
      <c r="D21" s="22">
        <f>C21/100*184</f>
        <v>9828.5439999999999</v>
      </c>
      <c r="E21" s="109">
        <f>C21/100*13</f>
        <v>694.40800000000002</v>
      </c>
      <c r="F21" s="23"/>
      <c r="G21" s="23">
        <f>C21/100*14.2</f>
        <v>758.50720000000001</v>
      </c>
      <c r="H21" s="23"/>
      <c r="I21" s="23">
        <f>C21/100*1</f>
        <v>53.416000000000004</v>
      </c>
      <c r="J21" s="25">
        <f>C21/100*71</f>
        <v>3792.5360000000001</v>
      </c>
      <c r="K21" s="25">
        <f>C21/100*0.15</f>
        <v>8.0123999999999995</v>
      </c>
      <c r="L21" s="130">
        <v>6070</v>
      </c>
      <c r="M21" s="65">
        <v>62</v>
      </c>
      <c r="N21" s="278">
        <f t="shared" si="0"/>
        <v>376340</v>
      </c>
      <c r="O21" s="3"/>
      <c r="Q21" s="2"/>
      <c r="R21" s="2"/>
      <c r="S21" s="3"/>
    </row>
    <row r="22" spans="1:20" ht="21" customHeight="1">
      <c r="A22" s="8">
        <v>7</v>
      </c>
      <c r="B22" s="9" t="s">
        <v>3</v>
      </c>
      <c r="C22" s="21">
        <f>L22/100*98</f>
        <v>2126.6</v>
      </c>
      <c r="D22" s="22">
        <f>C22/100*118</f>
        <v>2509.3879999999999</v>
      </c>
      <c r="E22" s="109">
        <f>C22/100*21</f>
        <v>446.58599999999996</v>
      </c>
      <c r="F22" s="23"/>
      <c r="G22" s="23">
        <f>C22/100*3.8</f>
        <v>80.810799999999986</v>
      </c>
      <c r="H22" s="23"/>
      <c r="I22" s="23"/>
      <c r="J22" s="23">
        <f>C22/100*12</f>
        <v>255.19199999999998</v>
      </c>
      <c r="K22" s="23">
        <f>C22/100*0.1</f>
        <v>2.1265999999999998</v>
      </c>
      <c r="L22" s="130">
        <v>2170</v>
      </c>
      <c r="M22" s="136">
        <v>250</v>
      </c>
      <c r="N22" s="278">
        <f t="shared" si="0"/>
        <v>542500</v>
      </c>
      <c r="O22" s="3"/>
    </row>
    <row r="23" spans="1:20" ht="21" customHeight="1">
      <c r="A23" s="8">
        <v>8</v>
      </c>
      <c r="B23" s="4" t="s">
        <v>4</v>
      </c>
      <c r="C23" s="21">
        <f>L23/100*98.5</f>
        <v>2137.4499999999998</v>
      </c>
      <c r="D23" s="22">
        <f>C23/100*39</f>
        <v>833.60549999999989</v>
      </c>
      <c r="E23" s="26"/>
      <c r="F23" s="26">
        <f>C23/100*1.5</f>
        <v>32.061749999999996</v>
      </c>
      <c r="G23" s="26"/>
      <c r="H23" s="26">
        <f>C23/100*0.2</f>
        <v>4.2748999999999997</v>
      </c>
      <c r="I23" s="26">
        <f>C23/100*7.8</f>
        <v>166.72109999999998</v>
      </c>
      <c r="J23" s="26">
        <f>C23/100*43</f>
        <v>919.10349999999994</v>
      </c>
      <c r="K23" s="26">
        <f>C23/100*0.06</f>
        <v>1.2824699999999998</v>
      </c>
      <c r="L23" s="540">
        <v>2170</v>
      </c>
      <c r="M23" s="24">
        <v>17</v>
      </c>
      <c r="N23" s="128">
        <f t="shared" si="0"/>
        <v>36890</v>
      </c>
      <c r="O23" s="3"/>
      <c r="Q23" s="2"/>
      <c r="R23" s="2"/>
      <c r="S23" s="3"/>
    </row>
    <row r="24" spans="1:20" ht="21" customHeight="1">
      <c r="A24" s="8">
        <v>9</v>
      </c>
      <c r="B24" s="4" t="s">
        <v>144</v>
      </c>
      <c r="C24" s="21">
        <f>L24/100*87</f>
        <v>5655</v>
      </c>
      <c r="D24" s="22">
        <f>C24/100*21</f>
        <v>1187.55</v>
      </c>
      <c r="E24" s="26"/>
      <c r="F24" s="26">
        <f>C24/100*1.5</f>
        <v>84.824999999999989</v>
      </c>
      <c r="G24" s="26"/>
      <c r="H24" s="26">
        <f>C24/100*0.1</f>
        <v>5.6550000000000002</v>
      </c>
      <c r="I24" s="26">
        <f>C24/100*3.6</f>
        <v>203.57999999999998</v>
      </c>
      <c r="J24" s="26">
        <f>C24/100*40</f>
        <v>2262</v>
      </c>
      <c r="K24" s="26">
        <f>C24/100*0.06</f>
        <v>3.3929999999999998</v>
      </c>
      <c r="L24" s="540">
        <v>6500</v>
      </c>
      <c r="M24" s="24">
        <v>18</v>
      </c>
      <c r="N24" s="278">
        <f t="shared" si="0"/>
        <v>117000</v>
      </c>
      <c r="O24" s="3"/>
      <c r="Q24" s="2"/>
      <c r="R24" s="2"/>
      <c r="S24" s="3"/>
    </row>
    <row r="25" spans="1:20" ht="21" customHeight="1">
      <c r="A25" s="75">
        <v>10</v>
      </c>
      <c r="B25" s="4" t="s">
        <v>75</v>
      </c>
      <c r="C25" s="21">
        <f>L25/100*75</f>
        <v>3255</v>
      </c>
      <c r="D25" s="22">
        <f>C25/100*12</f>
        <v>390.59999999999997</v>
      </c>
      <c r="E25" s="23"/>
      <c r="F25" s="23">
        <f>C25/100*0.6</f>
        <v>19.529999999999998</v>
      </c>
      <c r="G25" s="23"/>
      <c r="H25" s="23"/>
      <c r="I25" s="23">
        <f>C25/100*2.4</f>
        <v>78.11999999999999</v>
      </c>
      <c r="J25" s="23">
        <f>C25/100*26</f>
        <v>846.3</v>
      </c>
      <c r="K25" s="23">
        <f>C25/100*0.02</f>
        <v>0.65099999999999991</v>
      </c>
      <c r="L25" s="130">
        <v>4340</v>
      </c>
      <c r="M25" s="65">
        <v>30</v>
      </c>
      <c r="N25" s="278">
        <f t="shared" si="0"/>
        <v>130200</v>
      </c>
      <c r="O25" s="3"/>
    </row>
    <row r="26" spans="1:20" ht="21" customHeight="1">
      <c r="A26" s="75">
        <v>11</v>
      </c>
      <c r="B26" s="4" t="s">
        <v>138</v>
      </c>
      <c r="C26" s="21">
        <f>L26/100*100</f>
        <v>220.00000000000003</v>
      </c>
      <c r="D26" s="22">
        <f>C26/100*247</f>
        <v>543.40000000000009</v>
      </c>
      <c r="E26" s="26"/>
      <c r="F26" s="26">
        <f>C26/100*17.5</f>
        <v>38.5</v>
      </c>
      <c r="G26" s="26"/>
      <c r="H26" s="26">
        <f>C26/100*1.6</f>
        <v>3.5200000000000005</v>
      </c>
      <c r="I26" s="26">
        <f>C26/100*39.2</f>
        <v>86.240000000000009</v>
      </c>
      <c r="J26" s="62"/>
      <c r="K26" s="62"/>
      <c r="L26" s="540">
        <v>220</v>
      </c>
      <c r="M26" s="65">
        <v>50</v>
      </c>
      <c r="N26" s="21">
        <f t="shared" si="0"/>
        <v>11000</v>
      </c>
      <c r="O26" s="3"/>
      <c r="Q26" s="2"/>
      <c r="R26" s="2"/>
      <c r="S26" s="3"/>
      <c r="T26" s="2"/>
    </row>
    <row r="27" spans="1:20" ht="21" customHeight="1">
      <c r="A27" s="75">
        <v>12</v>
      </c>
      <c r="B27" s="5" t="s">
        <v>125</v>
      </c>
      <c r="C27" s="21"/>
      <c r="D27" s="22"/>
      <c r="E27" s="23"/>
      <c r="F27" s="23"/>
      <c r="G27" s="23"/>
      <c r="H27" s="23"/>
      <c r="I27" s="23"/>
      <c r="J27" s="25"/>
      <c r="K27" s="25"/>
      <c r="L27" s="24"/>
      <c r="M27" s="24"/>
      <c r="N27" s="21">
        <v>16500</v>
      </c>
      <c r="O27" s="3"/>
    </row>
    <row r="28" spans="1:20" ht="21" customHeight="1">
      <c r="A28" s="19" t="s">
        <v>122</v>
      </c>
      <c r="B28" s="20"/>
      <c r="C28" s="30"/>
      <c r="D28" s="111">
        <f>SUM(D16:D27)</f>
        <v>99462.738500000021</v>
      </c>
      <c r="E28" s="32"/>
      <c r="F28" s="32"/>
      <c r="G28" s="32"/>
      <c r="H28" s="32"/>
      <c r="I28" s="32"/>
      <c r="J28" s="32"/>
      <c r="K28" s="32"/>
      <c r="L28" s="33"/>
      <c r="M28" s="63"/>
      <c r="N28" s="406">
        <f>SUM(N16:N27)</f>
        <v>2689240</v>
      </c>
      <c r="O28" s="3"/>
    </row>
    <row r="29" spans="1:20" ht="21" customHeight="1">
      <c r="A29" s="19" t="s">
        <v>6</v>
      </c>
      <c r="B29" s="20"/>
      <c r="C29" s="30"/>
      <c r="D29" s="31">
        <f>D28/D10</f>
        <v>458.35363364055308</v>
      </c>
      <c r="E29" s="32"/>
      <c r="F29" s="32"/>
      <c r="G29" s="32"/>
      <c r="H29" s="32"/>
      <c r="I29" s="32"/>
      <c r="J29" s="32"/>
      <c r="K29" s="32"/>
      <c r="L29" s="33"/>
      <c r="M29" s="64"/>
      <c r="N29" s="407"/>
      <c r="O29" s="3"/>
    </row>
    <row r="30" spans="1:20" ht="21" customHeight="1">
      <c r="A30" s="402" t="s">
        <v>51</v>
      </c>
      <c r="B30" s="331"/>
      <c r="C30" s="541" t="s">
        <v>154</v>
      </c>
      <c r="D30" s="18" t="s">
        <v>45</v>
      </c>
      <c r="E30" s="32"/>
      <c r="F30" s="32"/>
      <c r="G30" s="32"/>
      <c r="H30" s="32"/>
      <c r="I30" s="32"/>
      <c r="J30" s="32"/>
      <c r="K30" s="32"/>
      <c r="L30" s="33"/>
      <c r="M30" s="33"/>
      <c r="N30" s="34"/>
      <c r="O30" s="3"/>
    </row>
    <row r="31" spans="1:20" ht="21" customHeight="1">
      <c r="A31" s="332"/>
      <c r="B31" s="333"/>
      <c r="C31" s="66" t="s">
        <v>60</v>
      </c>
      <c r="D31" s="18">
        <f>D29*100/1320</f>
        <v>34.723760124284325</v>
      </c>
      <c r="E31" s="32"/>
      <c r="F31" s="32"/>
      <c r="G31" s="32"/>
      <c r="H31" s="32"/>
      <c r="I31" s="32"/>
      <c r="J31" s="32"/>
      <c r="K31" s="32"/>
      <c r="L31" s="33"/>
      <c r="M31" s="33"/>
      <c r="N31" s="34"/>
      <c r="O31" s="3"/>
    </row>
    <row r="32" spans="1:20" ht="21" customHeight="1">
      <c r="A32" s="341" t="s">
        <v>35</v>
      </c>
      <c r="B32" s="341"/>
      <c r="C32" s="48"/>
      <c r="D32" s="49"/>
      <c r="E32" s="50"/>
      <c r="F32" s="50"/>
      <c r="G32" s="50"/>
      <c r="H32" s="50"/>
      <c r="I32" s="50"/>
      <c r="J32" s="50"/>
      <c r="K32" s="50"/>
      <c r="L32" s="51"/>
      <c r="M32" s="51"/>
      <c r="N32" s="60"/>
      <c r="O32" s="3"/>
    </row>
    <row r="33" spans="1:20" ht="21" customHeight="1">
      <c r="A33" s="8">
        <v>1</v>
      </c>
      <c r="B33" s="9" t="s">
        <v>2</v>
      </c>
      <c r="C33" s="21">
        <f>L33/100*100</f>
        <v>260</v>
      </c>
      <c r="D33" s="22">
        <f>C33/100*60</f>
        <v>156</v>
      </c>
      <c r="E33" s="23">
        <f>C33/100*15</f>
        <v>39</v>
      </c>
      <c r="F33" s="23"/>
      <c r="G33" s="23"/>
      <c r="H33" s="23"/>
      <c r="I33" s="23"/>
      <c r="J33" s="25">
        <f>C33/100*387</f>
        <v>1006.2</v>
      </c>
      <c r="K33" s="25">
        <f>C33/100*0.09</f>
        <v>0.23399999999999999</v>
      </c>
      <c r="L33" s="130">
        <v>260</v>
      </c>
      <c r="M33" s="65">
        <v>20</v>
      </c>
      <c r="N33" s="21">
        <f>L33*M33</f>
        <v>5200</v>
      </c>
      <c r="O33" s="3"/>
    </row>
    <row r="34" spans="1:20" ht="20.399999999999999" customHeight="1">
      <c r="A34" s="8">
        <v>2</v>
      </c>
      <c r="B34" s="4" t="s">
        <v>73</v>
      </c>
      <c r="C34" s="21">
        <f>L34/100*100</f>
        <v>6080</v>
      </c>
      <c r="D34" s="110">
        <f>C34/100*344</f>
        <v>20915.2</v>
      </c>
      <c r="E34" s="23"/>
      <c r="F34" s="109">
        <f>C34/100*8.6</f>
        <v>522.88</v>
      </c>
      <c r="G34" s="23"/>
      <c r="H34" s="23">
        <f>C34/100*1.5</f>
        <v>91.199999999999989</v>
      </c>
      <c r="I34" s="23">
        <f>C34/100*74.5</f>
        <v>4529.5999999999995</v>
      </c>
      <c r="J34" s="23">
        <f>C34/100*32</f>
        <v>1945.6</v>
      </c>
      <c r="K34" s="23">
        <f>C34/100*0.14</f>
        <v>8.5120000000000005</v>
      </c>
      <c r="L34" s="130">
        <v>6080</v>
      </c>
      <c r="M34" s="65">
        <v>30</v>
      </c>
      <c r="N34" s="114">
        <f t="shared" ref="N34:N40" si="1">L34*M34</f>
        <v>182400</v>
      </c>
      <c r="O34" s="3"/>
      <c r="P34" s="16"/>
    </row>
    <row r="35" spans="1:20" ht="21" customHeight="1">
      <c r="A35" s="8">
        <v>3</v>
      </c>
      <c r="B35" s="142" t="s">
        <v>143</v>
      </c>
      <c r="C35" s="21">
        <f>L35/100*100</f>
        <v>500</v>
      </c>
      <c r="D35" s="22">
        <f>C35/100*899</f>
        <v>4495</v>
      </c>
      <c r="E35" s="23"/>
      <c r="F35" s="23"/>
      <c r="G35" s="23">
        <f>C35/100*100</f>
        <v>500</v>
      </c>
      <c r="H35" s="23"/>
      <c r="I35" s="23"/>
      <c r="J35" s="23"/>
      <c r="K35" s="23"/>
      <c r="L35" s="130">
        <v>500</v>
      </c>
      <c r="M35" s="137">
        <v>68</v>
      </c>
      <c r="N35" s="21">
        <f t="shared" si="1"/>
        <v>34000</v>
      </c>
      <c r="O35" s="542"/>
    </row>
    <row r="36" spans="1:20" ht="19.2" customHeight="1">
      <c r="A36" s="8">
        <v>4</v>
      </c>
      <c r="B36" s="147" t="s">
        <v>149</v>
      </c>
      <c r="C36" s="21">
        <f>L36/100*100</f>
        <v>950</v>
      </c>
      <c r="D36" s="110">
        <f>C36/100*900</f>
        <v>8550</v>
      </c>
      <c r="E36" s="23"/>
      <c r="F36" s="23"/>
      <c r="G36" s="109"/>
      <c r="H36" s="23">
        <f>C36/100*100</f>
        <v>950</v>
      </c>
      <c r="I36" s="23"/>
      <c r="J36" s="23"/>
      <c r="K36" s="23"/>
      <c r="L36" s="130">
        <v>950</v>
      </c>
      <c r="M36" s="65">
        <v>63.5</v>
      </c>
      <c r="N36" s="21">
        <f t="shared" si="1"/>
        <v>60325</v>
      </c>
      <c r="O36" s="542"/>
    </row>
    <row r="37" spans="1:20" ht="21" customHeight="1">
      <c r="A37" s="8">
        <v>5</v>
      </c>
      <c r="B37" s="4" t="s">
        <v>138</v>
      </c>
      <c r="C37" s="21">
        <f>L37/100*100</f>
        <v>130</v>
      </c>
      <c r="D37" s="22">
        <f>C37/100*247</f>
        <v>321.10000000000002</v>
      </c>
      <c r="E37" s="26"/>
      <c r="F37" s="26">
        <f>C37/100*17.5</f>
        <v>22.75</v>
      </c>
      <c r="G37" s="26"/>
      <c r="H37" s="26">
        <f>C37/100*1.6</f>
        <v>2.08</v>
      </c>
      <c r="I37" s="26">
        <f>C37/100*39.2</f>
        <v>50.960000000000008</v>
      </c>
      <c r="J37" s="62"/>
      <c r="K37" s="62"/>
      <c r="L37" s="540">
        <v>130</v>
      </c>
      <c r="M37" s="65">
        <v>50</v>
      </c>
      <c r="N37" s="21">
        <f t="shared" si="1"/>
        <v>6500</v>
      </c>
      <c r="O37" s="3"/>
      <c r="Q37" s="2"/>
      <c r="R37" s="2"/>
      <c r="S37" s="3"/>
      <c r="T37" s="2"/>
    </row>
    <row r="38" spans="1:20" ht="20.399999999999999" customHeight="1">
      <c r="A38" s="161">
        <v>6</v>
      </c>
      <c r="B38" s="148" t="s">
        <v>192</v>
      </c>
      <c r="C38" s="21">
        <f>L38/100*20</f>
        <v>1086</v>
      </c>
      <c r="D38" s="22">
        <f>C38/100*26</f>
        <v>282.36</v>
      </c>
      <c r="E38" s="23"/>
      <c r="F38" s="23">
        <f>C38/100*0.4</f>
        <v>4.3440000000000003</v>
      </c>
      <c r="G38" s="23"/>
      <c r="H38" s="23">
        <f>C38/100*1.6</f>
        <v>17.376000000000001</v>
      </c>
      <c r="I38" s="23">
        <f>C38/100*2.1</f>
        <v>22.806000000000001</v>
      </c>
      <c r="J38" s="23"/>
      <c r="K38" s="23"/>
      <c r="L38" s="561">
        <v>5430</v>
      </c>
      <c r="M38" s="65">
        <v>25</v>
      </c>
      <c r="N38" s="114">
        <f t="shared" si="1"/>
        <v>135750</v>
      </c>
      <c r="O38" s="562"/>
      <c r="P38" s="556"/>
    </row>
    <row r="39" spans="1:20" ht="21" customHeight="1">
      <c r="A39" s="8">
        <v>7</v>
      </c>
      <c r="B39" s="9" t="s">
        <v>71</v>
      </c>
      <c r="C39" s="21">
        <f>L39/100*98</f>
        <v>5341</v>
      </c>
      <c r="D39" s="22">
        <f>C39/100*139</f>
        <v>7423.99</v>
      </c>
      <c r="E39" s="109">
        <f>C39/100*19</f>
        <v>1014.79</v>
      </c>
      <c r="F39" s="109"/>
      <c r="G39" s="23">
        <f>C39/100*7</f>
        <v>373.87</v>
      </c>
      <c r="H39" s="23"/>
      <c r="I39" s="23"/>
      <c r="J39" s="25">
        <f>C39/100*7</f>
        <v>373.87</v>
      </c>
      <c r="K39" s="25">
        <f>C39/100*0.9</f>
        <v>48.068999999999996</v>
      </c>
      <c r="L39" s="130">
        <v>5450</v>
      </c>
      <c r="M39" s="136">
        <v>130</v>
      </c>
      <c r="N39" s="114">
        <f t="shared" si="1"/>
        <v>708500</v>
      </c>
      <c r="O39" s="3"/>
    </row>
    <row r="40" spans="1:20" ht="20.399999999999999" customHeight="1">
      <c r="A40" s="8">
        <v>8</v>
      </c>
      <c r="B40" s="4" t="s">
        <v>76</v>
      </c>
      <c r="C40" s="21">
        <f>L40/100*80</f>
        <v>23440</v>
      </c>
      <c r="D40" s="22">
        <f>C40/100*40</f>
        <v>9376</v>
      </c>
      <c r="E40" s="109"/>
      <c r="F40" s="109">
        <f>C40/100*1.3</f>
        <v>304.72000000000003</v>
      </c>
      <c r="G40" s="23"/>
      <c r="H40" s="23"/>
      <c r="I40" s="23">
        <f>C40/100*2.8</f>
        <v>656.31999999999994</v>
      </c>
      <c r="J40" s="23">
        <f>C40/100*11</f>
        <v>2578.4</v>
      </c>
      <c r="K40" s="23"/>
      <c r="L40" s="561">
        <v>29300</v>
      </c>
      <c r="M40" s="65">
        <v>32</v>
      </c>
      <c r="N40" s="114">
        <f t="shared" si="1"/>
        <v>937600</v>
      </c>
      <c r="O40" s="562"/>
      <c r="P40" s="556"/>
    </row>
    <row r="41" spans="1:20" ht="21" customHeight="1">
      <c r="A41" s="103">
        <v>9</v>
      </c>
      <c r="B41" s="102" t="s">
        <v>125</v>
      </c>
      <c r="C41" s="96"/>
      <c r="D41" s="97"/>
      <c r="E41" s="98"/>
      <c r="F41" s="98"/>
      <c r="G41" s="98"/>
      <c r="H41" s="98"/>
      <c r="I41" s="98"/>
      <c r="J41" s="98"/>
      <c r="K41" s="98"/>
      <c r="L41" s="99"/>
      <c r="M41" s="99"/>
      <c r="N41" s="96">
        <v>14300</v>
      </c>
      <c r="O41" s="3"/>
    </row>
    <row r="42" spans="1:20" ht="19.95" customHeight="1">
      <c r="A42" s="318" t="s">
        <v>66</v>
      </c>
      <c r="B42" s="321" t="s">
        <v>19</v>
      </c>
      <c r="C42" s="437" t="s">
        <v>8</v>
      </c>
      <c r="D42" s="321" t="s">
        <v>9</v>
      </c>
      <c r="E42" s="324" t="s">
        <v>11</v>
      </c>
      <c r="F42" s="325"/>
      <c r="G42" s="324" t="s">
        <v>13</v>
      </c>
      <c r="H42" s="325"/>
      <c r="I42" s="318" t="s">
        <v>16</v>
      </c>
      <c r="J42" s="318" t="s">
        <v>41</v>
      </c>
      <c r="K42" s="318" t="s">
        <v>42</v>
      </c>
      <c r="L42" s="318" t="s">
        <v>17</v>
      </c>
      <c r="M42" s="318" t="s">
        <v>55</v>
      </c>
      <c r="N42" s="318" t="s">
        <v>18</v>
      </c>
      <c r="O42" s="539"/>
    </row>
    <row r="43" spans="1:20" ht="19.95" customHeight="1">
      <c r="A43" s="319"/>
      <c r="B43" s="322"/>
      <c r="C43" s="438"/>
      <c r="D43" s="322"/>
      <c r="E43" s="326"/>
      <c r="F43" s="327"/>
      <c r="G43" s="326"/>
      <c r="H43" s="327"/>
      <c r="I43" s="328"/>
      <c r="J43" s="328"/>
      <c r="K43" s="328"/>
      <c r="L43" s="328"/>
      <c r="M43" s="328"/>
      <c r="N43" s="319"/>
      <c r="O43" s="283"/>
    </row>
    <row r="44" spans="1:20" ht="19.95" customHeight="1">
      <c r="A44" s="319"/>
      <c r="B44" s="322"/>
      <c r="C44" s="438"/>
      <c r="D44" s="322"/>
      <c r="E44" s="318" t="s">
        <v>10</v>
      </c>
      <c r="F44" s="318" t="s">
        <v>12</v>
      </c>
      <c r="G44" s="318" t="s">
        <v>14</v>
      </c>
      <c r="H44" s="318" t="s">
        <v>15</v>
      </c>
      <c r="I44" s="328"/>
      <c r="J44" s="328"/>
      <c r="K44" s="328"/>
      <c r="L44" s="328"/>
      <c r="M44" s="328"/>
      <c r="N44" s="319"/>
      <c r="O44" s="283"/>
    </row>
    <row r="45" spans="1:20" ht="19.95" customHeight="1">
      <c r="A45" s="320"/>
      <c r="B45" s="323"/>
      <c r="C45" s="439"/>
      <c r="D45" s="323"/>
      <c r="E45" s="329"/>
      <c r="F45" s="329"/>
      <c r="G45" s="329"/>
      <c r="H45" s="329"/>
      <c r="I45" s="329"/>
      <c r="J45" s="329"/>
      <c r="K45" s="329"/>
      <c r="L45" s="329"/>
      <c r="M45" s="329"/>
      <c r="N45" s="320"/>
      <c r="O45" s="283"/>
    </row>
    <row r="46" spans="1:20" ht="19.2" customHeight="1">
      <c r="A46" s="19" t="s">
        <v>112</v>
      </c>
      <c r="B46" s="20"/>
      <c r="C46" s="30"/>
      <c r="D46" s="111">
        <f>SUM(D33:D41)</f>
        <v>51519.649999999994</v>
      </c>
      <c r="E46" s="6"/>
      <c r="F46" s="6"/>
      <c r="G46" s="6"/>
      <c r="H46" s="6"/>
      <c r="I46" s="6"/>
      <c r="J46" s="6"/>
      <c r="K46" s="6"/>
      <c r="L46" s="38"/>
      <c r="M46" s="425"/>
      <c r="N46" s="406">
        <f>SUM(N33:N41)</f>
        <v>2084575</v>
      </c>
      <c r="O46" s="3"/>
    </row>
    <row r="47" spans="1:20" ht="19.2" customHeight="1">
      <c r="A47" s="19" t="s">
        <v>7</v>
      </c>
      <c r="B47" s="20"/>
      <c r="C47" s="39"/>
      <c r="D47" s="40">
        <f>D46/D10</f>
        <v>237.41774193548383</v>
      </c>
      <c r="E47" s="40"/>
      <c r="F47" s="40"/>
      <c r="G47" s="40"/>
      <c r="H47" s="40"/>
      <c r="I47" s="40"/>
      <c r="J47" s="40"/>
      <c r="K47" s="40"/>
      <c r="L47" s="38"/>
      <c r="M47" s="426"/>
      <c r="N47" s="407"/>
      <c r="O47" s="3"/>
    </row>
    <row r="48" spans="1:20" ht="19.2" customHeight="1">
      <c r="A48" s="402" t="s">
        <v>52</v>
      </c>
      <c r="B48" s="331"/>
      <c r="C48" s="541" t="s">
        <v>154</v>
      </c>
      <c r="D48" s="18" t="s">
        <v>58</v>
      </c>
      <c r="E48" s="40"/>
      <c r="F48" s="40"/>
      <c r="G48" s="40"/>
      <c r="H48" s="40"/>
      <c r="I48" s="40"/>
      <c r="J48" s="41"/>
      <c r="K48" s="41"/>
      <c r="L48" s="38"/>
      <c r="M48" s="38"/>
      <c r="N48" s="285"/>
      <c r="O48" s="3"/>
    </row>
    <row r="49" spans="1:22" ht="19.2" customHeight="1">
      <c r="A49" s="332"/>
      <c r="B49" s="333"/>
      <c r="C49" s="66" t="s">
        <v>60</v>
      </c>
      <c r="D49" s="18">
        <f>D47*100/1320</f>
        <v>17.986192570869989</v>
      </c>
      <c r="E49" s="40"/>
      <c r="F49" s="40"/>
      <c r="G49" s="40"/>
      <c r="H49" s="40"/>
      <c r="I49" s="40"/>
      <c r="J49" s="41"/>
      <c r="K49" s="41"/>
      <c r="L49" s="38"/>
      <c r="M49" s="38"/>
      <c r="N49" s="285"/>
      <c r="O49" s="3"/>
    </row>
    <row r="50" spans="1:22" ht="19.2" customHeight="1">
      <c r="A50" s="324" t="s">
        <v>109</v>
      </c>
      <c r="B50" s="325"/>
      <c r="C50" s="398"/>
      <c r="D50" s="410">
        <f>D28+D46</f>
        <v>150982.3885</v>
      </c>
      <c r="E50" s="113">
        <f>SUM(E16:E41)</f>
        <v>3226.7812999999996</v>
      </c>
      <c r="F50" s="113">
        <f t="shared" ref="F50:H50" si="2">SUM(F16:F41)</f>
        <v>2658.1957499999999</v>
      </c>
      <c r="G50" s="113">
        <f t="shared" si="2"/>
        <v>3022.0695000000001</v>
      </c>
      <c r="H50" s="113">
        <f t="shared" si="2"/>
        <v>1280.2558999999999</v>
      </c>
      <c r="I50" s="358">
        <f>SUM(I16:I41)</f>
        <v>21494.5481</v>
      </c>
      <c r="J50" s="358">
        <f>SUM(J16:J41)</f>
        <v>21613.223499999996</v>
      </c>
      <c r="K50" s="390">
        <f>SUM(K16:K41)</f>
        <v>135.22787</v>
      </c>
      <c r="L50" s="373"/>
      <c r="M50" s="373"/>
      <c r="N50" s="417">
        <f>N28+N46</f>
        <v>4773815</v>
      </c>
    </row>
    <row r="51" spans="1:22" ht="19.2" customHeight="1">
      <c r="A51" s="326"/>
      <c r="B51" s="327"/>
      <c r="C51" s="399"/>
      <c r="D51" s="411"/>
      <c r="E51" s="440">
        <f>E50+F50</f>
        <v>5884.9770499999995</v>
      </c>
      <c r="F51" s="441"/>
      <c r="G51" s="387">
        <f>G50+H50</f>
        <v>4302.3253999999997</v>
      </c>
      <c r="H51" s="388"/>
      <c r="I51" s="360"/>
      <c r="J51" s="359"/>
      <c r="K51" s="412"/>
      <c r="L51" s="373"/>
      <c r="M51" s="373"/>
      <c r="N51" s="417"/>
    </row>
    <row r="52" spans="1:22" ht="19.2" customHeight="1">
      <c r="A52" s="351" t="s">
        <v>77</v>
      </c>
      <c r="B52" s="352"/>
      <c r="C52" s="353"/>
      <c r="D52" s="125">
        <f>D50/D10</f>
        <v>695.77137557603692</v>
      </c>
      <c r="E52" s="543">
        <f>E50/D10</f>
        <v>14.869959907834099</v>
      </c>
      <c r="F52" s="544">
        <f>F50/D10</f>
        <v>12.249749999999999</v>
      </c>
      <c r="G52" s="543">
        <f>G50/D10</f>
        <v>13.926587557603687</v>
      </c>
      <c r="H52" s="564">
        <f>H50/D10</f>
        <v>5.8997967741935478</v>
      </c>
      <c r="I52" s="368">
        <f>I50/D10</f>
        <v>99.053217050691245</v>
      </c>
      <c r="J52" s="442">
        <f>J50/D10</f>
        <v>99.600108294930862</v>
      </c>
      <c r="K52" s="442">
        <f>K50/D10</f>
        <v>0.62316990783410131</v>
      </c>
      <c r="L52" s="373"/>
      <c r="M52" s="373"/>
      <c r="N52" s="417"/>
      <c r="U52" s="274"/>
      <c r="V52" s="274"/>
    </row>
    <row r="53" spans="1:22" ht="19.2" customHeight="1">
      <c r="A53" s="354"/>
      <c r="B53" s="355"/>
      <c r="C53" s="356"/>
      <c r="D53" s="117"/>
      <c r="E53" s="545">
        <f>E52+F52</f>
        <v>27.1197099078341</v>
      </c>
      <c r="F53" s="546"/>
      <c r="G53" s="545">
        <f>G52+H52</f>
        <v>19.826384331797236</v>
      </c>
      <c r="H53" s="546"/>
      <c r="I53" s="369"/>
      <c r="J53" s="442"/>
      <c r="K53" s="442"/>
      <c r="L53" s="373"/>
      <c r="M53" s="373"/>
      <c r="N53" s="417"/>
      <c r="Q53" s="558"/>
      <c r="R53" s="558"/>
      <c r="S53" s="558"/>
      <c r="T53" s="558"/>
      <c r="U53" s="559"/>
      <c r="V53" s="559"/>
    </row>
    <row r="54" spans="1:22" ht="19.2" customHeight="1">
      <c r="A54" s="422" t="s">
        <v>80</v>
      </c>
      <c r="B54" s="423"/>
      <c r="C54" s="424"/>
      <c r="D54" s="282" t="s">
        <v>28</v>
      </c>
      <c r="E54" s="304" t="s">
        <v>21</v>
      </c>
      <c r="F54" s="304"/>
      <c r="G54" s="304" t="s">
        <v>22</v>
      </c>
      <c r="H54" s="304"/>
      <c r="I54" s="282" t="s">
        <v>23</v>
      </c>
      <c r="J54" s="286">
        <v>600</v>
      </c>
      <c r="K54" s="286">
        <v>0.7</v>
      </c>
      <c r="L54" s="373"/>
      <c r="M54" s="373"/>
      <c r="N54" s="417"/>
      <c r="O54" s="548"/>
      <c r="P54" s="547"/>
      <c r="Q54" s="558"/>
      <c r="R54" s="558"/>
      <c r="S54" s="558"/>
      <c r="T54" s="558"/>
      <c r="U54" s="558"/>
      <c r="V54" s="558"/>
    </row>
    <row r="55" spans="1:22" ht="19.2" customHeight="1">
      <c r="A55" s="348" t="s">
        <v>78</v>
      </c>
      <c r="B55" s="380"/>
      <c r="C55" s="349"/>
      <c r="D55" s="42"/>
      <c r="E55" s="381">
        <f>E53*4.1</f>
        <v>111.1908106221198</v>
      </c>
      <c r="F55" s="382"/>
      <c r="G55" s="381">
        <f>G53*9</f>
        <v>178.43745898617513</v>
      </c>
      <c r="H55" s="382"/>
      <c r="I55" s="74">
        <f>I52*4.1</f>
        <v>406.11818990783405</v>
      </c>
      <c r="J55" s="361"/>
      <c r="K55" s="361"/>
      <c r="L55" s="373"/>
      <c r="M55" s="373"/>
      <c r="N55" s="417"/>
      <c r="O55" s="548"/>
      <c r="P55" s="556"/>
      <c r="Q55" s="557"/>
      <c r="R55" s="557"/>
      <c r="S55" s="557"/>
    </row>
    <row r="56" spans="1:22" ht="19.2" customHeight="1">
      <c r="A56" s="383" t="s">
        <v>87</v>
      </c>
      <c r="B56" s="384"/>
      <c r="C56" s="348" t="s">
        <v>59</v>
      </c>
      <c r="D56" s="349"/>
      <c r="E56" s="420">
        <f>E55*100/D52</f>
        <v>15.980940654545279</v>
      </c>
      <c r="F56" s="421"/>
      <c r="G56" s="420">
        <f>G55*100/D52</f>
        <v>25.645990227529087</v>
      </c>
      <c r="H56" s="421"/>
      <c r="I56" s="105">
        <f>I55*100/D52</f>
        <v>58.369488047938766</v>
      </c>
      <c r="J56" s="362"/>
      <c r="K56" s="362"/>
      <c r="L56" s="373"/>
      <c r="M56" s="373"/>
      <c r="N56" s="417"/>
      <c r="O56" s="548"/>
      <c r="P56" s="133"/>
      <c r="Q56" s="133"/>
      <c r="R56" s="133"/>
      <c r="S56" s="133"/>
    </row>
    <row r="57" spans="1:22" ht="19.2" customHeight="1">
      <c r="A57" s="385"/>
      <c r="B57" s="386"/>
      <c r="C57" s="348" t="s">
        <v>79</v>
      </c>
      <c r="D57" s="349"/>
      <c r="E57" s="348" t="s">
        <v>82</v>
      </c>
      <c r="F57" s="349"/>
      <c r="G57" s="348" t="s">
        <v>83</v>
      </c>
      <c r="H57" s="349"/>
      <c r="I57" s="282" t="s">
        <v>84</v>
      </c>
      <c r="J57" s="363"/>
      <c r="K57" s="363"/>
      <c r="L57" s="373"/>
      <c r="M57" s="373"/>
      <c r="N57" s="417"/>
      <c r="O57" s="548"/>
    </row>
    <row r="58" spans="1:22" ht="19.2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83"/>
      <c r="M58" s="83"/>
      <c r="N58" s="84"/>
      <c r="O58" s="548"/>
      <c r="P58" s="2"/>
    </row>
    <row r="59" spans="1:22" ht="21" customHeight="1">
      <c r="A59" s="291" t="s">
        <v>116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548"/>
    </row>
    <row r="60" spans="1:22" ht="21" customHeight="1">
      <c r="A60" s="107" t="s">
        <v>117</v>
      </c>
      <c r="B60" s="292" t="s">
        <v>118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548"/>
    </row>
    <row r="61" spans="1:22" ht="21" customHeight="1">
      <c r="A61" s="108"/>
      <c r="B61" s="293" t="s">
        <v>223</v>
      </c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548"/>
    </row>
    <row r="62" spans="1:22" ht="21" customHeight="1">
      <c r="A62" s="108"/>
      <c r="B62" s="293" t="s">
        <v>202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548"/>
    </row>
    <row r="63" spans="1:22" ht="21" customHeight="1">
      <c r="A63" s="108"/>
      <c r="B63" s="293" t="s">
        <v>188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548"/>
    </row>
    <row r="64" spans="1:22" ht="21" customHeight="1">
      <c r="A64" s="79"/>
      <c r="B64" s="294" t="s">
        <v>119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548"/>
    </row>
    <row r="65" spans="1:15" ht="21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3"/>
      <c r="M65" s="83"/>
      <c r="N65" s="84"/>
      <c r="O65" s="548"/>
    </row>
    <row r="66" spans="1:15" ht="21" customHeight="1">
      <c r="A66" s="295" t="s">
        <v>62</v>
      </c>
      <c r="B66" s="295"/>
      <c r="C66" s="295"/>
      <c r="D66" s="295"/>
      <c r="E66" s="549"/>
      <c r="F66" s="549"/>
      <c r="G66" s="549"/>
      <c r="H66" s="549"/>
      <c r="I66" s="549"/>
      <c r="J66" s="550" t="s">
        <v>33</v>
      </c>
      <c r="K66" s="550"/>
      <c r="L66" s="550"/>
      <c r="M66" s="550"/>
      <c r="N66" s="550"/>
      <c r="O66" s="548"/>
    </row>
    <row r="67" spans="1:15" ht="21" customHeight="1">
      <c r="A67" s="283"/>
      <c r="B67" s="283"/>
      <c r="C67" s="283"/>
      <c r="D67" s="549"/>
      <c r="E67" s="549"/>
      <c r="F67" s="549"/>
      <c r="G67" s="549"/>
      <c r="H67" s="551"/>
      <c r="I67" s="551"/>
      <c r="J67" s="551"/>
      <c r="K67" s="551"/>
      <c r="L67" s="551"/>
      <c r="M67" s="551"/>
      <c r="N67" s="551"/>
      <c r="O67" s="548"/>
    </row>
    <row r="68" spans="1:15" ht="21" customHeight="1">
      <c r="A68" s="283"/>
      <c r="B68" s="283"/>
      <c r="C68" s="283"/>
      <c r="D68" s="549"/>
      <c r="E68" s="549"/>
      <c r="F68" s="549"/>
      <c r="G68" s="549"/>
      <c r="H68" s="551"/>
      <c r="I68" s="551"/>
      <c r="J68" s="551"/>
      <c r="K68" s="551"/>
      <c r="L68" s="551"/>
      <c r="M68" s="551"/>
      <c r="N68" s="551"/>
      <c r="O68" s="548"/>
    </row>
    <row r="69" spans="1:15" ht="21" customHeight="1">
      <c r="A69" s="283"/>
      <c r="B69" s="283"/>
      <c r="C69" s="283"/>
      <c r="D69" s="549"/>
      <c r="E69" s="549"/>
      <c r="F69" s="549"/>
      <c r="G69" s="549"/>
      <c r="H69" s="551"/>
      <c r="I69" s="551"/>
      <c r="J69" s="552" t="s">
        <v>126</v>
      </c>
      <c r="K69" s="552"/>
      <c r="L69" s="552"/>
      <c r="M69" s="552"/>
      <c r="N69" s="552"/>
      <c r="O69" s="548"/>
    </row>
    <row r="70" spans="1:15" ht="21" customHeight="1">
      <c r="A70" s="287" t="s">
        <v>93</v>
      </c>
      <c r="B70" s="287"/>
      <c r="C70" s="287"/>
      <c r="D70" s="287"/>
      <c r="E70" s="549"/>
      <c r="F70" s="549"/>
      <c r="G70" s="549"/>
      <c r="H70" s="551"/>
      <c r="I70" s="551"/>
      <c r="O70" s="548"/>
    </row>
    <row r="71" spans="1:15" ht="19.2" customHeight="1">
      <c r="A71" s="283"/>
      <c r="B71" s="283"/>
      <c r="C71" s="283"/>
      <c r="D71" s="549"/>
      <c r="E71" s="549"/>
      <c r="F71" s="549"/>
      <c r="G71" s="549"/>
      <c r="H71" s="551"/>
      <c r="I71" s="551"/>
      <c r="J71" s="551"/>
      <c r="K71" s="551"/>
      <c r="L71" s="551"/>
      <c r="M71" s="551"/>
      <c r="N71" s="551"/>
      <c r="O71" s="548"/>
    </row>
    <row r="72" spans="1:15" ht="19.2" customHeight="1">
      <c r="A72" s="283"/>
      <c r="B72" s="283"/>
      <c r="C72" s="283"/>
      <c r="D72" s="549"/>
      <c r="E72" s="549"/>
      <c r="F72" s="549"/>
      <c r="G72" s="549"/>
      <c r="H72" s="551"/>
      <c r="I72" s="551"/>
      <c r="J72" s="551"/>
      <c r="K72" s="551"/>
      <c r="L72" s="551"/>
      <c r="M72" s="551"/>
      <c r="N72" s="551"/>
      <c r="O72" s="548"/>
    </row>
    <row r="73" spans="1:15" ht="19.2" customHeight="1">
      <c r="A73" s="283"/>
      <c r="B73" s="283"/>
      <c r="C73" s="283"/>
      <c r="D73" s="549"/>
      <c r="E73" s="549"/>
      <c r="F73" s="549"/>
      <c r="G73" s="549"/>
      <c r="H73" s="551"/>
      <c r="I73" s="551"/>
      <c r="J73" s="552" t="s">
        <v>129</v>
      </c>
      <c r="K73" s="552"/>
      <c r="L73" s="552"/>
      <c r="M73" s="552"/>
      <c r="N73" s="552"/>
      <c r="O73" s="548"/>
    </row>
    <row r="74" spans="1:15" ht="19.2" customHeight="1">
      <c r="A74" s="283"/>
      <c r="B74" s="283"/>
      <c r="C74" s="283"/>
      <c r="D74" s="549"/>
      <c r="E74" s="549"/>
      <c r="F74" s="549"/>
      <c r="G74" s="549"/>
      <c r="H74" s="551"/>
      <c r="I74" s="551"/>
      <c r="J74" s="551"/>
      <c r="K74" s="551"/>
      <c r="L74" s="551"/>
      <c r="M74" s="551"/>
      <c r="N74" s="551"/>
      <c r="O74" s="548"/>
    </row>
    <row r="75" spans="1:15" ht="19.2" customHeight="1">
      <c r="A75" s="283"/>
      <c r="B75" s="283"/>
      <c r="C75" s="283"/>
      <c r="D75" s="549"/>
      <c r="E75" s="549"/>
      <c r="F75" s="549"/>
      <c r="G75" s="549"/>
      <c r="H75" s="551"/>
      <c r="I75" s="551"/>
      <c r="J75" s="551"/>
      <c r="K75" s="551"/>
      <c r="L75" s="551"/>
      <c r="M75" s="551"/>
      <c r="N75" s="551"/>
      <c r="O75" s="548"/>
    </row>
    <row r="76" spans="1:15" ht="19.2" customHeight="1">
      <c r="A76" s="283"/>
      <c r="B76" s="283"/>
      <c r="C76" s="283"/>
      <c r="D76" s="549"/>
      <c r="E76" s="549"/>
      <c r="F76" s="549"/>
      <c r="G76" s="549"/>
      <c r="H76" s="551"/>
      <c r="I76" s="551"/>
      <c r="J76" s="551"/>
      <c r="K76" s="551"/>
      <c r="L76" s="551"/>
      <c r="M76" s="551"/>
      <c r="N76" s="551"/>
      <c r="O76" s="548"/>
    </row>
    <row r="77" spans="1:15" ht="19.2" customHeight="1">
      <c r="A77" s="283"/>
      <c r="B77" s="283"/>
      <c r="C77" s="283"/>
      <c r="D77" s="549"/>
      <c r="E77" s="549"/>
      <c r="F77" s="549"/>
      <c r="G77" s="549"/>
      <c r="H77" s="551"/>
      <c r="I77" s="551"/>
      <c r="J77" s="551"/>
      <c r="K77" s="551"/>
      <c r="L77" s="551"/>
      <c r="M77" s="551"/>
      <c r="N77" s="551"/>
      <c r="O77" s="548"/>
    </row>
    <row r="78" spans="1:15" ht="19.2" customHeight="1">
      <c r="A78" s="283"/>
      <c r="B78" s="283"/>
      <c r="C78" s="283"/>
      <c r="D78" s="549"/>
      <c r="E78" s="549"/>
      <c r="F78" s="549"/>
      <c r="G78" s="549"/>
      <c r="H78" s="551"/>
      <c r="I78" s="551"/>
      <c r="J78" s="551"/>
      <c r="K78" s="551"/>
      <c r="L78" s="551"/>
      <c r="M78" s="551"/>
      <c r="N78" s="551"/>
      <c r="O78" s="548"/>
    </row>
    <row r="79" spans="1:15" ht="19.2" customHeight="1">
      <c r="A79" s="283"/>
      <c r="B79" s="283"/>
      <c r="C79" s="283"/>
      <c r="D79" s="549"/>
      <c r="E79" s="549"/>
      <c r="F79" s="549"/>
      <c r="G79" s="549"/>
      <c r="H79" s="551"/>
      <c r="I79" s="551"/>
      <c r="J79" s="551"/>
      <c r="K79" s="551"/>
      <c r="L79" s="551"/>
      <c r="M79" s="551"/>
      <c r="N79" s="551"/>
      <c r="O79" s="548"/>
    </row>
    <row r="80" spans="1:15" ht="19.2" customHeight="1">
      <c r="A80" s="283"/>
      <c r="B80" s="283"/>
      <c r="C80" s="283"/>
      <c r="D80" s="549"/>
      <c r="E80" s="549"/>
      <c r="F80" s="549"/>
      <c r="G80" s="549"/>
      <c r="H80" s="551"/>
      <c r="I80" s="551"/>
      <c r="J80" s="551"/>
      <c r="K80" s="551"/>
      <c r="L80" s="551"/>
      <c r="M80" s="551"/>
      <c r="N80" s="551"/>
      <c r="O80" s="548"/>
    </row>
    <row r="81" spans="1:16" ht="19.2" customHeight="1">
      <c r="A81" s="283"/>
      <c r="B81" s="283"/>
      <c r="C81" s="283"/>
      <c r="D81" s="549"/>
      <c r="E81" s="549"/>
      <c r="F81" s="549"/>
      <c r="G81" s="549"/>
      <c r="H81" s="551"/>
      <c r="I81" s="551"/>
      <c r="J81" s="551"/>
      <c r="K81" s="551"/>
      <c r="L81" s="551"/>
      <c r="M81" s="551"/>
      <c r="N81" s="551"/>
      <c r="O81" s="548"/>
    </row>
    <row r="82" spans="1:16" ht="19.2" customHeight="1">
      <c r="A82" s="283"/>
      <c r="B82" s="283"/>
      <c r="C82" s="283"/>
      <c r="D82" s="549"/>
      <c r="E82" s="549"/>
      <c r="F82" s="549"/>
      <c r="G82" s="549"/>
      <c r="H82" s="551"/>
      <c r="I82" s="551"/>
      <c r="J82" s="551"/>
      <c r="K82" s="551"/>
      <c r="L82" s="551"/>
      <c r="M82" s="551"/>
      <c r="N82" s="551"/>
      <c r="O82" s="548"/>
    </row>
    <row r="83" spans="1:16" ht="19.2" customHeight="1">
      <c r="A83" s="283"/>
      <c r="B83" s="283"/>
      <c r="C83" s="283"/>
      <c r="D83" s="549"/>
      <c r="E83" s="549"/>
      <c r="F83" s="549"/>
      <c r="G83" s="549"/>
      <c r="H83" s="551"/>
      <c r="I83" s="551"/>
      <c r="J83" s="551"/>
      <c r="K83" s="551"/>
      <c r="L83" s="551"/>
      <c r="M83" s="551"/>
      <c r="N83" s="551"/>
      <c r="O83" s="548"/>
    </row>
    <row r="84" spans="1:16" ht="19.2" customHeight="1">
      <c r="A84" s="10" t="s">
        <v>61</v>
      </c>
      <c r="B84" s="7"/>
      <c r="C84" s="7"/>
      <c r="D84" s="7"/>
      <c r="E84" s="7"/>
      <c r="F84" s="401" t="s">
        <v>32</v>
      </c>
      <c r="G84" s="401"/>
      <c r="H84" s="401"/>
      <c r="I84" s="401"/>
      <c r="J84" s="401"/>
      <c r="K84" s="401"/>
      <c r="L84" s="401"/>
      <c r="M84" s="401"/>
      <c r="N84" s="401"/>
      <c r="O84" s="537"/>
      <c r="P84" s="537"/>
    </row>
    <row r="85" spans="1:16" ht="19.2" customHeight="1">
      <c r="A85" s="7" t="s">
        <v>218</v>
      </c>
      <c r="B85" s="7"/>
      <c r="C85" s="7"/>
      <c r="D85" s="7"/>
      <c r="E85" s="7"/>
      <c r="F85" s="280"/>
      <c r="G85" s="280"/>
      <c r="H85" s="280"/>
      <c r="I85" s="280"/>
      <c r="J85" s="280"/>
      <c r="K85" s="280"/>
      <c r="L85" s="280"/>
      <c r="M85" s="280"/>
      <c r="N85" s="280"/>
      <c r="O85" s="537"/>
      <c r="P85" s="537"/>
    </row>
    <row r="86" spans="1:16" ht="19.2" customHeight="1">
      <c r="A86" s="304" t="s">
        <v>99</v>
      </c>
      <c r="B86" s="304"/>
      <c r="C86" s="304"/>
      <c r="D86" s="304"/>
      <c r="E86" s="304" t="s">
        <v>89</v>
      </c>
      <c r="F86" s="304"/>
      <c r="G86" s="304"/>
      <c r="H86" s="304"/>
      <c r="I86" s="304"/>
      <c r="J86" s="304"/>
      <c r="K86" s="304"/>
      <c r="L86" s="304"/>
      <c r="M86" s="304"/>
      <c r="N86" s="304"/>
      <c r="O86" s="538"/>
    </row>
    <row r="87" spans="1:16" ht="19.2" customHeight="1">
      <c r="A87" s="304"/>
      <c r="B87" s="304"/>
      <c r="C87" s="304"/>
      <c r="D87" s="304"/>
      <c r="E87" s="304" t="s">
        <v>102</v>
      </c>
      <c r="F87" s="304"/>
      <c r="G87" s="304"/>
      <c r="H87" s="304"/>
      <c r="I87" s="304"/>
      <c r="J87" s="304" t="s">
        <v>103</v>
      </c>
      <c r="K87" s="304"/>
      <c r="L87" s="304"/>
      <c r="M87" s="304"/>
      <c r="N87" s="304"/>
      <c r="O87" s="538"/>
    </row>
    <row r="88" spans="1:16" ht="19.2" customHeight="1">
      <c r="A88" s="305" t="s">
        <v>90</v>
      </c>
      <c r="B88" s="305"/>
      <c r="C88" s="305"/>
      <c r="D88" s="305"/>
      <c r="E88" s="308" t="s">
        <v>76</v>
      </c>
      <c r="F88" s="308"/>
      <c r="G88" s="308"/>
      <c r="H88" s="308"/>
      <c r="I88" s="308"/>
      <c r="J88" s="443" t="s">
        <v>90</v>
      </c>
      <c r="K88" s="444"/>
      <c r="L88" s="444"/>
      <c r="M88" s="444"/>
      <c r="N88" s="445"/>
      <c r="O88" s="538"/>
    </row>
    <row r="89" spans="1:16" ht="19.2" customHeight="1">
      <c r="A89" s="337" t="s">
        <v>168</v>
      </c>
      <c r="B89" s="338"/>
      <c r="C89" s="338"/>
      <c r="D89" s="339"/>
      <c r="E89" s="308"/>
      <c r="F89" s="308"/>
      <c r="G89" s="308"/>
      <c r="H89" s="308"/>
      <c r="I89" s="308"/>
      <c r="J89" s="337" t="s">
        <v>169</v>
      </c>
      <c r="K89" s="338"/>
      <c r="L89" s="338"/>
      <c r="M89" s="338"/>
      <c r="N89" s="339"/>
      <c r="O89" s="538"/>
    </row>
    <row r="90" spans="1:16" ht="19.2" customHeight="1">
      <c r="A90" s="307" t="s">
        <v>165</v>
      </c>
      <c r="B90" s="307"/>
      <c r="C90" s="307"/>
      <c r="D90" s="307"/>
      <c r="E90" s="308"/>
      <c r="F90" s="308"/>
      <c r="G90" s="308"/>
      <c r="H90" s="308"/>
      <c r="I90" s="308"/>
      <c r="J90" s="446" t="s">
        <v>170</v>
      </c>
      <c r="K90" s="447"/>
      <c r="L90" s="447"/>
      <c r="M90" s="447"/>
      <c r="N90" s="448"/>
      <c r="O90" s="538"/>
    </row>
    <row r="91" spans="1:16" ht="19.2" customHeight="1">
      <c r="A91" s="334" t="s">
        <v>124</v>
      </c>
      <c r="B91" s="335"/>
      <c r="C91" s="336"/>
      <c r="D91" s="118">
        <v>55</v>
      </c>
      <c r="E91" s="7"/>
      <c r="F91" s="280"/>
      <c r="G91" s="280"/>
      <c r="H91" s="280"/>
      <c r="I91" s="280"/>
      <c r="J91" s="280"/>
      <c r="K91" s="280"/>
      <c r="L91" s="280"/>
      <c r="M91" s="280"/>
      <c r="N91" s="280"/>
      <c r="O91" s="537"/>
      <c r="P91" s="537"/>
    </row>
    <row r="92" spans="1:16" ht="19.2" customHeight="1">
      <c r="A92" s="318" t="s">
        <v>66</v>
      </c>
      <c r="B92" s="321" t="s">
        <v>19</v>
      </c>
      <c r="C92" s="437" t="s">
        <v>8</v>
      </c>
      <c r="D92" s="321" t="s">
        <v>9</v>
      </c>
      <c r="E92" s="324" t="s">
        <v>11</v>
      </c>
      <c r="F92" s="325"/>
      <c r="G92" s="324" t="s">
        <v>13</v>
      </c>
      <c r="H92" s="325"/>
      <c r="I92" s="318" t="s">
        <v>16</v>
      </c>
      <c r="J92" s="318" t="s">
        <v>41</v>
      </c>
      <c r="K92" s="318" t="s">
        <v>42</v>
      </c>
      <c r="L92" s="318" t="s">
        <v>17</v>
      </c>
      <c r="M92" s="318" t="s">
        <v>56</v>
      </c>
      <c r="N92" s="318" t="s">
        <v>18</v>
      </c>
      <c r="O92" s="539"/>
    </row>
    <row r="93" spans="1:16" ht="19.2" customHeight="1">
      <c r="A93" s="319"/>
      <c r="B93" s="322"/>
      <c r="C93" s="438"/>
      <c r="D93" s="322"/>
      <c r="E93" s="326"/>
      <c r="F93" s="327"/>
      <c r="G93" s="326"/>
      <c r="H93" s="327"/>
      <c r="I93" s="328"/>
      <c r="J93" s="328"/>
      <c r="K93" s="328"/>
      <c r="L93" s="328"/>
      <c r="M93" s="328"/>
      <c r="N93" s="319"/>
      <c r="O93" s="283"/>
    </row>
    <row r="94" spans="1:16" ht="19.2" customHeight="1">
      <c r="A94" s="319"/>
      <c r="B94" s="322"/>
      <c r="C94" s="438"/>
      <c r="D94" s="322"/>
      <c r="E94" s="318" t="s">
        <v>10</v>
      </c>
      <c r="F94" s="318" t="s">
        <v>12</v>
      </c>
      <c r="G94" s="318" t="s">
        <v>14</v>
      </c>
      <c r="H94" s="318" t="s">
        <v>15</v>
      </c>
      <c r="I94" s="328"/>
      <c r="J94" s="328"/>
      <c r="K94" s="328"/>
      <c r="L94" s="328"/>
      <c r="M94" s="328"/>
      <c r="N94" s="319"/>
      <c r="O94" s="283"/>
    </row>
    <row r="95" spans="1:16" ht="19.2" customHeight="1">
      <c r="A95" s="320"/>
      <c r="B95" s="323"/>
      <c r="C95" s="439"/>
      <c r="D95" s="323"/>
      <c r="E95" s="329"/>
      <c r="F95" s="329"/>
      <c r="G95" s="329"/>
      <c r="H95" s="329"/>
      <c r="I95" s="329"/>
      <c r="J95" s="329"/>
      <c r="K95" s="329"/>
      <c r="L95" s="329"/>
      <c r="M95" s="329"/>
      <c r="N95" s="320"/>
      <c r="O95" s="283"/>
    </row>
    <row r="96" spans="1:16" ht="19.2" customHeight="1">
      <c r="A96" s="343" t="s">
        <v>39</v>
      </c>
      <c r="B96" s="344"/>
      <c r="C96" s="344"/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5"/>
      <c r="O96" s="283"/>
    </row>
    <row r="97" spans="1:20" ht="19.2" customHeight="1">
      <c r="A97" s="8">
        <v>1</v>
      </c>
      <c r="B97" s="9" t="s">
        <v>2</v>
      </c>
      <c r="C97" s="21">
        <f>L97/100*100</f>
        <v>70</v>
      </c>
      <c r="D97" s="22">
        <f>C97/100*60</f>
        <v>42</v>
      </c>
      <c r="E97" s="23">
        <f>C97/100*15</f>
        <v>10.5</v>
      </c>
      <c r="F97" s="23"/>
      <c r="G97" s="23"/>
      <c r="H97" s="23"/>
      <c r="I97" s="23"/>
      <c r="J97" s="25">
        <f>C97/100*387</f>
        <v>270.89999999999998</v>
      </c>
      <c r="K97" s="25">
        <f>C97/100*0.09</f>
        <v>6.3E-2</v>
      </c>
      <c r="L97" s="130">
        <v>70</v>
      </c>
      <c r="M97" s="65">
        <v>20</v>
      </c>
      <c r="N97" s="21">
        <f>L97*M97</f>
        <v>1400</v>
      </c>
      <c r="O97" s="3"/>
    </row>
    <row r="98" spans="1:20" ht="19.2" customHeight="1">
      <c r="A98" s="8">
        <v>2</v>
      </c>
      <c r="B98" s="142" t="s">
        <v>143</v>
      </c>
      <c r="C98" s="21">
        <f>L98/100*100</f>
        <v>350</v>
      </c>
      <c r="D98" s="22">
        <f>C98/100*899</f>
        <v>3146.5</v>
      </c>
      <c r="E98" s="23"/>
      <c r="F98" s="23"/>
      <c r="G98" s="23">
        <f>C98/100*100</f>
        <v>350</v>
      </c>
      <c r="H98" s="23"/>
      <c r="I98" s="23"/>
      <c r="J98" s="23"/>
      <c r="K98" s="23"/>
      <c r="L98" s="130">
        <v>350</v>
      </c>
      <c r="M98" s="137">
        <v>68</v>
      </c>
      <c r="N98" s="21">
        <f t="shared" ref="N98:N105" si="3">L98*M98</f>
        <v>23800</v>
      </c>
      <c r="O98" s="542"/>
    </row>
    <row r="99" spans="1:20" ht="19.2" customHeight="1">
      <c r="A99" s="8">
        <v>3</v>
      </c>
      <c r="B99" s="4" t="s">
        <v>1</v>
      </c>
      <c r="C99" s="21">
        <f>L99/100*100</f>
        <v>2365</v>
      </c>
      <c r="D99" s="22">
        <f>C99/100*344</f>
        <v>8135.5999999999995</v>
      </c>
      <c r="E99" s="109"/>
      <c r="F99" s="109">
        <f>C99/100*7.9</f>
        <v>186.83500000000001</v>
      </c>
      <c r="G99" s="23"/>
      <c r="H99" s="23">
        <f>C99/100*1</f>
        <v>23.65</v>
      </c>
      <c r="I99" s="23">
        <f>C99/100*72.9</f>
        <v>1724.085</v>
      </c>
      <c r="J99" s="25">
        <f>C99/100*30</f>
        <v>709.5</v>
      </c>
      <c r="K99" s="25">
        <f>C99/100*0.1</f>
        <v>2.3649999999999998</v>
      </c>
      <c r="L99" s="130">
        <v>2365</v>
      </c>
      <c r="M99" s="65">
        <v>18</v>
      </c>
      <c r="N99" s="21">
        <f t="shared" si="3"/>
        <v>42570</v>
      </c>
      <c r="O99" s="3"/>
    </row>
    <row r="100" spans="1:20" ht="19.2" customHeight="1">
      <c r="A100" s="8">
        <v>4</v>
      </c>
      <c r="B100" s="9" t="s">
        <v>71</v>
      </c>
      <c r="C100" s="21">
        <f>L100/100*98</f>
        <v>1185.8</v>
      </c>
      <c r="D100" s="22">
        <f>C100/100*139</f>
        <v>1648.2619999999997</v>
      </c>
      <c r="E100" s="109">
        <f>C100/100*19</f>
        <v>225.30199999999996</v>
      </c>
      <c r="F100" s="109"/>
      <c r="G100" s="23">
        <f>C100/100*7</f>
        <v>83.005999999999986</v>
      </c>
      <c r="H100" s="23"/>
      <c r="I100" s="23"/>
      <c r="J100" s="25">
        <f>C100/100*7</f>
        <v>83.005999999999986</v>
      </c>
      <c r="K100" s="25">
        <f>C100/100*0.9</f>
        <v>10.672199999999998</v>
      </c>
      <c r="L100" s="130">
        <v>1210</v>
      </c>
      <c r="M100" s="136">
        <v>130</v>
      </c>
      <c r="N100" s="114">
        <f t="shared" si="3"/>
        <v>157300</v>
      </c>
      <c r="O100" s="3"/>
    </row>
    <row r="101" spans="1:20" ht="19.2" customHeight="1">
      <c r="A101" s="8">
        <v>5</v>
      </c>
      <c r="B101" s="4" t="s">
        <v>30</v>
      </c>
      <c r="C101" s="21">
        <f>L101/100*88</f>
        <v>1355.2</v>
      </c>
      <c r="D101" s="22">
        <f>C101/100*184</f>
        <v>2493.5679999999998</v>
      </c>
      <c r="E101" s="109">
        <f>C101/100*13</f>
        <v>176.17599999999999</v>
      </c>
      <c r="F101" s="109"/>
      <c r="G101" s="23">
        <f>C101/100*14.2</f>
        <v>192.43839999999997</v>
      </c>
      <c r="H101" s="23"/>
      <c r="I101" s="23">
        <f>C101/100*1</f>
        <v>13.552</v>
      </c>
      <c r="J101" s="25">
        <f>C101/100*71</f>
        <v>962.19200000000001</v>
      </c>
      <c r="K101" s="25">
        <f>C101/100*0.15</f>
        <v>2.0327999999999999</v>
      </c>
      <c r="L101" s="130">
        <v>1540</v>
      </c>
      <c r="M101" s="24">
        <v>62</v>
      </c>
      <c r="N101" s="21">
        <f t="shared" si="3"/>
        <v>95480</v>
      </c>
      <c r="O101" s="3"/>
      <c r="Q101" s="2"/>
      <c r="R101" s="2"/>
      <c r="S101" s="3"/>
    </row>
    <row r="102" spans="1:20" ht="19.2" customHeight="1">
      <c r="A102" s="8">
        <v>5</v>
      </c>
      <c r="B102" s="9" t="s">
        <v>145</v>
      </c>
      <c r="C102" s="21">
        <f>L102/100*43</f>
        <v>460.09999999999997</v>
      </c>
      <c r="D102" s="22">
        <f>C102/100*83</f>
        <v>381.88299999999998</v>
      </c>
      <c r="E102" s="23">
        <f>C102/100*7.7</f>
        <v>35.427700000000002</v>
      </c>
      <c r="F102" s="23"/>
      <c r="G102" s="23">
        <f>C102/100*5.5</f>
        <v>25.305499999999999</v>
      </c>
      <c r="H102" s="23"/>
      <c r="I102" s="23"/>
      <c r="J102" s="25"/>
      <c r="K102" s="25"/>
      <c r="L102" s="130">
        <v>1070</v>
      </c>
      <c r="M102" s="136">
        <v>132</v>
      </c>
      <c r="N102" s="278">
        <f>L102*M102</f>
        <v>141240</v>
      </c>
      <c r="O102" s="3"/>
    </row>
    <row r="103" spans="1:20" ht="19.2" customHeight="1">
      <c r="A103" s="8">
        <v>9</v>
      </c>
      <c r="B103" s="4" t="s">
        <v>144</v>
      </c>
      <c r="C103" s="21">
        <f>L103/100*87</f>
        <v>1148.3999999999999</v>
      </c>
      <c r="D103" s="22">
        <f>C103/100*21</f>
        <v>241.16399999999996</v>
      </c>
      <c r="E103" s="26"/>
      <c r="F103" s="26">
        <f>C103/100*1.5</f>
        <v>17.225999999999999</v>
      </c>
      <c r="G103" s="26"/>
      <c r="H103" s="26">
        <f>C103/100*0.1</f>
        <v>1.1483999999999999</v>
      </c>
      <c r="I103" s="26">
        <f>C103/100*3.6</f>
        <v>41.342399999999998</v>
      </c>
      <c r="J103" s="26">
        <f>C103/100*40</f>
        <v>459.3599999999999</v>
      </c>
      <c r="K103" s="26">
        <f>C103/100*0.06</f>
        <v>0.68903999999999987</v>
      </c>
      <c r="L103" s="540">
        <v>1320</v>
      </c>
      <c r="M103" s="24">
        <v>18</v>
      </c>
      <c r="N103" s="128">
        <f t="shared" ref="N103:N104" si="4">L103*M103</f>
        <v>23760</v>
      </c>
      <c r="O103" s="3"/>
      <c r="Q103" s="2"/>
      <c r="R103" s="2"/>
      <c r="S103" s="3"/>
    </row>
    <row r="104" spans="1:20" ht="19.2" customHeight="1">
      <c r="A104" s="8">
        <v>8</v>
      </c>
      <c r="B104" s="4" t="s">
        <v>4</v>
      </c>
      <c r="C104" s="21">
        <f>L104/100*98.5</f>
        <v>433.40000000000003</v>
      </c>
      <c r="D104" s="22">
        <f>C104/100*39</f>
        <v>169.02600000000001</v>
      </c>
      <c r="E104" s="26"/>
      <c r="F104" s="26">
        <f>C104/100*1.5</f>
        <v>6.5010000000000012</v>
      </c>
      <c r="G104" s="26"/>
      <c r="H104" s="26">
        <f>C104/100*0.2</f>
        <v>0.86680000000000013</v>
      </c>
      <c r="I104" s="26">
        <f>C104/100*7.8</f>
        <v>33.805200000000006</v>
      </c>
      <c r="J104" s="26">
        <f>C104/100*43</f>
        <v>186.36200000000002</v>
      </c>
      <c r="K104" s="26">
        <f>C104/100*0.06</f>
        <v>0.26004000000000005</v>
      </c>
      <c r="L104" s="540">
        <v>440</v>
      </c>
      <c r="M104" s="24">
        <v>17</v>
      </c>
      <c r="N104" s="128">
        <f t="shared" si="4"/>
        <v>7480</v>
      </c>
      <c r="O104" s="3"/>
      <c r="Q104" s="2"/>
      <c r="R104" s="2"/>
      <c r="S104" s="3"/>
    </row>
    <row r="105" spans="1:20" ht="19.2" customHeight="1">
      <c r="A105" s="8">
        <v>9</v>
      </c>
      <c r="B105" s="4" t="s">
        <v>138</v>
      </c>
      <c r="C105" s="21">
        <f>L105/100*100</f>
        <v>40</v>
      </c>
      <c r="D105" s="22">
        <f>C105/100*247</f>
        <v>98.800000000000011</v>
      </c>
      <c r="E105" s="26"/>
      <c r="F105" s="26">
        <f>C105/100*17.5</f>
        <v>7</v>
      </c>
      <c r="G105" s="26"/>
      <c r="H105" s="26">
        <f>C105/100*1.6</f>
        <v>0.64000000000000012</v>
      </c>
      <c r="I105" s="26">
        <f>C105/100*39.2</f>
        <v>15.680000000000001</v>
      </c>
      <c r="J105" s="62"/>
      <c r="K105" s="62"/>
      <c r="L105" s="540">
        <v>40</v>
      </c>
      <c r="M105" s="65">
        <v>50</v>
      </c>
      <c r="N105" s="21">
        <f t="shared" si="3"/>
        <v>2000</v>
      </c>
      <c r="O105" s="3"/>
      <c r="Q105" s="2"/>
      <c r="R105" s="2"/>
      <c r="S105" s="3"/>
      <c r="T105" s="2"/>
    </row>
    <row r="106" spans="1:20" ht="19.2" customHeight="1">
      <c r="A106" s="70">
        <v>10</v>
      </c>
      <c r="B106" s="5" t="s">
        <v>125</v>
      </c>
      <c r="C106" s="21"/>
      <c r="D106" s="22"/>
      <c r="E106" s="23"/>
      <c r="F106" s="23"/>
      <c r="G106" s="23"/>
      <c r="H106" s="23"/>
      <c r="I106" s="23"/>
      <c r="J106" s="25"/>
      <c r="K106" s="25"/>
      <c r="L106" s="24"/>
      <c r="M106" s="24"/>
      <c r="N106" s="21">
        <v>3950</v>
      </c>
      <c r="O106" s="3"/>
    </row>
    <row r="107" spans="1:20" ht="19.2" customHeight="1">
      <c r="A107" s="19" t="s">
        <v>120</v>
      </c>
      <c r="B107" s="20"/>
      <c r="C107" s="30"/>
      <c r="D107" s="111">
        <f>SUM(D97:D106)</f>
        <v>16356.802999999996</v>
      </c>
      <c r="E107" s="6"/>
      <c r="F107" s="6"/>
      <c r="G107" s="6"/>
      <c r="H107" s="6"/>
      <c r="I107" s="6"/>
      <c r="J107" s="6"/>
      <c r="K107" s="6"/>
      <c r="L107" s="38"/>
      <c r="M107" s="425"/>
      <c r="N107" s="449">
        <f>SUM(N97:N106)</f>
        <v>498980</v>
      </c>
      <c r="O107" s="3"/>
    </row>
    <row r="108" spans="1:20" ht="19.2" customHeight="1">
      <c r="A108" s="19" t="s">
        <v>37</v>
      </c>
      <c r="B108" s="20"/>
      <c r="C108" s="39"/>
      <c r="D108" s="40">
        <f>D107/D91</f>
        <v>297.39641818181809</v>
      </c>
      <c r="E108" s="40"/>
      <c r="F108" s="40"/>
      <c r="G108" s="40"/>
      <c r="H108" s="40"/>
      <c r="I108" s="40"/>
      <c r="J108" s="40"/>
      <c r="K108" s="40"/>
      <c r="L108" s="38"/>
      <c r="M108" s="426"/>
      <c r="N108" s="450"/>
      <c r="O108" s="3"/>
    </row>
    <row r="109" spans="1:20" ht="19.2" customHeight="1">
      <c r="A109" s="402" t="s">
        <v>53</v>
      </c>
      <c r="B109" s="331"/>
      <c r="C109" s="541" t="s">
        <v>154</v>
      </c>
      <c r="D109" s="18" t="s">
        <v>45</v>
      </c>
      <c r="E109" s="40"/>
      <c r="F109" s="40"/>
      <c r="G109" s="40"/>
      <c r="H109" s="40"/>
      <c r="I109" s="40"/>
      <c r="J109" s="41"/>
      <c r="K109" s="41"/>
      <c r="L109" s="38"/>
      <c r="M109" s="38"/>
      <c r="N109" s="285"/>
      <c r="O109" s="3"/>
    </row>
    <row r="110" spans="1:20" ht="19.2" customHeight="1">
      <c r="A110" s="332"/>
      <c r="B110" s="333"/>
      <c r="C110" s="66" t="s">
        <v>60</v>
      </c>
      <c r="D110" s="68">
        <f>D108*100/930</f>
        <v>31.978109481915922</v>
      </c>
      <c r="E110" s="40"/>
      <c r="F110" s="40"/>
      <c r="G110" s="40"/>
      <c r="H110" s="40"/>
      <c r="I110" s="40"/>
      <c r="J110" s="41"/>
      <c r="K110" s="41"/>
      <c r="L110" s="38"/>
      <c r="M110" s="38"/>
      <c r="N110" s="285"/>
      <c r="O110" s="3"/>
    </row>
    <row r="111" spans="1:20" ht="19.2" customHeight="1">
      <c r="A111" s="341" t="s">
        <v>38</v>
      </c>
      <c r="B111" s="341"/>
      <c r="C111" s="48"/>
      <c r="D111" s="49"/>
      <c r="E111" s="50"/>
      <c r="F111" s="50"/>
      <c r="G111" s="50"/>
      <c r="H111" s="50"/>
      <c r="I111" s="50"/>
      <c r="J111" s="50"/>
      <c r="K111" s="50"/>
      <c r="L111" s="51"/>
      <c r="M111" s="51"/>
      <c r="N111" s="48"/>
      <c r="O111" s="3"/>
    </row>
    <row r="112" spans="1:20" ht="19.2" customHeight="1">
      <c r="A112" s="8">
        <v>1</v>
      </c>
      <c r="B112" s="9" t="s">
        <v>2</v>
      </c>
      <c r="C112" s="21">
        <f>L112/100*100</f>
        <v>70</v>
      </c>
      <c r="D112" s="22">
        <f>C112/100*60</f>
        <v>42</v>
      </c>
      <c r="E112" s="23">
        <f>C112/100*15</f>
        <v>10.5</v>
      </c>
      <c r="F112" s="23"/>
      <c r="G112" s="23"/>
      <c r="H112" s="23"/>
      <c r="I112" s="23"/>
      <c r="J112" s="25">
        <f>C112/100*387</f>
        <v>270.89999999999998</v>
      </c>
      <c r="K112" s="25">
        <f>C112/100*0.09</f>
        <v>6.3E-2</v>
      </c>
      <c r="L112" s="130">
        <v>70</v>
      </c>
      <c r="M112" s="65">
        <v>20</v>
      </c>
      <c r="N112" s="21">
        <f>L112*M112</f>
        <v>1400</v>
      </c>
      <c r="O112" s="3"/>
    </row>
    <row r="113" spans="1:20" ht="19.2" customHeight="1">
      <c r="A113" s="8">
        <v>2</v>
      </c>
      <c r="B113" s="149" t="s">
        <v>143</v>
      </c>
      <c r="C113" s="21">
        <f>L113/100*100</f>
        <v>90</v>
      </c>
      <c r="D113" s="22">
        <f>C113/100*899</f>
        <v>809.1</v>
      </c>
      <c r="E113" s="23"/>
      <c r="F113" s="23"/>
      <c r="G113" s="23">
        <f>C113/100*100</f>
        <v>90</v>
      </c>
      <c r="H113" s="23"/>
      <c r="I113" s="23"/>
      <c r="J113" s="25"/>
      <c r="K113" s="25"/>
      <c r="L113" s="130">
        <v>90</v>
      </c>
      <c r="M113" s="65">
        <v>68</v>
      </c>
      <c r="N113" s="21">
        <f t="shared" ref="N113:N119" si="5">L113*M113</f>
        <v>6120</v>
      </c>
      <c r="O113" s="3"/>
    </row>
    <row r="114" spans="1:20" ht="19.2" customHeight="1">
      <c r="A114" s="8">
        <v>3</v>
      </c>
      <c r="B114" s="147" t="s">
        <v>149</v>
      </c>
      <c r="C114" s="21">
        <f>L114/100*100</f>
        <v>240</v>
      </c>
      <c r="D114" s="110">
        <f>C114/100*900</f>
        <v>2160</v>
      </c>
      <c r="E114" s="23"/>
      <c r="F114" s="23"/>
      <c r="G114" s="109"/>
      <c r="H114" s="23">
        <f>C114/100*100</f>
        <v>240</v>
      </c>
      <c r="I114" s="23"/>
      <c r="J114" s="23"/>
      <c r="K114" s="23"/>
      <c r="L114" s="130">
        <v>240</v>
      </c>
      <c r="M114" s="65">
        <v>63.5</v>
      </c>
      <c r="N114" s="21">
        <f t="shared" si="5"/>
        <v>15240</v>
      </c>
      <c r="O114" s="542"/>
    </row>
    <row r="115" spans="1:20" ht="19.2" customHeight="1">
      <c r="A115" s="8">
        <v>4</v>
      </c>
      <c r="B115" s="148" t="s">
        <v>68</v>
      </c>
      <c r="C115" s="21">
        <f>L115/100*98</f>
        <v>215.60000000000002</v>
      </c>
      <c r="D115" s="22">
        <f>C115/100*573</f>
        <v>1235.3880000000001</v>
      </c>
      <c r="E115" s="26"/>
      <c r="F115" s="26">
        <f>C115/100*27.5</f>
        <v>59.290000000000006</v>
      </c>
      <c r="G115" s="26"/>
      <c r="H115" s="26">
        <f>C115/100*44.5</f>
        <v>95.942000000000007</v>
      </c>
      <c r="I115" s="26">
        <f>C115/100*15.5</f>
        <v>33.417999999999999</v>
      </c>
      <c r="J115" s="62">
        <f>C115/100*68</f>
        <v>146.608</v>
      </c>
      <c r="K115" s="62">
        <f>C115/100*0.44</f>
        <v>0.94864000000000004</v>
      </c>
      <c r="L115" s="540">
        <v>220</v>
      </c>
      <c r="M115" s="24">
        <v>70</v>
      </c>
      <c r="N115" s="21">
        <f t="shared" si="5"/>
        <v>15400</v>
      </c>
      <c r="O115" s="3"/>
      <c r="Q115" s="2"/>
      <c r="R115" s="2"/>
      <c r="S115" s="3"/>
    </row>
    <row r="116" spans="1:20" ht="19.2" customHeight="1">
      <c r="A116" s="8">
        <v>5</v>
      </c>
      <c r="B116" s="148" t="s">
        <v>1</v>
      </c>
      <c r="C116" s="21">
        <f>L116/100*100</f>
        <v>2310</v>
      </c>
      <c r="D116" s="22">
        <f>C116/100*344</f>
        <v>7946.4000000000005</v>
      </c>
      <c r="E116" s="23"/>
      <c r="F116" s="109">
        <f>C116/100*7.9</f>
        <v>182.49</v>
      </c>
      <c r="G116" s="23"/>
      <c r="H116" s="23">
        <f>C116/100*1</f>
        <v>23.1</v>
      </c>
      <c r="I116" s="23">
        <f>C116/100*72.9</f>
        <v>1683.9900000000002</v>
      </c>
      <c r="J116" s="25">
        <f>C116/100*30</f>
        <v>693</v>
      </c>
      <c r="K116" s="25">
        <f>C116/100*0.1</f>
        <v>2.31</v>
      </c>
      <c r="L116" s="130">
        <v>2310</v>
      </c>
      <c r="M116" s="65">
        <v>18</v>
      </c>
      <c r="N116" s="21">
        <f t="shared" si="5"/>
        <v>41580</v>
      </c>
      <c r="O116" s="3"/>
    </row>
    <row r="117" spans="1:20" ht="19.2" customHeight="1">
      <c r="A117" s="8">
        <v>6</v>
      </c>
      <c r="B117" s="148" t="s">
        <v>105</v>
      </c>
      <c r="C117" s="21">
        <f>L117/100*87</f>
        <v>1339.8</v>
      </c>
      <c r="D117" s="22">
        <f>C117/100*14</f>
        <v>187.572</v>
      </c>
      <c r="E117" s="23"/>
      <c r="F117" s="23">
        <f>C117/100*1.9</f>
        <v>25.456199999999999</v>
      </c>
      <c r="G117" s="23"/>
      <c r="H117" s="23"/>
      <c r="I117" s="23">
        <f>C117/100*1.6</f>
        <v>21.436800000000002</v>
      </c>
      <c r="J117" s="109">
        <f>C117/100*48.7</f>
        <v>652.48260000000005</v>
      </c>
      <c r="K117" s="23">
        <f>C117/100*0.03</f>
        <v>0.40193999999999996</v>
      </c>
      <c r="L117" s="24">
        <v>1540</v>
      </c>
      <c r="M117" s="65">
        <v>25</v>
      </c>
      <c r="N117" s="21">
        <f t="shared" si="5"/>
        <v>38500</v>
      </c>
      <c r="O117" s="3"/>
    </row>
    <row r="118" spans="1:20" ht="19.2" customHeight="1">
      <c r="A118" s="8">
        <v>7</v>
      </c>
      <c r="B118" s="4" t="s">
        <v>138</v>
      </c>
      <c r="C118" s="21">
        <f>L118/100*100</f>
        <v>40</v>
      </c>
      <c r="D118" s="22">
        <f>C118/100*247</f>
        <v>98.800000000000011</v>
      </c>
      <c r="E118" s="26"/>
      <c r="F118" s="26">
        <f>C118/100*17.5</f>
        <v>7</v>
      </c>
      <c r="G118" s="26"/>
      <c r="H118" s="26">
        <f>C118/100*1.6</f>
        <v>0.64000000000000012</v>
      </c>
      <c r="I118" s="26">
        <f>C118/100*39.2</f>
        <v>15.680000000000001</v>
      </c>
      <c r="J118" s="62"/>
      <c r="K118" s="62"/>
      <c r="L118" s="540">
        <v>40</v>
      </c>
      <c r="M118" s="65">
        <v>50</v>
      </c>
      <c r="N118" s="21">
        <f t="shared" si="5"/>
        <v>2000</v>
      </c>
      <c r="O118" s="3"/>
      <c r="Q118" s="2"/>
      <c r="R118" s="2"/>
      <c r="S118" s="3"/>
      <c r="T118" s="2"/>
    </row>
    <row r="119" spans="1:20" ht="19.2" customHeight="1">
      <c r="A119" s="8">
        <v>8</v>
      </c>
      <c r="B119" s="9" t="s">
        <v>71</v>
      </c>
      <c r="C119" s="21">
        <f>L119/100*98</f>
        <v>2430.4</v>
      </c>
      <c r="D119" s="22">
        <f>C119/100*139</f>
        <v>3378.2560000000003</v>
      </c>
      <c r="E119" s="109">
        <f>C119/100*19</f>
        <v>461.77600000000007</v>
      </c>
      <c r="F119" s="23"/>
      <c r="G119" s="23">
        <f>C119/100*7</f>
        <v>170.12800000000001</v>
      </c>
      <c r="H119" s="23"/>
      <c r="I119" s="23"/>
      <c r="J119" s="25">
        <f>C119/100*7</f>
        <v>170.12800000000001</v>
      </c>
      <c r="K119" s="25">
        <f>C119/100*0.9</f>
        <v>21.873600000000003</v>
      </c>
      <c r="L119" s="130">
        <v>2480</v>
      </c>
      <c r="M119" s="136">
        <v>130</v>
      </c>
      <c r="N119" s="114">
        <f t="shared" si="5"/>
        <v>322400</v>
      </c>
      <c r="O119" s="3"/>
    </row>
    <row r="120" spans="1:20" ht="19.2" customHeight="1">
      <c r="A120" s="70">
        <v>9</v>
      </c>
      <c r="B120" s="5" t="s">
        <v>125</v>
      </c>
      <c r="C120" s="21"/>
      <c r="D120" s="22"/>
      <c r="E120" s="23"/>
      <c r="F120" s="23"/>
      <c r="G120" s="23"/>
      <c r="H120" s="23"/>
      <c r="I120" s="23"/>
      <c r="J120" s="23"/>
      <c r="K120" s="23"/>
      <c r="L120" s="24"/>
      <c r="M120" s="24"/>
      <c r="N120" s="21">
        <v>3950</v>
      </c>
      <c r="O120" s="3"/>
    </row>
    <row r="121" spans="1:20" ht="19.2" customHeight="1">
      <c r="A121" s="19" t="s">
        <v>121</v>
      </c>
      <c r="B121" s="20"/>
      <c r="C121" s="30"/>
      <c r="D121" s="111">
        <f>SUM(D112:D120)</f>
        <v>15857.516</v>
      </c>
      <c r="E121" s="6"/>
      <c r="F121" s="6"/>
      <c r="G121" s="6"/>
      <c r="H121" s="6"/>
      <c r="I121" s="6"/>
      <c r="J121" s="6"/>
      <c r="K121" s="6"/>
      <c r="L121" s="38"/>
      <c r="M121" s="425"/>
      <c r="N121" s="449">
        <f>SUM(N112:N120)</f>
        <v>446590</v>
      </c>
      <c r="O121" s="3"/>
    </row>
    <row r="122" spans="1:20" ht="19.2" customHeight="1">
      <c r="A122" s="19" t="s">
        <v>36</v>
      </c>
      <c r="B122" s="20"/>
      <c r="C122" s="52"/>
      <c r="D122" s="41">
        <f>D121/D91</f>
        <v>288.31847272727271</v>
      </c>
      <c r="E122" s="41"/>
      <c r="F122" s="41"/>
      <c r="G122" s="41"/>
      <c r="H122" s="41"/>
      <c r="I122" s="41"/>
      <c r="J122" s="41"/>
      <c r="K122" s="41"/>
      <c r="L122" s="53"/>
      <c r="M122" s="426"/>
      <c r="N122" s="451"/>
      <c r="O122" s="3"/>
    </row>
    <row r="123" spans="1:20" ht="19.2" customHeight="1">
      <c r="A123" s="402" t="s">
        <v>54</v>
      </c>
      <c r="B123" s="331"/>
      <c r="C123" s="541" t="s">
        <v>154</v>
      </c>
      <c r="D123" s="18" t="s">
        <v>46</v>
      </c>
      <c r="E123" s="40"/>
      <c r="F123" s="40"/>
      <c r="G123" s="40"/>
      <c r="H123" s="40"/>
      <c r="I123" s="40"/>
      <c r="J123" s="41"/>
      <c r="K123" s="41"/>
      <c r="L123" s="38"/>
      <c r="M123" s="38"/>
      <c r="N123" s="285"/>
      <c r="O123" s="3"/>
    </row>
    <row r="124" spans="1:20" ht="19.2" customHeight="1">
      <c r="A124" s="332"/>
      <c r="B124" s="333"/>
      <c r="C124" s="66" t="s">
        <v>60</v>
      </c>
      <c r="D124" s="68">
        <f>D122*100/930</f>
        <v>31.001986314760508</v>
      </c>
      <c r="E124" s="40"/>
      <c r="F124" s="40"/>
      <c r="G124" s="40"/>
      <c r="H124" s="40"/>
      <c r="I124" s="40"/>
      <c r="J124" s="41"/>
      <c r="K124" s="41"/>
      <c r="L124" s="38"/>
      <c r="M124" s="38"/>
      <c r="N124" s="285"/>
      <c r="O124" s="3"/>
    </row>
    <row r="125" spans="1:20" ht="19.2" customHeight="1">
      <c r="A125" s="341" t="s">
        <v>35</v>
      </c>
      <c r="B125" s="341"/>
      <c r="C125" s="54"/>
      <c r="D125" s="55"/>
      <c r="E125" s="55"/>
      <c r="F125" s="55"/>
      <c r="G125" s="55"/>
      <c r="H125" s="55"/>
      <c r="I125" s="55"/>
      <c r="J125" s="55"/>
      <c r="K125" s="55"/>
      <c r="L125" s="56"/>
      <c r="M125" s="56"/>
      <c r="N125" s="57"/>
      <c r="O125" s="3"/>
    </row>
    <row r="126" spans="1:20" ht="19.2" customHeight="1">
      <c r="A126" s="95">
        <v>1</v>
      </c>
      <c r="B126" s="102" t="s">
        <v>76</v>
      </c>
      <c r="C126" s="96">
        <f>L126/100*80</f>
        <v>6600</v>
      </c>
      <c r="D126" s="97">
        <f>C126/100*40</f>
        <v>2640</v>
      </c>
      <c r="E126" s="98"/>
      <c r="F126" s="98">
        <f>C126/100*1.3</f>
        <v>85.8</v>
      </c>
      <c r="G126" s="98"/>
      <c r="H126" s="98"/>
      <c r="I126" s="98">
        <f>C126/100*8.7</f>
        <v>574.19999999999993</v>
      </c>
      <c r="J126" s="98">
        <f>C126/100*11</f>
        <v>726</v>
      </c>
      <c r="K126" s="98"/>
      <c r="L126" s="566">
        <v>8250</v>
      </c>
      <c r="M126" s="140">
        <v>32</v>
      </c>
      <c r="N126" s="279">
        <f t="shared" ref="N126" si="6">L126*M126</f>
        <v>264000</v>
      </c>
      <c r="O126" s="3"/>
      <c r="P126" s="2"/>
      <c r="S126" s="163"/>
    </row>
    <row r="127" spans="1:20" ht="19.2" customHeight="1">
      <c r="A127" s="318" t="s">
        <v>66</v>
      </c>
      <c r="B127" s="321" t="s">
        <v>19</v>
      </c>
      <c r="C127" s="437" t="s">
        <v>8</v>
      </c>
      <c r="D127" s="321" t="s">
        <v>9</v>
      </c>
      <c r="E127" s="324" t="s">
        <v>11</v>
      </c>
      <c r="F127" s="325"/>
      <c r="G127" s="324" t="s">
        <v>13</v>
      </c>
      <c r="H127" s="325"/>
      <c r="I127" s="318" t="s">
        <v>16</v>
      </c>
      <c r="J127" s="318" t="s">
        <v>41</v>
      </c>
      <c r="K127" s="318" t="s">
        <v>42</v>
      </c>
      <c r="L127" s="318" t="s">
        <v>17</v>
      </c>
      <c r="M127" s="318" t="s">
        <v>56</v>
      </c>
      <c r="N127" s="318" t="s">
        <v>18</v>
      </c>
      <c r="O127" s="539"/>
    </row>
    <row r="128" spans="1:20" ht="19.2" customHeight="1">
      <c r="A128" s="319"/>
      <c r="B128" s="322"/>
      <c r="C128" s="438"/>
      <c r="D128" s="322"/>
      <c r="E128" s="326"/>
      <c r="F128" s="327"/>
      <c r="G128" s="326"/>
      <c r="H128" s="327"/>
      <c r="I128" s="328"/>
      <c r="J128" s="328"/>
      <c r="K128" s="328"/>
      <c r="L128" s="328"/>
      <c r="M128" s="328"/>
      <c r="N128" s="319"/>
      <c r="O128" s="283"/>
    </row>
    <row r="129" spans="1:22" ht="19.2" customHeight="1">
      <c r="A129" s="319"/>
      <c r="B129" s="322"/>
      <c r="C129" s="438"/>
      <c r="D129" s="322"/>
      <c r="E129" s="318" t="s">
        <v>10</v>
      </c>
      <c r="F129" s="318" t="s">
        <v>12</v>
      </c>
      <c r="G129" s="318" t="s">
        <v>14</v>
      </c>
      <c r="H129" s="318" t="s">
        <v>15</v>
      </c>
      <c r="I129" s="328"/>
      <c r="J129" s="328"/>
      <c r="K129" s="328"/>
      <c r="L129" s="328"/>
      <c r="M129" s="328"/>
      <c r="N129" s="319"/>
      <c r="O129" s="283"/>
    </row>
    <row r="130" spans="1:22" ht="19.2" customHeight="1">
      <c r="A130" s="320"/>
      <c r="B130" s="323"/>
      <c r="C130" s="439"/>
      <c r="D130" s="323"/>
      <c r="E130" s="329"/>
      <c r="F130" s="329"/>
      <c r="G130" s="329"/>
      <c r="H130" s="329"/>
      <c r="I130" s="329"/>
      <c r="J130" s="329"/>
      <c r="K130" s="329"/>
      <c r="L130" s="329"/>
      <c r="M130" s="329"/>
      <c r="N130" s="320"/>
      <c r="O130" s="283"/>
    </row>
    <row r="131" spans="1:22" ht="19.2" customHeight="1">
      <c r="A131" s="19" t="s">
        <v>108</v>
      </c>
      <c r="B131" s="20"/>
      <c r="C131" s="30"/>
      <c r="D131" s="31">
        <f>SUM(D125:D126)</f>
        <v>2640</v>
      </c>
      <c r="E131" s="6"/>
      <c r="F131" s="6"/>
      <c r="G131" s="6"/>
      <c r="H131" s="6"/>
      <c r="I131" s="6"/>
      <c r="J131" s="6"/>
      <c r="K131" s="6"/>
      <c r="L131" s="38"/>
      <c r="M131" s="425"/>
      <c r="N131" s="452">
        <f>SUM(N125:N126)</f>
        <v>264000</v>
      </c>
      <c r="O131" s="3"/>
    </row>
    <row r="132" spans="1:22" ht="19.2" customHeight="1">
      <c r="A132" s="19" t="s">
        <v>7</v>
      </c>
      <c r="B132" s="20"/>
      <c r="C132" s="39"/>
      <c r="D132" s="40">
        <f>D131/D91</f>
        <v>48</v>
      </c>
      <c r="E132" s="40"/>
      <c r="F132" s="40"/>
      <c r="G132" s="40"/>
      <c r="H132" s="40"/>
      <c r="I132" s="40"/>
      <c r="J132" s="40"/>
      <c r="K132" s="40"/>
      <c r="L132" s="38"/>
      <c r="M132" s="426"/>
      <c r="N132" s="453"/>
      <c r="O132" s="3"/>
    </row>
    <row r="133" spans="1:22" ht="19.2" customHeight="1">
      <c r="A133" s="402" t="s">
        <v>52</v>
      </c>
      <c r="B133" s="331"/>
      <c r="C133" s="541" t="s">
        <v>154</v>
      </c>
      <c r="D133" s="18" t="s">
        <v>50</v>
      </c>
      <c r="E133" s="40"/>
      <c r="F133" s="40"/>
      <c r="G133" s="40"/>
      <c r="H133" s="40"/>
      <c r="I133" s="40"/>
      <c r="J133" s="41"/>
      <c r="K133" s="41"/>
      <c r="L133" s="38"/>
      <c r="M133" s="38"/>
      <c r="N133" s="285"/>
      <c r="O133" s="3"/>
    </row>
    <row r="134" spans="1:22" ht="19.2" customHeight="1">
      <c r="A134" s="332"/>
      <c r="B134" s="333"/>
      <c r="C134" s="66" t="s">
        <v>60</v>
      </c>
      <c r="D134" s="68">
        <f>D132*100/930</f>
        <v>5.161290322580645</v>
      </c>
      <c r="E134" s="40"/>
      <c r="F134" s="40"/>
      <c r="G134" s="40"/>
      <c r="H134" s="40"/>
      <c r="I134" s="40"/>
      <c r="J134" s="41"/>
      <c r="K134" s="41"/>
      <c r="L134" s="38"/>
      <c r="M134" s="38"/>
      <c r="N134" s="285"/>
      <c r="O134" s="3"/>
    </row>
    <row r="135" spans="1:22" ht="19.2" customHeight="1">
      <c r="A135" s="394" t="s">
        <v>115</v>
      </c>
      <c r="B135" s="395"/>
      <c r="C135" s="398"/>
      <c r="D135" s="415">
        <f>D107+D121+D131</f>
        <v>34854.318999999996</v>
      </c>
      <c r="E135" s="43">
        <f>SUM(E97:E132)</f>
        <v>919.68170000000009</v>
      </c>
      <c r="F135" s="43">
        <f>SUM(F97:F132)</f>
        <v>577.59820000000002</v>
      </c>
      <c r="G135" s="6">
        <f>SUM(G97:G132)</f>
        <v>910.87790000000007</v>
      </c>
      <c r="H135" s="6">
        <f>SUM(H97:H132)</f>
        <v>385.98720000000003</v>
      </c>
      <c r="I135" s="390">
        <f>SUM(I97:I132)</f>
        <v>4157.1894000000002</v>
      </c>
      <c r="J135" s="390">
        <f>SUM(J97:J126)</f>
        <v>5330.4385999999995</v>
      </c>
      <c r="K135" s="390">
        <f>SUM(K97:K126)</f>
        <v>41.679259999999999</v>
      </c>
      <c r="L135" s="373"/>
      <c r="M135" s="373"/>
      <c r="N135" s="417">
        <f>N107+N121+N131</f>
        <v>1209570</v>
      </c>
      <c r="U135" s="274"/>
      <c r="V135" s="274"/>
    </row>
    <row r="136" spans="1:22" ht="19.2" customHeight="1">
      <c r="A136" s="396"/>
      <c r="B136" s="397"/>
      <c r="C136" s="399"/>
      <c r="D136" s="416"/>
      <c r="E136" s="440">
        <f>E135+F135</f>
        <v>1497.2799</v>
      </c>
      <c r="F136" s="441"/>
      <c r="G136" s="387">
        <f>G135+H135</f>
        <v>1296.8651</v>
      </c>
      <c r="H136" s="388"/>
      <c r="I136" s="391"/>
      <c r="J136" s="391"/>
      <c r="K136" s="391"/>
      <c r="L136" s="373"/>
      <c r="M136" s="373"/>
      <c r="N136" s="417"/>
      <c r="Q136" s="558"/>
      <c r="R136" s="558"/>
      <c r="S136" s="558"/>
      <c r="T136" s="558"/>
      <c r="U136" s="559"/>
      <c r="V136" s="559"/>
    </row>
    <row r="137" spans="1:22" ht="19.2" customHeight="1">
      <c r="A137" s="374" t="s">
        <v>77</v>
      </c>
      <c r="B137" s="375"/>
      <c r="C137" s="376"/>
      <c r="D137" s="125">
        <f>D135/D91</f>
        <v>633.71489090909085</v>
      </c>
      <c r="E137" s="543">
        <f>E135/D91</f>
        <v>16.721485454545455</v>
      </c>
      <c r="F137" s="544">
        <f>F135/D91</f>
        <v>10.501785454545455</v>
      </c>
      <c r="G137" s="565">
        <f>G135/D91</f>
        <v>16.561416363636365</v>
      </c>
      <c r="H137" s="564">
        <f>H135/D91</f>
        <v>7.0179490909090916</v>
      </c>
      <c r="I137" s="413">
        <f>I135/D91</f>
        <v>75.58526181818182</v>
      </c>
      <c r="J137" s="413">
        <f>J135/D91</f>
        <v>96.917065454545451</v>
      </c>
      <c r="K137" s="413">
        <f>K135/D91</f>
        <v>0.7578047272727273</v>
      </c>
      <c r="L137" s="373"/>
      <c r="M137" s="373"/>
      <c r="N137" s="417"/>
      <c r="P137" s="547"/>
      <c r="Q137" s="558"/>
      <c r="R137" s="558"/>
      <c r="S137" s="560"/>
      <c r="T137" s="560"/>
      <c r="U137" s="558"/>
      <c r="V137" s="558"/>
    </row>
    <row r="138" spans="1:22" ht="19.2" customHeight="1">
      <c r="A138" s="377"/>
      <c r="B138" s="378"/>
      <c r="C138" s="379"/>
      <c r="D138" s="117"/>
      <c r="E138" s="545">
        <f>E137+F137</f>
        <v>27.22327090909091</v>
      </c>
      <c r="F138" s="546"/>
      <c r="G138" s="545">
        <f>G137+H137</f>
        <v>23.579365454545457</v>
      </c>
      <c r="H138" s="546"/>
      <c r="I138" s="414"/>
      <c r="J138" s="414"/>
      <c r="K138" s="414"/>
      <c r="L138" s="373"/>
      <c r="M138" s="373"/>
      <c r="N138" s="417"/>
    </row>
    <row r="139" spans="1:22" ht="19.2" customHeight="1">
      <c r="A139" s="422" t="s">
        <v>80</v>
      </c>
      <c r="B139" s="423"/>
      <c r="C139" s="424"/>
      <c r="D139" s="282" t="s">
        <v>29</v>
      </c>
      <c r="E139" s="304" t="s">
        <v>24</v>
      </c>
      <c r="F139" s="304"/>
      <c r="G139" s="304" t="s">
        <v>25</v>
      </c>
      <c r="H139" s="304"/>
      <c r="I139" s="282" t="s">
        <v>26</v>
      </c>
      <c r="J139" s="281">
        <v>500</v>
      </c>
      <c r="K139" s="281">
        <v>0.5</v>
      </c>
      <c r="L139" s="373"/>
      <c r="M139" s="373"/>
      <c r="N139" s="417"/>
      <c r="O139" s="548"/>
    </row>
    <row r="140" spans="1:22" ht="19.2" customHeight="1">
      <c r="A140" s="348" t="s">
        <v>78</v>
      </c>
      <c r="B140" s="380"/>
      <c r="C140" s="349"/>
      <c r="D140" s="42"/>
      <c r="E140" s="381">
        <f>E138*4.1</f>
        <v>111.61541072727272</v>
      </c>
      <c r="F140" s="382"/>
      <c r="G140" s="381">
        <f>G138*9</f>
        <v>212.21428909090912</v>
      </c>
      <c r="H140" s="382"/>
      <c r="I140" s="74">
        <f>I137*4.1</f>
        <v>309.89957345454542</v>
      </c>
      <c r="J140" s="361"/>
      <c r="K140" s="361"/>
      <c r="L140" s="373"/>
      <c r="M140" s="373"/>
      <c r="N140" s="417"/>
      <c r="O140" s="548"/>
      <c r="P140" s="556"/>
      <c r="Q140" s="557"/>
      <c r="R140" s="557"/>
      <c r="S140" s="557"/>
    </row>
    <row r="141" spans="1:22" ht="19.2" customHeight="1">
      <c r="A141" s="383" t="s">
        <v>87</v>
      </c>
      <c r="B141" s="384"/>
      <c r="C141" s="348" t="s">
        <v>59</v>
      </c>
      <c r="D141" s="349"/>
      <c r="E141" s="420">
        <f>E140*100/D137</f>
        <v>17.612874863514044</v>
      </c>
      <c r="F141" s="421"/>
      <c r="G141" s="420">
        <f>G140*100/D137</f>
        <v>33.487344566967444</v>
      </c>
      <c r="H141" s="421"/>
      <c r="I141" s="105">
        <f>I140*100/D137</f>
        <v>48.902050101739185</v>
      </c>
      <c r="J141" s="362"/>
      <c r="K141" s="362"/>
      <c r="L141" s="373"/>
      <c r="M141" s="373"/>
      <c r="N141" s="417"/>
      <c r="O141" s="548"/>
      <c r="P141" s="133"/>
      <c r="Q141" s="133"/>
      <c r="R141" s="133"/>
      <c r="S141" s="133"/>
    </row>
    <row r="142" spans="1:22" ht="19.2" customHeight="1">
      <c r="A142" s="385"/>
      <c r="B142" s="386"/>
      <c r="C142" s="348" t="s">
        <v>79</v>
      </c>
      <c r="D142" s="349"/>
      <c r="E142" s="348" t="s">
        <v>82</v>
      </c>
      <c r="F142" s="349"/>
      <c r="G142" s="348" t="s">
        <v>85</v>
      </c>
      <c r="H142" s="349"/>
      <c r="I142" s="282" t="s">
        <v>86</v>
      </c>
      <c r="J142" s="363"/>
      <c r="K142" s="363"/>
      <c r="L142" s="373"/>
      <c r="M142" s="373"/>
      <c r="N142" s="417"/>
      <c r="O142" s="548"/>
      <c r="P142" s="2"/>
    </row>
    <row r="143" spans="1:22" ht="19.2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83"/>
      <c r="M143" s="83"/>
      <c r="N143" s="84"/>
      <c r="O143" s="548"/>
    </row>
    <row r="144" spans="1:22" ht="21" customHeight="1">
      <c r="A144" s="291" t="s">
        <v>116</v>
      </c>
      <c r="B144" s="291"/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548"/>
    </row>
    <row r="145" spans="1:15" ht="21" customHeight="1">
      <c r="A145" s="107" t="s">
        <v>117</v>
      </c>
      <c r="B145" s="292" t="s">
        <v>118</v>
      </c>
      <c r="C145" s="292"/>
      <c r="D145" s="292"/>
      <c r="E145" s="292"/>
      <c r="F145" s="292"/>
      <c r="G145" s="292"/>
      <c r="H145" s="292"/>
      <c r="I145" s="292"/>
      <c r="J145" s="292"/>
      <c r="K145" s="292"/>
      <c r="L145" s="292"/>
      <c r="M145" s="292"/>
      <c r="N145" s="292"/>
      <c r="O145" s="548"/>
    </row>
    <row r="146" spans="1:15" ht="21" customHeight="1">
      <c r="A146" s="108"/>
      <c r="B146" s="293" t="s">
        <v>224</v>
      </c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548"/>
    </row>
    <row r="147" spans="1:15" ht="21" customHeight="1">
      <c r="A147" s="108"/>
      <c r="B147" s="293" t="s">
        <v>225</v>
      </c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548"/>
    </row>
    <row r="148" spans="1:15" ht="21" customHeight="1">
      <c r="A148" s="108"/>
      <c r="B148" s="293" t="s">
        <v>203</v>
      </c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548"/>
    </row>
    <row r="149" spans="1:15" ht="21" customHeight="1">
      <c r="A149" s="79"/>
      <c r="B149" s="294" t="s">
        <v>130</v>
      </c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548"/>
    </row>
    <row r="150" spans="1:15" ht="21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83"/>
      <c r="M150" s="83"/>
      <c r="N150" s="84"/>
      <c r="O150" s="548"/>
    </row>
    <row r="151" spans="1:15" ht="21" customHeight="1">
      <c r="A151" s="295" t="s">
        <v>62</v>
      </c>
      <c r="B151" s="295"/>
      <c r="C151" s="295"/>
      <c r="D151" s="295"/>
      <c r="E151" s="549"/>
      <c r="F151" s="549"/>
      <c r="G151" s="549"/>
      <c r="H151" s="549"/>
      <c r="I151" s="549"/>
      <c r="J151" s="550" t="s">
        <v>33</v>
      </c>
      <c r="K151" s="550"/>
      <c r="L151" s="550"/>
      <c r="M151" s="550"/>
      <c r="N151" s="550"/>
      <c r="O151" s="548"/>
    </row>
    <row r="152" spans="1:15" ht="21" customHeight="1">
      <c r="A152" s="283"/>
      <c r="B152" s="283"/>
      <c r="C152" s="283"/>
      <c r="D152" s="549"/>
      <c r="E152" s="549"/>
      <c r="F152" s="549"/>
      <c r="G152" s="549"/>
      <c r="H152" s="551"/>
      <c r="I152" s="551"/>
      <c r="J152" s="551"/>
      <c r="K152" s="551"/>
      <c r="L152" s="551"/>
      <c r="M152" s="551"/>
      <c r="N152" s="551"/>
      <c r="O152" s="548"/>
    </row>
    <row r="153" spans="1:15" ht="21" customHeight="1">
      <c r="A153" s="283"/>
      <c r="B153" s="283"/>
      <c r="C153" s="283"/>
      <c r="D153" s="549"/>
      <c r="E153" s="549"/>
      <c r="F153" s="549"/>
      <c r="G153" s="549"/>
      <c r="H153" s="551"/>
      <c r="I153" s="551"/>
      <c r="J153" s="551"/>
      <c r="K153" s="551"/>
      <c r="L153" s="551"/>
      <c r="M153" s="551"/>
      <c r="N153" s="551"/>
      <c r="O153" s="548"/>
    </row>
    <row r="154" spans="1:15" ht="21" customHeight="1">
      <c r="A154" s="283"/>
      <c r="B154" s="283"/>
      <c r="C154" s="283"/>
      <c r="D154" s="549"/>
      <c r="E154" s="549"/>
      <c r="F154" s="549"/>
      <c r="G154" s="549"/>
      <c r="H154" s="551"/>
      <c r="I154" s="551"/>
      <c r="J154" s="552" t="s">
        <v>126</v>
      </c>
      <c r="K154" s="552"/>
      <c r="L154" s="552"/>
      <c r="M154" s="552"/>
      <c r="N154" s="552"/>
      <c r="O154" s="548"/>
    </row>
    <row r="155" spans="1:15" ht="21" customHeight="1">
      <c r="A155" s="287" t="s">
        <v>93</v>
      </c>
      <c r="B155" s="287"/>
      <c r="C155" s="287"/>
      <c r="D155" s="287"/>
      <c r="E155" s="549"/>
      <c r="F155" s="549"/>
      <c r="G155" s="549"/>
      <c r="H155" s="551"/>
      <c r="I155" s="551"/>
      <c r="J155" s="552"/>
      <c r="K155" s="552"/>
      <c r="L155" s="552"/>
      <c r="M155" s="552"/>
      <c r="N155" s="552"/>
      <c r="O155" s="548"/>
    </row>
    <row r="157" spans="1:15" ht="19.2" customHeight="1">
      <c r="J157" s="552" t="s">
        <v>129</v>
      </c>
      <c r="K157" s="552"/>
      <c r="L157" s="552"/>
      <c r="M157" s="552"/>
      <c r="N157" s="552"/>
    </row>
  </sheetData>
  <mergeCells count="205"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F1:N1"/>
    <mergeCell ref="A5:D5"/>
    <mergeCell ref="E5:N5"/>
    <mergeCell ref="A6:D6"/>
    <mergeCell ref="E6:I9"/>
    <mergeCell ref="J6:N9"/>
    <mergeCell ref="A7:D7"/>
    <mergeCell ref="A8:D8"/>
    <mergeCell ref="A9:D9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view="pageLayout" workbookViewId="0">
      <selection activeCell="P58" sqref="P58:S59"/>
    </sheetView>
  </sheetViews>
  <sheetFormatPr defaultColWidth="9.109375" defaultRowHeight="20.399999999999999" customHeight="1"/>
  <cols>
    <col min="1" max="1" width="3.3320312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6640625" style="1" customWidth="1"/>
    <col min="12" max="12" width="5" style="1" customWidth="1"/>
    <col min="13" max="13" width="5.33203125" style="1" customWidth="1"/>
    <col min="14" max="14" width="8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16" ht="23.4" customHeight="1">
      <c r="A1" s="10" t="s">
        <v>61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12.6" customHeight="1">
      <c r="A2" s="10"/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23.4" customHeight="1">
      <c r="A3" s="7" t="s">
        <v>219</v>
      </c>
      <c r="B3" s="7"/>
      <c r="C3" s="7"/>
      <c r="D3" s="7"/>
      <c r="E3" s="7"/>
      <c r="F3" s="280"/>
      <c r="G3" s="280"/>
      <c r="H3" s="280"/>
      <c r="I3" s="280"/>
      <c r="J3" s="280"/>
      <c r="K3" s="280"/>
      <c r="L3" s="280"/>
      <c r="M3" s="280"/>
      <c r="N3" s="280"/>
      <c r="O3" s="537"/>
      <c r="P3" s="537"/>
    </row>
    <row r="4" spans="1:16" ht="12.6" customHeight="1">
      <c r="A4" s="7"/>
      <c r="B4" s="7"/>
      <c r="C4" s="7"/>
      <c r="D4" s="7"/>
      <c r="E4" s="7"/>
      <c r="F4" s="280"/>
      <c r="G4" s="280"/>
      <c r="H4" s="280"/>
      <c r="I4" s="280"/>
      <c r="J4" s="280"/>
      <c r="K4" s="280"/>
      <c r="L4" s="280"/>
      <c r="M4" s="280"/>
      <c r="N4" s="280"/>
      <c r="O4" s="537"/>
      <c r="P4" s="537"/>
    </row>
    <row r="5" spans="1:16" ht="19.2" customHeight="1">
      <c r="A5" s="304" t="s">
        <v>99</v>
      </c>
      <c r="B5" s="304"/>
      <c r="C5" s="304"/>
      <c r="D5" s="304"/>
      <c r="E5" s="304" t="s">
        <v>100</v>
      </c>
      <c r="F5" s="304"/>
      <c r="G5" s="304"/>
      <c r="H5" s="304"/>
      <c r="I5" s="304"/>
      <c r="J5" s="304"/>
      <c r="K5" s="304"/>
      <c r="L5" s="304"/>
      <c r="M5" s="304"/>
      <c r="N5" s="304"/>
      <c r="O5" s="538"/>
    </row>
    <row r="6" spans="1:16" ht="19.2" customHeight="1">
      <c r="A6" s="305" t="s">
        <v>90</v>
      </c>
      <c r="B6" s="305"/>
      <c r="C6" s="305"/>
      <c r="D6" s="305"/>
      <c r="E6" s="309" t="s">
        <v>174</v>
      </c>
      <c r="F6" s="310"/>
      <c r="G6" s="310"/>
      <c r="H6" s="310"/>
      <c r="I6" s="311"/>
      <c r="J6" s="309" t="s">
        <v>139</v>
      </c>
      <c r="K6" s="310"/>
      <c r="L6" s="310"/>
      <c r="M6" s="310"/>
      <c r="N6" s="311"/>
      <c r="O6" s="538"/>
    </row>
    <row r="7" spans="1:16" ht="19.2" customHeight="1">
      <c r="A7" s="459" t="s">
        <v>173</v>
      </c>
      <c r="B7" s="460"/>
      <c r="C7" s="460"/>
      <c r="D7" s="461"/>
      <c r="E7" s="312"/>
      <c r="F7" s="313"/>
      <c r="G7" s="313"/>
      <c r="H7" s="313"/>
      <c r="I7" s="314"/>
      <c r="J7" s="312"/>
      <c r="K7" s="313"/>
      <c r="L7" s="313"/>
      <c r="M7" s="313"/>
      <c r="N7" s="314"/>
      <c r="O7" s="538"/>
    </row>
    <row r="8" spans="1:16" ht="19.2" customHeight="1">
      <c r="A8" s="459" t="s">
        <v>193</v>
      </c>
      <c r="B8" s="460"/>
      <c r="C8" s="460"/>
      <c r="D8" s="461"/>
      <c r="E8" s="312"/>
      <c r="F8" s="313"/>
      <c r="G8" s="313"/>
      <c r="H8" s="313"/>
      <c r="I8" s="314"/>
      <c r="J8" s="312"/>
      <c r="K8" s="313"/>
      <c r="L8" s="313"/>
      <c r="M8" s="313"/>
      <c r="N8" s="314"/>
      <c r="O8" s="538"/>
    </row>
    <row r="9" spans="1:16" ht="19.2" customHeight="1">
      <c r="A9" s="469" t="s">
        <v>194</v>
      </c>
      <c r="B9" s="469"/>
      <c r="C9" s="469"/>
      <c r="D9" s="469"/>
      <c r="E9" s="315"/>
      <c r="F9" s="316"/>
      <c r="G9" s="316"/>
      <c r="H9" s="316"/>
      <c r="I9" s="317"/>
      <c r="J9" s="315"/>
      <c r="K9" s="316"/>
      <c r="L9" s="316"/>
      <c r="M9" s="316"/>
      <c r="N9" s="317"/>
      <c r="O9" s="538"/>
    </row>
    <row r="10" spans="1:16" ht="19.2" customHeight="1">
      <c r="A10" s="334" t="s">
        <v>124</v>
      </c>
      <c r="B10" s="335"/>
      <c r="C10" s="336"/>
      <c r="D10" s="118">
        <v>216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538"/>
    </row>
    <row r="11" spans="1:16" ht="21" customHeight="1">
      <c r="A11" s="318" t="s">
        <v>0</v>
      </c>
      <c r="B11" s="321" t="s">
        <v>19</v>
      </c>
      <c r="C11" s="321" t="s">
        <v>8</v>
      </c>
      <c r="D11" s="321" t="s">
        <v>9</v>
      </c>
      <c r="E11" s="324" t="s">
        <v>11</v>
      </c>
      <c r="F11" s="325"/>
      <c r="G11" s="324" t="s">
        <v>13</v>
      </c>
      <c r="H11" s="325"/>
      <c r="I11" s="318" t="s">
        <v>16</v>
      </c>
      <c r="J11" s="318" t="s">
        <v>41</v>
      </c>
      <c r="K11" s="318" t="s">
        <v>42</v>
      </c>
      <c r="L11" s="454" t="s">
        <v>17</v>
      </c>
      <c r="M11" s="318" t="s">
        <v>57</v>
      </c>
      <c r="N11" s="318" t="s">
        <v>18</v>
      </c>
      <c r="O11" s="539"/>
    </row>
    <row r="12" spans="1:16" ht="21" customHeight="1">
      <c r="A12" s="319"/>
      <c r="B12" s="322"/>
      <c r="C12" s="322"/>
      <c r="D12" s="322"/>
      <c r="E12" s="326"/>
      <c r="F12" s="327"/>
      <c r="G12" s="326"/>
      <c r="H12" s="327"/>
      <c r="I12" s="328"/>
      <c r="J12" s="328"/>
      <c r="K12" s="328"/>
      <c r="L12" s="455"/>
      <c r="M12" s="328"/>
      <c r="N12" s="319"/>
      <c r="O12" s="283"/>
    </row>
    <row r="13" spans="1:16" ht="21" customHeight="1">
      <c r="A13" s="319"/>
      <c r="B13" s="322"/>
      <c r="C13" s="322"/>
      <c r="D13" s="322"/>
      <c r="E13" s="318" t="s">
        <v>10</v>
      </c>
      <c r="F13" s="318" t="s">
        <v>12</v>
      </c>
      <c r="G13" s="318" t="s">
        <v>14</v>
      </c>
      <c r="H13" s="318" t="s">
        <v>15</v>
      </c>
      <c r="I13" s="328"/>
      <c r="J13" s="328"/>
      <c r="K13" s="328"/>
      <c r="L13" s="455"/>
      <c r="M13" s="328"/>
      <c r="N13" s="319"/>
      <c r="O13" s="283"/>
    </row>
    <row r="14" spans="1:16" ht="21" customHeight="1">
      <c r="A14" s="320"/>
      <c r="B14" s="323"/>
      <c r="C14" s="323"/>
      <c r="D14" s="323"/>
      <c r="E14" s="329"/>
      <c r="F14" s="329"/>
      <c r="G14" s="329"/>
      <c r="H14" s="329"/>
      <c r="I14" s="329"/>
      <c r="J14" s="329"/>
      <c r="K14" s="329"/>
      <c r="L14" s="456"/>
      <c r="M14" s="329"/>
      <c r="N14" s="320"/>
      <c r="O14" s="283"/>
    </row>
    <row r="15" spans="1:16" ht="18.600000000000001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283"/>
    </row>
    <row r="16" spans="1:16" ht="18.600000000000001" customHeight="1">
      <c r="A16" s="8">
        <v>1</v>
      </c>
      <c r="B16" s="9" t="s">
        <v>2</v>
      </c>
      <c r="C16" s="21">
        <f>L16/100*100</f>
        <v>290</v>
      </c>
      <c r="D16" s="22">
        <f>C16/100*60</f>
        <v>174</v>
      </c>
      <c r="E16" s="23">
        <f>C16/100*15</f>
        <v>43.5</v>
      </c>
      <c r="F16" s="23"/>
      <c r="G16" s="23"/>
      <c r="H16" s="23"/>
      <c r="I16" s="23"/>
      <c r="J16" s="71">
        <f>C16/100*387</f>
        <v>1122.3</v>
      </c>
      <c r="K16" s="25">
        <f>C16/100*0.09</f>
        <v>0.26100000000000001</v>
      </c>
      <c r="L16" s="130">
        <v>290</v>
      </c>
      <c r="M16" s="65">
        <v>20</v>
      </c>
      <c r="N16" s="21">
        <f>L16*M16</f>
        <v>5800</v>
      </c>
      <c r="O16" s="3"/>
    </row>
    <row r="17" spans="1:20" ht="18.600000000000001" customHeight="1">
      <c r="A17" s="8">
        <v>3</v>
      </c>
      <c r="B17" s="147" t="s">
        <v>149</v>
      </c>
      <c r="C17" s="21">
        <f>L17/100*100</f>
        <v>980.00000000000011</v>
      </c>
      <c r="D17" s="110">
        <f>C17/100*900</f>
        <v>8820</v>
      </c>
      <c r="E17" s="23"/>
      <c r="F17" s="23"/>
      <c r="G17" s="109"/>
      <c r="H17" s="23">
        <f>C17/100*100</f>
        <v>980.00000000000011</v>
      </c>
      <c r="I17" s="23"/>
      <c r="J17" s="23"/>
      <c r="K17" s="23"/>
      <c r="L17" s="130">
        <v>980</v>
      </c>
      <c r="M17" s="65">
        <v>63.5</v>
      </c>
      <c r="N17" s="21">
        <f t="shared" ref="N17:N25" si="0">L17*M17</f>
        <v>62230</v>
      </c>
      <c r="O17" s="542"/>
    </row>
    <row r="18" spans="1:20" ht="18.600000000000001" customHeight="1">
      <c r="A18" s="8">
        <v>4</v>
      </c>
      <c r="B18" s="4" t="s">
        <v>1</v>
      </c>
      <c r="C18" s="21">
        <f>L18/100*100</f>
        <v>20520</v>
      </c>
      <c r="D18" s="110">
        <f>C18/100*344</f>
        <v>70588.800000000003</v>
      </c>
      <c r="E18" s="23"/>
      <c r="F18" s="109">
        <f>C18/100*7.9</f>
        <v>1621.08</v>
      </c>
      <c r="G18" s="23"/>
      <c r="H18" s="23">
        <f>C18/100*1</f>
        <v>205.2</v>
      </c>
      <c r="I18" s="120">
        <f>C18/100*73.1</f>
        <v>15000.119999999997</v>
      </c>
      <c r="J18" s="71">
        <f>C18/100*30</f>
        <v>6156</v>
      </c>
      <c r="K18" s="25">
        <f>C18/100*0.1</f>
        <v>20.52</v>
      </c>
      <c r="L18" s="561">
        <v>20520</v>
      </c>
      <c r="M18" s="65">
        <v>18</v>
      </c>
      <c r="N18" s="114">
        <f t="shared" si="0"/>
        <v>369360</v>
      </c>
      <c r="O18" s="3"/>
    </row>
    <row r="19" spans="1:20" ht="18.600000000000001" customHeight="1">
      <c r="A19" s="8">
        <v>5</v>
      </c>
      <c r="B19" s="4" t="s">
        <v>98</v>
      </c>
      <c r="C19" s="21">
        <f>L19/100*90</f>
        <v>4293</v>
      </c>
      <c r="D19" s="22">
        <f>C19/100*90</f>
        <v>3863.7</v>
      </c>
      <c r="E19" s="23">
        <f>C19/100*18.4</f>
        <v>789.91199999999992</v>
      </c>
      <c r="F19" s="23"/>
      <c r="G19" s="23">
        <f>C19/100*1.8</f>
        <v>77.274000000000001</v>
      </c>
      <c r="H19" s="23"/>
      <c r="I19" s="23"/>
      <c r="J19" s="71">
        <f>C19/100*1120</f>
        <v>48081.599999999999</v>
      </c>
      <c r="K19" s="25">
        <f>C19/100*0.02</f>
        <v>0.85860000000000003</v>
      </c>
      <c r="L19" s="130">
        <v>4770</v>
      </c>
      <c r="M19" s="65">
        <v>250</v>
      </c>
      <c r="N19" s="114">
        <f t="shared" si="0"/>
        <v>1192500</v>
      </c>
      <c r="O19" s="3"/>
      <c r="Q19" s="2"/>
      <c r="R19" s="2"/>
      <c r="S19" s="3"/>
    </row>
    <row r="20" spans="1:20" ht="18.600000000000001" customHeight="1">
      <c r="A20" s="8">
        <v>6</v>
      </c>
      <c r="B20" s="9" t="s">
        <v>71</v>
      </c>
      <c r="C20" s="21">
        <f>L20/100*98</f>
        <v>8261.4</v>
      </c>
      <c r="D20" s="110">
        <f>C20/100*139</f>
        <v>11483.345999999998</v>
      </c>
      <c r="E20" s="109">
        <f>C20/100*19</f>
        <v>1569.6659999999997</v>
      </c>
      <c r="F20" s="23"/>
      <c r="G20" s="23">
        <f>C20/100*7</f>
        <v>578.29799999999989</v>
      </c>
      <c r="H20" s="23"/>
      <c r="I20" s="23"/>
      <c r="J20" s="25">
        <f>C20/100*7</f>
        <v>578.29799999999989</v>
      </c>
      <c r="K20" s="25">
        <f>C20/100*0.9</f>
        <v>74.352599999999995</v>
      </c>
      <c r="L20" s="130">
        <v>8430</v>
      </c>
      <c r="M20" s="136">
        <v>130</v>
      </c>
      <c r="N20" s="114">
        <f t="shared" si="0"/>
        <v>1095900</v>
      </c>
      <c r="O20" s="3"/>
    </row>
    <row r="21" spans="1:20" s="133" customFormat="1" ht="18.600000000000001" customHeight="1">
      <c r="A21" s="161">
        <v>7</v>
      </c>
      <c r="B21" s="148" t="s">
        <v>183</v>
      </c>
      <c r="C21" s="128">
        <f>L21/100*78</f>
        <v>3369.6000000000004</v>
      </c>
      <c r="D21" s="131">
        <f>C21/100*37</f>
        <v>1246.7520000000002</v>
      </c>
      <c r="E21" s="129"/>
      <c r="F21" s="129">
        <f>C21/100*2.8</f>
        <v>94.348800000000011</v>
      </c>
      <c r="G21" s="129"/>
      <c r="H21" s="129">
        <f>C21/100*0.1</f>
        <v>3.3696000000000006</v>
      </c>
      <c r="I21" s="129">
        <f>C21/100*6.2</f>
        <v>208.91520000000003</v>
      </c>
      <c r="J21" s="132">
        <f>C21/100*46</f>
        <v>1550.0160000000003</v>
      </c>
      <c r="K21" s="129">
        <f>C21/100*0.02</f>
        <v>0.67392000000000007</v>
      </c>
      <c r="L21" s="130">
        <v>4320</v>
      </c>
      <c r="M21" s="162">
        <v>24</v>
      </c>
      <c r="N21" s="128">
        <f t="shared" si="0"/>
        <v>103680</v>
      </c>
      <c r="O21" s="562"/>
    </row>
    <row r="22" spans="1:20" ht="18.600000000000001" customHeight="1">
      <c r="A22" s="8">
        <v>8</v>
      </c>
      <c r="B22" s="4" t="s">
        <v>20</v>
      </c>
      <c r="C22" s="21">
        <f>L22/100*95</f>
        <v>1643.5</v>
      </c>
      <c r="D22" s="22">
        <f>C22/100*20</f>
        <v>328.7</v>
      </c>
      <c r="E22" s="23"/>
      <c r="F22" s="23">
        <f>C22/100*0.6</f>
        <v>9.8609999999999989</v>
      </c>
      <c r="G22" s="23"/>
      <c r="H22" s="23">
        <f>C22/100*0.2</f>
        <v>3.2869999999999999</v>
      </c>
      <c r="I22" s="23">
        <f>C22/100*4</f>
        <v>65.739999999999995</v>
      </c>
      <c r="J22" s="25">
        <f>C22/100*12</f>
        <v>197.21999999999997</v>
      </c>
      <c r="K22" s="22">
        <f>C22/100*0.04</f>
        <v>0.65739999999999998</v>
      </c>
      <c r="L22" s="130">
        <v>1730</v>
      </c>
      <c r="M22" s="67">
        <v>40</v>
      </c>
      <c r="N22" s="21">
        <f t="shared" si="0"/>
        <v>69200</v>
      </c>
      <c r="O22" s="16"/>
      <c r="Q22" s="2"/>
      <c r="R22" s="2"/>
      <c r="S22" s="3"/>
    </row>
    <row r="23" spans="1:20" ht="18.600000000000001" customHeight="1">
      <c r="A23" s="8">
        <v>9</v>
      </c>
      <c r="B23" s="4" t="s">
        <v>158</v>
      </c>
      <c r="C23" s="21">
        <f>L23/100*81</f>
        <v>1927.8</v>
      </c>
      <c r="D23" s="22">
        <f>C23/100*17</f>
        <v>327.726</v>
      </c>
      <c r="E23" s="26"/>
      <c r="F23" s="26">
        <f>C23/100*0.9</f>
        <v>17.350200000000001</v>
      </c>
      <c r="G23" s="26"/>
      <c r="H23" s="26">
        <f>C23/100*0.2</f>
        <v>3.8555999999999999</v>
      </c>
      <c r="I23" s="26">
        <f>C23/100*2.8</f>
        <v>53.978399999999993</v>
      </c>
      <c r="J23" s="23">
        <f>C23/100*28</f>
        <v>539.78399999999999</v>
      </c>
      <c r="K23" s="25">
        <f>C23/100*0.04</f>
        <v>0.77111999999999992</v>
      </c>
      <c r="L23" s="540">
        <v>2380</v>
      </c>
      <c r="M23" s="65">
        <v>20</v>
      </c>
      <c r="N23" s="21">
        <f t="shared" si="0"/>
        <v>47600</v>
      </c>
      <c r="O23" s="3"/>
      <c r="P23" s="2"/>
    </row>
    <row r="24" spans="1:20" s="133" customFormat="1" ht="16.2" customHeight="1">
      <c r="A24" s="161">
        <v>10</v>
      </c>
      <c r="B24" s="148" t="s">
        <v>195</v>
      </c>
      <c r="C24" s="128">
        <f>L24/100*65</f>
        <v>4907.5</v>
      </c>
      <c r="D24" s="131">
        <f>C24/100*14</f>
        <v>687.05000000000007</v>
      </c>
      <c r="E24" s="129"/>
      <c r="F24" s="129">
        <f>C24/100*1.6</f>
        <v>78.52000000000001</v>
      </c>
      <c r="G24" s="129"/>
      <c r="H24" s="129"/>
      <c r="I24" s="129">
        <f>C24/100*1.9</f>
        <v>93.242500000000007</v>
      </c>
      <c r="J24" s="132">
        <f>C24/100*63</f>
        <v>3091.7250000000004</v>
      </c>
      <c r="K24" s="129">
        <f>C24/100*0.01</f>
        <v>0.49075000000000002</v>
      </c>
      <c r="L24" s="130">
        <v>7550</v>
      </c>
      <c r="M24" s="162">
        <v>18</v>
      </c>
      <c r="N24" s="128">
        <f t="shared" si="0"/>
        <v>135900</v>
      </c>
      <c r="O24" s="562"/>
    </row>
    <row r="25" spans="1:20" ht="18.600000000000001" customHeight="1">
      <c r="A25" s="8">
        <v>11</v>
      </c>
      <c r="B25" s="4" t="s">
        <v>138</v>
      </c>
      <c r="C25" s="21">
        <f>L25/100*100</f>
        <v>220.00000000000003</v>
      </c>
      <c r="D25" s="22">
        <f>C25/100*247</f>
        <v>543.40000000000009</v>
      </c>
      <c r="E25" s="26"/>
      <c r="F25" s="26">
        <f>C25/100*17.5</f>
        <v>38.5</v>
      </c>
      <c r="G25" s="26"/>
      <c r="H25" s="26">
        <f>C25/100*1.6</f>
        <v>3.5200000000000005</v>
      </c>
      <c r="I25" s="26">
        <f>C25/100*39.2</f>
        <v>86.240000000000009</v>
      </c>
      <c r="J25" s="62"/>
      <c r="K25" s="62"/>
      <c r="L25" s="540">
        <v>220</v>
      </c>
      <c r="M25" s="65">
        <v>50</v>
      </c>
      <c r="N25" s="21">
        <f t="shared" si="0"/>
        <v>11000</v>
      </c>
      <c r="O25" s="3"/>
      <c r="Q25" s="2"/>
      <c r="R25" s="2"/>
      <c r="S25" s="3"/>
      <c r="T25" s="2"/>
    </row>
    <row r="26" spans="1:20" ht="18.600000000000001" customHeight="1">
      <c r="A26" s="8">
        <v>12</v>
      </c>
      <c r="B26" s="5" t="s">
        <v>125</v>
      </c>
      <c r="C26" s="21"/>
      <c r="D26" s="22"/>
      <c r="E26" s="26"/>
      <c r="F26" s="26"/>
      <c r="G26" s="26"/>
      <c r="H26" s="26"/>
      <c r="I26" s="26"/>
      <c r="J26" s="62"/>
      <c r="K26" s="62"/>
      <c r="L26" s="27"/>
      <c r="M26" s="24"/>
      <c r="N26" s="21">
        <v>16500</v>
      </c>
      <c r="O26" s="3"/>
    </row>
    <row r="27" spans="1:20" ht="18.600000000000001" customHeight="1">
      <c r="A27" s="19" t="s">
        <v>123</v>
      </c>
      <c r="B27" s="20"/>
      <c r="C27" s="30"/>
      <c r="D27" s="111">
        <f>SUM(D16:D26)</f>
        <v>98063.473999999973</v>
      </c>
      <c r="E27" s="32"/>
      <c r="F27" s="32"/>
      <c r="G27" s="32"/>
      <c r="H27" s="32"/>
      <c r="I27" s="32"/>
      <c r="J27" s="32"/>
      <c r="K27" s="32"/>
      <c r="L27" s="33"/>
      <c r="M27" s="428"/>
      <c r="N27" s="462">
        <f>SUM(N16:N26)</f>
        <v>3109670</v>
      </c>
      <c r="O27" s="3"/>
    </row>
    <row r="28" spans="1:20" ht="18.600000000000001" customHeight="1">
      <c r="A28" s="19" t="s">
        <v>6</v>
      </c>
      <c r="B28" s="20"/>
      <c r="C28" s="30"/>
      <c r="D28" s="31">
        <f>D27/D10</f>
        <v>453.99756481481467</v>
      </c>
      <c r="E28" s="32"/>
      <c r="F28" s="32"/>
      <c r="G28" s="32"/>
      <c r="H28" s="32"/>
      <c r="I28" s="32"/>
      <c r="J28" s="32"/>
      <c r="K28" s="32"/>
      <c r="L28" s="33"/>
      <c r="M28" s="429"/>
      <c r="N28" s="463"/>
      <c r="O28" s="3"/>
    </row>
    <row r="29" spans="1:20" ht="18.600000000000001" customHeight="1">
      <c r="A29" s="402" t="s">
        <v>51</v>
      </c>
      <c r="B29" s="464"/>
      <c r="C29" s="541" t="s">
        <v>154</v>
      </c>
      <c r="D29" s="18" t="s">
        <v>45</v>
      </c>
      <c r="E29" s="32"/>
      <c r="F29" s="32"/>
      <c r="G29" s="32"/>
      <c r="H29" s="32"/>
      <c r="I29" s="32"/>
      <c r="J29" s="32"/>
      <c r="K29" s="32"/>
      <c r="L29" s="33"/>
      <c r="M29" s="33"/>
      <c r="N29" s="34"/>
      <c r="O29" s="3"/>
    </row>
    <row r="30" spans="1:20" ht="18.600000000000001" customHeight="1">
      <c r="A30" s="465"/>
      <c r="B30" s="466"/>
      <c r="C30" s="66" t="s">
        <v>60</v>
      </c>
      <c r="D30" s="18">
        <f>D28*100/1320</f>
        <v>34.393754910213232</v>
      </c>
      <c r="E30" s="32"/>
      <c r="F30" s="32"/>
      <c r="G30" s="32"/>
      <c r="H30" s="32"/>
      <c r="I30" s="32"/>
      <c r="J30" s="32"/>
      <c r="K30" s="32"/>
      <c r="L30" s="33"/>
      <c r="M30" s="33"/>
      <c r="N30" s="34"/>
      <c r="O30" s="3"/>
    </row>
    <row r="31" spans="1:20" ht="18.600000000000001" customHeight="1">
      <c r="A31" s="341" t="s">
        <v>35</v>
      </c>
      <c r="B31" s="341"/>
      <c r="C31" s="48"/>
      <c r="D31" s="49"/>
      <c r="E31" s="50"/>
      <c r="F31" s="50"/>
      <c r="G31" s="50"/>
      <c r="H31" s="50"/>
      <c r="I31" s="50"/>
      <c r="J31" s="50"/>
      <c r="K31" s="50"/>
      <c r="L31" s="51"/>
      <c r="M31" s="51"/>
      <c r="N31" s="60"/>
      <c r="O31" s="3"/>
    </row>
    <row r="32" spans="1:20" ht="18.600000000000001" customHeight="1">
      <c r="A32" s="13">
        <v>1</v>
      </c>
      <c r="B32" s="156" t="s">
        <v>125</v>
      </c>
      <c r="C32" s="157"/>
      <c r="D32" s="158"/>
      <c r="E32" s="159"/>
      <c r="F32" s="159"/>
      <c r="G32" s="159"/>
      <c r="H32" s="159"/>
      <c r="I32" s="159"/>
      <c r="J32" s="159"/>
      <c r="K32" s="159"/>
      <c r="L32" s="160"/>
      <c r="M32" s="160"/>
      <c r="N32" s="157">
        <v>14300</v>
      </c>
      <c r="O32" s="3"/>
    </row>
    <row r="33" spans="1:20" ht="18.600000000000001" customHeight="1">
      <c r="A33" s="8">
        <v>2</v>
      </c>
      <c r="B33" s="9" t="s">
        <v>2</v>
      </c>
      <c r="C33" s="21">
        <f>L33/100*100</f>
        <v>260</v>
      </c>
      <c r="D33" s="22">
        <f>C33/100*60</f>
        <v>156</v>
      </c>
      <c r="E33" s="23">
        <f>C33/100*15</f>
        <v>39</v>
      </c>
      <c r="F33" s="23"/>
      <c r="G33" s="23"/>
      <c r="H33" s="23"/>
      <c r="I33" s="23"/>
      <c r="J33" s="71">
        <f>C33/100*387</f>
        <v>1006.2</v>
      </c>
      <c r="K33" s="25">
        <f>C33/100*0.09</f>
        <v>0.23399999999999999</v>
      </c>
      <c r="L33" s="130">
        <v>260</v>
      </c>
      <c r="M33" s="65">
        <v>20</v>
      </c>
      <c r="N33" s="21">
        <f>L33*M33</f>
        <v>5200</v>
      </c>
      <c r="O33" s="3"/>
    </row>
    <row r="34" spans="1:20" ht="18.600000000000001" customHeight="1">
      <c r="A34" s="8">
        <v>3</v>
      </c>
      <c r="B34" s="4" t="s">
        <v>1</v>
      </c>
      <c r="C34" s="21">
        <f>L34/100*100</f>
        <v>3240</v>
      </c>
      <c r="D34" s="110">
        <f>C34/100*344</f>
        <v>11145.6</v>
      </c>
      <c r="E34" s="23"/>
      <c r="F34" s="23">
        <f>C34/100*7.9</f>
        <v>255.96</v>
      </c>
      <c r="G34" s="23"/>
      <c r="H34" s="23">
        <f>C34/100*1</f>
        <v>32.4</v>
      </c>
      <c r="I34" s="109">
        <f>C34/100*73.1</f>
        <v>2368.4399999999996</v>
      </c>
      <c r="J34" s="25">
        <f>C34/100*30</f>
        <v>972</v>
      </c>
      <c r="K34" s="25">
        <f>C34/100*0.1</f>
        <v>3.24</v>
      </c>
      <c r="L34" s="130">
        <v>3240</v>
      </c>
      <c r="M34" s="65">
        <v>18</v>
      </c>
      <c r="N34" s="21">
        <f t="shared" ref="N34:N44" si="1">L34*M34</f>
        <v>58320</v>
      </c>
      <c r="O34" s="3"/>
    </row>
    <row r="35" spans="1:20" ht="18.600000000000001" customHeight="1">
      <c r="A35" s="8">
        <v>4</v>
      </c>
      <c r="B35" s="4" t="s">
        <v>73</v>
      </c>
      <c r="C35" s="21">
        <f>L35/100*100</f>
        <v>2160</v>
      </c>
      <c r="D35" s="22">
        <f>C35/100*344</f>
        <v>7430.4000000000005</v>
      </c>
      <c r="E35" s="23"/>
      <c r="F35" s="23">
        <f>C35/100*8.6</f>
        <v>185.76</v>
      </c>
      <c r="G35" s="23"/>
      <c r="H35" s="23">
        <f>C35/100*1.5</f>
        <v>32.400000000000006</v>
      </c>
      <c r="I35" s="109">
        <f>C35/100*74.5</f>
        <v>1609.2</v>
      </c>
      <c r="J35" s="23">
        <f>C35/100*32</f>
        <v>691.2</v>
      </c>
      <c r="K35" s="23">
        <f>C35/100*0.14</f>
        <v>3.0240000000000005</v>
      </c>
      <c r="L35" s="130">
        <v>2160</v>
      </c>
      <c r="M35" s="65">
        <v>30</v>
      </c>
      <c r="N35" s="21">
        <f t="shared" si="1"/>
        <v>64800</v>
      </c>
      <c r="O35" s="3"/>
      <c r="P35" s="16"/>
    </row>
    <row r="36" spans="1:20" ht="18.600000000000001" customHeight="1">
      <c r="A36" s="8">
        <v>5</v>
      </c>
      <c r="B36" s="142" t="s">
        <v>143</v>
      </c>
      <c r="C36" s="21">
        <f>L36/100*100</f>
        <v>1300</v>
      </c>
      <c r="D36" s="110">
        <f>C36/100*899</f>
        <v>11687</v>
      </c>
      <c r="E36" s="23"/>
      <c r="F36" s="23"/>
      <c r="G36" s="109">
        <f>C36/100*100</f>
        <v>1300</v>
      </c>
      <c r="H36" s="23"/>
      <c r="I36" s="23"/>
      <c r="J36" s="25"/>
      <c r="K36" s="25"/>
      <c r="L36" s="130">
        <v>1300</v>
      </c>
      <c r="M36" s="65">
        <v>68</v>
      </c>
      <c r="N36" s="21">
        <f t="shared" si="1"/>
        <v>88400</v>
      </c>
      <c r="O36" s="3"/>
    </row>
    <row r="37" spans="1:20" ht="18.600000000000001" customHeight="1">
      <c r="A37" s="8">
        <v>6</v>
      </c>
      <c r="B37" s="4" t="s">
        <v>138</v>
      </c>
      <c r="C37" s="21">
        <f>L37/100*100</f>
        <v>130</v>
      </c>
      <c r="D37" s="22">
        <f>C37/100*247</f>
        <v>321.10000000000002</v>
      </c>
      <c r="E37" s="26"/>
      <c r="F37" s="26">
        <f>C37/100*17.5</f>
        <v>22.75</v>
      </c>
      <c r="G37" s="26"/>
      <c r="H37" s="26">
        <f>C37/100*1.6</f>
        <v>2.08</v>
      </c>
      <c r="I37" s="26">
        <f>C37/100*39.2</f>
        <v>50.960000000000008</v>
      </c>
      <c r="J37" s="62"/>
      <c r="K37" s="62"/>
      <c r="L37" s="540">
        <v>130</v>
      </c>
      <c r="M37" s="65">
        <v>50</v>
      </c>
      <c r="N37" s="21">
        <f t="shared" si="1"/>
        <v>6500</v>
      </c>
      <c r="O37" s="3"/>
      <c r="Q37" s="2"/>
      <c r="R37" s="2"/>
      <c r="S37" s="3"/>
      <c r="T37" s="2"/>
    </row>
    <row r="38" spans="1:20" ht="18.600000000000001" customHeight="1">
      <c r="A38" s="8">
        <v>7</v>
      </c>
      <c r="B38" s="9" t="s">
        <v>70</v>
      </c>
      <c r="C38" s="21">
        <f>L38/100*90</f>
        <v>54</v>
      </c>
      <c r="D38" s="22">
        <f>C38/100*253</f>
        <v>136.62</v>
      </c>
      <c r="E38" s="23"/>
      <c r="F38" s="23">
        <f>C38/100*32.4</f>
        <v>17.495999999999999</v>
      </c>
      <c r="G38" s="23"/>
      <c r="H38" s="23">
        <f>C38/100*3.6</f>
        <v>1.9440000000000002</v>
      </c>
      <c r="I38" s="23">
        <f>C38/100*21.1</f>
        <v>11.394000000000002</v>
      </c>
      <c r="J38" s="25">
        <f>C38/100*165.6</f>
        <v>89.424000000000007</v>
      </c>
      <c r="K38" s="25">
        <f>C38/100*0.14</f>
        <v>7.5600000000000014E-2</v>
      </c>
      <c r="L38" s="130">
        <v>60</v>
      </c>
      <c r="M38" s="65">
        <v>275</v>
      </c>
      <c r="N38" s="21">
        <f t="shared" si="1"/>
        <v>16500</v>
      </c>
      <c r="O38" s="3"/>
    </row>
    <row r="39" spans="1:20" ht="18.600000000000001" customHeight="1">
      <c r="A39" s="8">
        <v>8</v>
      </c>
      <c r="B39" s="4" t="s">
        <v>140</v>
      </c>
      <c r="C39" s="21">
        <f>L39/100*100</f>
        <v>860</v>
      </c>
      <c r="D39" s="22">
        <f>C39/100*340</f>
        <v>2924</v>
      </c>
      <c r="E39" s="26"/>
      <c r="F39" s="26">
        <f>C39/100*0.7</f>
        <v>6.02</v>
      </c>
      <c r="G39" s="26"/>
      <c r="H39" s="26"/>
      <c r="I39" s="26">
        <f>C39/100*84.3</f>
        <v>724.9799999999999</v>
      </c>
      <c r="J39" s="62"/>
      <c r="K39" s="62"/>
      <c r="L39" s="540">
        <v>860</v>
      </c>
      <c r="M39" s="65">
        <v>180</v>
      </c>
      <c r="N39" s="21">
        <f t="shared" si="1"/>
        <v>154800</v>
      </c>
      <c r="O39" s="3"/>
      <c r="Q39" s="2"/>
      <c r="R39" s="2"/>
      <c r="S39" s="3"/>
      <c r="T39" s="2"/>
    </row>
    <row r="40" spans="1:20" ht="18.600000000000001" customHeight="1">
      <c r="A40" s="8">
        <v>9</v>
      </c>
      <c r="B40" s="4" t="s">
        <v>95</v>
      </c>
      <c r="C40" s="21">
        <f>L40/100*81.7</f>
        <v>3529.4400000000005</v>
      </c>
      <c r="D40" s="22">
        <f>C40/100*27</f>
        <v>952.94880000000012</v>
      </c>
      <c r="E40" s="26"/>
      <c r="F40" s="26">
        <f>C40/100*0.3</f>
        <v>10.588320000000001</v>
      </c>
      <c r="G40" s="26"/>
      <c r="H40" s="26">
        <f>C40/100*0.1</f>
        <v>3.5294400000000006</v>
      </c>
      <c r="I40" s="26">
        <f>C40/100*6.1</f>
        <v>215.29584</v>
      </c>
      <c r="J40" s="62">
        <f>C40/100*24</f>
        <v>847.06560000000013</v>
      </c>
      <c r="K40" s="62">
        <f>C40/100*0.06</f>
        <v>2.117664</v>
      </c>
      <c r="L40" s="540">
        <v>4320</v>
      </c>
      <c r="M40" s="24">
        <v>22</v>
      </c>
      <c r="N40" s="21">
        <f t="shared" si="1"/>
        <v>95040</v>
      </c>
      <c r="O40" s="3"/>
      <c r="Q40" s="2"/>
      <c r="R40" s="2"/>
      <c r="S40" s="3"/>
    </row>
    <row r="41" spans="1:20" ht="18.600000000000001" customHeight="1">
      <c r="A41" s="8">
        <v>10</v>
      </c>
      <c r="B41" s="9" t="s">
        <v>175</v>
      </c>
      <c r="C41" s="21">
        <f>L41/100*55</f>
        <v>1782</v>
      </c>
      <c r="D41" s="110">
        <f>C41/100*196</f>
        <v>3492.7200000000003</v>
      </c>
      <c r="E41" s="23"/>
      <c r="F41" s="129">
        <f>C41/100*4.1</f>
        <v>73.061999999999998</v>
      </c>
      <c r="G41" s="23"/>
      <c r="H41" s="23">
        <f>C41/100*2.3</f>
        <v>40.985999999999997</v>
      </c>
      <c r="I41" s="23">
        <f>C41/100*39.6</f>
        <v>705.67200000000003</v>
      </c>
      <c r="J41" s="25">
        <f>C41/100*4</f>
        <v>71.28</v>
      </c>
      <c r="K41" s="25">
        <f>C41/100*0.15</f>
        <v>2.673</v>
      </c>
      <c r="L41" s="561">
        <v>3240</v>
      </c>
      <c r="M41" s="65">
        <v>22</v>
      </c>
      <c r="N41" s="21">
        <f t="shared" si="1"/>
        <v>71280</v>
      </c>
      <c r="O41" s="562"/>
      <c r="P41" s="133"/>
      <c r="Q41" s="133"/>
    </row>
    <row r="42" spans="1:20" ht="18.600000000000001" customHeight="1">
      <c r="A42" s="8">
        <v>11</v>
      </c>
      <c r="B42" s="4" t="s">
        <v>69</v>
      </c>
      <c r="C42" s="21">
        <f>L42/100*48</f>
        <v>3940.7999999999997</v>
      </c>
      <c r="D42" s="22">
        <f>C42/100*199</f>
        <v>7842.1919999999991</v>
      </c>
      <c r="E42" s="23">
        <f>C42/100*20.3</f>
        <v>799.98239999999987</v>
      </c>
      <c r="F42" s="23"/>
      <c r="G42" s="23">
        <f>C42/100*13.1</f>
        <v>516.24479999999994</v>
      </c>
      <c r="H42" s="23"/>
      <c r="I42" s="23"/>
      <c r="J42" s="25">
        <f>C42/100*12</f>
        <v>472.89599999999996</v>
      </c>
      <c r="K42" s="25">
        <f>C42/100*0.15</f>
        <v>5.9111999999999991</v>
      </c>
      <c r="L42" s="24">
        <v>8210</v>
      </c>
      <c r="M42" s="130">
        <v>84</v>
      </c>
      <c r="N42" s="21">
        <f t="shared" si="1"/>
        <v>689640</v>
      </c>
      <c r="O42" s="3"/>
      <c r="Q42" s="2"/>
      <c r="R42" s="2"/>
      <c r="S42" s="3"/>
    </row>
    <row r="43" spans="1:20" ht="18.600000000000001" customHeight="1">
      <c r="A43" s="8">
        <v>12</v>
      </c>
      <c r="B43" s="9" t="s">
        <v>64</v>
      </c>
      <c r="C43" s="21">
        <f>L43/100*40</f>
        <v>2348</v>
      </c>
      <c r="D43" s="22">
        <f>C43/100*276</f>
        <v>6480.4800000000005</v>
      </c>
      <c r="E43" s="23">
        <f>C43/100*17.8</f>
        <v>417.94400000000002</v>
      </c>
      <c r="F43" s="23"/>
      <c r="G43" s="23">
        <f>C43/100*21.8</f>
        <v>511.86400000000003</v>
      </c>
      <c r="H43" s="23"/>
      <c r="I43" s="23"/>
      <c r="J43" s="25">
        <f>C43/100*13</f>
        <v>305.24</v>
      </c>
      <c r="K43" s="25">
        <f>C43/100*0.07</f>
        <v>1.6436000000000002</v>
      </c>
      <c r="L43" s="130">
        <v>5870</v>
      </c>
      <c r="M43" s="65">
        <v>63</v>
      </c>
      <c r="N43" s="114">
        <f t="shared" si="1"/>
        <v>369810</v>
      </c>
      <c r="O43" s="3"/>
    </row>
    <row r="44" spans="1:20" ht="18.600000000000001" customHeight="1">
      <c r="A44" s="95">
        <v>13</v>
      </c>
      <c r="B44" s="102" t="s">
        <v>176</v>
      </c>
      <c r="C44" s="96">
        <f>L44/100*85</f>
        <v>187.00000000000003</v>
      </c>
      <c r="D44" s="97">
        <f>C44/100*11</f>
        <v>20.570000000000004</v>
      </c>
      <c r="E44" s="98"/>
      <c r="F44" s="98">
        <f>C44/100*2.2</f>
        <v>4.1140000000000008</v>
      </c>
      <c r="G44" s="98"/>
      <c r="H44" s="98"/>
      <c r="I44" s="98">
        <f>C44/100*0.6</f>
        <v>1.1220000000000001</v>
      </c>
      <c r="J44" s="104"/>
      <c r="K44" s="104"/>
      <c r="L44" s="563">
        <v>220</v>
      </c>
      <c r="M44" s="140">
        <v>30</v>
      </c>
      <c r="N44" s="96">
        <f t="shared" si="1"/>
        <v>6600</v>
      </c>
      <c r="O44" s="3"/>
      <c r="Q44" s="2"/>
      <c r="R44" s="2"/>
    </row>
    <row r="45" spans="1:20" ht="22.95" customHeight="1">
      <c r="A45" s="318" t="s">
        <v>0</v>
      </c>
      <c r="B45" s="321" t="s">
        <v>19</v>
      </c>
      <c r="C45" s="321" t="s">
        <v>8</v>
      </c>
      <c r="D45" s="321" t="s">
        <v>9</v>
      </c>
      <c r="E45" s="324" t="s">
        <v>11</v>
      </c>
      <c r="F45" s="325"/>
      <c r="G45" s="324" t="s">
        <v>13</v>
      </c>
      <c r="H45" s="325"/>
      <c r="I45" s="318" t="s">
        <v>16</v>
      </c>
      <c r="J45" s="318" t="s">
        <v>41</v>
      </c>
      <c r="K45" s="318" t="s">
        <v>42</v>
      </c>
      <c r="L45" s="454" t="s">
        <v>17</v>
      </c>
      <c r="M45" s="318" t="s">
        <v>57</v>
      </c>
      <c r="N45" s="318" t="s">
        <v>18</v>
      </c>
      <c r="O45" s="539"/>
    </row>
    <row r="46" spans="1:20" ht="22.95" customHeight="1">
      <c r="A46" s="319"/>
      <c r="B46" s="322"/>
      <c r="C46" s="322"/>
      <c r="D46" s="322"/>
      <c r="E46" s="326"/>
      <c r="F46" s="327"/>
      <c r="G46" s="326"/>
      <c r="H46" s="327"/>
      <c r="I46" s="328"/>
      <c r="J46" s="328"/>
      <c r="K46" s="328"/>
      <c r="L46" s="455"/>
      <c r="M46" s="328"/>
      <c r="N46" s="319"/>
      <c r="O46" s="283"/>
    </row>
    <row r="47" spans="1:20" ht="22.95" customHeight="1">
      <c r="A47" s="319"/>
      <c r="B47" s="322"/>
      <c r="C47" s="322"/>
      <c r="D47" s="322"/>
      <c r="E47" s="318" t="s">
        <v>10</v>
      </c>
      <c r="F47" s="318" t="s">
        <v>12</v>
      </c>
      <c r="G47" s="318" t="s">
        <v>14</v>
      </c>
      <c r="H47" s="318" t="s">
        <v>15</v>
      </c>
      <c r="I47" s="328"/>
      <c r="J47" s="328"/>
      <c r="K47" s="328"/>
      <c r="L47" s="455"/>
      <c r="M47" s="328"/>
      <c r="N47" s="319"/>
      <c r="O47" s="283"/>
    </row>
    <row r="48" spans="1:20" ht="22.95" customHeight="1">
      <c r="A48" s="320"/>
      <c r="B48" s="323"/>
      <c r="C48" s="323"/>
      <c r="D48" s="323"/>
      <c r="E48" s="329"/>
      <c r="F48" s="329"/>
      <c r="G48" s="329"/>
      <c r="H48" s="329"/>
      <c r="I48" s="329"/>
      <c r="J48" s="329"/>
      <c r="K48" s="329"/>
      <c r="L48" s="456"/>
      <c r="M48" s="329"/>
      <c r="N48" s="320"/>
      <c r="O48" s="283"/>
    </row>
    <row r="49" spans="1:23" ht="19.2" customHeight="1">
      <c r="A49" s="19" t="s">
        <v>108</v>
      </c>
      <c r="B49" s="20"/>
      <c r="C49" s="30"/>
      <c r="D49" s="111">
        <f>SUM(D33:D44)</f>
        <v>52589.630799999999</v>
      </c>
      <c r="E49" s="6"/>
      <c r="F49" s="6"/>
      <c r="G49" s="6"/>
      <c r="H49" s="6"/>
      <c r="I49" s="6"/>
      <c r="J49" s="6"/>
      <c r="K49" s="6"/>
      <c r="L49" s="38"/>
      <c r="M49" s="425"/>
      <c r="N49" s="462">
        <f>SUM(N30:N44)</f>
        <v>1641190</v>
      </c>
      <c r="O49" s="3"/>
    </row>
    <row r="50" spans="1:23" ht="19.2" customHeight="1">
      <c r="A50" s="19" t="s">
        <v>7</v>
      </c>
      <c r="B50" s="20"/>
      <c r="C50" s="39"/>
      <c r="D50" s="40">
        <f>D49/D10</f>
        <v>243.47051296296297</v>
      </c>
      <c r="E50" s="40"/>
      <c r="F50" s="40"/>
      <c r="G50" s="40"/>
      <c r="H50" s="40"/>
      <c r="I50" s="40"/>
      <c r="J50" s="40"/>
      <c r="K50" s="40"/>
      <c r="L50" s="38"/>
      <c r="M50" s="426"/>
      <c r="N50" s="463"/>
      <c r="O50" s="562"/>
    </row>
    <row r="51" spans="1:23" ht="19.2" customHeight="1">
      <c r="A51" s="402" t="s">
        <v>52</v>
      </c>
      <c r="B51" s="331"/>
      <c r="C51" s="541" t="s">
        <v>154</v>
      </c>
      <c r="D51" s="18" t="s">
        <v>58</v>
      </c>
      <c r="E51" s="40"/>
      <c r="F51" s="40"/>
      <c r="G51" s="40"/>
      <c r="H51" s="40"/>
      <c r="I51" s="40"/>
      <c r="J51" s="41"/>
      <c r="K51" s="41"/>
      <c r="L51" s="38"/>
      <c r="M51" s="38"/>
      <c r="N51" s="285"/>
      <c r="O51" s="3"/>
    </row>
    <row r="52" spans="1:23" ht="19.2" customHeight="1">
      <c r="A52" s="332"/>
      <c r="B52" s="333"/>
      <c r="C52" s="66" t="s">
        <v>60</v>
      </c>
      <c r="D52" s="18">
        <f>D50*100/1320</f>
        <v>18.444735830527499</v>
      </c>
      <c r="E52" s="40"/>
      <c r="F52" s="40"/>
      <c r="G52" s="40"/>
      <c r="H52" s="40"/>
      <c r="I52" s="40"/>
      <c r="J52" s="41"/>
      <c r="K52" s="41"/>
      <c r="L52" s="38"/>
      <c r="M52" s="38"/>
      <c r="N52" s="285"/>
      <c r="O52" s="3"/>
    </row>
    <row r="53" spans="1:23" ht="19.2" customHeight="1">
      <c r="A53" s="394" t="s">
        <v>109</v>
      </c>
      <c r="B53" s="395"/>
      <c r="C53" s="398"/>
      <c r="D53" s="410">
        <f>D27+D49</f>
        <v>150653.10479999997</v>
      </c>
      <c r="E53" s="113">
        <f t="shared" ref="E53:K53" si="2">SUM(E16:E44)</f>
        <v>3660.0043999999994</v>
      </c>
      <c r="F53" s="113">
        <f t="shared" si="2"/>
        <v>2435.41032</v>
      </c>
      <c r="G53" s="113">
        <f t="shared" si="2"/>
        <v>2983.6807999999996</v>
      </c>
      <c r="H53" s="113">
        <f t="shared" si="2"/>
        <v>1312.5716400000003</v>
      </c>
      <c r="I53" s="467">
        <f t="shared" si="2"/>
        <v>21195.299939999994</v>
      </c>
      <c r="J53" s="467">
        <f t="shared" si="2"/>
        <v>65772.248600000006</v>
      </c>
      <c r="K53" s="390">
        <f t="shared" si="2"/>
        <v>117.50445399999998</v>
      </c>
      <c r="L53" s="373"/>
      <c r="M53" s="373"/>
      <c r="N53" s="470">
        <f>N27+N49</f>
        <v>4750860</v>
      </c>
      <c r="U53" s="274"/>
      <c r="V53" s="274"/>
    </row>
    <row r="54" spans="1:23" ht="19.2" customHeight="1">
      <c r="A54" s="396"/>
      <c r="B54" s="397"/>
      <c r="C54" s="399"/>
      <c r="D54" s="411"/>
      <c r="E54" s="387">
        <f>E53+F53</f>
        <v>6095.4147199999989</v>
      </c>
      <c r="F54" s="388"/>
      <c r="G54" s="387">
        <f>G53+H53</f>
        <v>4296.2524400000002</v>
      </c>
      <c r="H54" s="388"/>
      <c r="I54" s="468"/>
      <c r="J54" s="468"/>
      <c r="K54" s="391"/>
      <c r="L54" s="373"/>
      <c r="M54" s="373"/>
      <c r="N54" s="470"/>
      <c r="Q54" s="558"/>
      <c r="R54" s="558"/>
      <c r="S54" s="558"/>
      <c r="T54" s="558"/>
      <c r="U54" s="559"/>
      <c r="V54" s="559"/>
      <c r="W54" s="1">
        <f>Q54+S54+U54</f>
        <v>0</v>
      </c>
    </row>
    <row r="55" spans="1:23" ht="20.399999999999999" customHeight="1">
      <c r="A55" s="374" t="s">
        <v>77</v>
      </c>
      <c r="B55" s="375"/>
      <c r="C55" s="376"/>
      <c r="D55" s="134">
        <f>D53/D10</f>
        <v>697.46807777777769</v>
      </c>
      <c r="E55" s="543">
        <f>E53/D10</f>
        <v>16.944464814814811</v>
      </c>
      <c r="F55" s="544">
        <f>F53/D10</f>
        <v>11.275047777777777</v>
      </c>
      <c r="G55" s="543">
        <f>G53/D10</f>
        <v>13.813337037037035</v>
      </c>
      <c r="H55" s="564">
        <f>H53/D10</f>
        <v>6.076720555555557</v>
      </c>
      <c r="I55" s="457">
        <f>I53/D10</f>
        <v>98.126388611111082</v>
      </c>
      <c r="J55" s="457">
        <f>J53/D10</f>
        <v>304.50115092592597</v>
      </c>
      <c r="K55" s="413">
        <f>K53/D10</f>
        <v>0.54400210185185172</v>
      </c>
      <c r="L55" s="373"/>
      <c r="M55" s="373"/>
      <c r="N55" s="470"/>
      <c r="P55" s="547"/>
      <c r="Q55" s="558"/>
      <c r="R55" s="558"/>
      <c r="S55" s="558"/>
      <c r="T55" s="558"/>
      <c r="U55" s="558"/>
      <c r="V55" s="558"/>
    </row>
    <row r="56" spans="1:23" ht="20.399999999999999" customHeight="1">
      <c r="A56" s="377"/>
      <c r="B56" s="378"/>
      <c r="C56" s="379"/>
      <c r="D56" s="117"/>
      <c r="E56" s="545">
        <f>E55+F55</f>
        <v>28.219512592592586</v>
      </c>
      <c r="F56" s="546"/>
      <c r="G56" s="545">
        <f>G55+H55</f>
        <v>19.890057592592591</v>
      </c>
      <c r="H56" s="546"/>
      <c r="I56" s="458"/>
      <c r="J56" s="458"/>
      <c r="K56" s="414"/>
      <c r="L56" s="373"/>
      <c r="M56" s="373"/>
      <c r="N56" s="470"/>
    </row>
    <row r="57" spans="1:23" ht="20.399999999999999" customHeight="1">
      <c r="A57" s="422" t="s">
        <v>80</v>
      </c>
      <c r="B57" s="423"/>
      <c r="C57" s="424"/>
      <c r="D57" s="282" t="s">
        <v>28</v>
      </c>
      <c r="E57" s="304" t="s">
        <v>21</v>
      </c>
      <c r="F57" s="304"/>
      <c r="G57" s="304" t="s">
        <v>22</v>
      </c>
      <c r="H57" s="304"/>
      <c r="I57" s="282" t="s">
        <v>23</v>
      </c>
      <c r="J57" s="286">
        <v>600</v>
      </c>
      <c r="K57" s="286">
        <v>0.7</v>
      </c>
      <c r="L57" s="373"/>
      <c r="M57" s="373"/>
      <c r="N57" s="470"/>
      <c r="O57" s="548"/>
    </row>
    <row r="58" spans="1:23" ht="20.399999999999999" customHeight="1">
      <c r="A58" s="348" t="s">
        <v>78</v>
      </c>
      <c r="B58" s="380"/>
      <c r="C58" s="349"/>
      <c r="D58" s="42"/>
      <c r="E58" s="381">
        <f>E56*4.1</f>
        <v>115.7000016296296</v>
      </c>
      <c r="F58" s="382"/>
      <c r="G58" s="381">
        <f>G56*9</f>
        <v>179.01051833333332</v>
      </c>
      <c r="H58" s="382"/>
      <c r="I58" s="112">
        <f>I55*4.1</f>
        <v>402.31819330555538</v>
      </c>
      <c r="J58" s="361"/>
      <c r="K58" s="361"/>
      <c r="L58" s="373"/>
      <c r="M58" s="373"/>
      <c r="N58" s="470"/>
      <c r="O58" s="548"/>
      <c r="P58" s="556"/>
      <c r="Q58" s="557"/>
      <c r="R58" s="557"/>
      <c r="S58" s="557"/>
    </row>
    <row r="59" spans="1:23" ht="20.399999999999999" customHeight="1">
      <c r="A59" s="383" t="s">
        <v>81</v>
      </c>
      <c r="B59" s="384"/>
      <c r="C59" s="348" t="s">
        <v>59</v>
      </c>
      <c r="D59" s="349"/>
      <c r="E59" s="420">
        <f>E58*100/D55</f>
        <v>16.588573056743268</v>
      </c>
      <c r="F59" s="421"/>
      <c r="G59" s="420">
        <f>G58*100/D55</f>
        <v>25.665765077547874</v>
      </c>
      <c r="H59" s="421"/>
      <c r="I59" s="105">
        <f>I58*100/D55</f>
        <v>57.682667655183948</v>
      </c>
      <c r="J59" s="362"/>
      <c r="K59" s="362"/>
      <c r="L59" s="373"/>
      <c r="M59" s="373"/>
      <c r="N59" s="470"/>
      <c r="O59" s="548"/>
      <c r="P59" s="133"/>
      <c r="Q59" s="133"/>
      <c r="R59" s="133"/>
      <c r="S59" s="133"/>
    </row>
    <row r="60" spans="1:23" ht="20.399999999999999" customHeight="1">
      <c r="A60" s="385"/>
      <c r="B60" s="386"/>
      <c r="C60" s="348" t="s">
        <v>79</v>
      </c>
      <c r="D60" s="349"/>
      <c r="E60" s="348" t="s">
        <v>82</v>
      </c>
      <c r="F60" s="349"/>
      <c r="G60" s="348" t="s">
        <v>83</v>
      </c>
      <c r="H60" s="349"/>
      <c r="I60" s="282" t="s">
        <v>84</v>
      </c>
      <c r="J60" s="363"/>
      <c r="K60" s="363"/>
      <c r="L60" s="373"/>
      <c r="M60" s="373"/>
      <c r="N60" s="470"/>
      <c r="O60" s="548"/>
      <c r="P60" s="2"/>
    </row>
    <row r="61" spans="1:23" ht="20.399999999999999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83"/>
      <c r="M61" s="83"/>
      <c r="N61" s="84"/>
      <c r="O61" s="548"/>
    </row>
    <row r="62" spans="1:23" ht="21" customHeight="1">
      <c r="A62" s="291" t="s">
        <v>116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548"/>
    </row>
    <row r="63" spans="1:23" ht="21" customHeight="1">
      <c r="A63" s="107" t="s">
        <v>117</v>
      </c>
      <c r="B63" s="292" t="s">
        <v>118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548"/>
    </row>
    <row r="64" spans="1:23" ht="21" customHeight="1">
      <c r="A64" s="108"/>
      <c r="B64" s="293" t="s">
        <v>226</v>
      </c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548"/>
    </row>
    <row r="65" spans="1:15" ht="21" customHeight="1">
      <c r="A65" s="108"/>
      <c r="B65" s="293" t="s">
        <v>204</v>
      </c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548"/>
    </row>
    <row r="66" spans="1:15" ht="21" customHeight="1">
      <c r="A66" s="108"/>
      <c r="B66" s="293" t="s">
        <v>227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548"/>
    </row>
    <row r="67" spans="1:15" ht="21" customHeight="1">
      <c r="A67" s="79"/>
      <c r="B67" s="294" t="s">
        <v>119</v>
      </c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548"/>
    </row>
    <row r="68" spans="1:15" ht="21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83"/>
      <c r="M68" s="83"/>
      <c r="N68" s="84"/>
      <c r="O68" s="548"/>
    </row>
    <row r="69" spans="1:15" ht="21" customHeight="1">
      <c r="A69" s="295" t="s">
        <v>62</v>
      </c>
      <c r="B69" s="295"/>
      <c r="C69" s="295"/>
      <c r="D69" s="295"/>
      <c r="E69" s="549"/>
      <c r="F69" s="549"/>
      <c r="G69" s="549"/>
      <c r="H69" s="549"/>
      <c r="I69" s="549"/>
      <c r="J69" s="550" t="s">
        <v>33</v>
      </c>
      <c r="K69" s="550"/>
      <c r="L69" s="550"/>
      <c r="M69" s="550"/>
      <c r="N69" s="550"/>
      <c r="O69" s="548"/>
    </row>
    <row r="70" spans="1:15" ht="21" customHeight="1">
      <c r="A70" s="283"/>
      <c r="B70" s="283"/>
      <c r="C70" s="283"/>
      <c r="D70" s="549"/>
      <c r="E70" s="549"/>
      <c r="F70" s="549"/>
      <c r="G70" s="549"/>
      <c r="H70" s="551"/>
      <c r="I70" s="551"/>
      <c r="J70" s="551"/>
      <c r="K70" s="551"/>
      <c r="L70" s="551"/>
      <c r="M70" s="551"/>
      <c r="N70" s="551"/>
      <c r="O70" s="548"/>
    </row>
    <row r="71" spans="1:15" ht="21" customHeight="1">
      <c r="A71" s="283"/>
      <c r="B71" s="283"/>
      <c r="C71" s="283"/>
      <c r="D71" s="549"/>
      <c r="E71" s="549"/>
      <c r="F71" s="549"/>
      <c r="G71" s="549"/>
      <c r="H71" s="551"/>
      <c r="I71" s="551"/>
      <c r="J71" s="551"/>
      <c r="K71" s="551"/>
      <c r="L71" s="551"/>
      <c r="M71" s="551"/>
      <c r="N71" s="551"/>
      <c r="O71" s="548"/>
    </row>
    <row r="72" spans="1:15" ht="21" customHeight="1">
      <c r="A72" s="283"/>
      <c r="B72" s="283"/>
      <c r="C72" s="283"/>
      <c r="D72" s="549"/>
      <c r="E72" s="549"/>
      <c r="F72" s="549"/>
      <c r="G72" s="549"/>
      <c r="H72" s="551"/>
      <c r="I72" s="551"/>
      <c r="J72" s="552" t="s">
        <v>126</v>
      </c>
      <c r="K72" s="552"/>
      <c r="L72" s="552"/>
      <c r="M72" s="552"/>
      <c r="N72" s="552"/>
      <c r="O72" s="548"/>
    </row>
    <row r="73" spans="1:15" ht="21" customHeight="1">
      <c r="A73" s="287" t="s">
        <v>93</v>
      </c>
      <c r="B73" s="287"/>
      <c r="C73" s="287"/>
      <c r="D73" s="287"/>
      <c r="E73" s="549"/>
      <c r="F73" s="549"/>
      <c r="G73" s="549"/>
      <c r="H73" s="551"/>
      <c r="I73" s="551"/>
      <c r="J73" s="552"/>
      <c r="K73" s="552"/>
      <c r="L73" s="552"/>
      <c r="M73" s="552"/>
      <c r="N73" s="552"/>
      <c r="O73" s="548"/>
    </row>
    <row r="74" spans="1:15" ht="20.399999999999999" customHeight="1">
      <c r="A74" s="283"/>
      <c r="B74" s="283"/>
      <c r="C74" s="283"/>
      <c r="D74" s="549"/>
      <c r="E74" s="549"/>
      <c r="F74" s="549"/>
      <c r="G74" s="549"/>
      <c r="H74" s="551"/>
      <c r="I74" s="551"/>
      <c r="J74" s="551"/>
      <c r="K74" s="551"/>
      <c r="L74" s="551"/>
      <c r="M74" s="551"/>
      <c r="N74" s="551"/>
      <c r="O74" s="548"/>
    </row>
    <row r="75" spans="1:15" ht="20.399999999999999" customHeight="1">
      <c r="A75" s="283"/>
      <c r="B75" s="283"/>
      <c r="C75" s="283"/>
      <c r="D75" s="549"/>
      <c r="E75" s="549"/>
      <c r="F75" s="549"/>
      <c r="G75" s="549"/>
      <c r="H75" s="551"/>
      <c r="I75" s="551"/>
      <c r="J75" s="552" t="s">
        <v>129</v>
      </c>
      <c r="K75" s="552"/>
      <c r="L75" s="552"/>
      <c r="M75" s="552"/>
      <c r="N75" s="552"/>
      <c r="O75" s="548"/>
    </row>
    <row r="76" spans="1:15" ht="20.399999999999999" customHeight="1">
      <c r="A76" s="283"/>
      <c r="B76" s="283"/>
      <c r="C76" s="283"/>
      <c r="D76" s="549"/>
      <c r="E76" s="549"/>
      <c r="F76" s="549"/>
      <c r="G76" s="549"/>
      <c r="H76" s="551"/>
      <c r="I76" s="551"/>
      <c r="J76" s="551"/>
      <c r="K76" s="551"/>
      <c r="L76" s="551"/>
      <c r="M76" s="551"/>
      <c r="N76" s="551"/>
      <c r="O76" s="548"/>
    </row>
    <row r="77" spans="1:15" ht="20.399999999999999" customHeight="1">
      <c r="A77" s="283"/>
      <c r="B77" s="283"/>
      <c r="C77" s="283"/>
      <c r="D77" s="549"/>
      <c r="E77" s="549"/>
      <c r="F77" s="549"/>
      <c r="G77" s="549"/>
      <c r="H77" s="551"/>
      <c r="I77" s="551"/>
      <c r="J77" s="551"/>
      <c r="K77" s="551"/>
      <c r="L77" s="551"/>
      <c r="M77" s="551"/>
      <c r="N77" s="551"/>
      <c r="O77" s="548"/>
    </row>
    <row r="78" spans="1:15" ht="20.399999999999999" customHeight="1">
      <c r="A78" s="283"/>
      <c r="B78" s="283"/>
      <c r="C78" s="283"/>
      <c r="D78" s="549"/>
      <c r="E78" s="549"/>
      <c r="F78" s="549"/>
      <c r="G78" s="549"/>
      <c r="H78" s="551"/>
      <c r="I78" s="551"/>
      <c r="J78" s="551"/>
      <c r="K78" s="551"/>
      <c r="L78" s="551"/>
      <c r="M78" s="551"/>
      <c r="N78" s="551"/>
      <c r="O78" s="548"/>
    </row>
    <row r="79" spans="1:15" ht="20.399999999999999" customHeight="1">
      <c r="A79" s="283"/>
      <c r="B79" s="283"/>
      <c r="C79" s="283"/>
      <c r="D79" s="549"/>
      <c r="E79" s="549"/>
      <c r="F79" s="549"/>
      <c r="G79" s="549"/>
      <c r="H79" s="551"/>
      <c r="I79" s="551"/>
      <c r="J79" s="551"/>
      <c r="K79" s="551"/>
      <c r="L79" s="551"/>
      <c r="M79" s="551"/>
      <c r="N79" s="551"/>
      <c r="O79" s="548"/>
    </row>
    <row r="80" spans="1:15" ht="20.399999999999999" customHeight="1">
      <c r="A80" s="283"/>
      <c r="B80" s="283"/>
      <c r="C80" s="283"/>
      <c r="D80" s="549"/>
      <c r="E80" s="549"/>
      <c r="F80" s="549"/>
      <c r="G80" s="549"/>
      <c r="H80" s="551"/>
      <c r="I80" s="551"/>
      <c r="J80" s="551"/>
      <c r="K80" s="551"/>
      <c r="L80" s="551"/>
      <c r="M80" s="551"/>
      <c r="N80" s="551"/>
      <c r="O80" s="548"/>
    </row>
    <row r="81" spans="1:16" ht="20.399999999999999" customHeight="1">
      <c r="A81" s="283"/>
      <c r="B81" s="283"/>
      <c r="C81" s="283"/>
      <c r="D81" s="549"/>
      <c r="E81" s="549"/>
      <c r="F81" s="549"/>
      <c r="G81" s="549"/>
      <c r="H81" s="551"/>
      <c r="I81" s="551"/>
      <c r="J81" s="551"/>
      <c r="K81" s="551"/>
      <c r="L81" s="551"/>
      <c r="M81" s="551"/>
      <c r="N81" s="551"/>
      <c r="O81" s="548"/>
    </row>
    <row r="82" spans="1:16" ht="20.399999999999999" customHeight="1">
      <c r="A82" s="283"/>
      <c r="B82" s="283"/>
      <c r="C82" s="283"/>
      <c r="D82" s="549"/>
      <c r="E82" s="549"/>
      <c r="F82" s="549"/>
      <c r="G82" s="549"/>
      <c r="H82" s="551"/>
      <c r="I82" s="551"/>
      <c r="J82" s="551"/>
      <c r="K82" s="551"/>
      <c r="L82" s="551"/>
      <c r="M82" s="551"/>
      <c r="N82" s="551"/>
      <c r="O82" s="548"/>
    </row>
    <row r="83" spans="1:16" ht="20.399999999999999" customHeight="1">
      <c r="A83" s="283"/>
      <c r="B83" s="283"/>
      <c r="C83" s="283"/>
      <c r="D83" s="549"/>
      <c r="E83" s="549"/>
      <c r="F83" s="549"/>
      <c r="G83" s="549"/>
      <c r="H83" s="551"/>
      <c r="I83" s="551"/>
      <c r="J83" s="551"/>
      <c r="K83" s="551"/>
      <c r="L83" s="551"/>
      <c r="M83" s="551"/>
      <c r="N83" s="551"/>
      <c r="O83" s="548"/>
    </row>
    <row r="84" spans="1:16" ht="20.399999999999999" customHeight="1">
      <c r="A84" s="283"/>
      <c r="B84" s="283"/>
      <c r="C84" s="283"/>
      <c r="D84" s="549"/>
      <c r="E84" s="549"/>
      <c r="F84" s="549"/>
      <c r="G84" s="549"/>
      <c r="H84" s="551"/>
      <c r="I84" s="551"/>
      <c r="J84" s="551"/>
      <c r="K84" s="551"/>
      <c r="L84" s="551"/>
      <c r="M84" s="551"/>
      <c r="N84" s="551"/>
      <c r="O84" s="548"/>
    </row>
    <row r="85" spans="1:16" ht="19.95" customHeight="1">
      <c r="A85" s="10" t="s">
        <v>61</v>
      </c>
      <c r="B85" s="7"/>
      <c r="C85" s="7"/>
      <c r="D85" s="7"/>
      <c r="E85" s="7"/>
      <c r="F85" s="401" t="s">
        <v>32</v>
      </c>
      <c r="G85" s="401"/>
      <c r="H85" s="401"/>
      <c r="I85" s="401"/>
      <c r="J85" s="401"/>
      <c r="K85" s="401"/>
      <c r="L85" s="401"/>
      <c r="M85" s="401"/>
      <c r="N85" s="401"/>
      <c r="O85" s="537"/>
      <c r="P85" s="537"/>
    </row>
    <row r="86" spans="1:16" ht="12" customHeight="1">
      <c r="A86" s="10"/>
      <c r="B86" s="7"/>
      <c r="C86" s="7"/>
      <c r="D86" s="7"/>
      <c r="E86" s="7"/>
      <c r="F86" s="280"/>
      <c r="G86" s="280"/>
      <c r="H86" s="280"/>
      <c r="I86" s="280"/>
      <c r="J86" s="280"/>
      <c r="K86" s="280"/>
      <c r="L86" s="280"/>
      <c r="M86" s="280"/>
      <c r="N86" s="280"/>
      <c r="O86" s="537"/>
      <c r="P86" s="537"/>
    </row>
    <row r="87" spans="1:16" ht="19.95" customHeight="1">
      <c r="A87" s="7" t="s">
        <v>219</v>
      </c>
      <c r="B87" s="7"/>
      <c r="C87" s="7"/>
      <c r="D87" s="7"/>
      <c r="E87" s="7"/>
      <c r="F87" s="280"/>
      <c r="G87" s="280"/>
      <c r="H87" s="280"/>
      <c r="I87" s="280"/>
      <c r="J87" s="280"/>
      <c r="K87" s="280"/>
      <c r="L87" s="280"/>
      <c r="M87" s="280"/>
      <c r="N87" s="280"/>
      <c r="O87" s="537"/>
      <c r="P87" s="537"/>
    </row>
    <row r="88" spans="1:16" ht="12.6" customHeight="1">
      <c r="A88" s="7"/>
      <c r="B88" s="7"/>
      <c r="C88" s="7"/>
      <c r="D88" s="7"/>
      <c r="E88" s="7"/>
      <c r="F88" s="280"/>
      <c r="G88" s="280"/>
      <c r="H88" s="280"/>
      <c r="I88" s="280"/>
      <c r="J88" s="280"/>
      <c r="K88" s="280"/>
      <c r="L88" s="280"/>
      <c r="M88" s="280"/>
      <c r="N88" s="280"/>
      <c r="O88" s="537"/>
      <c r="P88" s="537"/>
    </row>
    <row r="89" spans="1:16" ht="16.2" customHeight="1">
      <c r="A89" s="304" t="s">
        <v>99</v>
      </c>
      <c r="B89" s="304"/>
      <c r="C89" s="304"/>
      <c r="D89" s="304"/>
      <c r="E89" s="304" t="s">
        <v>89</v>
      </c>
      <c r="F89" s="304"/>
      <c r="G89" s="304"/>
      <c r="H89" s="304"/>
      <c r="I89" s="304"/>
      <c r="J89" s="304"/>
      <c r="K89" s="304"/>
      <c r="L89" s="304"/>
      <c r="M89" s="304"/>
      <c r="N89" s="304"/>
      <c r="O89" s="538"/>
    </row>
    <row r="90" spans="1:16" ht="16.2" customHeight="1">
      <c r="A90" s="304"/>
      <c r="B90" s="304"/>
      <c r="C90" s="304"/>
      <c r="D90" s="304"/>
      <c r="E90" s="304" t="s">
        <v>102</v>
      </c>
      <c r="F90" s="304"/>
      <c r="G90" s="304"/>
      <c r="H90" s="304"/>
      <c r="I90" s="304"/>
      <c r="J90" s="304" t="s">
        <v>103</v>
      </c>
      <c r="K90" s="304"/>
      <c r="L90" s="304"/>
      <c r="M90" s="304"/>
      <c r="N90" s="304"/>
      <c r="O90" s="538"/>
    </row>
    <row r="91" spans="1:16" ht="16.2" customHeight="1">
      <c r="A91" s="305" t="s">
        <v>90</v>
      </c>
      <c r="B91" s="305"/>
      <c r="C91" s="305"/>
      <c r="D91" s="305"/>
      <c r="E91" s="308" t="s">
        <v>174</v>
      </c>
      <c r="F91" s="308"/>
      <c r="G91" s="308"/>
      <c r="H91" s="308"/>
      <c r="I91" s="308"/>
      <c r="J91" s="443" t="s">
        <v>90</v>
      </c>
      <c r="K91" s="444"/>
      <c r="L91" s="444"/>
      <c r="M91" s="444"/>
      <c r="N91" s="445"/>
      <c r="O91" s="538"/>
    </row>
    <row r="92" spans="1:16" ht="16.2" customHeight="1">
      <c r="A92" s="459" t="s">
        <v>173</v>
      </c>
      <c r="B92" s="460"/>
      <c r="C92" s="460"/>
      <c r="D92" s="461"/>
      <c r="E92" s="308"/>
      <c r="F92" s="308"/>
      <c r="G92" s="308"/>
      <c r="H92" s="308"/>
      <c r="I92" s="308"/>
      <c r="J92" s="337" t="s">
        <v>134</v>
      </c>
      <c r="K92" s="338"/>
      <c r="L92" s="338"/>
      <c r="M92" s="338"/>
      <c r="N92" s="339"/>
      <c r="O92" s="538"/>
    </row>
    <row r="93" spans="1:16" ht="16.2" customHeight="1">
      <c r="A93" s="469" t="s">
        <v>194</v>
      </c>
      <c r="B93" s="469"/>
      <c r="C93" s="469"/>
      <c r="D93" s="469"/>
      <c r="E93" s="308"/>
      <c r="F93" s="308"/>
      <c r="G93" s="308"/>
      <c r="H93" s="308"/>
      <c r="I93" s="308"/>
      <c r="J93" s="446" t="s">
        <v>135</v>
      </c>
      <c r="K93" s="447"/>
      <c r="L93" s="447"/>
      <c r="M93" s="447"/>
      <c r="N93" s="448"/>
      <c r="O93" s="538"/>
    </row>
    <row r="94" spans="1:16" ht="16.2" customHeight="1">
      <c r="A94" s="334" t="s">
        <v>124</v>
      </c>
      <c r="B94" s="335"/>
      <c r="C94" s="336"/>
      <c r="D94" s="118">
        <v>53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538"/>
    </row>
    <row r="95" spans="1:16" ht="19.95" customHeight="1">
      <c r="A95" s="318" t="s">
        <v>0</v>
      </c>
      <c r="B95" s="321" t="s">
        <v>19</v>
      </c>
      <c r="C95" s="321" t="s">
        <v>8</v>
      </c>
      <c r="D95" s="321" t="s">
        <v>9</v>
      </c>
      <c r="E95" s="324" t="s">
        <v>11</v>
      </c>
      <c r="F95" s="325"/>
      <c r="G95" s="324" t="s">
        <v>13</v>
      </c>
      <c r="H95" s="325"/>
      <c r="I95" s="318" t="s">
        <v>16</v>
      </c>
      <c r="J95" s="318" t="s">
        <v>41</v>
      </c>
      <c r="K95" s="318" t="s">
        <v>42</v>
      </c>
      <c r="L95" s="454" t="s">
        <v>17</v>
      </c>
      <c r="M95" s="318" t="s">
        <v>57</v>
      </c>
      <c r="N95" s="318" t="s">
        <v>18</v>
      </c>
      <c r="O95" s="539"/>
    </row>
    <row r="96" spans="1:16" ht="19.95" customHeight="1">
      <c r="A96" s="319"/>
      <c r="B96" s="322"/>
      <c r="C96" s="322"/>
      <c r="D96" s="322"/>
      <c r="E96" s="326"/>
      <c r="F96" s="327"/>
      <c r="G96" s="326"/>
      <c r="H96" s="327"/>
      <c r="I96" s="328"/>
      <c r="J96" s="328"/>
      <c r="K96" s="328"/>
      <c r="L96" s="455"/>
      <c r="M96" s="328"/>
      <c r="N96" s="319"/>
      <c r="O96" s="283"/>
    </row>
    <row r="97" spans="1:20" ht="19.95" customHeight="1">
      <c r="A97" s="319"/>
      <c r="B97" s="322"/>
      <c r="C97" s="322"/>
      <c r="D97" s="322"/>
      <c r="E97" s="318" t="s">
        <v>10</v>
      </c>
      <c r="F97" s="318" t="s">
        <v>12</v>
      </c>
      <c r="G97" s="318" t="s">
        <v>14</v>
      </c>
      <c r="H97" s="318" t="s">
        <v>15</v>
      </c>
      <c r="I97" s="328"/>
      <c r="J97" s="328"/>
      <c r="K97" s="328"/>
      <c r="L97" s="455"/>
      <c r="M97" s="328"/>
      <c r="N97" s="319"/>
      <c r="O97" s="283"/>
    </row>
    <row r="98" spans="1:20" ht="19.95" customHeight="1">
      <c r="A98" s="320"/>
      <c r="B98" s="323"/>
      <c r="C98" s="323"/>
      <c r="D98" s="323"/>
      <c r="E98" s="329"/>
      <c r="F98" s="329"/>
      <c r="G98" s="329"/>
      <c r="H98" s="329"/>
      <c r="I98" s="329"/>
      <c r="J98" s="329"/>
      <c r="K98" s="329"/>
      <c r="L98" s="456"/>
      <c r="M98" s="329"/>
      <c r="N98" s="320"/>
      <c r="O98" s="283"/>
    </row>
    <row r="99" spans="1:20" ht="16.2" customHeight="1">
      <c r="A99" s="343" t="s">
        <v>39</v>
      </c>
      <c r="B99" s="344"/>
      <c r="C99" s="344"/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5"/>
      <c r="O99" s="283"/>
    </row>
    <row r="100" spans="1:20" ht="16.2" customHeight="1">
      <c r="A100" s="8">
        <v>1</v>
      </c>
      <c r="B100" s="9" t="s">
        <v>2</v>
      </c>
      <c r="C100" s="21">
        <f>L100/100*100</f>
        <v>70</v>
      </c>
      <c r="D100" s="22">
        <f>C100/100*60</f>
        <v>42</v>
      </c>
      <c r="E100" s="23">
        <f>C100/100*15</f>
        <v>10.5</v>
      </c>
      <c r="F100" s="23"/>
      <c r="G100" s="23"/>
      <c r="H100" s="23"/>
      <c r="I100" s="23"/>
      <c r="J100" s="25">
        <f>C100/100*387</f>
        <v>270.89999999999998</v>
      </c>
      <c r="K100" s="25">
        <f>C100/100*0.09</f>
        <v>6.3E-2</v>
      </c>
      <c r="L100" s="130">
        <v>70</v>
      </c>
      <c r="M100" s="65">
        <v>20</v>
      </c>
      <c r="N100" s="21">
        <f>L100*M100</f>
        <v>1400</v>
      </c>
      <c r="O100" s="3"/>
    </row>
    <row r="101" spans="1:20" ht="16.2" customHeight="1">
      <c r="A101" s="8">
        <v>2</v>
      </c>
      <c r="B101" s="142" t="s">
        <v>143</v>
      </c>
      <c r="C101" s="21">
        <f>L101/100*100</f>
        <v>100</v>
      </c>
      <c r="D101" s="22">
        <f>C101/100*899</f>
        <v>899</v>
      </c>
      <c r="E101" s="23"/>
      <c r="F101" s="23"/>
      <c r="G101" s="23">
        <f>C101/100*100</f>
        <v>100</v>
      </c>
      <c r="H101" s="23"/>
      <c r="I101" s="23"/>
      <c r="J101" s="23"/>
      <c r="K101" s="23"/>
      <c r="L101" s="130">
        <v>100</v>
      </c>
      <c r="M101" s="110">
        <v>68</v>
      </c>
      <c r="N101" s="21">
        <f t="shared" ref="N101:N109" si="3">L101*M101</f>
        <v>6800</v>
      </c>
      <c r="O101" s="542"/>
    </row>
    <row r="102" spans="1:20" ht="16.2" customHeight="1">
      <c r="A102" s="8">
        <v>3</v>
      </c>
      <c r="B102" s="147" t="s">
        <v>149</v>
      </c>
      <c r="C102" s="21">
        <f>L102/100*100</f>
        <v>330</v>
      </c>
      <c r="D102" s="110">
        <f>C102/100*900</f>
        <v>2970</v>
      </c>
      <c r="E102" s="23"/>
      <c r="F102" s="23"/>
      <c r="G102" s="109"/>
      <c r="H102" s="23">
        <f>C102/100*100</f>
        <v>330</v>
      </c>
      <c r="I102" s="23"/>
      <c r="J102" s="23"/>
      <c r="K102" s="23"/>
      <c r="L102" s="130">
        <v>330</v>
      </c>
      <c r="M102" s="65">
        <v>63.5</v>
      </c>
      <c r="N102" s="21">
        <f t="shared" si="3"/>
        <v>20955</v>
      </c>
      <c r="O102" s="542"/>
    </row>
    <row r="103" spans="1:20" ht="16.2" customHeight="1">
      <c r="A103" s="8">
        <v>4</v>
      </c>
      <c r="B103" s="4" t="s">
        <v>1</v>
      </c>
      <c r="C103" s="21">
        <f>L103/100*100</f>
        <v>2279</v>
      </c>
      <c r="D103" s="22">
        <f>C103/100*344</f>
        <v>7839.7599999999993</v>
      </c>
      <c r="E103" s="23"/>
      <c r="F103" s="23">
        <f>C103/100*7.9</f>
        <v>180.041</v>
      </c>
      <c r="G103" s="23"/>
      <c r="H103" s="23">
        <f>C103/100*1</f>
        <v>22.79</v>
      </c>
      <c r="I103" s="109">
        <f>C103/100*73.2</f>
        <v>1668.2280000000001</v>
      </c>
      <c r="J103" s="25">
        <f>C103/100*30</f>
        <v>683.69999999999993</v>
      </c>
      <c r="K103" s="25">
        <f>C103/100*0.1</f>
        <v>2.2789999999999999</v>
      </c>
      <c r="L103" s="130">
        <v>2279</v>
      </c>
      <c r="M103" s="65">
        <v>18</v>
      </c>
      <c r="N103" s="21">
        <f t="shared" si="3"/>
        <v>41022</v>
      </c>
      <c r="O103" s="3"/>
    </row>
    <row r="104" spans="1:20" ht="16.2" customHeight="1">
      <c r="A104" s="8">
        <v>5</v>
      </c>
      <c r="B104" s="4" t="s">
        <v>98</v>
      </c>
      <c r="C104" s="21">
        <f>L104/100*90</f>
        <v>1071</v>
      </c>
      <c r="D104" s="22">
        <f>C104/100*90</f>
        <v>963.90000000000009</v>
      </c>
      <c r="E104" s="23">
        <f>C104/100*18.4</f>
        <v>197.06399999999999</v>
      </c>
      <c r="F104" s="23"/>
      <c r="G104" s="23">
        <f>C104/100*1.8</f>
        <v>19.278000000000002</v>
      </c>
      <c r="H104" s="23"/>
      <c r="I104" s="23"/>
      <c r="J104" s="71">
        <f>C104/100*1120</f>
        <v>11995.2</v>
      </c>
      <c r="K104" s="25">
        <f>C104/100*0.02</f>
        <v>0.21420000000000003</v>
      </c>
      <c r="L104" s="130">
        <v>1190</v>
      </c>
      <c r="M104" s="24">
        <v>250</v>
      </c>
      <c r="N104" s="114">
        <f t="shared" si="3"/>
        <v>297500</v>
      </c>
      <c r="O104" s="3"/>
      <c r="Q104" s="2"/>
      <c r="R104" s="2"/>
      <c r="S104" s="3"/>
    </row>
    <row r="105" spans="1:20" ht="16.2" customHeight="1">
      <c r="A105" s="8">
        <v>6</v>
      </c>
      <c r="B105" s="9" t="s">
        <v>71</v>
      </c>
      <c r="C105" s="21">
        <f>L105/100*98</f>
        <v>1558.2</v>
      </c>
      <c r="D105" s="22">
        <f>C105/100*139</f>
        <v>2165.8980000000001</v>
      </c>
      <c r="E105" s="23">
        <f>C105/100*19</f>
        <v>296.05799999999999</v>
      </c>
      <c r="F105" s="23"/>
      <c r="G105" s="23">
        <f>C105/100*7</f>
        <v>109.07400000000001</v>
      </c>
      <c r="H105" s="23"/>
      <c r="I105" s="23"/>
      <c r="J105" s="25">
        <f>C105/100*7</f>
        <v>109.07400000000001</v>
      </c>
      <c r="K105" s="25">
        <f>C105/100*0.9</f>
        <v>14.023800000000001</v>
      </c>
      <c r="L105" s="130">
        <v>1590</v>
      </c>
      <c r="M105" s="136">
        <v>130</v>
      </c>
      <c r="N105" s="21">
        <f t="shared" si="3"/>
        <v>206700</v>
      </c>
      <c r="O105" s="3"/>
    </row>
    <row r="106" spans="1:20" ht="16.2" customHeight="1">
      <c r="A106" s="8">
        <v>7</v>
      </c>
      <c r="B106" s="4" t="s">
        <v>20</v>
      </c>
      <c r="C106" s="21">
        <f>L106/100*95</f>
        <v>351.5</v>
      </c>
      <c r="D106" s="22">
        <f>C106/100*20</f>
        <v>70.3</v>
      </c>
      <c r="E106" s="23"/>
      <c r="F106" s="23">
        <f>C106/100*0.6</f>
        <v>2.109</v>
      </c>
      <c r="G106" s="23"/>
      <c r="H106" s="23">
        <f>C106/100*0.2</f>
        <v>0.70300000000000007</v>
      </c>
      <c r="I106" s="23">
        <f>C106/100*4</f>
        <v>14.06</v>
      </c>
      <c r="J106" s="25">
        <f>C106/100*12</f>
        <v>42.18</v>
      </c>
      <c r="K106" s="22">
        <f>C106/100*0.04</f>
        <v>0.1406</v>
      </c>
      <c r="L106" s="130">
        <v>370</v>
      </c>
      <c r="M106" s="67">
        <v>40</v>
      </c>
      <c r="N106" s="21">
        <f t="shared" si="3"/>
        <v>14800</v>
      </c>
      <c r="O106" s="16"/>
      <c r="Q106" s="2"/>
      <c r="R106" s="2"/>
      <c r="S106" s="3"/>
    </row>
    <row r="107" spans="1:20" ht="16.2" customHeight="1">
      <c r="A107" s="8">
        <v>8</v>
      </c>
      <c r="B107" s="4" t="s">
        <v>158</v>
      </c>
      <c r="C107" s="21">
        <f>L107/100*81</f>
        <v>429.3</v>
      </c>
      <c r="D107" s="22">
        <f>C107/100*17</f>
        <v>72.981000000000009</v>
      </c>
      <c r="E107" s="26"/>
      <c r="F107" s="26">
        <f>C107/100*0.9</f>
        <v>3.8637000000000001</v>
      </c>
      <c r="G107" s="26"/>
      <c r="H107" s="26">
        <f>C107/100*0.2</f>
        <v>0.85860000000000003</v>
      </c>
      <c r="I107" s="26">
        <f>C107/100*2.8</f>
        <v>12.0204</v>
      </c>
      <c r="J107" s="23">
        <f>C107/100*28</f>
        <v>120.20400000000001</v>
      </c>
      <c r="K107" s="25">
        <f>C107/100*0.04</f>
        <v>0.17172000000000001</v>
      </c>
      <c r="L107" s="540">
        <v>530</v>
      </c>
      <c r="M107" s="65">
        <v>20</v>
      </c>
      <c r="N107" s="21">
        <f t="shared" si="3"/>
        <v>10600</v>
      </c>
      <c r="O107" s="3"/>
      <c r="P107" s="2"/>
    </row>
    <row r="108" spans="1:20" s="133" customFormat="1" ht="16.2" customHeight="1">
      <c r="A108" s="161">
        <v>9</v>
      </c>
      <c r="B108" s="148" t="s">
        <v>195</v>
      </c>
      <c r="C108" s="128">
        <f>L108/100*65</f>
        <v>968.5</v>
      </c>
      <c r="D108" s="131">
        <f>C108/100*14</f>
        <v>135.59</v>
      </c>
      <c r="E108" s="129"/>
      <c r="F108" s="129">
        <f>C108/100*1.6</f>
        <v>15.496000000000002</v>
      </c>
      <c r="G108" s="129"/>
      <c r="H108" s="129"/>
      <c r="I108" s="129">
        <f>C108/100*1.9</f>
        <v>18.401499999999999</v>
      </c>
      <c r="J108" s="129">
        <f>C108/100*63</f>
        <v>610.15500000000009</v>
      </c>
      <c r="K108" s="129">
        <f>C108/100*0.01</f>
        <v>9.6850000000000006E-2</v>
      </c>
      <c r="L108" s="130">
        <v>1490</v>
      </c>
      <c r="M108" s="162">
        <v>18</v>
      </c>
      <c r="N108" s="128">
        <f t="shared" si="3"/>
        <v>26820</v>
      </c>
      <c r="O108" s="562"/>
    </row>
    <row r="109" spans="1:20" ht="16.2" customHeight="1">
      <c r="A109" s="8">
        <v>10</v>
      </c>
      <c r="B109" s="4" t="s">
        <v>138</v>
      </c>
      <c r="C109" s="21">
        <f>L109/100*100</f>
        <v>40</v>
      </c>
      <c r="D109" s="22">
        <f>C109/100*247</f>
        <v>98.800000000000011</v>
      </c>
      <c r="E109" s="26"/>
      <c r="F109" s="26">
        <f>C109/100*17.5</f>
        <v>7</v>
      </c>
      <c r="G109" s="26"/>
      <c r="H109" s="26">
        <f>C109/100*1.6</f>
        <v>0.64000000000000012</v>
      </c>
      <c r="I109" s="26">
        <f>C109/100*39.2</f>
        <v>15.680000000000001</v>
      </c>
      <c r="J109" s="62"/>
      <c r="K109" s="62"/>
      <c r="L109" s="540">
        <v>40</v>
      </c>
      <c r="M109" s="65">
        <v>50</v>
      </c>
      <c r="N109" s="21">
        <f t="shared" si="3"/>
        <v>2000</v>
      </c>
      <c r="O109" s="3"/>
      <c r="Q109" s="2"/>
      <c r="R109" s="2"/>
      <c r="S109" s="3"/>
      <c r="T109" s="2"/>
    </row>
    <row r="110" spans="1:20" ht="16.2" customHeight="1">
      <c r="A110" s="8">
        <v>11</v>
      </c>
      <c r="B110" s="5" t="s">
        <v>125</v>
      </c>
      <c r="C110" s="21"/>
      <c r="D110" s="22"/>
      <c r="E110" s="23"/>
      <c r="F110" s="23"/>
      <c r="G110" s="23"/>
      <c r="H110" s="23"/>
      <c r="I110" s="23"/>
      <c r="J110" s="25"/>
      <c r="K110" s="25"/>
      <c r="L110" s="24"/>
      <c r="M110" s="24"/>
      <c r="N110" s="21">
        <v>3400</v>
      </c>
      <c r="O110" s="3"/>
      <c r="Q110" s="2"/>
      <c r="R110" s="2"/>
      <c r="S110" s="3"/>
      <c r="T110" s="2"/>
    </row>
    <row r="111" spans="1:20" ht="16.2" customHeight="1">
      <c r="A111" s="19" t="s">
        <v>120</v>
      </c>
      <c r="B111" s="20"/>
      <c r="C111" s="30"/>
      <c r="D111" s="111">
        <f>SUM(D100:D110)</f>
        <v>15258.228999999996</v>
      </c>
      <c r="E111" s="6"/>
      <c r="F111" s="6"/>
      <c r="G111" s="6"/>
      <c r="H111" s="6"/>
      <c r="I111" s="6"/>
      <c r="J111" s="6"/>
      <c r="K111" s="6"/>
      <c r="L111" s="38"/>
      <c r="M111" s="425"/>
      <c r="N111" s="449">
        <f>SUM(N100:N110)</f>
        <v>631997</v>
      </c>
      <c r="O111" s="3"/>
    </row>
    <row r="112" spans="1:20" ht="16.2" customHeight="1">
      <c r="A112" s="19" t="s">
        <v>37</v>
      </c>
      <c r="B112" s="20"/>
      <c r="C112" s="39"/>
      <c r="D112" s="40">
        <f>D111/D94</f>
        <v>287.89111320754711</v>
      </c>
      <c r="E112" s="40"/>
      <c r="F112" s="40"/>
      <c r="G112" s="40"/>
      <c r="H112" s="40"/>
      <c r="I112" s="40"/>
      <c r="J112" s="40"/>
      <c r="K112" s="40"/>
      <c r="L112" s="38"/>
      <c r="M112" s="426"/>
      <c r="N112" s="450"/>
      <c r="O112" s="3"/>
    </row>
    <row r="113" spans="1:20" ht="16.2" customHeight="1">
      <c r="A113" s="402" t="s">
        <v>53</v>
      </c>
      <c r="B113" s="331"/>
      <c r="C113" s="541" t="s">
        <v>154</v>
      </c>
      <c r="D113" s="18" t="s">
        <v>45</v>
      </c>
      <c r="E113" s="40"/>
      <c r="F113" s="40"/>
      <c r="G113" s="40"/>
      <c r="H113" s="40"/>
      <c r="I113" s="40"/>
      <c r="J113" s="41"/>
      <c r="K113" s="41"/>
      <c r="L113" s="38"/>
      <c r="M113" s="38"/>
      <c r="N113" s="285"/>
      <c r="O113" s="3"/>
    </row>
    <row r="114" spans="1:20" ht="16.2" customHeight="1">
      <c r="A114" s="332"/>
      <c r="B114" s="333"/>
      <c r="C114" s="66" t="s">
        <v>60</v>
      </c>
      <c r="D114" s="68">
        <f>D112*100/930</f>
        <v>30.95603367823087</v>
      </c>
      <c r="E114" s="40"/>
      <c r="F114" s="40"/>
      <c r="G114" s="40"/>
      <c r="H114" s="40"/>
      <c r="I114" s="40"/>
      <c r="J114" s="41"/>
      <c r="K114" s="41"/>
      <c r="L114" s="38"/>
      <c r="M114" s="38"/>
      <c r="N114" s="285"/>
      <c r="O114" s="3"/>
    </row>
    <row r="115" spans="1:20" ht="16.2" customHeight="1">
      <c r="A115" s="341" t="s">
        <v>38</v>
      </c>
      <c r="B115" s="341"/>
      <c r="C115" s="48"/>
      <c r="D115" s="49"/>
      <c r="E115" s="50"/>
      <c r="F115" s="50"/>
      <c r="G115" s="50"/>
      <c r="H115" s="50"/>
      <c r="I115" s="50"/>
      <c r="J115" s="50"/>
      <c r="K115" s="50"/>
      <c r="L115" s="51"/>
      <c r="M115" s="51"/>
      <c r="N115" s="48"/>
      <c r="O115" s="3"/>
    </row>
    <row r="116" spans="1:20" ht="16.2" customHeight="1">
      <c r="A116" s="8">
        <v>1</v>
      </c>
      <c r="B116" s="9" t="s">
        <v>2</v>
      </c>
      <c r="C116" s="21">
        <f>L116/100*100</f>
        <v>60</v>
      </c>
      <c r="D116" s="22">
        <f>C116/100*60</f>
        <v>36</v>
      </c>
      <c r="E116" s="23">
        <f>C116/100*15</f>
        <v>9</v>
      </c>
      <c r="F116" s="23"/>
      <c r="G116" s="23"/>
      <c r="H116" s="23"/>
      <c r="I116" s="23"/>
      <c r="J116" s="25">
        <f>C116/100*387</f>
        <v>232.2</v>
      </c>
      <c r="K116" s="25">
        <f>C116/100*0.09</f>
        <v>5.3999999999999999E-2</v>
      </c>
      <c r="L116" s="130">
        <v>60</v>
      </c>
      <c r="M116" s="65">
        <v>20</v>
      </c>
      <c r="N116" s="128">
        <f>L116*M116</f>
        <v>1200</v>
      </c>
      <c r="O116" s="3"/>
    </row>
    <row r="117" spans="1:20" ht="16.2" customHeight="1">
      <c r="A117" s="8">
        <v>2</v>
      </c>
      <c r="B117" s="142" t="s">
        <v>143</v>
      </c>
      <c r="C117" s="21">
        <f>L117/100*100</f>
        <v>250</v>
      </c>
      <c r="D117" s="22">
        <f>C117/100*899</f>
        <v>2247.5</v>
      </c>
      <c r="E117" s="23"/>
      <c r="F117" s="23"/>
      <c r="G117" s="23">
        <f>C117/100*100</f>
        <v>250</v>
      </c>
      <c r="H117" s="23"/>
      <c r="I117" s="23"/>
      <c r="J117" s="25"/>
      <c r="K117" s="25"/>
      <c r="L117" s="130">
        <v>250</v>
      </c>
      <c r="M117" s="65">
        <v>68</v>
      </c>
      <c r="N117" s="128">
        <f t="shared" ref="N117:N123" si="4">L117*M117</f>
        <v>17000</v>
      </c>
      <c r="O117" s="3"/>
    </row>
    <row r="118" spans="1:20" ht="16.2" customHeight="1">
      <c r="A118" s="8">
        <v>3</v>
      </c>
      <c r="B118" s="4" t="s">
        <v>1</v>
      </c>
      <c r="C118" s="21">
        <f>L118/100*100</f>
        <v>2226</v>
      </c>
      <c r="D118" s="22">
        <f>C118/100*344</f>
        <v>7657.4400000000005</v>
      </c>
      <c r="E118" s="23"/>
      <c r="F118" s="23">
        <f>C118/100*7.9</f>
        <v>175.85400000000001</v>
      </c>
      <c r="G118" s="23"/>
      <c r="H118" s="23">
        <f>C118/100*1</f>
        <v>22.26</v>
      </c>
      <c r="I118" s="109">
        <f>C118/100*73.2</f>
        <v>1629.4320000000002</v>
      </c>
      <c r="J118" s="25">
        <f>C118/100*30</f>
        <v>667.80000000000007</v>
      </c>
      <c r="K118" s="25">
        <f>C118/100*0.1</f>
        <v>2.2260000000000004</v>
      </c>
      <c r="L118" s="130">
        <v>2226</v>
      </c>
      <c r="M118" s="65">
        <v>18</v>
      </c>
      <c r="N118" s="128">
        <f t="shared" si="4"/>
        <v>40068</v>
      </c>
      <c r="O118" s="3"/>
    </row>
    <row r="119" spans="1:20" ht="16.2" customHeight="1">
      <c r="A119" s="8">
        <v>4</v>
      </c>
      <c r="B119" s="9" t="s">
        <v>64</v>
      </c>
      <c r="C119" s="21">
        <f>L119/100*40</f>
        <v>424</v>
      </c>
      <c r="D119" s="22">
        <f>C119/100*276</f>
        <v>1170.24</v>
      </c>
      <c r="E119" s="23">
        <f>C119/100*17.8</f>
        <v>75.472000000000008</v>
      </c>
      <c r="F119" s="23"/>
      <c r="G119" s="23">
        <f>C119/100*21.8</f>
        <v>92.432000000000002</v>
      </c>
      <c r="H119" s="23"/>
      <c r="I119" s="129"/>
      <c r="J119" s="25">
        <f>C119/100*13</f>
        <v>55.120000000000005</v>
      </c>
      <c r="K119" s="25">
        <f>C119/100*0.07</f>
        <v>0.29680000000000006</v>
      </c>
      <c r="L119" s="130">
        <v>1060</v>
      </c>
      <c r="M119" s="65">
        <v>63</v>
      </c>
      <c r="N119" s="21">
        <f t="shared" si="4"/>
        <v>66780</v>
      </c>
      <c r="O119" s="3"/>
    </row>
    <row r="120" spans="1:20" ht="16.2" customHeight="1">
      <c r="A120" s="8">
        <v>5</v>
      </c>
      <c r="B120" s="4" t="s">
        <v>30</v>
      </c>
      <c r="C120" s="21">
        <f>L120/100*88</f>
        <v>1540</v>
      </c>
      <c r="D120" s="22">
        <f>C120/100*184</f>
        <v>2833.6</v>
      </c>
      <c r="E120" s="23">
        <f>C120/100*13</f>
        <v>200.20000000000002</v>
      </c>
      <c r="F120" s="23"/>
      <c r="G120" s="23">
        <f>C120/100*14.2</f>
        <v>218.68</v>
      </c>
      <c r="H120" s="23"/>
      <c r="I120" s="23">
        <f>C120/100*1</f>
        <v>15.4</v>
      </c>
      <c r="J120" s="71">
        <f>C120/100*71</f>
        <v>1093.4000000000001</v>
      </c>
      <c r="K120" s="25">
        <f>C120/100*0.15</f>
        <v>2.31</v>
      </c>
      <c r="L120" s="130">
        <v>1750</v>
      </c>
      <c r="M120" s="65">
        <v>62</v>
      </c>
      <c r="N120" s="21">
        <f t="shared" si="4"/>
        <v>108500</v>
      </c>
      <c r="O120" s="3"/>
      <c r="Q120" s="2"/>
      <c r="R120" s="2"/>
      <c r="S120" s="3"/>
    </row>
    <row r="121" spans="1:20" ht="16.2" customHeight="1">
      <c r="A121" s="8">
        <v>6</v>
      </c>
      <c r="B121" s="4" t="s">
        <v>20</v>
      </c>
      <c r="C121" s="21">
        <f>L121/100*95</f>
        <v>760</v>
      </c>
      <c r="D121" s="22">
        <f>C121/100*20</f>
        <v>152</v>
      </c>
      <c r="E121" s="129"/>
      <c r="F121" s="23">
        <f>C121/100*0.6</f>
        <v>4.5599999999999996</v>
      </c>
      <c r="G121" s="23"/>
      <c r="H121" s="23">
        <f>C121/100*0.2</f>
        <v>1.52</v>
      </c>
      <c r="I121" s="23">
        <f>C121/100*4</f>
        <v>30.4</v>
      </c>
      <c r="J121" s="62">
        <f>C121/100*12</f>
        <v>91.199999999999989</v>
      </c>
      <c r="K121" s="62">
        <f>C121/100*0.04</f>
        <v>0.30399999999999999</v>
      </c>
      <c r="L121" s="540">
        <v>800</v>
      </c>
      <c r="M121" s="65">
        <v>40</v>
      </c>
      <c r="N121" s="21">
        <f t="shared" si="4"/>
        <v>32000</v>
      </c>
      <c r="O121" s="3"/>
      <c r="Q121" s="2"/>
      <c r="R121" s="2"/>
    </row>
    <row r="122" spans="1:20" ht="16.2" customHeight="1">
      <c r="A122" s="8">
        <v>7</v>
      </c>
      <c r="B122" s="4" t="s">
        <v>95</v>
      </c>
      <c r="C122" s="21">
        <f>L122/100*81.7</f>
        <v>1299.03</v>
      </c>
      <c r="D122" s="22">
        <f>C122/100*27</f>
        <v>350.73809999999997</v>
      </c>
      <c r="E122" s="26"/>
      <c r="F122" s="26">
        <f>C122/100*0.3</f>
        <v>3.8970899999999995</v>
      </c>
      <c r="G122" s="26"/>
      <c r="H122" s="26">
        <f>C122/100*0.1</f>
        <v>1.2990300000000001</v>
      </c>
      <c r="I122" s="26">
        <f>C122/100*6.1</f>
        <v>79.240829999999988</v>
      </c>
      <c r="J122" s="62">
        <f>C122/100*24</f>
        <v>311.7672</v>
      </c>
      <c r="K122" s="62">
        <f>C122/100*0.06</f>
        <v>0.77941799999999994</v>
      </c>
      <c r="L122" s="540">
        <v>1590</v>
      </c>
      <c r="M122" s="24">
        <v>22</v>
      </c>
      <c r="N122" s="21">
        <f t="shared" si="4"/>
        <v>34980</v>
      </c>
      <c r="O122" s="3"/>
      <c r="Q122" s="2"/>
      <c r="R122" s="2"/>
      <c r="S122" s="3"/>
    </row>
    <row r="123" spans="1:20" ht="16.2" customHeight="1">
      <c r="A123" s="8">
        <v>8</v>
      </c>
      <c r="B123" s="4" t="s">
        <v>138</v>
      </c>
      <c r="C123" s="21">
        <f>L123/100*100</f>
        <v>30</v>
      </c>
      <c r="D123" s="22">
        <f>C123/100*247</f>
        <v>74.099999999999994</v>
      </c>
      <c r="E123" s="26"/>
      <c r="F123" s="26">
        <f>C123/100*17.5</f>
        <v>5.25</v>
      </c>
      <c r="G123" s="26"/>
      <c r="H123" s="26">
        <f>C123/100*1.6</f>
        <v>0.48</v>
      </c>
      <c r="I123" s="26">
        <f>C123/100*39.2</f>
        <v>11.76</v>
      </c>
      <c r="J123" s="62"/>
      <c r="K123" s="62"/>
      <c r="L123" s="540">
        <v>30</v>
      </c>
      <c r="M123" s="65">
        <v>50</v>
      </c>
      <c r="N123" s="21">
        <f t="shared" si="4"/>
        <v>1500</v>
      </c>
      <c r="O123" s="3"/>
      <c r="Q123" s="2"/>
      <c r="R123" s="2"/>
      <c r="S123" s="3"/>
      <c r="T123" s="2"/>
    </row>
    <row r="124" spans="1:20" ht="16.2" customHeight="1">
      <c r="A124" s="8">
        <v>9</v>
      </c>
      <c r="B124" s="5" t="s">
        <v>125</v>
      </c>
      <c r="C124" s="21"/>
      <c r="D124" s="22"/>
      <c r="E124" s="23"/>
      <c r="F124" s="23"/>
      <c r="G124" s="23"/>
      <c r="H124" s="23"/>
      <c r="I124" s="23"/>
      <c r="J124" s="25"/>
      <c r="K124" s="25"/>
      <c r="L124" s="24"/>
      <c r="M124" s="24"/>
      <c r="N124" s="21">
        <v>3400</v>
      </c>
      <c r="O124" s="3"/>
      <c r="Q124" s="2"/>
      <c r="R124" s="2"/>
      <c r="S124" s="3"/>
      <c r="T124" s="2"/>
    </row>
    <row r="125" spans="1:20" ht="16.2" customHeight="1">
      <c r="A125" s="19" t="s">
        <v>121</v>
      </c>
      <c r="B125" s="20"/>
      <c r="C125" s="30"/>
      <c r="D125" s="111">
        <f>SUM(D116:D124)</f>
        <v>14521.618100000002</v>
      </c>
      <c r="E125" s="6"/>
      <c r="F125" s="6"/>
      <c r="G125" s="6"/>
      <c r="H125" s="6"/>
      <c r="I125" s="6"/>
      <c r="J125" s="6"/>
      <c r="K125" s="6"/>
      <c r="L125" s="38"/>
      <c r="M125" s="425"/>
      <c r="N125" s="449">
        <f>SUM(N116:N124)</f>
        <v>305428</v>
      </c>
      <c r="O125" s="3"/>
    </row>
    <row r="126" spans="1:20" ht="16.2" customHeight="1">
      <c r="A126" s="19" t="s">
        <v>36</v>
      </c>
      <c r="B126" s="20"/>
      <c r="C126" s="52"/>
      <c r="D126" s="41">
        <f>D125/D94</f>
        <v>273.99279433962266</v>
      </c>
      <c r="E126" s="41"/>
      <c r="F126" s="41"/>
      <c r="G126" s="41"/>
      <c r="H126" s="41"/>
      <c r="I126" s="41"/>
      <c r="J126" s="41"/>
      <c r="K126" s="41"/>
      <c r="L126" s="53"/>
      <c r="M126" s="426"/>
      <c r="N126" s="451"/>
      <c r="O126" s="3"/>
    </row>
    <row r="127" spans="1:20" ht="16.2" customHeight="1">
      <c r="A127" s="402" t="s">
        <v>54</v>
      </c>
      <c r="B127" s="331"/>
      <c r="C127" s="541" t="s">
        <v>154</v>
      </c>
      <c r="D127" s="18" t="s">
        <v>46</v>
      </c>
      <c r="E127" s="40"/>
      <c r="F127" s="40"/>
      <c r="G127" s="40"/>
      <c r="H127" s="40"/>
      <c r="I127" s="40"/>
      <c r="J127" s="41"/>
      <c r="K127" s="41"/>
      <c r="L127" s="38"/>
      <c r="M127" s="38"/>
      <c r="N127" s="285"/>
      <c r="O127" s="3"/>
    </row>
    <row r="128" spans="1:20" ht="16.2" customHeight="1">
      <c r="A128" s="332"/>
      <c r="B128" s="333"/>
      <c r="C128" s="66" t="s">
        <v>60</v>
      </c>
      <c r="D128" s="68">
        <f>D126*100/930</f>
        <v>29.461590789206738</v>
      </c>
      <c r="E128" s="40"/>
      <c r="F128" s="40"/>
      <c r="G128" s="39"/>
      <c r="H128" s="39"/>
      <c r="I128" s="39"/>
      <c r="J128" s="41"/>
      <c r="K128" s="41"/>
      <c r="L128" s="38"/>
      <c r="M128" s="38"/>
      <c r="N128" s="285"/>
      <c r="O128" s="3"/>
    </row>
    <row r="129" spans="1:22" ht="16.2" customHeight="1">
      <c r="A129" s="341" t="s">
        <v>35</v>
      </c>
      <c r="B129" s="341"/>
      <c r="C129" s="54"/>
      <c r="D129" s="55"/>
      <c r="E129" s="55"/>
      <c r="F129" s="55"/>
      <c r="G129" s="55"/>
      <c r="H129" s="55"/>
      <c r="I129" s="55"/>
      <c r="J129" s="55"/>
      <c r="K129" s="55"/>
      <c r="L129" s="56"/>
      <c r="M129" s="56"/>
      <c r="N129" s="57"/>
      <c r="O129" s="3"/>
    </row>
    <row r="130" spans="1:22" ht="16.2" customHeight="1">
      <c r="A130" s="8">
        <v>1</v>
      </c>
      <c r="B130" s="9" t="s">
        <v>70</v>
      </c>
      <c r="C130" s="21">
        <f>L130/100*90</f>
        <v>18</v>
      </c>
      <c r="D130" s="22">
        <f>C130/100*253</f>
        <v>45.54</v>
      </c>
      <c r="E130" s="23"/>
      <c r="F130" s="23">
        <f>C130/100*32.4</f>
        <v>5.8319999999999999</v>
      </c>
      <c r="G130" s="23"/>
      <c r="H130" s="23">
        <f>C130/100*3.6</f>
        <v>0.64800000000000002</v>
      </c>
      <c r="I130" s="23">
        <f>C130/100*21.1</f>
        <v>3.798</v>
      </c>
      <c r="J130" s="25">
        <f>C130/100*165.6</f>
        <v>29.807999999999996</v>
      </c>
      <c r="K130" s="25">
        <f>C130/100*0.14</f>
        <v>2.52E-2</v>
      </c>
      <c r="L130" s="130">
        <v>20</v>
      </c>
      <c r="M130" s="65">
        <v>275</v>
      </c>
      <c r="N130" s="21">
        <f t="shared" ref="N130:N134" si="5">L130*M130</f>
        <v>5500</v>
      </c>
      <c r="O130" s="3"/>
    </row>
    <row r="131" spans="1:22" ht="16.2" customHeight="1">
      <c r="A131" s="8">
        <v>2</v>
      </c>
      <c r="B131" s="4" t="s">
        <v>140</v>
      </c>
      <c r="C131" s="21">
        <f>L131/100*100</f>
        <v>210</v>
      </c>
      <c r="D131" s="22">
        <f>C131/100*340</f>
        <v>714</v>
      </c>
      <c r="E131" s="26"/>
      <c r="F131" s="26">
        <f>C131/100*0.7</f>
        <v>1.47</v>
      </c>
      <c r="G131" s="26"/>
      <c r="H131" s="26"/>
      <c r="I131" s="26">
        <f>C131/100*84.3</f>
        <v>177.03</v>
      </c>
      <c r="J131" s="62"/>
      <c r="K131" s="62"/>
      <c r="L131" s="540">
        <v>210</v>
      </c>
      <c r="M131" s="65">
        <v>180</v>
      </c>
      <c r="N131" s="21">
        <f t="shared" si="5"/>
        <v>37800</v>
      </c>
      <c r="O131" s="3"/>
      <c r="Q131" s="2"/>
      <c r="R131" s="2"/>
      <c r="S131" s="3"/>
      <c r="T131" s="2"/>
    </row>
    <row r="132" spans="1:22" ht="16.2" customHeight="1">
      <c r="A132" s="8">
        <v>3</v>
      </c>
      <c r="B132" s="9" t="s">
        <v>175</v>
      </c>
      <c r="C132" s="21">
        <f>L132/100*55</f>
        <v>440</v>
      </c>
      <c r="D132" s="110">
        <f>C132/100*196</f>
        <v>862.40000000000009</v>
      </c>
      <c r="E132" s="23"/>
      <c r="F132" s="129">
        <f>C132/100*4.1</f>
        <v>18.04</v>
      </c>
      <c r="G132" s="23"/>
      <c r="H132" s="23">
        <f>C132/100*2.3</f>
        <v>10.119999999999999</v>
      </c>
      <c r="I132" s="23">
        <f>C132/100*39.6</f>
        <v>174.24</v>
      </c>
      <c r="J132" s="25">
        <f>C132/100*4</f>
        <v>17.600000000000001</v>
      </c>
      <c r="K132" s="25">
        <f>C132/100*0.15</f>
        <v>0.66</v>
      </c>
      <c r="L132" s="561">
        <v>800</v>
      </c>
      <c r="M132" s="65">
        <v>22</v>
      </c>
      <c r="N132" s="21">
        <f t="shared" si="5"/>
        <v>17600</v>
      </c>
      <c r="O132" s="562"/>
      <c r="P132" s="133"/>
      <c r="Q132" s="133"/>
      <c r="S132" s="163"/>
    </row>
    <row r="133" spans="1:22" ht="16.2" customHeight="1">
      <c r="A133" s="8">
        <v>4</v>
      </c>
      <c r="B133" s="4" t="s">
        <v>69</v>
      </c>
      <c r="C133" s="21">
        <f>L133/100*48</f>
        <v>955.19999999999993</v>
      </c>
      <c r="D133" s="22">
        <f>C133/100*199</f>
        <v>1900.848</v>
      </c>
      <c r="E133" s="23">
        <f>C133/100*20.3</f>
        <v>193.90559999999999</v>
      </c>
      <c r="F133" s="23"/>
      <c r="G133" s="23">
        <f>C133/100*13.1</f>
        <v>125.13119999999999</v>
      </c>
      <c r="H133" s="23"/>
      <c r="I133" s="23"/>
      <c r="J133" s="25">
        <f>C133/100*12</f>
        <v>114.624</v>
      </c>
      <c r="K133" s="25">
        <f>C133/100*0.15</f>
        <v>1.4327999999999999</v>
      </c>
      <c r="L133" s="24">
        <v>1990</v>
      </c>
      <c r="M133" s="130">
        <v>84</v>
      </c>
      <c r="N133" s="21">
        <f t="shared" si="5"/>
        <v>167160</v>
      </c>
      <c r="O133" s="3"/>
      <c r="Q133" s="2"/>
      <c r="R133" s="2"/>
      <c r="S133" s="3"/>
    </row>
    <row r="134" spans="1:22" ht="16.2" customHeight="1">
      <c r="A134" s="95">
        <v>5</v>
      </c>
      <c r="B134" s="102" t="s">
        <v>176</v>
      </c>
      <c r="C134" s="96">
        <f>L134/100*85</f>
        <v>51</v>
      </c>
      <c r="D134" s="97">
        <f>C134/100*11</f>
        <v>5.61</v>
      </c>
      <c r="E134" s="98"/>
      <c r="F134" s="98">
        <f>C134/100*2.2</f>
        <v>1.1220000000000001</v>
      </c>
      <c r="G134" s="98"/>
      <c r="H134" s="98"/>
      <c r="I134" s="98">
        <f>C134/100*0.6</f>
        <v>0.30599999999999999</v>
      </c>
      <c r="J134" s="104"/>
      <c r="K134" s="104"/>
      <c r="L134" s="563">
        <v>60</v>
      </c>
      <c r="M134" s="140">
        <v>30</v>
      </c>
      <c r="N134" s="96">
        <f t="shared" si="5"/>
        <v>1800</v>
      </c>
      <c r="O134" s="3"/>
      <c r="Q134" s="2"/>
      <c r="R134" s="2"/>
    </row>
    <row r="135" spans="1:22" ht="20.399999999999999" customHeight="1">
      <c r="A135" s="318" t="s">
        <v>0</v>
      </c>
      <c r="B135" s="321" t="s">
        <v>19</v>
      </c>
      <c r="C135" s="321" t="s">
        <v>8</v>
      </c>
      <c r="D135" s="321" t="s">
        <v>9</v>
      </c>
      <c r="E135" s="324" t="s">
        <v>11</v>
      </c>
      <c r="F135" s="325"/>
      <c r="G135" s="324" t="s">
        <v>13</v>
      </c>
      <c r="H135" s="325"/>
      <c r="I135" s="318" t="s">
        <v>16</v>
      </c>
      <c r="J135" s="318" t="s">
        <v>41</v>
      </c>
      <c r="K135" s="318" t="s">
        <v>42</v>
      </c>
      <c r="L135" s="454" t="s">
        <v>17</v>
      </c>
      <c r="M135" s="318" t="s">
        <v>57</v>
      </c>
      <c r="N135" s="318" t="s">
        <v>18</v>
      </c>
      <c r="O135" s="539"/>
    </row>
    <row r="136" spans="1:22" ht="20.399999999999999" customHeight="1">
      <c r="A136" s="319"/>
      <c r="B136" s="322"/>
      <c r="C136" s="322"/>
      <c r="D136" s="322"/>
      <c r="E136" s="326"/>
      <c r="F136" s="327"/>
      <c r="G136" s="326"/>
      <c r="H136" s="327"/>
      <c r="I136" s="328"/>
      <c r="J136" s="328"/>
      <c r="K136" s="328"/>
      <c r="L136" s="455"/>
      <c r="M136" s="328"/>
      <c r="N136" s="319"/>
      <c r="O136" s="283"/>
    </row>
    <row r="137" spans="1:22" ht="20.399999999999999" customHeight="1">
      <c r="A137" s="319"/>
      <c r="B137" s="322"/>
      <c r="C137" s="322"/>
      <c r="D137" s="322"/>
      <c r="E137" s="318" t="s">
        <v>10</v>
      </c>
      <c r="F137" s="318" t="s">
        <v>12</v>
      </c>
      <c r="G137" s="318" t="s">
        <v>14</v>
      </c>
      <c r="H137" s="318" t="s">
        <v>15</v>
      </c>
      <c r="I137" s="328"/>
      <c r="J137" s="328"/>
      <c r="K137" s="328"/>
      <c r="L137" s="455"/>
      <c r="M137" s="328"/>
      <c r="N137" s="319"/>
      <c r="O137" s="283"/>
    </row>
    <row r="138" spans="1:22" ht="20.399999999999999" customHeight="1">
      <c r="A138" s="320"/>
      <c r="B138" s="323"/>
      <c r="C138" s="323"/>
      <c r="D138" s="323"/>
      <c r="E138" s="329"/>
      <c r="F138" s="329"/>
      <c r="G138" s="329"/>
      <c r="H138" s="329"/>
      <c r="I138" s="329"/>
      <c r="J138" s="329"/>
      <c r="K138" s="329"/>
      <c r="L138" s="456"/>
      <c r="M138" s="329"/>
      <c r="N138" s="320"/>
      <c r="O138" s="283"/>
    </row>
    <row r="139" spans="1:22" ht="20.399999999999999" customHeight="1">
      <c r="A139" s="19" t="s">
        <v>108</v>
      </c>
      <c r="B139" s="20"/>
      <c r="C139" s="30"/>
      <c r="D139" s="31">
        <f>SUM(D130:D134)</f>
        <v>3528.3980000000001</v>
      </c>
      <c r="E139" s="6"/>
      <c r="F139" s="6"/>
      <c r="G139" s="6"/>
      <c r="H139" s="6"/>
      <c r="I139" s="6"/>
      <c r="J139" s="43"/>
      <c r="K139" s="6"/>
      <c r="L139" s="38"/>
      <c r="M139" s="425"/>
      <c r="N139" s="449">
        <f>SUM(N130:N134)</f>
        <v>229860</v>
      </c>
      <c r="O139" s="3"/>
    </row>
    <row r="140" spans="1:22" ht="20.399999999999999" customHeight="1">
      <c r="A140" s="19" t="s">
        <v>7</v>
      </c>
      <c r="B140" s="20"/>
      <c r="C140" s="39"/>
      <c r="D140" s="31">
        <f>D139/D94</f>
        <v>66.57354716981132</v>
      </c>
      <c r="E140" s="40"/>
      <c r="F140" s="40"/>
      <c r="G140" s="40"/>
      <c r="H140" s="40"/>
      <c r="I140" s="40"/>
      <c r="J140" s="72"/>
      <c r="K140" s="40"/>
      <c r="L140" s="38"/>
      <c r="M140" s="426"/>
      <c r="N140" s="450"/>
      <c r="O140" s="3"/>
    </row>
    <row r="141" spans="1:22" ht="20.399999999999999" customHeight="1">
      <c r="A141" s="402" t="s">
        <v>52</v>
      </c>
      <c r="B141" s="331"/>
      <c r="C141" s="541" t="s">
        <v>154</v>
      </c>
      <c r="D141" s="18" t="s">
        <v>50</v>
      </c>
      <c r="E141" s="40"/>
      <c r="F141" s="40"/>
      <c r="G141" s="40"/>
      <c r="H141" s="40"/>
      <c r="I141" s="40"/>
      <c r="J141" s="73"/>
      <c r="K141" s="41"/>
      <c r="L141" s="38"/>
      <c r="M141" s="38"/>
      <c r="N141" s="285"/>
      <c r="O141" s="3"/>
    </row>
    <row r="142" spans="1:22" ht="20.399999999999999" customHeight="1">
      <c r="A142" s="332"/>
      <c r="B142" s="333"/>
      <c r="C142" s="66" t="s">
        <v>60</v>
      </c>
      <c r="D142" s="68">
        <f>D140*100/930</f>
        <v>7.1584459322377763</v>
      </c>
      <c r="E142" s="40"/>
      <c r="F142" s="40"/>
      <c r="G142" s="40"/>
      <c r="H142" s="40"/>
      <c r="I142" s="40"/>
      <c r="J142" s="73"/>
      <c r="K142" s="41"/>
      <c r="L142" s="38"/>
      <c r="M142" s="38"/>
      <c r="N142" s="285"/>
      <c r="O142" s="3"/>
    </row>
    <row r="143" spans="1:22" ht="20.399999999999999" customHeight="1">
      <c r="A143" s="394" t="s">
        <v>109</v>
      </c>
      <c r="B143" s="395"/>
      <c r="C143" s="398"/>
      <c r="D143" s="415">
        <f>SUM(D111+D125+D139)</f>
        <v>33308.2451</v>
      </c>
      <c r="E143" s="6">
        <f t="shared" ref="E143:K143" si="6">SUM(E100:E134)</f>
        <v>982.19959999999992</v>
      </c>
      <c r="F143" s="6">
        <f t="shared" si="6"/>
        <v>424.53479000000004</v>
      </c>
      <c r="G143" s="6">
        <f t="shared" si="6"/>
        <v>914.59519999999998</v>
      </c>
      <c r="H143" s="6">
        <f t="shared" si="6"/>
        <v>391.31863000000004</v>
      </c>
      <c r="I143" s="467">
        <f t="shared" si="6"/>
        <v>3849.9967300000012</v>
      </c>
      <c r="J143" s="467">
        <f t="shared" si="6"/>
        <v>16444.932200000007</v>
      </c>
      <c r="K143" s="390">
        <f t="shared" si="6"/>
        <v>25.077387999999999</v>
      </c>
      <c r="L143" s="373"/>
      <c r="M143" s="373"/>
      <c r="N143" s="417">
        <f>N111+N125+N139</f>
        <v>1167285</v>
      </c>
    </row>
    <row r="144" spans="1:22" ht="20.399999999999999" customHeight="1">
      <c r="A144" s="396"/>
      <c r="B144" s="397"/>
      <c r="C144" s="399"/>
      <c r="D144" s="416"/>
      <c r="E144" s="387">
        <f>E143+F143</f>
        <v>1406.7343900000001</v>
      </c>
      <c r="F144" s="388"/>
      <c r="G144" s="387">
        <f>G143+H143</f>
        <v>1305.91383</v>
      </c>
      <c r="H144" s="388"/>
      <c r="I144" s="468"/>
      <c r="J144" s="468"/>
      <c r="K144" s="391"/>
      <c r="L144" s="373"/>
      <c r="M144" s="373"/>
      <c r="N144" s="417"/>
      <c r="U144" s="274"/>
      <c r="V144" s="274"/>
    </row>
    <row r="145" spans="1:23" ht="20.399999999999999" customHeight="1">
      <c r="A145" s="374" t="s">
        <v>77</v>
      </c>
      <c r="B145" s="375"/>
      <c r="C145" s="376"/>
      <c r="D145" s="125">
        <f>D143/D94</f>
        <v>628.45745471698115</v>
      </c>
      <c r="E145" s="565">
        <f>E143/D94</f>
        <v>18.532067924528299</v>
      </c>
      <c r="F145" s="564">
        <f>F143/D94</f>
        <v>8.0100903773584911</v>
      </c>
      <c r="G145" s="565">
        <f>G143/D94</f>
        <v>17.256513207547169</v>
      </c>
      <c r="H145" s="564">
        <f>H143/D94</f>
        <v>7.3833703773584913</v>
      </c>
      <c r="I145" s="368">
        <f>I143/D94</f>
        <v>72.641447735849084</v>
      </c>
      <c r="J145" s="368">
        <f>J143/D94</f>
        <v>310.28173962264162</v>
      </c>
      <c r="K145" s="413">
        <f>K143/D94</f>
        <v>0.47315826415094336</v>
      </c>
      <c r="L145" s="373"/>
      <c r="M145" s="373"/>
      <c r="N145" s="417"/>
      <c r="Q145" s="558"/>
      <c r="R145" s="558"/>
      <c r="S145" s="558"/>
      <c r="T145" s="558"/>
      <c r="U145" s="559"/>
      <c r="V145" s="559"/>
      <c r="W145" s="1">
        <f>Q145+S145+U145</f>
        <v>0</v>
      </c>
    </row>
    <row r="146" spans="1:23" ht="20.399999999999999" customHeight="1">
      <c r="A146" s="377"/>
      <c r="B146" s="378"/>
      <c r="C146" s="379"/>
      <c r="D146" s="117"/>
      <c r="E146" s="545">
        <f>E145+F145</f>
        <v>26.54215830188679</v>
      </c>
      <c r="F146" s="546"/>
      <c r="G146" s="545">
        <f>G145+H145</f>
        <v>24.639883584905661</v>
      </c>
      <c r="H146" s="546"/>
      <c r="I146" s="369"/>
      <c r="J146" s="369"/>
      <c r="K146" s="414"/>
      <c r="L146" s="373"/>
      <c r="M146" s="373"/>
      <c r="N146" s="417"/>
      <c r="P146" s="547"/>
      <c r="Q146" s="558"/>
      <c r="R146" s="558"/>
      <c r="S146" s="560"/>
      <c r="T146" s="560"/>
      <c r="U146" s="558"/>
      <c r="V146" s="558"/>
    </row>
    <row r="147" spans="1:23" ht="20.399999999999999" customHeight="1">
      <c r="A147" s="422" t="s">
        <v>80</v>
      </c>
      <c r="B147" s="423"/>
      <c r="C147" s="424"/>
      <c r="D147" s="282" t="s">
        <v>29</v>
      </c>
      <c r="E147" s="304" t="s">
        <v>24</v>
      </c>
      <c r="F147" s="304"/>
      <c r="G147" s="304" t="s">
        <v>25</v>
      </c>
      <c r="H147" s="304"/>
      <c r="I147" s="555" t="s">
        <v>26</v>
      </c>
      <c r="J147" s="281">
        <v>500</v>
      </c>
      <c r="K147" s="281">
        <v>0.5</v>
      </c>
      <c r="L147" s="373"/>
      <c r="M147" s="373"/>
      <c r="N147" s="417"/>
      <c r="O147" s="548"/>
    </row>
    <row r="148" spans="1:23" ht="20.399999999999999" customHeight="1">
      <c r="A148" s="348" t="s">
        <v>78</v>
      </c>
      <c r="B148" s="380"/>
      <c r="C148" s="349"/>
      <c r="D148" s="42"/>
      <c r="E148" s="381">
        <f>E146*4.1</f>
        <v>108.82284903773584</v>
      </c>
      <c r="F148" s="382"/>
      <c r="G148" s="381">
        <f>G146*9</f>
        <v>221.75895226415093</v>
      </c>
      <c r="H148" s="382"/>
      <c r="I148" s="74">
        <f>I145*4.1</f>
        <v>297.8299357169812</v>
      </c>
      <c r="J148" s="361"/>
      <c r="K148" s="361"/>
      <c r="L148" s="373"/>
      <c r="M148" s="373"/>
      <c r="N148" s="417"/>
      <c r="O148" s="548"/>
      <c r="P148" s="556"/>
      <c r="Q148" s="557"/>
      <c r="R148" s="557"/>
      <c r="S148" s="557"/>
    </row>
    <row r="149" spans="1:23" ht="20.399999999999999" customHeight="1">
      <c r="A149" s="383" t="s">
        <v>87</v>
      </c>
      <c r="B149" s="384"/>
      <c r="C149" s="348" t="s">
        <v>59</v>
      </c>
      <c r="D149" s="349"/>
      <c r="E149" s="420">
        <f>E148*100/D145</f>
        <v>17.315865731395135</v>
      </c>
      <c r="F149" s="421"/>
      <c r="G149" s="420">
        <f>G148*100/D145</f>
        <v>35.286231486269443</v>
      </c>
      <c r="H149" s="421"/>
      <c r="I149" s="105">
        <f>I148*100/D145</f>
        <v>47.390628193137687</v>
      </c>
      <c r="J149" s="362"/>
      <c r="K149" s="362"/>
      <c r="L149" s="373"/>
      <c r="M149" s="373"/>
      <c r="N149" s="417"/>
      <c r="O149" s="548"/>
      <c r="P149" s="133"/>
      <c r="Q149" s="133"/>
      <c r="R149" s="133"/>
      <c r="S149" s="133"/>
    </row>
    <row r="150" spans="1:23" ht="20.399999999999999" customHeight="1">
      <c r="A150" s="385"/>
      <c r="B150" s="386"/>
      <c r="C150" s="348" t="s">
        <v>79</v>
      </c>
      <c r="D150" s="349"/>
      <c r="E150" s="348" t="s">
        <v>82</v>
      </c>
      <c r="F150" s="349"/>
      <c r="G150" s="348" t="s">
        <v>85</v>
      </c>
      <c r="H150" s="349"/>
      <c r="I150" s="282" t="s">
        <v>86</v>
      </c>
      <c r="J150" s="363"/>
      <c r="K150" s="363"/>
      <c r="L150" s="373"/>
      <c r="M150" s="373"/>
      <c r="N150" s="417"/>
      <c r="O150" s="548"/>
      <c r="P150" s="2"/>
    </row>
    <row r="151" spans="1:23" ht="20.399999999999999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83"/>
      <c r="M151" s="83"/>
      <c r="N151" s="84"/>
      <c r="O151" s="548"/>
    </row>
    <row r="152" spans="1:23" ht="21" customHeight="1">
      <c r="A152" s="291" t="s">
        <v>116</v>
      </c>
      <c r="B152" s="291"/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548"/>
    </row>
    <row r="153" spans="1:23" ht="21" customHeight="1">
      <c r="A153" s="107" t="s">
        <v>117</v>
      </c>
      <c r="B153" s="292" t="s">
        <v>118</v>
      </c>
      <c r="C153" s="292"/>
      <c r="D153" s="292"/>
      <c r="E153" s="292"/>
      <c r="F153" s="292"/>
      <c r="G153" s="292"/>
      <c r="H153" s="292"/>
      <c r="I153" s="292"/>
      <c r="J153" s="292"/>
      <c r="K153" s="292"/>
      <c r="L153" s="292"/>
      <c r="M153" s="292"/>
      <c r="N153" s="292"/>
      <c r="O153" s="548"/>
    </row>
    <row r="154" spans="1:23" ht="21" customHeight="1">
      <c r="A154" s="108"/>
      <c r="B154" s="293" t="s">
        <v>228</v>
      </c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548"/>
    </row>
    <row r="155" spans="1:23" ht="21" customHeight="1">
      <c r="A155" s="108"/>
      <c r="B155" s="293" t="s">
        <v>229</v>
      </c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548"/>
    </row>
    <row r="156" spans="1:23" ht="21" customHeight="1">
      <c r="A156" s="108"/>
      <c r="B156" s="293" t="s">
        <v>209</v>
      </c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548"/>
    </row>
    <row r="157" spans="1:23" ht="21" customHeight="1">
      <c r="A157" s="79"/>
      <c r="B157" s="294" t="s">
        <v>119</v>
      </c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548"/>
    </row>
    <row r="158" spans="1:23" ht="21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83"/>
      <c r="M158" s="83"/>
      <c r="N158" s="84"/>
      <c r="O158" s="548"/>
    </row>
    <row r="159" spans="1:23" ht="21" customHeight="1">
      <c r="A159" s="295" t="s">
        <v>62</v>
      </c>
      <c r="B159" s="295"/>
      <c r="C159" s="295"/>
      <c r="D159" s="295"/>
      <c r="E159" s="549"/>
      <c r="F159" s="549"/>
      <c r="G159" s="549"/>
      <c r="H159" s="549"/>
      <c r="I159" s="549"/>
      <c r="J159" s="550" t="s">
        <v>33</v>
      </c>
      <c r="K159" s="550"/>
      <c r="L159" s="550"/>
      <c r="M159" s="550"/>
      <c r="N159" s="550"/>
      <c r="O159" s="548"/>
    </row>
    <row r="160" spans="1:23" ht="21" customHeight="1">
      <c r="A160" s="283"/>
      <c r="B160" s="283"/>
      <c r="C160" s="283"/>
      <c r="D160" s="549"/>
      <c r="E160" s="549"/>
      <c r="F160" s="549"/>
      <c r="G160" s="549"/>
      <c r="H160" s="551"/>
      <c r="I160" s="551"/>
      <c r="J160" s="551"/>
      <c r="K160" s="551"/>
      <c r="L160" s="551"/>
      <c r="M160" s="551"/>
      <c r="N160" s="551"/>
      <c r="O160" s="548"/>
    </row>
    <row r="161" spans="1:15" ht="21" customHeight="1">
      <c r="A161" s="283"/>
      <c r="B161" s="283"/>
      <c r="C161" s="283"/>
      <c r="D161" s="549"/>
      <c r="E161" s="549"/>
      <c r="F161" s="549"/>
      <c r="G161" s="549"/>
      <c r="H161" s="551"/>
      <c r="I161" s="551"/>
      <c r="J161" s="551"/>
      <c r="K161" s="551"/>
      <c r="L161" s="551"/>
      <c r="M161" s="551"/>
      <c r="N161" s="551"/>
      <c r="O161" s="548"/>
    </row>
    <row r="162" spans="1:15" ht="21" customHeight="1">
      <c r="A162" s="283"/>
      <c r="B162" s="283"/>
      <c r="C162" s="283"/>
      <c r="D162" s="549"/>
      <c r="E162" s="549"/>
      <c r="F162" s="549"/>
      <c r="G162" s="549"/>
      <c r="H162" s="551"/>
      <c r="I162" s="551"/>
      <c r="J162" s="552" t="s">
        <v>126</v>
      </c>
      <c r="K162" s="552"/>
      <c r="L162" s="552"/>
      <c r="M162" s="552"/>
      <c r="N162" s="552"/>
      <c r="O162" s="548"/>
    </row>
    <row r="163" spans="1:15" ht="21" customHeight="1">
      <c r="A163" s="287" t="s">
        <v>93</v>
      </c>
      <c r="B163" s="287"/>
      <c r="C163" s="287"/>
      <c r="D163" s="287"/>
      <c r="E163" s="549"/>
      <c r="F163" s="549"/>
      <c r="G163" s="549"/>
      <c r="H163" s="551"/>
      <c r="I163" s="551"/>
      <c r="J163" s="552"/>
      <c r="K163" s="552"/>
      <c r="L163" s="552"/>
      <c r="M163" s="552"/>
      <c r="N163" s="552"/>
      <c r="O163" s="548"/>
    </row>
    <row r="164" spans="1:15" ht="20.399999999999999" customHeight="1">
      <c r="J164" s="551"/>
      <c r="K164" s="551"/>
      <c r="L164" s="551"/>
      <c r="M164" s="551"/>
      <c r="N164" s="551"/>
    </row>
    <row r="165" spans="1:15" ht="20.399999999999999" customHeight="1">
      <c r="J165" s="552" t="s">
        <v>129</v>
      </c>
      <c r="K165" s="552"/>
      <c r="L165" s="552"/>
      <c r="M165" s="552"/>
      <c r="N165" s="552"/>
    </row>
  </sheetData>
  <mergeCells count="207"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view="pageLayout" workbookViewId="0">
      <selection activeCell="Q52" sqref="Q52:V53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16" ht="21.6" customHeight="1">
      <c r="A1" s="10" t="s">
        <v>61</v>
      </c>
      <c r="B1" s="7"/>
      <c r="C1" s="7"/>
      <c r="D1" s="7"/>
      <c r="E1" s="7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537"/>
      <c r="P1" s="537"/>
    </row>
    <row r="2" spans="1:16" ht="21.6" customHeight="1">
      <c r="A2" s="7" t="s">
        <v>230</v>
      </c>
      <c r="B2" s="7"/>
      <c r="C2" s="7"/>
      <c r="D2" s="7"/>
      <c r="E2" s="7"/>
      <c r="F2" s="280"/>
      <c r="G2" s="280"/>
      <c r="H2" s="280"/>
      <c r="I2" s="280"/>
      <c r="J2" s="280"/>
      <c r="K2" s="280"/>
      <c r="L2" s="280"/>
      <c r="M2" s="280"/>
      <c r="N2" s="280"/>
      <c r="O2" s="537"/>
      <c r="P2" s="537"/>
    </row>
    <row r="3" spans="1:16" ht="21.6" customHeight="1">
      <c r="A3" s="304" t="s">
        <v>99</v>
      </c>
      <c r="B3" s="304"/>
      <c r="C3" s="304"/>
      <c r="D3" s="304"/>
      <c r="E3" s="304" t="s">
        <v>100</v>
      </c>
      <c r="F3" s="304"/>
      <c r="G3" s="304"/>
      <c r="H3" s="304"/>
      <c r="I3" s="304"/>
      <c r="J3" s="304"/>
      <c r="K3" s="304"/>
      <c r="L3" s="304"/>
      <c r="M3" s="304"/>
      <c r="N3" s="304"/>
      <c r="O3" s="538"/>
    </row>
    <row r="4" spans="1:16" ht="21.6" customHeight="1">
      <c r="A4" s="305" t="s">
        <v>90</v>
      </c>
      <c r="B4" s="305"/>
      <c r="C4" s="305"/>
      <c r="D4" s="305"/>
      <c r="E4" s="308" t="s">
        <v>151</v>
      </c>
      <c r="F4" s="308"/>
      <c r="G4" s="308"/>
      <c r="H4" s="308"/>
      <c r="I4" s="308"/>
      <c r="J4" s="309" t="s">
        <v>180</v>
      </c>
      <c r="K4" s="310"/>
      <c r="L4" s="310"/>
      <c r="M4" s="310"/>
      <c r="N4" s="311"/>
      <c r="O4" s="538"/>
    </row>
    <row r="5" spans="1:16" ht="21.6" customHeight="1">
      <c r="A5" s="459" t="s">
        <v>179</v>
      </c>
      <c r="B5" s="460"/>
      <c r="C5" s="460"/>
      <c r="D5" s="461"/>
      <c r="E5" s="308"/>
      <c r="F5" s="308"/>
      <c r="G5" s="308"/>
      <c r="H5" s="308"/>
      <c r="I5" s="308"/>
      <c r="J5" s="312"/>
      <c r="K5" s="313"/>
      <c r="L5" s="313"/>
      <c r="M5" s="313"/>
      <c r="N5" s="314"/>
      <c r="O5" s="538"/>
    </row>
    <row r="6" spans="1:16" ht="21.6" customHeight="1">
      <c r="A6" s="306" t="s">
        <v>177</v>
      </c>
      <c r="B6" s="306"/>
      <c r="C6" s="306"/>
      <c r="D6" s="306"/>
      <c r="E6" s="308"/>
      <c r="F6" s="308"/>
      <c r="G6" s="308"/>
      <c r="H6" s="308"/>
      <c r="I6" s="308"/>
      <c r="J6" s="312"/>
      <c r="K6" s="313"/>
      <c r="L6" s="313"/>
      <c r="M6" s="313"/>
      <c r="N6" s="314"/>
      <c r="O6" s="538"/>
    </row>
    <row r="7" spans="1:16" ht="21.6" customHeight="1">
      <c r="A7" s="469" t="s">
        <v>178</v>
      </c>
      <c r="B7" s="469"/>
      <c r="C7" s="469"/>
      <c r="D7" s="469"/>
      <c r="E7" s="308"/>
      <c r="F7" s="308"/>
      <c r="G7" s="308"/>
      <c r="H7" s="308"/>
      <c r="I7" s="308"/>
      <c r="J7" s="315"/>
      <c r="K7" s="316"/>
      <c r="L7" s="316"/>
      <c r="M7" s="316"/>
      <c r="N7" s="317"/>
      <c r="O7" s="538"/>
    </row>
    <row r="8" spans="1:16" ht="21.6" customHeight="1">
      <c r="A8" s="334" t="s">
        <v>124</v>
      </c>
      <c r="B8" s="335"/>
      <c r="C8" s="336"/>
      <c r="D8" s="118">
        <v>97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538"/>
    </row>
    <row r="9" spans="1:16" ht="21.6" customHeight="1">
      <c r="A9" s="318" t="s">
        <v>0</v>
      </c>
      <c r="B9" s="321" t="s">
        <v>19</v>
      </c>
      <c r="C9" s="437" t="s">
        <v>8</v>
      </c>
      <c r="D9" s="321" t="s">
        <v>9</v>
      </c>
      <c r="E9" s="324" t="s">
        <v>11</v>
      </c>
      <c r="F9" s="325"/>
      <c r="G9" s="324" t="s">
        <v>13</v>
      </c>
      <c r="H9" s="325"/>
      <c r="I9" s="318" t="s">
        <v>16</v>
      </c>
      <c r="J9" s="318" t="s">
        <v>41</v>
      </c>
      <c r="K9" s="318" t="s">
        <v>42</v>
      </c>
      <c r="L9" s="318" t="s">
        <v>17</v>
      </c>
      <c r="M9" s="318" t="s">
        <v>57</v>
      </c>
      <c r="N9" s="318" t="s">
        <v>18</v>
      </c>
      <c r="O9" s="539"/>
    </row>
    <row r="10" spans="1:16" ht="21.6" customHeight="1">
      <c r="A10" s="319"/>
      <c r="B10" s="322"/>
      <c r="C10" s="438"/>
      <c r="D10" s="322"/>
      <c r="E10" s="326"/>
      <c r="F10" s="327"/>
      <c r="G10" s="326"/>
      <c r="H10" s="327"/>
      <c r="I10" s="328"/>
      <c r="J10" s="328"/>
      <c r="K10" s="328"/>
      <c r="L10" s="328"/>
      <c r="M10" s="328"/>
      <c r="N10" s="319"/>
      <c r="O10" s="283"/>
    </row>
    <row r="11" spans="1:16" ht="21.6" customHeight="1">
      <c r="A11" s="319"/>
      <c r="B11" s="322"/>
      <c r="C11" s="438"/>
      <c r="D11" s="322"/>
      <c r="E11" s="318" t="s">
        <v>10</v>
      </c>
      <c r="F11" s="318" t="s">
        <v>12</v>
      </c>
      <c r="G11" s="318" t="s">
        <v>14</v>
      </c>
      <c r="H11" s="318" t="s">
        <v>15</v>
      </c>
      <c r="I11" s="328"/>
      <c r="J11" s="328"/>
      <c r="K11" s="328"/>
      <c r="L11" s="328"/>
      <c r="M11" s="328"/>
      <c r="N11" s="319"/>
      <c r="O11" s="283"/>
    </row>
    <row r="12" spans="1:16" ht="21.6" customHeight="1">
      <c r="A12" s="320"/>
      <c r="B12" s="323"/>
      <c r="C12" s="439"/>
      <c r="D12" s="323"/>
      <c r="E12" s="329"/>
      <c r="F12" s="329"/>
      <c r="G12" s="329"/>
      <c r="H12" s="329"/>
      <c r="I12" s="329"/>
      <c r="J12" s="329"/>
      <c r="K12" s="329"/>
      <c r="L12" s="329"/>
      <c r="M12" s="329"/>
      <c r="N12" s="320"/>
      <c r="O12" s="283"/>
    </row>
    <row r="13" spans="1:16" ht="19.95" customHeight="1">
      <c r="A13" s="343" t="s">
        <v>34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5"/>
      <c r="O13" s="283"/>
    </row>
    <row r="14" spans="1:16" ht="19.95" customHeight="1">
      <c r="A14" s="8">
        <v>1</v>
      </c>
      <c r="B14" s="9" t="s">
        <v>2</v>
      </c>
      <c r="C14" s="21">
        <f>L14/100*100</f>
        <v>130</v>
      </c>
      <c r="D14" s="22">
        <f>C14/100*60</f>
        <v>78</v>
      </c>
      <c r="E14" s="23">
        <f>C14/100*15</f>
        <v>19.5</v>
      </c>
      <c r="F14" s="23"/>
      <c r="G14" s="23"/>
      <c r="H14" s="23"/>
      <c r="I14" s="23"/>
      <c r="J14" s="25">
        <f>C14/100*387</f>
        <v>503.1</v>
      </c>
      <c r="K14" s="25">
        <f>C14/100*0.09</f>
        <v>0.11699999999999999</v>
      </c>
      <c r="L14" s="130">
        <v>130</v>
      </c>
      <c r="M14" s="65">
        <v>20</v>
      </c>
      <c r="N14" s="21">
        <f>L14*M14</f>
        <v>2600</v>
      </c>
      <c r="O14" s="3"/>
    </row>
    <row r="15" spans="1:16" ht="19.95" customHeight="1">
      <c r="A15" s="8">
        <v>2</v>
      </c>
      <c r="B15" s="142" t="s">
        <v>143</v>
      </c>
      <c r="C15" s="21">
        <f>L15/100*100</f>
        <v>300</v>
      </c>
      <c r="D15" s="22">
        <f>C15/100*899</f>
        <v>2697</v>
      </c>
      <c r="E15" s="23"/>
      <c r="F15" s="23"/>
      <c r="G15" s="109">
        <f>C15/100*100</f>
        <v>300</v>
      </c>
      <c r="H15" s="23"/>
      <c r="I15" s="23"/>
      <c r="J15" s="25"/>
      <c r="K15" s="25"/>
      <c r="L15" s="130">
        <v>300</v>
      </c>
      <c r="M15" s="65">
        <v>68</v>
      </c>
      <c r="N15" s="21">
        <f t="shared" ref="N15:N23" si="0">L15*M15</f>
        <v>20400</v>
      </c>
      <c r="O15" s="3"/>
    </row>
    <row r="16" spans="1:16" ht="19.95" customHeight="1">
      <c r="A16" s="8">
        <v>3</v>
      </c>
      <c r="B16" s="4" t="s">
        <v>1</v>
      </c>
      <c r="C16" s="21">
        <f>L16/100*100</f>
        <v>9215</v>
      </c>
      <c r="D16" s="110">
        <f>C16/100*330.1</f>
        <v>30418.715000000004</v>
      </c>
      <c r="E16" s="23"/>
      <c r="F16" s="109">
        <f>C16/100*7.9</f>
        <v>727.98500000000013</v>
      </c>
      <c r="G16" s="23"/>
      <c r="H16" s="23">
        <f>C16/100*1</f>
        <v>92.15</v>
      </c>
      <c r="I16" s="109">
        <f>C16/100*70.1</f>
        <v>6459.7150000000001</v>
      </c>
      <c r="J16" s="71">
        <f>C16/100*30</f>
        <v>2764.5</v>
      </c>
      <c r="K16" s="25">
        <f>C16/100*0.1</f>
        <v>9.2150000000000016</v>
      </c>
      <c r="L16" s="130">
        <v>9215</v>
      </c>
      <c r="M16" s="65">
        <v>18</v>
      </c>
      <c r="N16" s="21">
        <f t="shared" si="0"/>
        <v>165870</v>
      </c>
      <c r="O16" s="3"/>
    </row>
    <row r="17" spans="1:20" ht="19.95" customHeight="1">
      <c r="A17" s="8">
        <v>4</v>
      </c>
      <c r="B17" s="4" t="s">
        <v>69</v>
      </c>
      <c r="C17" s="21">
        <f>L17/100*48</f>
        <v>2145.6000000000004</v>
      </c>
      <c r="D17" s="22">
        <f>C17/100*199</f>
        <v>4269.7440000000006</v>
      </c>
      <c r="E17" s="109">
        <f>C17/100*20.3</f>
        <v>435.55680000000007</v>
      </c>
      <c r="F17" s="109"/>
      <c r="G17" s="109">
        <f>C17/100*13.1</f>
        <v>281.07360000000006</v>
      </c>
      <c r="H17" s="23"/>
      <c r="I17" s="23"/>
      <c r="J17" s="25">
        <f>C17/100*12</f>
        <v>257.47200000000004</v>
      </c>
      <c r="K17" s="25">
        <f>C17/100*0.15</f>
        <v>3.2184000000000004</v>
      </c>
      <c r="L17" s="130">
        <v>4470</v>
      </c>
      <c r="M17" s="24">
        <v>84</v>
      </c>
      <c r="N17" s="21">
        <f t="shared" si="0"/>
        <v>375480</v>
      </c>
      <c r="O17" s="3"/>
      <c r="Q17" s="2"/>
      <c r="R17" s="2"/>
      <c r="S17" s="3"/>
    </row>
    <row r="18" spans="1:20" ht="19.95" customHeight="1">
      <c r="A18" s="8">
        <v>5</v>
      </c>
      <c r="B18" s="9" t="s">
        <v>71</v>
      </c>
      <c r="C18" s="21">
        <f>L18/100*98</f>
        <v>950.59999999999991</v>
      </c>
      <c r="D18" s="22">
        <f>C18/100*139</f>
        <v>1321.3339999999998</v>
      </c>
      <c r="E18" s="109">
        <f>C18/100*19</f>
        <v>180.61399999999998</v>
      </c>
      <c r="F18" s="23"/>
      <c r="G18" s="23">
        <f>C18/100*7</f>
        <v>66.541999999999987</v>
      </c>
      <c r="H18" s="23"/>
      <c r="I18" s="23"/>
      <c r="J18" s="23">
        <f>C18/100*7</f>
        <v>66.541999999999987</v>
      </c>
      <c r="K18" s="23">
        <f>C18/100*0.9</f>
        <v>8.5553999999999988</v>
      </c>
      <c r="L18" s="130">
        <v>970</v>
      </c>
      <c r="M18" s="65">
        <v>130</v>
      </c>
      <c r="N18" s="21">
        <f t="shared" si="0"/>
        <v>126100</v>
      </c>
      <c r="O18" s="3"/>
    </row>
    <row r="19" spans="1:20" ht="19.95" customHeight="1">
      <c r="A19" s="8">
        <v>6</v>
      </c>
      <c r="B19" s="69" t="s">
        <v>150</v>
      </c>
      <c r="C19" s="21">
        <f>L19/100*89</f>
        <v>1993.6</v>
      </c>
      <c r="D19" s="22">
        <f>C19/100*154</f>
        <v>3070.1439999999998</v>
      </c>
      <c r="E19" s="109">
        <f>C19/100*13.1</f>
        <v>261.16159999999996</v>
      </c>
      <c r="F19" s="23"/>
      <c r="G19" s="109">
        <f>C19/100*11.1</f>
        <v>221.28959999999998</v>
      </c>
      <c r="H19" s="23"/>
      <c r="I19" s="23">
        <f>C19/100*0.4</f>
        <v>7.9744000000000002</v>
      </c>
      <c r="J19" s="71">
        <f>C19/100*64</f>
        <v>1275.904</v>
      </c>
      <c r="K19" s="25">
        <f>C19/100*0.13</f>
        <v>2.5916800000000002</v>
      </c>
      <c r="L19" s="24">
        <v>2240</v>
      </c>
      <c r="M19" s="47">
        <v>82</v>
      </c>
      <c r="N19" s="150">
        <f t="shared" si="0"/>
        <v>183680</v>
      </c>
      <c r="O19" s="3"/>
    </row>
    <row r="20" spans="1:20" ht="19.95" customHeight="1">
      <c r="A20" s="8">
        <v>7</v>
      </c>
      <c r="B20" s="4" t="s">
        <v>138</v>
      </c>
      <c r="C20" s="21">
        <f>L20/100*100</f>
        <v>100</v>
      </c>
      <c r="D20" s="22">
        <f>C20/100*247</f>
        <v>247</v>
      </c>
      <c r="E20" s="26"/>
      <c r="F20" s="26">
        <f>C20/100*17.5</f>
        <v>17.5</v>
      </c>
      <c r="G20" s="26"/>
      <c r="H20" s="26">
        <f>C20/100*1.6</f>
        <v>1.6</v>
      </c>
      <c r="I20" s="26">
        <f>C20/100*39.2</f>
        <v>39.200000000000003</v>
      </c>
      <c r="J20" s="62"/>
      <c r="K20" s="62"/>
      <c r="L20" s="540">
        <v>100</v>
      </c>
      <c r="M20" s="65">
        <v>50</v>
      </c>
      <c r="N20" s="21">
        <f t="shared" si="0"/>
        <v>5000</v>
      </c>
      <c r="O20" s="3"/>
      <c r="Q20" s="2"/>
      <c r="R20" s="2"/>
      <c r="S20" s="3"/>
      <c r="T20" s="2"/>
    </row>
    <row r="21" spans="1:20" ht="19.95" customHeight="1">
      <c r="A21" s="8">
        <v>8</v>
      </c>
      <c r="B21" s="4" t="s">
        <v>20</v>
      </c>
      <c r="C21" s="21">
        <f>L21/100*95</f>
        <v>921.49999999999989</v>
      </c>
      <c r="D21" s="22">
        <f>C21/100*20</f>
        <v>184.29999999999995</v>
      </c>
      <c r="E21" s="23"/>
      <c r="F21" s="23">
        <f>C21/100*0.6</f>
        <v>5.528999999999999</v>
      </c>
      <c r="G21" s="23"/>
      <c r="H21" s="23">
        <f>C21/100*0.2</f>
        <v>1.8429999999999997</v>
      </c>
      <c r="I21" s="23">
        <f>C21/100*4</f>
        <v>36.859999999999992</v>
      </c>
      <c r="J21" s="25">
        <f>C21/100*12</f>
        <v>110.57999999999998</v>
      </c>
      <c r="K21" s="22">
        <f>C21/100*0.04</f>
        <v>0.36859999999999993</v>
      </c>
      <c r="L21" s="130">
        <v>970</v>
      </c>
      <c r="M21" s="67">
        <v>40</v>
      </c>
      <c r="N21" s="21">
        <f t="shared" si="0"/>
        <v>38800</v>
      </c>
      <c r="O21" s="16"/>
      <c r="Q21" s="2"/>
      <c r="R21" s="2"/>
      <c r="S21" s="3"/>
    </row>
    <row r="22" spans="1:20" ht="19.95" customHeight="1">
      <c r="A22" s="8">
        <v>9</v>
      </c>
      <c r="B22" s="148" t="s">
        <v>181</v>
      </c>
      <c r="C22" s="21">
        <f>L22/100*90</f>
        <v>1314</v>
      </c>
      <c r="D22" s="22">
        <f>C22/100*29</f>
        <v>381.06</v>
      </c>
      <c r="E22" s="23"/>
      <c r="F22" s="23">
        <f>C22/100*1.8</f>
        <v>23.652000000000001</v>
      </c>
      <c r="G22" s="23"/>
      <c r="H22" s="23">
        <f>C22/100*0.1</f>
        <v>1.3140000000000001</v>
      </c>
      <c r="I22" s="23">
        <f>C22/100*5.3</f>
        <v>69.641999999999996</v>
      </c>
      <c r="J22" s="109">
        <f>C22/100*48</f>
        <v>630.72</v>
      </c>
      <c r="K22" s="23">
        <f>C22/100*0.05</f>
        <v>0.65700000000000003</v>
      </c>
      <c r="L22" s="130">
        <v>1460</v>
      </c>
      <c r="M22" s="65">
        <v>15</v>
      </c>
      <c r="N22" s="21">
        <f t="shared" si="0"/>
        <v>21900</v>
      </c>
      <c r="O22" s="3"/>
    </row>
    <row r="23" spans="1:20" ht="19.95" customHeight="1">
      <c r="A23" s="8">
        <v>10</v>
      </c>
      <c r="B23" s="4" t="s">
        <v>133</v>
      </c>
      <c r="C23" s="21">
        <f>L23/100*75</f>
        <v>2550</v>
      </c>
      <c r="D23" s="22">
        <f>C23/100*17</f>
        <v>433.5</v>
      </c>
      <c r="E23" s="23"/>
      <c r="F23" s="23">
        <f>C23/100*1.4</f>
        <v>35.699999999999996</v>
      </c>
      <c r="G23" s="23"/>
      <c r="H23" s="23">
        <f>C23/100*0.2</f>
        <v>5.1000000000000005</v>
      </c>
      <c r="I23" s="23">
        <f>C23/100*2.4</f>
        <v>61.199999999999996</v>
      </c>
      <c r="J23" s="23">
        <f>C23/100*50</f>
        <v>1275</v>
      </c>
      <c r="K23" s="23">
        <f>C23/100*0.09</f>
        <v>2.2949999999999999</v>
      </c>
      <c r="L23" s="130">
        <v>3400</v>
      </c>
      <c r="M23" s="65">
        <v>18</v>
      </c>
      <c r="N23" s="21">
        <f t="shared" si="0"/>
        <v>61200</v>
      </c>
      <c r="O23" s="3"/>
    </row>
    <row r="24" spans="1:20" ht="19.95" customHeight="1">
      <c r="A24" s="8">
        <v>11</v>
      </c>
      <c r="B24" s="5" t="s">
        <v>125</v>
      </c>
      <c r="C24" s="21"/>
      <c r="D24" s="22"/>
      <c r="E24" s="23"/>
      <c r="F24" s="23"/>
      <c r="G24" s="23"/>
      <c r="H24" s="23"/>
      <c r="I24" s="23"/>
      <c r="J24" s="25"/>
      <c r="K24" s="25"/>
      <c r="L24" s="24"/>
      <c r="M24" s="24"/>
      <c r="N24" s="21">
        <v>8280</v>
      </c>
      <c r="O24" s="3"/>
    </row>
    <row r="25" spans="1:20" ht="19.95" customHeight="1">
      <c r="A25" s="19" t="s">
        <v>107</v>
      </c>
      <c r="B25" s="20"/>
      <c r="C25" s="30"/>
      <c r="D25" s="111">
        <f>SUM(D14:D24)</f>
        <v>43100.797000000006</v>
      </c>
      <c r="E25" s="32"/>
      <c r="F25" s="32"/>
      <c r="G25" s="32"/>
      <c r="H25" s="32"/>
      <c r="I25" s="32"/>
      <c r="J25" s="32"/>
      <c r="K25" s="32"/>
      <c r="L25" s="33"/>
      <c r="M25" s="428"/>
      <c r="N25" s="452">
        <f>SUM(N14:N24)</f>
        <v>1009310</v>
      </c>
      <c r="O25" s="3"/>
    </row>
    <row r="26" spans="1:20" ht="19.95" customHeight="1">
      <c r="A26" s="19" t="s">
        <v>6</v>
      </c>
      <c r="B26" s="20"/>
      <c r="C26" s="30"/>
      <c r="D26" s="31">
        <f>D25/D8</f>
        <v>444.33811340206194</v>
      </c>
      <c r="E26" s="32"/>
      <c r="F26" s="32"/>
      <c r="G26" s="32"/>
      <c r="H26" s="32"/>
      <c r="I26" s="32"/>
      <c r="J26" s="32"/>
      <c r="K26" s="32"/>
      <c r="L26" s="33"/>
      <c r="M26" s="429"/>
      <c r="N26" s="453"/>
      <c r="O26" s="3"/>
    </row>
    <row r="27" spans="1:20" ht="19.95" customHeight="1">
      <c r="A27" s="402" t="s">
        <v>51</v>
      </c>
      <c r="B27" s="464"/>
      <c r="C27" s="541" t="s">
        <v>154</v>
      </c>
      <c r="D27" s="18" t="s">
        <v>45</v>
      </c>
      <c r="E27" s="32"/>
      <c r="F27" s="32"/>
      <c r="G27" s="32"/>
      <c r="H27" s="32"/>
      <c r="I27" s="32"/>
      <c r="J27" s="32"/>
      <c r="K27" s="32"/>
      <c r="L27" s="33"/>
      <c r="M27" s="33"/>
      <c r="N27" s="34"/>
      <c r="O27" s="3"/>
    </row>
    <row r="28" spans="1:20" ht="19.95" customHeight="1">
      <c r="A28" s="465"/>
      <c r="B28" s="466"/>
      <c r="C28" s="66" t="s">
        <v>60</v>
      </c>
      <c r="D28" s="18">
        <f>D26*100/1320</f>
        <v>33.661978288034994</v>
      </c>
      <c r="E28" s="32"/>
      <c r="F28" s="32"/>
      <c r="G28" s="32"/>
      <c r="H28" s="32"/>
      <c r="I28" s="32"/>
      <c r="J28" s="32"/>
      <c r="K28" s="32"/>
      <c r="L28" s="33"/>
      <c r="M28" s="33"/>
      <c r="N28" s="34"/>
      <c r="O28" s="3"/>
    </row>
    <row r="29" spans="1:20" ht="19.95" customHeight="1">
      <c r="A29" s="341" t="s">
        <v>35</v>
      </c>
      <c r="B29" s="341"/>
      <c r="C29" s="48"/>
      <c r="D29" s="49"/>
      <c r="E29" s="50"/>
      <c r="F29" s="50"/>
      <c r="G29" s="50"/>
      <c r="H29" s="50"/>
      <c r="I29" s="50"/>
      <c r="J29" s="50"/>
      <c r="K29" s="50"/>
      <c r="L29" s="51"/>
      <c r="M29" s="51"/>
      <c r="N29" s="60"/>
      <c r="O29" s="3"/>
    </row>
    <row r="30" spans="1:20" ht="19.95" customHeight="1">
      <c r="A30" s="8">
        <v>1</v>
      </c>
      <c r="B30" s="9" t="s">
        <v>2</v>
      </c>
      <c r="C30" s="21">
        <f t="shared" ref="C30:C36" si="1">L30/100*100</f>
        <v>120</v>
      </c>
      <c r="D30" s="22">
        <f>C30/100*60</f>
        <v>72</v>
      </c>
      <c r="E30" s="23">
        <f>C30/100*15</f>
        <v>18</v>
      </c>
      <c r="F30" s="23"/>
      <c r="G30" s="23"/>
      <c r="H30" s="23"/>
      <c r="I30" s="23"/>
      <c r="J30" s="25">
        <f>C30/100*387</f>
        <v>464.4</v>
      </c>
      <c r="K30" s="25">
        <f>C30/100*0.09</f>
        <v>0.108</v>
      </c>
      <c r="L30" s="130">
        <v>120</v>
      </c>
      <c r="M30" s="65">
        <v>20</v>
      </c>
      <c r="N30" s="21">
        <f>L30*M30</f>
        <v>2400</v>
      </c>
      <c r="O30" s="3"/>
    </row>
    <row r="31" spans="1:20" ht="19.95" customHeight="1">
      <c r="A31" s="8">
        <v>2</v>
      </c>
      <c r="B31" s="142" t="s">
        <v>143</v>
      </c>
      <c r="C31" s="21">
        <f t="shared" si="1"/>
        <v>490.00000000000006</v>
      </c>
      <c r="D31" s="22">
        <f>C31/100*899</f>
        <v>4405.1000000000004</v>
      </c>
      <c r="E31" s="23"/>
      <c r="F31" s="23"/>
      <c r="G31" s="109">
        <f>C31/100*100</f>
        <v>490.00000000000006</v>
      </c>
      <c r="H31" s="23"/>
      <c r="I31" s="23"/>
      <c r="J31" s="23"/>
      <c r="K31" s="23"/>
      <c r="L31" s="130">
        <v>490</v>
      </c>
      <c r="M31" s="137">
        <v>68</v>
      </c>
      <c r="N31" s="21">
        <f t="shared" ref="N31:N40" si="2">L31*M31</f>
        <v>33320</v>
      </c>
      <c r="O31" s="542"/>
    </row>
    <row r="32" spans="1:20" ht="19.95" customHeight="1">
      <c r="A32" s="8">
        <v>3</v>
      </c>
      <c r="B32" s="147" t="s">
        <v>149</v>
      </c>
      <c r="C32" s="21">
        <f>L32/100*100</f>
        <v>140</v>
      </c>
      <c r="D32" s="110">
        <f>C32/100*900</f>
        <v>1260</v>
      </c>
      <c r="E32" s="23"/>
      <c r="F32" s="23"/>
      <c r="G32" s="109"/>
      <c r="H32" s="109">
        <f>C32/100*100</f>
        <v>140</v>
      </c>
      <c r="I32" s="23"/>
      <c r="J32" s="23"/>
      <c r="K32" s="23"/>
      <c r="L32" s="130">
        <v>140</v>
      </c>
      <c r="M32" s="65">
        <v>63.5</v>
      </c>
      <c r="N32" s="21">
        <f t="shared" si="2"/>
        <v>8890</v>
      </c>
      <c r="O32" s="542"/>
    </row>
    <row r="33" spans="1:20" ht="19.95" customHeight="1">
      <c r="A33" s="8">
        <v>4</v>
      </c>
      <c r="B33" s="4" t="s">
        <v>1</v>
      </c>
      <c r="C33" s="21">
        <f t="shared" si="1"/>
        <v>1455</v>
      </c>
      <c r="D33" s="22">
        <f>C33/100*330.1</f>
        <v>4802.9550000000008</v>
      </c>
      <c r="E33" s="23"/>
      <c r="F33" s="109">
        <f>C33/100*7.9</f>
        <v>114.94500000000001</v>
      </c>
      <c r="G33" s="23"/>
      <c r="H33" s="23">
        <f>C33/100*1</f>
        <v>14.55</v>
      </c>
      <c r="I33" s="109">
        <f>C33/100*70.1</f>
        <v>1019.9549999999999</v>
      </c>
      <c r="J33" s="25">
        <f>C33/100*30</f>
        <v>436.5</v>
      </c>
      <c r="K33" s="25">
        <f>C33/100*0.1</f>
        <v>1.4550000000000001</v>
      </c>
      <c r="L33" s="130">
        <v>1455</v>
      </c>
      <c r="M33" s="65">
        <v>18</v>
      </c>
      <c r="N33" s="21">
        <f t="shared" si="2"/>
        <v>26190</v>
      </c>
      <c r="O33" s="3"/>
    </row>
    <row r="34" spans="1:20" ht="19.95" customHeight="1">
      <c r="A34" s="8">
        <v>5</v>
      </c>
      <c r="B34" s="4" t="s">
        <v>73</v>
      </c>
      <c r="C34" s="21">
        <f t="shared" si="1"/>
        <v>969.99999999999989</v>
      </c>
      <c r="D34" s="22">
        <f>C34/100*344</f>
        <v>3336.7999999999997</v>
      </c>
      <c r="E34" s="23"/>
      <c r="F34" s="23">
        <f>C34/100*8.6</f>
        <v>83.419999999999987</v>
      </c>
      <c r="G34" s="23"/>
      <c r="H34" s="23">
        <f>C34/100*1.5</f>
        <v>14.549999999999999</v>
      </c>
      <c r="I34" s="23">
        <f>C34/100*74.5</f>
        <v>722.65</v>
      </c>
      <c r="J34" s="23">
        <f>C34/100*32</f>
        <v>310.39999999999998</v>
      </c>
      <c r="K34" s="23">
        <f>C34/100*0.14</f>
        <v>1.3580000000000001</v>
      </c>
      <c r="L34" s="130">
        <v>970</v>
      </c>
      <c r="M34" s="65">
        <v>30</v>
      </c>
      <c r="N34" s="21">
        <f t="shared" si="2"/>
        <v>29100</v>
      </c>
      <c r="O34" s="3"/>
      <c r="P34" s="16"/>
    </row>
    <row r="35" spans="1:20" ht="19.95" customHeight="1">
      <c r="A35" s="8">
        <v>6</v>
      </c>
      <c r="B35" s="4" t="s">
        <v>67</v>
      </c>
      <c r="C35" s="21">
        <f t="shared" si="1"/>
        <v>190</v>
      </c>
      <c r="D35" s="22">
        <f>C35/100*334</f>
        <v>634.6</v>
      </c>
      <c r="E35" s="23"/>
      <c r="F35" s="23">
        <f>C35/100*20</f>
        <v>38</v>
      </c>
      <c r="G35" s="23"/>
      <c r="H35" s="23">
        <f>C35/100*2.4</f>
        <v>4.5599999999999996</v>
      </c>
      <c r="I35" s="23">
        <f>C35/100*58</f>
        <v>110.19999999999999</v>
      </c>
      <c r="J35" s="25">
        <f>C35/100*89</f>
        <v>169.1</v>
      </c>
      <c r="K35" s="25">
        <f>C35/100*0.64</f>
        <v>1.216</v>
      </c>
      <c r="L35" s="130">
        <v>190</v>
      </c>
      <c r="M35" s="65">
        <v>190</v>
      </c>
      <c r="N35" s="21">
        <f>L35*M35</f>
        <v>36100</v>
      </c>
      <c r="O35" s="3"/>
    </row>
    <row r="36" spans="1:20" ht="19.95" customHeight="1">
      <c r="A36" s="8">
        <v>7</v>
      </c>
      <c r="B36" s="4" t="s">
        <v>138</v>
      </c>
      <c r="C36" s="21">
        <f t="shared" si="1"/>
        <v>60</v>
      </c>
      <c r="D36" s="22">
        <f>C36/100*247</f>
        <v>148.19999999999999</v>
      </c>
      <c r="E36" s="26"/>
      <c r="F36" s="26">
        <f>C36/100*17.5</f>
        <v>10.5</v>
      </c>
      <c r="G36" s="26"/>
      <c r="H36" s="26">
        <f>C36/100*1.6</f>
        <v>0.96</v>
      </c>
      <c r="I36" s="26">
        <f>C36/100*39.2</f>
        <v>23.52</v>
      </c>
      <c r="J36" s="62"/>
      <c r="K36" s="62"/>
      <c r="L36" s="540">
        <v>60</v>
      </c>
      <c r="M36" s="65">
        <v>50</v>
      </c>
      <c r="N36" s="21">
        <f t="shared" ref="N36:N39" si="3">L36*M36</f>
        <v>3000</v>
      </c>
      <c r="O36" s="3"/>
      <c r="Q36" s="2"/>
      <c r="R36" s="2"/>
      <c r="S36" s="3"/>
      <c r="T36" s="2"/>
    </row>
    <row r="37" spans="1:20" ht="19.95" customHeight="1">
      <c r="A37" s="8">
        <v>8</v>
      </c>
      <c r="B37" s="4" t="s">
        <v>4</v>
      </c>
      <c r="C37" s="21">
        <f>L37/100*98.5</f>
        <v>1438.1</v>
      </c>
      <c r="D37" s="22">
        <f>C37/100*39</f>
        <v>560.85899999999992</v>
      </c>
      <c r="E37" s="26"/>
      <c r="F37" s="26">
        <f>C37/100*1.5</f>
        <v>21.571499999999997</v>
      </c>
      <c r="G37" s="26"/>
      <c r="H37" s="26">
        <f>C37/100*0.2</f>
        <v>2.8761999999999999</v>
      </c>
      <c r="I37" s="26">
        <f>C37/100*7.8</f>
        <v>112.17179999999999</v>
      </c>
      <c r="J37" s="26">
        <f>C37/100*43</f>
        <v>618.38299999999992</v>
      </c>
      <c r="K37" s="26">
        <f>C37/100*0.06</f>
        <v>0.86285999999999985</v>
      </c>
      <c r="L37" s="540">
        <v>1460</v>
      </c>
      <c r="M37" s="24">
        <v>17</v>
      </c>
      <c r="N37" s="128">
        <f t="shared" si="3"/>
        <v>24820</v>
      </c>
      <c r="O37" s="3"/>
      <c r="Q37" s="2"/>
      <c r="R37" s="2"/>
      <c r="S37" s="3"/>
    </row>
    <row r="38" spans="1:20" ht="19.95" customHeight="1">
      <c r="A38" s="8">
        <v>8</v>
      </c>
      <c r="B38" s="9" t="s">
        <v>3</v>
      </c>
      <c r="C38" s="21">
        <f>L38/100*98</f>
        <v>1140.72</v>
      </c>
      <c r="D38" s="22">
        <f>C38/100*118</f>
        <v>1346.0496000000001</v>
      </c>
      <c r="E38" s="109">
        <f>C38/100*21</f>
        <v>239.55119999999999</v>
      </c>
      <c r="F38" s="109"/>
      <c r="G38" s="23">
        <f>C38/100*3.8</f>
        <v>43.347359999999995</v>
      </c>
      <c r="H38" s="23"/>
      <c r="I38" s="23"/>
      <c r="J38" s="23">
        <f>C38/100*12</f>
        <v>136.88639999999998</v>
      </c>
      <c r="K38" s="23">
        <f>C38/100*0.1</f>
        <v>1.14072</v>
      </c>
      <c r="L38" s="130">
        <v>1164</v>
      </c>
      <c r="M38" s="136">
        <v>250</v>
      </c>
      <c r="N38" s="128">
        <f t="shared" si="3"/>
        <v>291000</v>
      </c>
      <c r="O38" s="3"/>
    </row>
    <row r="39" spans="1:20" ht="19.95" customHeight="1">
      <c r="A39" s="8">
        <v>9</v>
      </c>
      <c r="B39" s="4" t="s">
        <v>69</v>
      </c>
      <c r="C39" s="21">
        <f>L39/100*48</f>
        <v>1344</v>
      </c>
      <c r="D39" s="22">
        <f>C39/100*199</f>
        <v>2674.56</v>
      </c>
      <c r="E39" s="109">
        <f>C39/100*20.3</f>
        <v>272.83199999999999</v>
      </c>
      <c r="F39" s="109"/>
      <c r="G39" s="109">
        <f>C39/100*13.1</f>
        <v>176.06399999999999</v>
      </c>
      <c r="H39" s="109"/>
      <c r="I39" s="23"/>
      <c r="J39" s="25">
        <f>C39/100*12</f>
        <v>161.28</v>
      </c>
      <c r="K39" s="25">
        <f>C39/100*0.15</f>
        <v>2.016</v>
      </c>
      <c r="L39" s="130">
        <v>2800</v>
      </c>
      <c r="M39" s="130">
        <v>84</v>
      </c>
      <c r="N39" s="21">
        <f t="shared" si="3"/>
        <v>235200</v>
      </c>
      <c r="O39" s="3"/>
      <c r="Q39" s="2"/>
      <c r="R39" s="2"/>
      <c r="S39" s="3"/>
    </row>
    <row r="40" spans="1:20" ht="19.95" customHeight="1">
      <c r="A40" s="8">
        <v>10</v>
      </c>
      <c r="B40" s="151" t="s">
        <v>152</v>
      </c>
      <c r="C40" s="21">
        <f>L40/100*100</f>
        <v>1650</v>
      </c>
      <c r="D40" s="22">
        <f>C40/100*487</f>
        <v>8035.5</v>
      </c>
      <c r="E40" s="164"/>
      <c r="F40" s="164">
        <f>C40/100*19.5</f>
        <v>321.75</v>
      </c>
      <c r="G40" s="164"/>
      <c r="H40" s="164">
        <f>C40/100*23.2</f>
        <v>382.8</v>
      </c>
      <c r="I40" s="26">
        <f>C40/100*46</f>
        <v>759</v>
      </c>
      <c r="J40" s="109">
        <f>C40/100*680</f>
        <v>11220</v>
      </c>
      <c r="K40" s="23">
        <f>C40/100*0.55</f>
        <v>9.0750000000000011</v>
      </c>
      <c r="L40" s="27">
        <v>1650</v>
      </c>
      <c r="M40" s="136">
        <v>260</v>
      </c>
      <c r="N40" s="21">
        <f t="shared" si="2"/>
        <v>429000</v>
      </c>
      <c r="O40" s="3"/>
      <c r="P40" s="2"/>
    </row>
    <row r="41" spans="1:20" ht="19.95" customHeight="1">
      <c r="A41" s="95">
        <v>11</v>
      </c>
      <c r="B41" s="102" t="s">
        <v>125</v>
      </c>
      <c r="C41" s="96"/>
      <c r="D41" s="97"/>
      <c r="E41" s="98"/>
      <c r="F41" s="98"/>
      <c r="G41" s="98"/>
      <c r="H41" s="98"/>
      <c r="I41" s="98"/>
      <c r="J41" s="104"/>
      <c r="K41" s="104"/>
      <c r="L41" s="99"/>
      <c r="M41" s="99"/>
      <c r="N41" s="96">
        <v>5850</v>
      </c>
      <c r="O41" s="3"/>
      <c r="P41" s="3"/>
    </row>
    <row r="42" spans="1:20" ht="21" customHeight="1">
      <c r="A42" s="318" t="s">
        <v>0</v>
      </c>
      <c r="B42" s="321" t="s">
        <v>19</v>
      </c>
      <c r="C42" s="437" t="s">
        <v>8</v>
      </c>
      <c r="D42" s="321" t="s">
        <v>9</v>
      </c>
      <c r="E42" s="324" t="s">
        <v>11</v>
      </c>
      <c r="F42" s="325"/>
      <c r="G42" s="324" t="s">
        <v>13</v>
      </c>
      <c r="H42" s="325"/>
      <c r="I42" s="318" t="s">
        <v>16</v>
      </c>
      <c r="J42" s="318" t="s">
        <v>41</v>
      </c>
      <c r="K42" s="318" t="s">
        <v>42</v>
      </c>
      <c r="L42" s="318" t="s">
        <v>17</v>
      </c>
      <c r="M42" s="318" t="s">
        <v>57</v>
      </c>
      <c r="N42" s="318" t="s">
        <v>18</v>
      </c>
      <c r="O42" s="539"/>
    </row>
    <row r="43" spans="1:20" ht="21" customHeight="1">
      <c r="A43" s="319"/>
      <c r="B43" s="322"/>
      <c r="C43" s="438"/>
      <c r="D43" s="322"/>
      <c r="E43" s="326"/>
      <c r="F43" s="327"/>
      <c r="G43" s="326"/>
      <c r="H43" s="327"/>
      <c r="I43" s="328"/>
      <c r="J43" s="328"/>
      <c r="K43" s="328"/>
      <c r="L43" s="328"/>
      <c r="M43" s="328"/>
      <c r="N43" s="319"/>
      <c r="O43" s="283"/>
    </row>
    <row r="44" spans="1:20" ht="21" customHeight="1">
      <c r="A44" s="319"/>
      <c r="B44" s="322"/>
      <c r="C44" s="438"/>
      <c r="D44" s="322"/>
      <c r="E44" s="318" t="s">
        <v>10</v>
      </c>
      <c r="F44" s="318" t="s">
        <v>12</v>
      </c>
      <c r="G44" s="318" t="s">
        <v>14</v>
      </c>
      <c r="H44" s="318" t="s">
        <v>15</v>
      </c>
      <c r="I44" s="328"/>
      <c r="J44" s="328"/>
      <c r="K44" s="328"/>
      <c r="L44" s="328"/>
      <c r="M44" s="328"/>
      <c r="N44" s="319"/>
      <c r="O44" s="283"/>
    </row>
    <row r="45" spans="1:20" ht="21" customHeight="1">
      <c r="A45" s="320"/>
      <c r="B45" s="323"/>
      <c r="C45" s="439"/>
      <c r="D45" s="323"/>
      <c r="E45" s="329"/>
      <c r="F45" s="329"/>
      <c r="G45" s="329"/>
      <c r="H45" s="329"/>
      <c r="I45" s="329"/>
      <c r="J45" s="329"/>
      <c r="K45" s="329"/>
      <c r="L45" s="329"/>
      <c r="M45" s="329"/>
      <c r="N45" s="320"/>
      <c r="O45" s="283"/>
    </row>
    <row r="46" spans="1:20" ht="21" customHeight="1">
      <c r="A46" s="19" t="s">
        <v>108</v>
      </c>
      <c r="B46" s="20"/>
      <c r="C46" s="30"/>
      <c r="D46" s="111">
        <f>SUM(D30:D41)</f>
        <v>27276.623600000003</v>
      </c>
      <c r="E46" s="6"/>
      <c r="F46" s="6"/>
      <c r="G46" s="6"/>
      <c r="H46" s="6"/>
      <c r="I46" s="6"/>
      <c r="J46" s="6"/>
      <c r="K46" s="6"/>
      <c r="L46" s="38"/>
      <c r="M46" s="425"/>
      <c r="N46" s="452">
        <f>SUM(N30:N41)</f>
        <v>1124870</v>
      </c>
      <c r="O46" s="3"/>
    </row>
    <row r="47" spans="1:20" ht="21" customHeight="1">
      <c r="A47" s="19" t="s">
        <v>7</v>
      </c>
      <c r="B47" s="20"/>
      <c r="C47" s="39"/>
      <c r="D47" s="40">
        <f>D46/D8</f>
        <v>281.20230515463919</v>
      </c>
      <c r="E47" s="40"/>
      <c r="F47" s="40"/>
      <c r="G47" s="40"/>
      <c r="H47" s="40"/>
      <c r="I47" s="40"/>
      <c r="J47" s="40"/>
      <c r="K47" s="40"/>
      <c r="L47" s="38"/>
      <c r="M47" s="426"/>
      <c r="N47" s="453"/>
      <c r="O47" s="3"/>
    </row>
    <row r="48" spans="1:20" ht="21" customHeight="1">
      <c r="A48" s="402" t="s">
        <v>52</v>
      </c>
      <c r="B48" s="331"/>
      <c r="C48" s="541" t="s">
        <v>154</v>
      </c>
      <c r="D48" s="18" t="s">
        <v>58</v>
      </c>
      <c r="E48" s="40"/>
      <c r="F48" s="40"/>
      <c r="G48" s="40"/>
      <c r="H48" s="40"/>
      <c r="I48" s="40"/>
      <c r="J48" s="41"/>
      <c r="K48" s="41"/>
      <c r="L48" s="38"/>
      <c r="M48" s="38"/>
      <c r="N48" s="285"/>
      <c r="O48" s="3"/>
    </row>
    <row r="49" spans="1:23" ht="21" customHeight="1">
      <c r="A49" s="332"/>
      <c r="B49" s="333"/>
      <c r="C49" s="66" t="s">
        <v>60</v>
      </c>
      <c r="D49" s="18">
        <f>D47*100/1320</f>
        <v>21.303204935957513</v>
      </c>
      <c r="E49" s="40"/>
      <c r="F49" s="40"/>
      <c r="G49" s="40"/>
      <c r="H49" s="40"/>
      <c r="I49" s="40"/>
      <c r="J49" s="41"/>
      <c r="K49" s="41"/>
      <c r="L49" s="38"/>
      <c r="M49" s="38"/>
      <c r="N49" s="285"/>
      <c r="O49" s="3"/>
    </row>
    <row r="50" spans="1:23" ht="21" customHeight="1">
      <c r="A50" s="394" t="s">
        <v>109</v>
      </c>
      <c r="B50" s="395"/>
      <c r="C50" s="398"/>
      <c r="D50" s="415">
        <f>D25+D46</f>
        <v>70377.420600000012</v>
      </c>
      <c r="E50" s="113">
        <f>SUM(E14:E41)</f>
        <v>1427.2156</v>
      </c>
      <c r="F50" s="113">
        <f t="shared" ref="F50:H50" si="4">SUM(F14:F41)</f>
        <v>1400.5525000000002</v>
      </c>
      <c r="G50" s="113">
        <f t="shared" si="4"/>
        <v>1578.3165600000002</v>
      </c>
      <c r="H50" s="43">
        <f t="shared" si="4"/>
        <v>662.30320000000006</v>
      </c>
      <c r="I50" s="358">
        <f>SUM(I14:I41)</f>
        <v>9422.0882000000001</v>
      </c>
      <c r="J50" s="358">
        <f>SUM(J14:J41)</f>
        <v>20400.767399999997</v>
      </c>
      <c r="K50" s="390">
        <f>SUM(K14:K41)</f>
        <v>44.249660000000013</v>
      </c>
      <c r="L50" s="373"/>
      <c r="M50" s="373"/>
      <c r="N50" s="417">
        <f>N25+N46</f>
        <v>2134180</v>
      </c>
    </row>
    <row r="51" spans="1:23" ht="21" customHeight="1">
      <c r="A51" s="396"/>
      <c r="B51" s="397"/>
      <c r="C51" s="399"/>
      <c r="D51" s="416"/>
      <c r="E51" s="440">
        <f>E50+F50</f>
        <v>2827.7681000000002</v>
      </c>
      <c r="F51" s="441"/>
      <c r="G51" s="387">
        <f>G50+H50</f>
        <v>2240.6197600000005</v>
      </c>
      <c r="H51" s="388"/>
      <c r="I51" s="360"/>
      <c r="J51" s="360"/>
      <c r="K51" s="391"/>
      <c r="L51" s="373"/>
      <c r="M51" s="373"/>
      <c r="N51" s="417"/>
      <c r="U51" s="274"/>
      <c r="V51" s="274"/>
    </row>
    <row r="52" spans="1:23" ht="21" customHeight="1">
      <c r="A52" s="351" t="s">
        <v>77</v>
      </c>
      <c r="B52" s="352"/>
      <c r="C52" s="353"/>
      <c r="D52" s="125">
        <f>D50/D8</f>
        <v>725.54041855670118</v>
      </c>
      <c r="E52" s="543">
        <f>E50/D8</f>
        <v>14.713562886597938</v>
      </c>
      <c r="F52" s="544">
        <f>F50/D8</f>
        <v>14.438685567010312</v>
      </c>
      <c r="G52" s="543">
        <f>G50/D8</f>
        <v>16.271304742268043</v>
      </c>
      <c r="H52" s="544">
        <f>H50/D8</f>
        <v>6.8278680412371138</v>
      </c>
      <c r="I52" s="368">
        <f>I50/D8</f>
        <v>97.134929896907224</v>
      </c>
      <c r="J52" s="368">
        <f>J50/D8</f>
        <v>210.31718969072162</v>
      </c>
      <c r="K52" s="413">
        <f>K50/D8</f>
        <v>0.45618206185567023</v>
      </c>
      <c r="L52" s="373"/>
      <c r="M52" s="373"/>
      <c r="N52" s="417"/>
      <c r="Q52" s="558"/>
      <c r="R52" s="558"/>
      <c r="S52" s="558"/>
      <c r="T52" s="558"/>
      <c r="U52" s="559"/>
      <c r="V52" s="559"/>
      <c r="W52" s="1">
        <f>Q52+S52+U52</f>
        <v>0</v>
      </c>
    </row>
    <row r="53" spans="1:23" ht="21" customHeight="1">
      <c r="A53" s="354"/>
      <c r="B53" s="355"/>
      <c r="C53" s="356"/>
      <c r="D53" s="117"/>
      <c r="E53" s="545">
        <f>E52+F52</f>
        <v>29.152248453608252</v>
      </c>
      <c r="F53" s="546"/>
      <c r="G53" s="545">
        <f>G52+H52</f>
        <v>23.099172783505157</v>
      </c>
      <c r="H53" s="546"/>
      <c r="I53" s="369"/>
      <c r="J53" s="369"/>
      <c r="K53" s="414"/>
      <c r="L53" s="373"/>
      <c r="M53" s="373"/>
      <c r="N53" s="417"/>
      <c r="P53" s="547"/>
      <c r="Q53" s="558"/>
      <c r="R53" s="558"/>
      <c r="S53" s="558"/>
      <c r="T53" s="558"/>
      <c r="U53" s="558"/>
      <c r="V53" s="558"/>
    </row>
    <row r="54" spans="1:23" ht="21" customHeight="1">
      <c r="A54" s="422" t="s">
        <v>80</v>
      </c>
      <c r="B54" s="423"/>
      <c r="C54" s="424"/>
      <c r="D54" s="282" t="s">
        <v>28</v>
      </c>
      <c r="E54" s="304" t="s">
        <v>21</v>
      </c>
      <c r="F54" s="304"/>
      <c r="G54" s="304" t="s">
        <v>22</v>
      </c>
      <c r="H54" s="304"/>
      <c r="I54" s="286" t="s">
        <v>23</v>
      </c>
      <c r="J54" s="286">
        <v>600</v>
      </c>
      <c r="K54" s="286">
        <v>0.7</v>
      </c>
      <c r="L54" s="373"/>
      <c r="M54" s="373"/>
      <c r="N54" s="417"/>
      <c r="O54" s="548"/>
    </row>
    <row r="55" spans="1:23" ht="21" customHeight="1">
      <c r="A55" s="348" t="s">
        <v>78</v>
      </c>
      <c r="B55" s="380"/>
      <c r="C55" s="349"/>
      <c r="D55" s="42"/>
      <c r="E55" s="381">
        <f>E53*4.1</f>
        <v>119.52421865979382</v>
      </c>
      <c r="F55" s="382"/>
      <c r="G55" s="381">
        <f>G53*9</f>
        <v>207.89255505154642</v>
      </c>
      <c r="H55" s="382"/>
      <c r="I55" s="112">
        <f>I52*4.1</f>
        <v>398.25321257731957</v>
      </c>
      <c r="J55" s="361"/>
      <c r="K55" s="361"/>
      <c r="L55" s="373"/>
      <c r="M55" s="373"/>
      <c r="N55" s="417"/>
      <c r="O55" s="548"/>
      <c r="P55" s="556"/>
      <c r="Q55" s="557"/>
      <c r="R55" s="557"/>
      <c r="S55" s="557"/>
    </row>
    <row r="56" spans="1:23" ht="21" customHeight="1">
      <c r="A56" s="383" t="s">
        <v>81</v>
      </c>
      <c r="B56" s="384"/>
      <c r="C56" s="348" t="s">
        <v>59</v>
      </c>
      <c r="D56" s="349"/>
      <c r="E56" s="298">
        <f>E55*100/D52</f>
        <v>16.473819459646407</v>
      </c>
      <c r="F56" s="299"/>
      <c r="G56" s="298">
        <f>G55*100/D52</f>
        <v>28.653476737395518</v>
      </c>
      <c r="H56" s="299"/>
      <c r="I56" s="106">
        <f>I55*100/D52</f>
        <v>54.890561902747528</v>
      </c>
      <c r="J56" s="362"/>
      <c r="K56" s="362"/>
      <c r="L56" s="373"/>
      <c r="M56" s="373"/>
      <c r="N56" s="417"/>
      <c r="O56" s="548"/>
      <c r="P56" s="133"/>
      <c r="Q56" s="133"/>
      <c r="R56" s="133"/>
      <c r="S56" s="133"/>
    </row>
    <row r="57" spans="1:23" ht="21" customHeight="1">
      <c r="A57" s="385"/>
      <c r="B57" s="386"/>
      <c r="C57" s="348" t="s">
        <v>79</v>
      </c>
      <c r="D57" s="349"/>
      <c r="E57" s="348" t="s">
        <v>82</v>
      </c>
      <c r="F57" s="349"/>
      <c r="G57" s="348" t="s">
        <v>83</v>
      </c>
      <c r="H57" s="349"/>
      <c r="I57" s="282" t="s">
        <v>84</v>
      </c>
      <c r="J57" s="363"/>
      <c r="K57" s="363"/>
      <c r="L57" s="373"/>
      <c r="M57" s="373"/>
      <c r="N57" s="417"/>
      <c r="O57" s="548"/>
      <c r="P57" s="2"/>
    </row>
    <row r="58" spans="1:23" ht="21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83"/>
      <c r="M58" s="83"/>
      <c r="N58" s="84"/>
      <c r="O58" s="548"/>
    </row>
    <row r="59" spans="1:23" ht="21" customHeight="1">
      <c r="A59" s="291" t="s">
        <v>116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548"/>
    </row>
    <row r="60" spans="1:23" ht="21" customHeight="1">
      <c r="A60" s="107" t="s">
        <v>117</v>
      </c>
      <c r="B60" s="292" t="s">
        <v>118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548"/>
    </row>
    <row r="61" spans="1:23" ht="21" customHeight="1">
      <c r="A61" s="108"/>
      <c r="B61" s="293" t="s">
        <v>231</v>
      </c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548"/>
    </row>
    <row r="62" spans="1:23" ht="21" customHeight="1">
      <c r="A62" s="108"/>
      <c r="B62" s="293" t="s">
        <v>205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548"/>
    </row>
    <row r="63" spans="1:23" ht="21" customHeight="1">
      <c r="A63" s="108"/>
      <c r="B63" s="293" t="s">
        <v>232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548"/>
    </row>
    <row r="64" spans="1:23" ht="21" customHeight="1">
      <c r="A64" s="79"/>
      <c r="B64" s="294" t="s">
        <v>119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548"/>
    </row>
    <row r="65" spans="1:15" ht="21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3"/>
      <c r="M65" s="83"/>
      <c r="N65" s="84"/>
      <c r="O65" s="548"/>
    </row>
    <row r="66" spans="1:15" ht="21" customHeight="1">
      <c r="A66" s="295" t="s">
        <v>62</v>
      </c>
      <c r="B66" s="295"/>
      <c r="C66" s="295"/>
      <c r="D66" s="295"/>
      <c r="E66" s="549"/>
      <c r="F66" s="549"/>
      <c r="G66" s="549"/>
      <c r="H66" s="549"/>
      <c r="I66" s="549"/>
      <c r="J66" s="550" t="s">
        <v>33</v>
      </c>
      <c r="K66" s="550"/>
      <c r="L66" s="550"/>
      <c r="M66" s="550"/>
      <c r="N66" s="550"/>
      <c r="O66" s="548"/>
    </row>
    <row r="67" spans="1:15" ht="21" customHeight="1">
      <c r="A67" s="283"/>
      <c r="B67" s="283"/>
      <c r="C67" s="283"/>
      <c r="D67" s="549"/>
      <c r="E67" s="549"/>
      <c r="F67" s="549"/>
      <c r="G67" s="549"/>
      <c r="H67" s="551"/>
      <c r="I67" s="551"/>
      <c r="J67" s="551"/>
      <c r="K67" s="551"/>
      <c r="L67" s="551"/>
      <c r="M67" s="551"/>
      <c r="N67" s="551"/>
      <c r="O67" s="548"/>
    </row>
    <row r="68" spans="1:15" ht="21" customHeight="1">
      <c r="A68" s="283"/>
      <c r="B68" s="283"/>
      <c r="C68" s="283"/>
      <c r="D68" s="549"/>
      <c r="E68" s="549"/>
      <c r="F68" s="549"/>
      <c r="G68" s="549"/>
      <c r="H68" s="551"/>
      <c r="I68" s="551"/>
      <c r="J68" s="551"/>
      <c r="K68" s="551"/>
      <c r="L68" s="551"/>
      <c r="M68" s="551"/>
      <c r="N68" s="551"/>
      <c r="O68" s="548"/>
    </row>
    <row r="69" spans="1:15" ht="21" customHeight="1">
      <c r="A69" s="283"/>
      <c r="B69" s="283"/>
      <c r="C69" s="283"/>
      <c r="D69" s="549"/>
      <c r="E69" s="549"/>
      <c r="F69" s="549"/>
      <c r="G69" s="549"/>
      <c r="H69" s="551"/>
      <c r="I69" s="551"/>
      <c r="J69" s="552" t="s">
        <v>126</v>
      </c>
      <c r="K69" s="552"/>
      <c r="L69" s="552"/>
      <c r="M69" s="552"/>
      <c r="N69" s="552"/>
      <c r="O69" s="548"/>
    </row>
    <row r="70" spans="1:15" ht="21" customHeight="1">
      <c r="A70" s="287" t="s">
        <v>93</v>
      </c>
      <c r="B70" s="287"/>
      <c r="C70" s="287"/>
      <c r="D70" s="287"/>
      <c r="E70" s="549"/>
      <c r="F70" s="549"/>
      <c r="G70" s="549"/>
      <c r="H70" s="551"/>
      <c r="I70" s="551"/>
      <c r="O70" s="548"/>
    </row>
    <row r="71" spans="1:15" ht="21" customHeight="1">
      <c r="A71" s="283"/>
      <c r="B71" s="283"/>
      <c r="C71" s="283"/>
      <c r="D71" s="549"/>
      <c r="E71" s="549"/>
      <c r="F71" s="549"/>
      <c r="G71" s="549"/>
      <c r="H71" s="551"/>
      <c r="I71" s="551"/>
      <c r="J71" s="551"/>
      <c r="K71" s="551"/>
      <c r="L71" s="551"/>
      <c r="M71" s="551"/>
      <c r="N71" s="551"/>
      <c r="O71" s="548"/>
    </row>
    <row r="72" spans="1:15" ht="21" customHeight="1">
      <c r="A72" s="283"/>
      <c r="B72" s="283"/>
      <c r="C72" s="283"/>
      <c r="D72" s="549"/>
      <c r="E72" s="549"/>
      <c r="F72" s="549"/>
      <c r="G72" s="549"/>
      <c r="H72" s="551"/>
      <c r="I72" s="551"/>
      <c r="J72" s="552" t="s">
        <v>129</v>
      </c>
      <c r="K72" s="552"/>
      <c r="L72" s="552"/>
      <c r="M72" s="552"/>
      <c r="N72" s="552"/>
      <c r="O72" s="548"/>
    </row>
    <row r="73" spans="1:15" ht="21" customHeight="1">
      <c r="A73" s="283"/>
      <c r="B73" s="283"/>
      <c r="C73" s="283"/>
      <c r="D73" s="549"/>
      <c r="E73" s="549"/>
      <c r="F73" s="549"/>
      <c r="G73" s="549"/>
      <c r="H73" s="551"/>
      <c r="I73" s="551"/>
      <c r="J73" s="551"/>
      <c r="K73" s="551"/>
      <c r="L73" s="551"/>
      <c r="M73" s="551"/>
      <c r="N73" s="551"/>
      <c r="O73" s="548"/>
    </row>
    <row r="74" spans="1:15" ht="21" customHeight="1">
      <c r="A74" s="283"/>
      <c r="B74" s="283"/>
      <c r="C74" s="283"/>
      <c r="D74" s="549"/>
      <c r="E74" s="549"/>
      <c r="F74" s="549"/>
      <c r="G74" s="549"/>
      <c r="H74" s="551"/>
      <c r="I74" s="551"/>
      <c r="J74" s="551"/>
      <c r="K74" s="551"/>
      <c r="L74" s="551"/>
      <c r="M74" s="551"/>
      <c r="N74" s="551"/>
      <c r="O74" s="548"/>
    </row>
    <row r="75" spans="1:15" ht="21" customHeight="1">
      <c r="A75" s="283"/>
      <c r="B75" s="283"/>
      <c r="C75" s="283"/>
      <c r="D75" s="549"/>
      <c r="E75" s="549"/>
      <c r="F75" s="549"/>
      <c r="G75" s="549"/>
      <c r="H75" s="551"/>
      <c r="I75" s="551"/>
      <c r="J75" s="551"/>
      <c r="K75" s="551"/>
      <c r="L75" s="551"/>
      <c r="M75" s="551"/>
      <c r="N75" s="551"/>
      <c r="O75" s="548"/>
    </row>
    <row r="76" spans="1:15" ht="21" customHeight="1">
      <c r="A76" s="283"/>
      <c r="B76" s="283"/>
      <c r="C76" s="283"/>
      <c r="D76" s="549"/>
      <c r="E76" s="549"/>
      <c r="F76" s="549"/>
      <c r="G76" s="549"/>
      <c r="H76" s="551"/>
      <c r="I76" s="551"/>
      <c r="J76" s="551"/>
      <c r="K76" s="551"/>
      <c r="L76" s="551"/>
      <c r="M76" s="551"/>
      <c r="N76" s="551"/>
      <c r="O76" s="548"/>
    </row>
    <row r="77" spans="1:15" ht="21" customHeight="1">
      <c r="A77" s="283"/>
      <c r="B77" s="283"/>
      <c r="C77" s="283"/>
      <c r="D77" s="549"/>
      <c r="E77" s="549"/>
      <c r="F77" s="549"/>
      <c r="G77" s="549"/>
      <c r="H77" s="551"/>
      <c r="I77" s="551"/>
      <c r="J77" s="551"/>
      <c r="K77" s="551"/>
      <c r="L77" s="551"/>
      <c r="M77" s="551"/>
      <c r="N77" s="551"/>
      <c r="O77" s="548"/>
    </row>
    <row r="78" spans="1:15" ht="21" customHeight="1">
      <c r="A78" s="283"/>
      <c r="B78" s="283"/>
      <c r="C78" s="283"/>
      <c r="D78" s="549"/>
      <c r="E78" s="549"/>
      <c r="F78" s="549"/>
      <c r="G78" s="549"/>
      <c r="H78" s="551"/>
      <c r="I78" s="551"/>
      <c r="J78" s="551"/>
      <c r="K78" s="551"/>
      <c r="L78" s="551"/>
      <c r="M78" s="551"/>
      <c r="N78" s="551"/>
      <c r="O78" s="548"/>
    </row>
    <row r="79" spans="1:15" ht="21" customHeight="1">
      <c r="A79" s="283"/>
      <c r="B79" s="283"/>
      <c r="C79" s="283"/>
      <c r="D79" s="549"/>
      <c r="E79" s="549"/>
      <c r="F79" s="549"/>
      <c r="G79" s="549"/>
      <c r="H79" s="551"/>
      <c r="I79" s="551"/>
      <c r="J79" s="551"/>
      <c r="K79" s="551"/>
      <c r="L79" s="551"/>
      <c r="M79" s="551"/>
      <c r="N79" s="551"/>
      <c r="O79" s="548"/>
    </row>
    <row r="80" spans="1:15" ht="21" customHeight="1">
      <c r="A80" s="283"/>
      <c r="B80" s="283"/>
      <c r="C80" s="283"/>
      <c r="D80" s="549"/>
      <c r="E80" s="549"/>
      <c r="F80" s="549"/>
      <c r="G80" s="549"/>
      <c r="H80" s="551"/>
      <c r="I80" s="551"/>
      <c r="J80" s="551"/>
      <c r="K80" s="551"/>
      <c r="L80" s="551"/>
      <c r="M80" s="551"/>
      <c r="N80" s="551"/>
      <c r="O80" s="548"/>
    </row>
    <row r="81" spans="1:16" ht="21" customHeight="1">
      <c r="A81" s="283"/>
      <c r="B81" s="283"/>
      <c r="C81" s="283"/>
      <c r="D81" s="549"/>
      <c r="E81" s="549"/>
      <c r="F81" s="549"/>
      <c r="G81" s="549"/>
      <c r="H81" s="551"/>
      <c r="I81" s="551"/>
      <c r="J81" s="551"/>
      <c r="K81" s="551"/>
      <c r="L81" s="551"/>
      <c r="M81" s="551"/>
      <c r="N81" s="551"/>
      <c r="O81" s="548"/>
    </row>
    <row r="82" spans="1:16" ht="19.95" customHeight="1">
      <c r="A82" s="10" t="s">
        <v>61</v>
      </c>
      <c r="B82" s="7"/>
      <c r="C82" s="7"/>
      <c r="D82" s="7"/>
      <c r="E82" s="7"/>
      <c r="F82" s="401" t="s">
        <v>32</v>
      </c>
      <c r="G82" s="401"/>
      <c r="H82" s="401"/>
      <c r="I82" s="401"/>
      <c r="J82" s="401"/>
      <c r="K82" s="401"/>
      <c r="L82" s="401"/>
      <c r="M82" s="401"/>
      <c r="N82" s="401"/>
      <c r="O82" s="537"/>
      <c r="P82" s="537"/>
    </row>
    <row r="83" spans="1:16" ht="19.95" customHeight="1">
      <c r="A83" s="7" t="s">
        <v>230</v>
      </c>
      <c r="B83" s="7"/>
      <c r="C83" s="7"/>
      <c r="D83" s="7"/>
      <c r="E83" s="7"/>
      <c r="F83" s="280"/>
      <c r="G83" s="280"/>
      <c r="H83" s="280"/>
      <c r="I83" s="280"/>
      <c r="J83" s="280"/>
      <c r="K83" s="280"/>
      <c r="L83" s="280"/>
      <c r="M83" s="280"/>
      <c r="N83" s="280"/>
      <c r="O83" s="537"/>
      <c r="P83" s="537"/>
    </row>
    <row r="84" spans="1:16" ht="18" customHeight="1">
      <c r="A84" s="304" t="s">
        <v>99</v>
      </c>
      <c r="B84" s="304"/>
      <c r="C84" s="304"/>
      <c r="D84" s="304"/>
      <c r="E84" s="304" t="s">
        <v>89</v>
      </c>
      <c r="F84" s="304"/>
      <c r="G84" s="304"/>
      <c r="H84" s="304"/>
      <c r="I84" s="304"/>
      <c r="J84" s="304"/>
      <c r="K84" s="304"/>
      <c r="L84" s="304"/>
      <c r="M84" s="304"/>
      <c r="N84" s="304"/>
      <c r="O84" s="538"/>
    </row>
    <row r="85" spans="1:16" ht="18" customHeight="1">
      <c r="A85" s="304"/>
      <c r="B85" s="304"/>
      <c r="C85" s="304"/>
      <c r="D85" s="304"/>
      <c r="E85" s="304" t="s">
        <v>106</v>
      </c>
      <c r="F85" s="304"/>
      <c r="G85" s="304"/>
      <c r="H85" s="304"/>
      <c r="I85" s="304"/>
      <c r="J85" s="304" t="s">
        <v>103</v>
      </c>
      <c r="K85" s="304"/>
      <c r="L85" s="304"/>
      <c r="M85" s="304"/>
      <c r="N85" s="304"/>
      <c r="O85" s="538"/>
    </row>
    <row r="86" spans="1:16" ht="18" customHeight="1">
      <c r="A86" s="305" t="s">
        <v>90</v>
      </c>
      <c r="B86" s="305"/>
      <c r="C86" s="305"/>
      <c r="D86" s="305"/>
      <c r="E86" s="308" t="s">
        <v>151</v>
      </c>
      <c r="F86" s="308"/>
      <c r="G86" s="308"/>
      <c r="H86" s="308"/>
      <c r="I86" s="308"/>
      <c r="J86" s="309" t="s">
        <v>180</v>
      </c>
      <c r="K86" s="310"/>
      <c r="L86" s="310"/>
      <c r="M86" s="310"/>
      <c r="N86" s="311"/>
      <c r="O86" s="538"/>
    </row>
    <row r="87" spans="1:16" ht="18" customHeight="1">
      <c r="A87" s="459" t="s">
        <v>179</v>
      </c>
      <c r="B87" s="460"/>
      <c r="C87" s="460"/>
      <c r="D87" s="461"/>
      <c r="E87" s="308"/>
      <c r="F87" s="308"/>
      <c r="G87" s="308"/>
      <c r="H87" s="308"/>
      <c r="I87" s="308"/>
      <c r="J87" s="312"/>
      <c r="K87" s="313"/>
      <c r="L87" s="313"/>
      <c r="M87" s="313"/>
      <c r="N87" s="314"/>
      <c r="O87" s="538"/>
    </row>
    <row r="88" spans="1:16" ht="18" customHeight="1">
      <c r="A88" s="469" t="s">
        <v>178</v>
      </c>
      <c r="B88" s="469"/>
      <c r="C88" s="469"/>
      <c r="D88" s="469"/>
      <c r="E88" s="308"/>
      <c r="F88" s="308"/>
      <c r="G88" s="308"/>
      <c r="H88" s="308"/>
      <c r="I88" s="308"/>
      <c r="J88" s="315"/>
      <c r="K88" s="316"/>
      <c r="L88" s="316"/>
      <c r="M88" s="316"/>
      <c r="N88" s="317"/>
      <c r="O88" s="538"/>
    </row>
    <row r="89" spans="1:16" ht="18" customHeight="1">
      <c r="A89" s="334" t="s">
        <v>124</v>
      </c>
      <c r="B89" s="335"/>
      <c r="C89" s="336"/>
      <c r="D89" s="118">
        <v>42</v>
      </c>
      <c r="E89" s="7"/>
      <c r="F89" s="280"/>
      <c r="G89" s="280"/>
      <c r="H89" s="280"/>
      <c r="I89" s="280"/>
      <c r="J89" s="280"/>
      <c r="K89" s="280"/>
      <c r="L89" s="280"/>
      <c r="M89" s="280"/>
      <c r="N89" s="280"/>
      <c r="O89" s="537"/>
      <c r="P89" s="537"/>
    </row>
    <row r="90" spans="1:16" ht="19.95" customHeight="1">
      <c r="A90" s="318" t="s">
        <v>0</v>
      </c>
      <c r="B90" s="321" t="s">
        <v>19</v>
      </c>
      <c r="C90" s="475" t="s">
        <v>8</v>
      </c>
      <c r="D90" s="321" t="s">
        <v>9</v>
      </c>
      <c r="E90" s="471" t="s">
        <v>11</v>
      </c>
      <c r="F90" s="472"/>
      <c r="G90" s="471" t="s">
        <v>13</v>
      </c>
      <c r="H90" s="472"/>
      <c r="I90" s="318" t="s">
        <v>16</v>
      </c>
      <c r="J90" s="318" t="s">
        <v>41</v>
      </c>
      <c r="K90" s="318" t="s">
        <v>42</v>
      </c>
      <c r="L90" s="318" t="s">
        <v>17</v>
      </c>
      <c r="M90" s="318" t="s">
        <v>57</v>
      </c>
      <c r="N90" s="318" t="s">
        <v>18</v>
      </c>
      <c r="O90" s="539"/>
    </row>
    <row r="91" spans="1:16" ht="19.95" customHeight="1">
      <c r="A91" s="319"/>
      <c r="B91" s="322"/>
      <c r="C91" s="476"/>
      <c r="D91" s="322"/>
      <c r="E91" s="473"/>
      <c r="F91" s="474"/>
      <c r="G91" s="473"/>
      <c r="H91" s="474"/>
      <c r="I91" s="328"/>
      <c r="J91" s="328"/>
      <c r="K91" s="328"/>
      <c r="L91" s="328"/>
      <c r="M91" s="328"/>
      <c r="N91" s="319"/>
      <c r="O91" s="283"/>
    </row>
    <row r="92" spans="1:16" ht="19.95" customHeight="1">
      <c r="A92" s="319"/>
      <c r="B92" s="322"/>
      <c r="C92" s="476"/>
      <c r="D92" s="322"/>
      <c r="E92" s="318" t="s">
        <v>10</v>
      </c>
      <c r="F92" s="318" t="s">
        <v>12</v>
      </c>
      <c r="G92" s="318" t="s">
        <v>96</v>
      </c>
      <c r="H92" s="318" t="s">
        <v>15</v>
      </c>
      <c r="I92" s="328"/>
      <c r="J92" s="328"/>
      <c r="K92" s="328"/>
      <c r="L92" s="328"/>
      <c r="M92" s="328"/>
      <c r="N92" s="319"/>
      <c r="O92" s="283"/>
    </row>
    <row r="93" spans="1:16" ht="19.95" customHeight="1">
      <c r="A93" s="320"/>
      <c r="B93" s="323"/>
      <c r="C93" s="477"/>
      <c r="D93" s="323"/>
      <c r="E93" s="329"/>
      <c r="F93" s="329"/>
      <c r="G93" s="329"/>
      <c r="H93" s="329"/>
      <c r="I93" s="329"/>
      <c r="J93" s="329"/>
      <c r="K93" s="329"/>
      <c r="L93" s="329"/>
      <c r="M93" s="329"/>
      <c r="N93" s="320"/>
      <c r="O93" s="283"/>
    </row>
    <row r="94" spans="1:16" ht="19.95" customHeight="1">
      <c r="A94" s="343" t="s">
        <v>39</v>
      </c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5"/>
      <c r="O94" s="283"/>
    </row>
    <row r="95" spans="1:16" ht="19.2" customHeight="1">
      <c r="A95" s="8">
        <v>1</v>
      </c>
      <c r="B95" s="9" t="s">
        <v>2</v>
      </c>
      <c r="C95" s="21">
        <f>L95/100*100</f>
        <v>60</v>
      </c>
      <c r="D95" s="22">
        <f>C95/100*60</f>
        <v>36</v>
      </c>
      <c r="E95" s="23">
        <f>C95/100*15</f>
        <v>9</v>
      </c>
      <c r="F95" s="23"/>
      <c r="G95" s="23"/>
      <c r="H95" s="23"/>
      <c r="I95" s="23"/>
      <c r="J95" s="25">
        <f>C95/100*387</f>
        <v>232.2</v>
      </c>
      <c r="K95" s="25">
        <f>C95/100*0.09</f>
        <v>5.3999999999999999E-2</v>
      </c>
      <c r="L95" s="130">
        <v>60</v>
      </c>
      <c r="M95" s="65">
        <v>20</v>
      </c>
      <c r="N95" s="21">
        <f>L95*M95</f>
        <v>1200</v>
      </c>
      <c r="O95" s="3"/>
    </row>
    <row r="96" spans="1:16" ht="19.2" customHeight="1">
      <c r="A96" s="8">
        <v>2</v>
      </c>
      <c r="B96" s="142" t="s">
        <v>143</v>
      </c>
      <c r="C96" s="21">
        <f>L96/100*100</f>
        <v>210</v>
      </c>
      <c r="D96" s="22">
        <f>C96/100*899</f>
        <v>1887.9</v>
      </c>
      <c r="E96" s="23"/>
      <c r="F96" s="23"/>
      <c r="G96" s="110">
        <f>C96/100*100</f>
        <v>210</v>
      </c>
      <c r="H96" s="109"/>
      <c r="I96" s="23"/>
      <c r="J96" s="25"/>
      <c r="K96" s="25"/>
      <c r="L96" s="130">
        <v>210</v>
      </c>
      <c r="M96" s="65">
        <v>68</v>
      </c>
      <c r="N96" s="21">
        <f t="shared" ref="N96:N102" si="5">L96*M96</f>
        <v>14280</v>
      </c>
      <c r="O96" s="3"/>
    </row>
    <row r="97" spans="1:20" ht="19.2" customHeight="1">
      <c r="A97" s="8">
        <v>3</v>
      </c>
      <c r="B97" s="4" t="s">
        <v>1</v>
      </c>
      <c r="C97" s="21">
        <f>L97/100*100</f>
        <v>1805.9999999999998</v>
      </c>
      <c r="D97" s="22">
        <f>C97/100*344</f>
        <v>6212.6399999999994</v>
      </c>
      <c r="E97" s="23"/>
      <c r="F97" s="109">
        <f>C97/100*7.9</f>
        <v>142.67400000000001</v>
      </c>
      <c r="G97" s="23"/>
      <c r="H97" s="23">
        <f>C97/100*1</f>
        <v>18.059999999999999</v>
      </c>
      <c r="I97" s="109">
        <f>C97/100*75.9</f>
        <v>1370.7539999999999</v>
      </c>
      <c r="J97" s="25">
        <f>C97/100*30</f>
        <v>541.79999999999995</v>
      </c>
      <c r="K97" s="25">
        <f>C97/100*0.1</f>
        <v>1.806</v>
      </c>
      <c r="L97" s="130">
        <v>1806</v>
      </c>
      <c r="M97" s="65">
        <v>18</v>
      </c>
      <c r="N97" s="21">
        <f t="shared" si="5"/>
        <v>32508</v>
      </c>
      <c r="O97" s="3"/>
    </row>
    <row r="98" spans="1:20" ht="19.2" customHeight="1">
      <c r="A98" s="8">
        <v>4</v>
      </c>
      <c r="B98" s="4" t="s">
        <v>69</v>
      </c>
      <c r="C98" s="21">
        <f>L98/100*48</f>
        <v>806.40000000000009</v>
      </c>
      <c r="D98" s="22">
        <f>C98/100*199</f>
        <v>1604.7360000000001</v>
      </c>
      <c r="E98" s="109">
        <f>C98/100*20.3</f>
        <v>163.69920000000002</v>
      </c>
      <c r="F98" s="109"/>
      <c r="G98" s="109">
        <f>C98/100*13.1</f>
        <v>105.6384</v>
      </c>
      <c r="H98" s="23"/>
      <c r="I98" s="23"/>
      <c r="J98" s="25">
        <f>C98/100*12</f>
        <v>96.768000000000001</v>
      </c>
      <c r="K98" s="25">
        <f>C98/100*0.15</f>
        <v>1.2096</v>
      </c>
      <c r="L98" s="130">
        <v>1680</v>
      </c>
      <c r="M98" s="24">
        <v>84</v>
      </c>
      <c r="N98" s="21">
        <f t="shared" si="5"/>
        <v>141120</v>
      </c>
      <c r="O98" s="3"/>
      <c r="Q98" s="2"/>
      <c r="R98" s="2"/>
      <c r="S98" s="3"/>
    </row>
    <row r="99" spans="1:20" ht="19.2" customHeight="1">
      <c r="A99" s="8">
        <v>5</v>
      </c>
      <c r="B99" s="69" t="s">
        <v>150</v>
      </c>
      <c r="C99" s="21">
        <f>L99/100*89</f>
        <v>1379.5</v>
      </c>
      <c r="D99" s="22">
        <f>C99/100*154</f>
        <v>2124.4299999999998</v>
      </c>
      <c r="E99" s="109">
        <f>C99/100*13.1</f>
        <v>180.71449999999999</v>
      </c>
      <c r="F99" s="23"/>
      <c r="G99" s="109">
        <f>C99/100*8.5</f>
        <v>117.25749999999999</v>
      </c>
      <c r="H99" s="23"/>
      <c r="I99" s="23">
        <f>C99/100*0.4</f>
        <v>5.5180000000000007</v>
      </c>
      <c r="J99" s="71">
        <f>C99/100*64</f>
        <v>882.88</v>
      </c>
      <c r="K99" s="25">
        <f>C99/100*0.13</f>
        <v>1.79335</v>
      </c>
      <c r="L99" s="24">
        <v>1550</v>
      </c>
      <c r="M99" s="47">
        <v>82</v>
      </c>
      <c r="N99" s="150">
        <f t="shared" si="5"/>
        <v>127100</v>
      </c>
      <c r="O99" s="3"/>
    </row>
    <row r="100" spans="1:20" ht="19.2" customHeight="1">
      <c r="A100" s="8">
        <v>6</v>
      </c>
      <c r="B100" s="4" t="s">
        <v>138</v>
      </c>
      <c r="C100" s="21">
        <f>L100/100*100</f>
        <v>30</v>
      </c>
      <c r="D100" s="22">
        <f>C100/100*247</f>
        <v>74.099999999999994</v>
      </c>
      <c r="E100" s="26"/>
      <c r="F100" s="26">
        <f>C100/100*17.5</f>
        <v>5.25</v>
      </c>
      <c r="G100" s="26"/>
      <c r="H100" s="26">
        <f>C100/100*1.6</f>
        <v>0.48</v>
      </c>
      <c r="I100" s="26">
        <f>C100/100*39.2</f>
        <v>11.76</v>
      </c>
      <c r="J100" s="62"/>
      <c r="K100" s="62"/>
      <c r="L100" s="540">
        <v>30</v>
      </c>
      <c r="M100" s="65">
        <v>50</v>
      </c>
      <c r="N100" s="21">
        <f t="shared" si="5"/>
        <v>1500</v>
      </c>
      <c r="O100" s="3"/>
      <c r="Q100" s="2"/>
      <c r="R100" s="2"/>
      <c r="S100" s="3"/>
      <c r="T100" s="2"/>
    </row>
    <row r="101" spans="1:20" ht="18.600000000000001" customHeight="1">
      <c r="A101" s="8">
        <v>7</v>
      </c>
      <c r="B101" s="4" t="s">
        <v>20</v>
      </c>
      <c r="C101" s="21">
        <f>L101/100*95</f>
        <v>399</v>
      </c>
      <c r="D101" s="22">
        <f>C101/100*20</f>
        <v>79.800000000000011</v>
      </c>
      <c r="E101" s="23"/>
      <c r="F101" s="23">
        <f>C101/100*0.6</f>
        <v>2.3940000000000001</v>
      </c>
      <c r="G101" s="23"/>
      <c r="H101" s="23">
        <f>C101/100*0.2</f>
        <v>0.79800000000000004</v>
      </c>
      <c r="I101" s="23">
        <f>C101/100*4</f>
        <v>15.96</v>
      </c>
      <c r="J101" s="25">
        <f>C101/100*12</f>
        <v>47.88</v>
      </c>
      <c r="K101" s="22">
        <f>C101/100*0.04</f>
        <v>0.15960000000000002</v>
      </c>
      <c r="L101" s="130">
        <v>420</v>
      </c>
      <c r="M101" s="67">
        <v>40</v>
      </c>
      <c r="N101" s="21">
        <f t="shared" si="5"/>
        <v>16800</v>
      </c>
      <c r="O101" s="16"/>
      <c r="Q101" s="2"/>
      <c r="R101" s="2"/>
      <c r="S101" s="3"/>
    </row>
    <row r="102" spans="1:20" ht="19.2" customHeight="1">
      <c r="A102" s="8">
        <v>8</v>
      </c>
      <c r="B102" s="4" t="s">
        <v>133</v>
      </c>
      <c r="C102" s="21">
        <f>L102/100*75</f>
        <v>885</v>
      </c>
      <c r="D102" s="22">
        <f>C102/100*17</f>
        <v>150.44999999999999</v>
      </c>
      <c r="E102" s="23"/>
      <c r="F102" s="23">
        <f>C102/100*1.4</f>
        <v>12.389999999999999</v>
      </c>
      <c r="G102" s="23"/>
      <c r="H102" s="23">
        <f>C102/100*0.2</f>
        <v>1.77</v>
      </c>
      <c r="I102" s="23">
        <f>C102/100*2.4</f>
        <v>21.24</v>
      </c>
      <c r="J102" s="23">
        <f>C102/100*50</f>
        <v>442.5</v>
      </c>
      <c r="K102" s="23">
        <f>C102/100*0.09</f>
        <v>0.79649999999999999</v>
      </c>
      <c r="L102" s="130">
        <v>1180</v>
      </c>
      <c r="M102" s="65">
        <v>18</v>
      </c>
      <c r="N102" s="21">
        <f t="shared" si="5"/>
        <v>21240</v>
      </c>
      <c r="O102" s="3"/>
    </row>
    <row r="103" spans="1:20" ht="19.2" customHeight="1">
      <c r="A103" s="8">
        <v>9</v>
      </c>
      <c r="B103" s="5" t="s">
        <v>125</v>
      </c>
      <c r="C103" s="21"/>
      <c r="D103" s="22"/>
      <c r="E103" s="23"/>
      <c r="F103" s="23"/>
      <c r="G103" s="23"/>
      <c r="H103" s="23"/>
      <c r="I103" s="23"/>
      <c r="J103" s="25"/>
      <c r="K103" s="25"/>
      <c r="L103" s="24"/>
      <c r="M103" s="24"/>
      <c r="N103" s="21">
        <v>3000</v>
      </c>
      <c r="O103" s="3"/>
    </row>
    <row r="104" spans="1:20" ht="19.2" customHeight="1">
      <c r="A104" s="19" t="s">
        <v>120</v>
      </c>
      <c r="B104" s="20"/>
      <c r="C104" s="30"/>
      <c r="D104" s="111">
        <f>SUM(D95:D103)</f>
        <v>12170.056</v>
      </c>
      <c r="E104" s="6"/>
      <c r="F104" s="6"/>
      <c r="G104" s="6"/>
      <c r="H104" s="6"/>
      <c r="I104" s="6"/>
      <c r="J104" s="6"/>
      <c r="K104" s="6"/>
      <c r="L104" s="38"/>
      <c r="M104" s="425"/>
      <c r="N104" s="302">
        <f>SUM(N95:N103)</f>
        <v>358748</v>
      </c>
      <c r="O104" s="3"/>
    </row>
    <row r="105" spans="1:20" ht="19.2" customHeight="1">
      <c r="A105" s="19" t="s">
        <v>37</v>
      </c>
      <c r="B105" s="20"/>
      <c r="C105" s="39"/>
      <c r="D105" s="40">
        <f>D104/D89</f>
        <v>289.76323809523808</v>
      </c>
      <c r="E105" s="40"/>
      <c r="F105" s="40"/>
      <c r="G105" s="40"/>
      <c r="H105" s="40"/>
      <c r="I105" s="40"/>
      <c r="J105" s="40"/>
      <c r="K105" s="40"/>
      <c r="L105" s="38"/>
      <c r="M105" s="426"/>
      <c r="N105" s="303"/>
      <c r="O105" s="3"/>
    </row>
    <row r="106" spans="1:20" ht="19.2" customHeight="1">
      <c r="A106" s="402" t="s">
        <v>53</v>
      </c>
      <c r="B106" s="331"/>
      <c r="C106" s="541" t="s">
        <v>154</v>
      </c>
      <c r="D106" s="18" t="s">
        <v>45</v>
      </c>
      <c r="E106" s="40"/>
      <c r="F106" s="40"/>
      <c r="G106" s="40"/>
      <c r="H106" s="40"/>
      <c r="I106" s="40"/>
      <c r="J106" s="41"/>
      <c r="K106" s="41"/>
      <c r="L106" s="38"/>
      <c r="M106" s="38"/>
      <c r="N106" s="285"/>
      <c r="O106" s="3"/>
    </row>
    <row r="107" spans="1:20" ht="19.2" customHeight="1">
      <c r="A107" s="332"/>
      <c r="B107" s="333"/>
      <c r="C107" s="66" t="s">
        <v>60</v>
      </c>
      <c r="D107" s="18">
        <f>D105*100/930</f>
        <v>31.157337429595493</v>
      </c>
      <c r="E107" s="40"/>
      <c r="F107" s="40"/>
      <c r="G107" s="40"/>
      <c r="H107" s="40"/>
      <c r="I107" s="40"/>
      <c r="J107" s="41"/>
      <c r="K107" s="41"/>
      <c r="L107" s="38"/>
      <c r="M107" s="38"/>
      <c r="N107" s="285"/>
      <c r="O107" s="3"/>
    </row>
    <row r="108" spans="1:20" ht="19.2" customHeight="1">
      <c r="A108" s="341" t="s">
        <v>38</v>
      </c>
      <c r="B108" s="341"/>
      <c r="C108" s="48"/>
      <c r="D108" s="49"/>
      <c r="E108" s="50"/>
      <c r="F108" s="50"/>
      <c r="G108" s="50"/>
      <c r="H108" s="50"/>
      <c r="I108" s="50"/>
      <c r="J108" s="50"/>
      <c r="K108" s="50"/>
      <c r="L108" s="51"/>
      <c r="M108" s="51"/>
      <c r="N108" s="48"/>
      <c r="O108" s="3"/>
    </row>
    <row r="109" spans="1:20" ht="19.2" customHeight="1">
      <c r="A109" s="8">
        <v>1</v>
      </c>
      <c r="B109" s="9" t="s">
        <v>2</v>
      </c>
      <c r="C109" s="21">
        <f t="shared" ref="C109:C114" si="6">L109/100*100</f>
        <v>50</v>
      </c>
      <c r="D109" s="22">
        <f>C109/100*60</f>
        <v>30</v>
      </c>
      <c r="E109" s="23">
        <f>C109/100*15</f>
        <v>7.5</v>
      </c>
      <c r="F109" s="23"/>
      <c r="G109" s="23"/>
      <c r="H109" s="23"/>
      <c r="I109" s="23"/>
      <c r="J109" s="25">
        <f>C109/100*387</f>
        <v>193.5</v>
      </c>
      <c r="K109" s="25">
        <f>C109/100*0.09</f>
        <v>4.4999999999999998E-2</v>
      </c>
      <c r="L109" s="130">
        <v>50</v>
      </c>
      <c r="M109" s="65">
        <v>20</v>
      </c>
      <c r="N109" s="21">
        <f>L109*M109</f>
        <v>1000</v>
      </c>
      <c r="O109" s="3"/>
    </row>
    <row r="110" spans="1:20" ht="19.2" customHeight="1">
      <c r="A110" s="8">
        <v>2</v>
      </c>
      <c r="B110" s="142" t="s">
        <v>143</v>
      </c>
      <c r="C110" s="21">
        <f t="shared" si="6"/>
        <v>210</v>
      </c>
      <c r="D110" s="22">
        <f>C110/100*899</f>
        <v>1887.9</v>
      </c>
      <c r="E110" s="23"/>
      <c r="F110" s="23"/>
      <c r="G110" s="109">
        <f>C110/100*100</f>
        <v>210</v>
      </c>
      <c r="H110" s="23"/>
      <c r="I110" s="23"/>
      <c r="J110" s="23"/>
      <c r="K110" s="23"/>
      <c r="L110" s="130">
        <v>210</v>
      </c>
      <c r="M110" s="137">
        <v>68</v>
      </c>
      <c r="N110" s="21">
        <f t="shared" ref="N110:N113" si="7">L110*M110</f>
        <v>14280</v>
      </c>
      <c r="O110" s="542"/>
    </row>
    <row r="111" spans="1:20" ht="19.2" customHeight="1">
      <c r="A111" s="8">
        <v>3</v>
      </c>
      <c r="B111" s="147" t="s">
        <v>149</v>
      </c>
      <c r="C111" s="21">
        <f t="shared" si="6"/>
        <v>110.00000000000001</v>
      </c>
      <c r="D111" s="110">
        <f>C111/100*900</f>
        <v>990.00000000000011</v>
      </c>
      <c r="E111" s="23"/>
      <c r="F111" s="23"/>
      <c r="G111" s="109"/>
      <c r="H111" s="23">
        <f>C111/100*100</f>
        <v>110.00000000000001</v>
      </c>
      <c r="I111" s="23"/>
      <c r="J111" s="23"/>
      <c r="K111" s="23"/>
      <c r="L111" s="130">
        <v>110</v>
      </c>
      <c r="M111" s="65">
        <v>63.5</v>
      </c>
      <c r="N111" s="21">
        <f t="shared" si="7"/>
        <v>6985</v>
      </c>
      <c r="O111" s="542"/>
    </row>
    <row r="112" spans="1:20" ht="19.2" customHeight="1">
      <c r="A112" s="8">
        <v>4</v>
      </c>
      <c r="B112" s="4" t="s">
        <v>1</v>
      </c>
      <c r="C112" s="21">
        <f t="shared" si="6"/>
        <v>1008</v>
      </c>
      <c r="D112" s="22">
        <f>C112/100*344</f>
        <v>3467.52</v>
      </c>
      <c r="E112" s="23"/>
      <c r="F112" s="23">
        <f>C112/100*7.9</f>
        <v>79.632000000000005</v>
      </c>
      <c r="G112" s="23"/>
      <c r="H112" s="23">
        <f>C112/100*1</f>
        <v>10.08</v>
      </c>
      <c r="I112" s="23">
        <f>C112/100*75.9</f>
        <v>765.07200000000012</v>
      </c>
      <c r="J112" s="25">
        <f>C112/100*30</f>
        <v>302.39999999999998</v>
      </c>
      <c r="K112" s="25">
        <f>C112/100*0.1</f>
        <v>1.008</v>
      </c>
      <c r="L112" s="130">
        <v>1008</v>
      </c>
      <c r="M112" s="65">
        <v>18</v>
      </c>
      <c r="N112" s="21">
        <f t="shared" si="7"/>
        <v>18144</v>
      </c>
      <c r="O112" s="3"/>
    </row>
    <row r="113" spans="1:20" ht="19.2" customHeight="1">
      <c r="A113" s="8">
        <v>5</v>
      </c>
      <c r="B113" s="4" t="s">
        <v>73</v>
      </c>
      <c r="C113" s="21">
        <f t="shared" si="6"/>
        <v>670</v>
      </c>
      <c r="D113" s="22">
        <f>C113/100*344</f>
        <v>2304.8000000000002</v>
      </c>
      <c r="E113" s="23"/>
      <c r="F113" s="23">
        <f>C113/100*8.6</f>
        <v>57.62</v>
      </c>
      <c r="G113" s="23"/>
      <c r="H113" s="23">
        <f>C113/100*1.5</f>
        <v>10.050000000000001</v>
      </c>
      <c r="I113" s="23">
        <f>C113/100*74.5</f>
        <v>499.15000000000003</v>
      </c>
      <c r="J113" s="23">
        <f>C113/100*32</f>
        <v>214.4</v>
      </c>
      <c r="K113" s="25">
        <f>C113/100*0.14</f>
        <v>0.93800000000000017</v>
      </c>
      <c r="L113" s="130">
        <v>670</v>
      </c>
      <c r="M113" s="65">
        <v>30</v>
      </c>
      <c r="N113" s="21">
        <f t="shared" si="7"/>
        <v>20100</v>
      </c>
      <c r="O113" s="3"/>
      <c r="P113" s="16"/>
    </row>
    <row r="114" spans="1:20" ht="19.2" customHeight="1">
      <c r="A114" s="8">
        <v>6</v>
      </c>
      <c r="B114" s="4" t="s">
        <v>67</v>
      </c>
      <c r="C114" s="21">
        <f t="shared" si="6"/>
        <v>80</v>
      </c>
      <c r="D114" s="22">
        <f>C114/100*334</f>
        <v>267.2</v>
      </c>
      <c r="E114" s="23"/>
      <c r="F114" s="23">
        <f>C114/100*20</f>
        <v>16</v>
      </c>
      <c r="G114" s="23"/>
      <c r="H114" s="23">
        <f>C114/100*2.4</f>
        <v>1.92</v>
      </c>
      <c r="I114" s="23">
        <f>C114/100*58</f>
        <v>46.400000000000006</v>
      </c>
      <c r="J114" s="25">
        <f>C114/100*89</f>
        <v>71.2</v>
      </c>
      <c r="K114" s="25">
        <f>C114/100*0.64</f>
        <v>0.51200000000000001</v>
      </c>
      <c r="L114" s="130">
        <v>80</v>
      </c>
      <c r="M114" s="65">
        <v>190</v>
      </c>
      <c r="N114" s="21">
        <f>L114*M114</f>
        <v>15200</v>
      </c>
      <c r="O114" s="3"/>
    </row>
    <row r="115" spans="1:20" ht="16.2" customHeight="1">
      <c r="A115" s="8">
        <v>7</v>
      </c>
      <c r="B115" s="4" t="s">
        <v>4</v>
      </c>
      <c r="C115" s="21">
        <f>L115/100*98.5</f>
        <v>620.54999999999995</v>
      </c>
      <c r="D115" s="22">
        <f>C115/100*39</f>
        <v>242.0145</v>
      </c>
      <c r="E115" s="26"/>
      <c r="F115" s="26">
        <f>C115/100*1.5</f>
        <v>9.3082499999999992</v>
      </c>
      <c r="G115" s="26"/>
      <c r="H115" s="26">
        <f>C115/100*0.2</f>
        <v>1.2411000000000001</v>
      </c>
      <c r="I115" s="26">
        <f>C115/100*7.8</f>
        <v>48.402899999999995</v>
      </c>
      <c r="J115" s="26">
        <f>C115/100*43</f>
        <v>266.8365</v>
      </c>
      <c r="K115" s="26">
        <f>C115/100*0.06</f>
        <v>0.37232999999999999</v>
      </c>
      <c r="L115" s="540">
        <v>630</v>
      </c>
      <c r="M115" s="24">
        <v>17</v>
      </c>
      <c r="N115" s="128">
        <f t="shared" ref="N115:N118" si="8">L115*M115</f>
        <v>10710</v>
      </c>
      <c r="O115" s="3"/>
      <c r="Q115" s="2"/>
      <c r="R115" s="2"/>
      <c r="S115" s="3"/>
    </row>
    <row r="116" spans="1:20" ht="20.399999999999999" customHeight="1">
      <c r="A116" s="8">
        <v>8</v>
      </c>
      <c r="B116" s="9" t="s">
        <v>3</v>
      </c>
      <c r="C116" s="21">
        <f>L116/100*98</f>
        <v>617.4</v>
      </c>
      <c r="D116" s="22">
        <f>C116/100*118</f>
        <v>728.53199999999993</v>
      </c>
      <c r="E116" s="109">
        <f>C116/100*21</f>
        <v>129.654</v>
      </c>
      <c r="F116" s="23"/>
      <c r="G116" s="23">
        <f>C116/100*3.8</f>
        <v>23.461199999999998</v>
      </c>
      <c r="H116" s="23"/>
      <c r="I116" s="23"/>
      <c r="J116" s="23">
        <f>C116/100*12</f>
        <v>74.087999999999994</v>
      </c>
      <c r="K116" s="23">
        <f>C116/100*0.1</f>
        <v>0.61739999999999995</v>
      </c>
      <c r="L116" s="130">
        <v>630</v>
      </c>
      <c r="M116" s="136">
        <v>250</v>
      </c>
      <c r="N116" s="128">
        <f t="shared" si="8"/>
        <v>157500</v>
      </c>
      <c r="O116" s="3"/>
    </row>
    <row r="117" spans="1:20" ht="18.600000000000001" customHeight="1">
      <c r="A117" s="8">
        <v>9</v>
      </c>
      <c r="B117" s="4" t="s">
        <v>69</v>
      </c>
      <c r="C117" s="21">
        <f>L117/100*48</f>
        <v>753.59999999999991</v>
      </c>
      <c r="D117" s="22">
        <f>C117/100*199</f>
        <v>1499.6639999999998</v>
      </c>
      <c r="E117" s="109">
        <f>C117/100*20.3</f>
        <v>152.98079999999999</v>
      </c>
      <c r="F117" s="23"/>
      <c r="G117" s="23">
        <f>C117/100*13.1</f>
        <v>98.721599999999981</v>
      </c>
      <c r="H117" s="23"/>
      <c r="I117" s="23"/>
      <c r="J117" s="25">
        <f>C117/100*12</f>
        <v>90.431999999999988</v>
      </c>
      <c r="K117" s="25">
        <f>C117/100*0.15</f>
        <v>1.1303999999999998</v>
      </c>
      <c r="L117" s="130">
        <v>1570</v>
      </c>
      <c r="M117" s="130">
        <v>84</v>
      </c>
      <c r="N117" s="21">
        <f t="shared" si="8"/>
        <v>131880</v>
      </c>
      <c r="O117" s="3"/>
      <c r="Q117" s="2"/>
      <c r="R117" s="2"/>
      <c r="S117" s="3"/>
    </row>
    <row r="118" spans="1:20" ht="19.2" customHeight="1">
      <c r="A118" s="8">
        <v>10</v>
      </c>
      <c r="B118" s="4" t="s">
        <v>138</v>
      </c>
      <c r="C118" s="21">
        <f>L118/100*100</f>
        <v>30</v>
      </c>
      <c r="D118" s="22">
        <f>C118/100*247</f>
        <v>74.099999999999994</v>
      </c>
      <c r="E118" s="26"/>
      <c r="F118" s="26">
        <f>C118/100*17.5</f>
        <v>5.25</v>
      </c>
      <c r="G118" s="26"/>
      <c r="H118" s="26">
        <f>C118/100*1.6</f>
        <v>0.48</v>
      </c>
      <c r="I118" s="26">
        <f>C118/100*39.2</f>
        <v>11.76</v>
      </c>
      <c r="J118" s="62"/>
      <c r="K118" s="62"/>
      <c r="L118" s="540">
        <v>30</v>
      </c>
      <c r="M118" s="65">
        <v>50</v>
      </c>
      <c r="N118" s="21">
        <f t="shared" si="8"/>
        <v>1500</v>
      </c>
      <c r="O118" s="3"/>
      <c r="Q118" s="2"/>
      <c r="R118" s="2"/>
      <c r="S118" s="3"/>
      <c r="T118" s="2"/>
    </row>
    <row r="119" spans="1:20" ht="19.2" customHeight="1">
      <c r="A119" s="8">
        <v>11</v>
      </c>
      <c r="B119" s="5" t="s">
        <v>125</v>
      </c>
      <c r="C119" s="21"/>
      <c r="D119" s="22"/>
      <c r="E119" s="23"/>
      <c r="F119" s="23"/>
      <c r="G119" s="23"/>
      <c r="H119" s="23"/>
      <c r="I119" s="23"/>
      <c r="J119" s="25"/>
      <c r="K119" s="25"/>
      <c r="L119" s="24"/>
      <c r="M119" s="24"/>
      <c r="N119" s="21">
        <v>3000</v>
      </c>
      <c r="O119" s="3"/>
    </row>
    <row r="120" spans="1:20" ht="19.2" customHeight="1">
      <c r="A120" s="19" t="s">
        <v>121</v>
      </c>
      <c r="B120" s="20"/>
      <c r="C120" s="30"/>
      <c r="D120" s="111">
        <f>SUM(D109:D119)</f>
        <v>11491.7305</v>
      </c>
      <c r="E120" s="6"/>
      <c r="F120" s="6"/>
      <c r="G120" s="6"/>
      <c r="H120" s="6"/>
      <c r="I120" s="6"/>
      <c r="J120" s="6"/>
      <c r="K120" s="6"/>
      <c r="L120" s="38"/>
      <c r="M120" s="425"/>
      <c r="N120" s="302">
        <f>SUM(N109:N119)</f>
        <v>380299</v>
      </c>
      <c r="O120" s="3"/>
    </row>
    <row r="121" spans="1:20" ht="19.2" customHeight="1">
      <c r="A121" s="19" t="s">
        <v>36</v>
      </c>
      <c r="B121" s="20"/>
      <c r="C121" s="52"/>
      <c r="D121" s="41">
        <f>D120/D89</f>
        <v>273.61263095238093</v>
      </c>
      <c r="E121" s="41"/>
      <c r="F121" s="41"/>
      <c r="G121" s="41"/>
      <c r="H121" s="41"/>
      <c r="I121" s="41"/>
      <c r="J121" s="41"/>
      <c r="K121" s="41"/>
      <c r="L121" s="53"/>
      <c r="M121" s="426"/>
      <c r="N121" s="340"/>
      <c r="O121" s="3"/>
      <c r="S121" s="163"/>
    </row>
    <row r="122" spans="1:20" ht="19.2" customHeight="1">
      <c r="A122" s="402" t="s">
        <v>54</v>
      </c>
      <c r="B122" s="331"/>
      <c r="C122" s="541" t="s">
        <v>154</v>
      </c>
      <c r="D122" s="18" t="s">
        <v>46</v>
      </c>
      <c r="E122" s="40"/>
      <c r="F122" s="40"/>
      <c r="G122" s="40"/>
      <c r="H122" s="40"/>
      <c r="I122" s="40"/>
      <c r="J122" s="41"/>
      <c r="K122" s="41"/>
      <c r="L122" s="38"/>
      <c r="M122" s="38"/>
      <c r="N122" s="285"/>
      <c r="O122" s="3"/>
    </row>
    <row r="123" spans="1:20" ht="19.2" customHeight="1">
      <c r="A123" s="332"/>
      <c r="B123" s="333"/>
      <c r="C123" s="66" t="s">
        <v>60</v>
      </c>
      <c r="D123" s="18">
        <f>D121*100/930</f>
        <v>29.420713005632358</v>
      </c>
      <c r="E123" s="40"/>
      <c r="F123" s="40"/>
      <c r="G123" s="40"/>
      <c r="H123" s="40"/>
      <c r="I123" s="40"/>
      <c r="J123" s="41"/>
      <c r="K123" s="41"/>
      <c r="L123" s="38"/>
      <c r="M123" s="38"/>
      <c r="N123" s="285"/>
      <c r="O123" s="3"/>
    </row>
    <row r="124" spans="1:20" ht="19.2" customHeight="1">
      <c r="A124" s="341" t="s">
        <v>35</v>
      </c>
      <c r="B124" s="341"/>
      <c r="C124" s="54"/>
      <c r="D124" s="55"/>
      <c r="E124" s="55"/>
      <c r="F124" s="55"/>
      <c r="G124" s="55"/>
      <c r="H124" s="55"/>
      <c r="I124" s="55"/>
      <c r="J124" s="55"/>
      <c r="K124" s="55"/>
      <c r="L124" s="56"/>
      <c r="M124" s="56"/>
      <c r="N124" s="57"/>
      <c r="O124" s="3"/>
    </row>
    <row r="125" spans="1:20" ht="19.2" customHeight="1">
      <c r="A125" s="100">
        <v>1</v>
      </c>
      <c r="B125" s="152" t="s">
        <v>152</v>
      </c>
      <c r="C125" s="30">
        <f>L125/100*100</f>
        <v>710</v>
      </c>
      <c r="D125" s="101">
        <f>C125/100*487</f>
        <v>3457.7</v>
      </c>
      <c r="E125" s="32"/>
      <c r="F125" s="119">
        <f>C125/100*19.5</f>
        <v>138.44999999999999</v>
      </c>
      <c r="G125" s="119"/>
      <c r="H125" s="119">
        <f>C125/100*23.2</f>
        <v>164.72</v>
      </c>
      <c r="I125" s="32">
        <f>C125/100*46</f>
        <v>326.59999999999997</v>
      </c>
      <c r="J125" s="119">
        <f>C125/100*680</f>
        <v>4828</v>
      </c>
      <c r="K125" s="32">
        <f>C125/100*0.55</f>
        <v>3.9050000000000002</v>
      </c>
      <c r="L125" s="33">
        <v>710</v>
      </c>
      <c r="M125" s="153">
        <v>260</v>
      </c>
      <c r="N125" s="30">
        <f t="shared" ref="N125" si="9">L125*M125</f>
        <v>184600</v>
      </c>
      <c r="O125" s="3"/>
      <c r="P125" s="2"/>
    </row>
    <row r="126" spans="1:20" ht="20.399999999999999" customHeight="1">
      <c r="A126" s="318" t="s">
        <v>0</v>
      </c>
      <c r="B126" s="321" t="s">
        <v>19</v>
      </c>
      <c r="C126" s="475" t="s">
        <v>8</v>
      </c>
      <c r="D126" s="321" t="s">
        <v>9</v>
      </c>
      <c r="E126" s="471" t="s">
        <v>11</v>
      </c>
      <c r="F126" s="472"/>
      <c r="G126" s="471" t="s">
        <v>13</v>
      </c>
      <c r="H126" s="472"/>
      <c r="I126" s="318" t="s">
        <v>16</v>
      </c>
      <c r="J126" s="318" t="s">
        <v>41</v>
      </c>
      <c r="K126" s="318" t="s">
        <v>42</v>
      </c>
      <c r="L126" s="318" t="s">
        <v>17</v>
      </c>
      <c r="M126" s="318" t="s">
        <v>57</v>
      </c>
      <c r="N126" s="318" t="s">
        <v>18</v>
      </c>
      <c r="O126" s="539"/>
    </row>
    <row r="127" spans="1:20" ht="20.399999999999999" customHeight="1">
      <c r="A127" s="319"/>
      <c r="B127" s="322"/>
      <c r="C127" s="476"/>
      <c r="D127" s="322"/>
      <c r="E127" s="473"/>
      <c r="F127" s="474"/>
      <c r="G127" s="473"/>
      <c r="H127" s="474"/>
      <c r="I127" s="328"/>
      <c r="J127" s="328"/>
      <c r="K127" s="328"/>
      <c r="L127" s="328"/>
      <c r="M127" s="328"/>
      <c r="N127" s="319"/>
      <c r="O127" s="283"/>
    </row>
    <row r="128" spans="1:20" ht="20.399999999999999" customHeight="1">
      <c r="A128" s="319"/>
      <c r="B128" s="322"/>
      <c r="C128" s="476"/>
      <c r="D128" s="322"/>
      <c r="E128" s="318" t="s">
        <v>10</v>
      </c>
      <c r="F128" s="318" t="s">
        <v>12</v>
      </c>
      <c r="G128" s="318" t="s">
        <v>96</v>
      </c>
      <c r="H128" s="318" t="s">
        <v>15</v>
      </c>
      <c r="I128" s="328"/>
      <c r="J128" s="328"/>
      <c r="K128" s="328"/>
      <c r="L128" s="328"/>
      <c r="M128" s="328"/>
      <c r="N128" s="319"/>
      <c r="O128" s="283"/>
    </row>
    <row r="129" spans="1:23" ht="20.399999999999999" customHeight="1">
      <c r="A129" s="320"/>
      <c r="B129" s="323"/>
      <c r="C129" s="477"/>
      <c r="D129" s="323"/>
      <c r="E129" s="329"/>
      <c r="F129" s="329"/>
      <c r="G129" s="329"/>
      <c r="H129" s="329"/>
      <c r="I129" s="329"/>
      <c r="J129" s="329"/>
      <c r="K129" s="329"/>
      <c r="L129" s="329"/>
      <c r="M129" s="329"/>
      <c r="N129" s="320"/>
      <c r="O129" s="283"/>
    </row>
    <row r="130" spans="1:23" ht="21" customHeight="1">
      <c r="A130" s="19" t="s">
        <v>112</v>
      </c>
      <c r="B130" s="20"/>
      <c r="C130" s="30"/>
      <c r="D130" s="31">
        <f>SUM(D124:D125)</f>
        <v>3457.7</v>
      </c>
      <c r="E130" s="6"/>
      <c r="F130" s="6"/>
      <c r="G130" s="6"/>
      <c r="H130" s="6"/>
      <c r="I130" s="6"/>
      <c r="J130" s="43"/>
      <c r="K130" s="6"/>
      <c r="L130" s="38"/>
      <c r="M130" s="425"/>
      <c r="N130" s="302">
        <f>SUM(N124:N125)</f>
        <v>184600</v>
      </c>
      <c r="O130" s="3"/>
    </row>
    <row r="131" spans="1:23" ht="21" customHeight="1">
      <c r="A131" s="19" t="s">
        <v>7</v>
      </c>
      <c r="B131" s="20"/>
      <c r="C131" s="39"/>
      <c r="D131" s="40">
        <f>D130/D89</f>
        <v>82.326190476190476</v>
      </c>
      <c r="E131" s="40"/>
      <c r="F131" s="40"/>
      <c r="G131" s="40"/>
      <c r="H131" s="40"/>
      <c r="I131" s="40"/>
      <c r="J131" s="72"/>
      <c r="K131" s="40"/>
      <c r="L131" s="38"/>
      <c r="M131" s="426"/>
      <c r="N131" s="303"/>
      <c r="O131" s="3"/>
    </row>
    <row r="132" spans="1:23" ht="21" customHeight="1">
      <c r="A132" s="402" t="s">
        <v>52</v>
      </c>
      <c r="B132" s="331"/>
      <c r="C132" s="541" t="s">
        <v>154</v>
      </c>
      <c r="D132" s="18" t="s">
        <v>50</v>
      </c>
      <c r="E132" s="40"/>
      <c r="F132" s="40"/>
      <c r="G132" s="40"/>
      <c r="H132" s="40"/>
      <c r="I132" s="40"/>
      <c r="J132" s="41"/>
      <c r="K132" s="41"/>
      <c r="L132" s="38"/>
      <c r="M132" s="38"/>
      <c r="N132" s="285"/>
      <c r="O132" s="3"/>
    </row>
    <row r="133" spans="1:23" ht="21" customHeight="1">
      <c r="A133" s="332"/>
      <c r="B133" s="333"/>
      <c r="C133" s="66" t="s">
        <v>60</v>
      </c>
      <c r="D133" s="18">
        <f>D131*100/930</f>
        <v>8.8522785458269322</v>
      </c>
      <c r="E133" s="40"/>
      <c r="F133" s="40"/>
      <c r="G133" s="40"/>
      <c r="H133" s="40"/>
      <c r="I133" s="40"/>
      <c r="J133" s="41"/>
      <c r="K133" s="41"/>
      <c r="L133" s="38"/>
      <c r="M133" s="38"/>
      <c r="N133" s="285"/>
      <c r="O133" s="3"/>
    </row>
    <row r="134" spans="1:23" ht="21" customHeight="1">
      <c r="A134" s="394" t="s">
        <v>109</v>
      </c>
      <c r="B134" s="395"/>
      <c r="C134" s="398"/>
      <c r="D134" s="415">
        <f>D104+D120+D130</f>
        <v>27119.486500000003</v>
      </c>
      <c r="E134" s="43">
        <f t="shared" ref="E134:K134" si="10">SUM(E95:E125)</f>
        <v>643.54849999999999</v>
      </c>
      <c r="F134" s="43">
        <f t="shared" si="10"/>
        <v>468.96824999999995</v>
      </c>
      <c r="G134" s="43">
        <f t="shared" si="10"/>
        <v>765.07869999999991</v>
      </c>
      <c r="H134" s="43">
        <f t="shared" si="10"/>
        <v>319.59910000000002</v>
      </c>
      <c r="I134" s="358">
        <f t="shared" si="10"/>
        <v>3122.6169000000004</v>
      </c>
      <c r="J134" s="390">
        <f t="shared" si="10"/>
        <v>8284.8845000000001</v>
      </c>
      <c r="K134" s="390">
        <f t="shared" si="10"/>
        <v>14.347180000000002</v>
      </c>
      <c r="L134" s="89"/>
      <c r="M134" s="89"/>
      <c r="N134" s="478">
        <f>N104+N120+N130</f>
        <v>923647</v>
      </c>
    </row>
    <row r="135" spans="1:23" ht="21" customHeight="1">
      <c r="A135" s="396"/>
      <c r="B135" s="397"/>
      <c r="C135" s="399"/>
      <c r="D135" s="416"/>
      <c r="E135" s="440">
        <f>E134+F134</f>
        <v>1112.51675</v>
      </c>
      <c r="F135" s="441"/>
      <c r="G135" s="440">
        <f>G134+H134</f>
        <v>1084.6777999999999</v>
      </c>
      <c r="H135" s="441"/>
      <c r="I135" s="360"/>
      <c r="J135" s="391"/>
      <c r="K135" s="391"/>
      <c r="L135" s="91"/>
      <c r="M135" s="91"/>
      <c r="N135" s="479"/>
      <c r="U135" s="274"/>
      <c r="V135" s="274"/>
    </row>
    <row r="136" spans="1:23" ht="21" customHeight="1">
      <c r="A136" s="374" t="s">
        <v>77</v>
      </c>
      <c r="B136" s="375"/>
      <c r="C136" s="376"/>
      <c r="D136" s="125">
        <f>D134/D89</f>
        <v>645.70205952380957</v>
      </c>
      <c r="E136" s="543">
        <f>E134/D89</f>
        <v>15.322583333333332</v>
      </c>
      <c r="F136" s="544">
        <f>F134/D89</f>
        <v>11.165910714285713</v>
      </c>
      <c r="G136" s="543">
        <f>G134/D89</f>
        <v>18.216159523809523</v>
      </c>
      <c r="H136" s="544">
        <f>H134/D89</f>
        <v>7.6095023809523816</v>
      </c>
      <c r="I136" s="368">
        <f>I134/D89</f>
        <v>74.348021428571442</v>
      </c>
      <c r="J136" s="442">
        <f>J134/D89</f>
        <v>197.25915476190477</v>
      </c>
      <c r="K136" s="442">
        <f>K134/D89</f>
        <v>0.34159952380952385</v>
      </c>
      <c r="L136" s="89"/>
      <c r="M136" s="89"/>
      <c r="N136" s="92"/>
      <c r="Q136" s="558"/>
      <c r="R136" s="558"/>
      <c r="S136" s="558"/>
      <c r="T136" s="558"/>
      <c r="U136" s="559"/>
      <c r="V136" s="559"/>
      <c r="W136" s="1">
        <f>Q136+S136+U136</f>
        <v>0</v>
      </c>
    </row>
    <row r="137" spans="1:23" ht="21" customHeight="1">
      <c r="A137" s="377"/>
      <c r="B137" s="378"/>
      <c r="C137" s="379"/>
      <c r="D137" s="117"/>
      <c r="E137" s="553">
        <f>E136+F136</f>
        <v>26.488494047619046</v>
      </c>
      <c r="F137" s="554"/>
      <c r="G137" s="553">
        <f>G136+H136</f>
        <v>25.825661904761905</v>
      </c>
      <c r="H137" s="554"/>
      <c r="I137" s="369"/>
      <c r="J137" s="442"/>
      <c r="K137" s="442"/>
      <c r="L137" s="90"/>
      <c r="M137" s="90"/>
      <c r="N137" s="93"/>
      <c r="P137" s="547"/>
      <c r="Q137" s="558"/>
      <c r="R137" s="558"/>
      <c r="S137" s="560"/>
      <c r="T137" s="560"/>
      <c r="U137" s="558"/>
      <c r="V137" s="558"/>
    </row>
    <row r="138" spans="1:23" ht="21" customHeight="1">
      <c r="A138" s="422" t="s">
        <v>80</v>
      </c>
      <c r="B138" s="423"/>
      <c r="C138" s="424"/>
      <c r="D138" s="282" t="s">
        <v>29</v>
      </c>
      <c r="E138" s="290" t="s">
        <v>24</v>
      </c>
      <c r="F138" s="290"/>
      <c r="G138" s="290" t="s">
        <v>25</v>
      </c>
      <c r="H138" s="290"/>
      <c r="I138" s="555" t="s">
        <v>26</v>
      </c>
      <c r="J138" s="281">
        <v>500</v>
      </c>
      <c r="K138" s="281">
        <v>0.5</v>
      </c>
      <c r="L138" s="90"/>
      <c r="M138" s="90"/>
      <c r="N138" s="93"/>
      <c r="O138" s="548"/>
    </row>
    <row r="139" spans="1:23" ht="21" customHeight="1">
      <c r="A139" s="348" t="s">
        <v>78</v>
      </c>
      <c r="B139" s="380"/>
      <c r="C139" s="349"/>
      <c r="D139" s="42"/>
      <c r="E139" s="381">
        <f>E137*4.1</f>
        <v>108.60282559523807</v>
      </c>
      <c r="F139" s="382"/>
      <c r="G139" s="381">
        <f>G137*9</f>
        <v>232.43095714285715</v>
      </c>
      <c r="H139" s="382"/>
      <c r="I139" s="74">
        <f>I136*4.1</f>
        <v>304.82688785714288</v>
      </c>
      <c r="J139" s="361"/>
      <c r="K139" s="361"/>
      <c r="L139" s="90"/>
      <c r="M139" s="90"/>
      <c r="N139" s="93"/>
      <c r="O139" s="548"/>
      <c r="P139" s="556"/>
      <c r="Q139" s="557"/>
      <c r="R139" s="557"/>
      <c r="S139" s="557"/>
    </row>
    <row r="140" spans="1:23" ht="21" customHeight="1">
      <c r="A140" s="383" t="s">
        <v>87</v>
      </c>
      <c r="B140" s="384"/>
      <c r="C140" s="348" t="s">
        <v>59</v>
      </c>
      <c r="D140" s="349"/>
      <c r="E140" s="420">
        <f>E139*100/D136</f>
        <v>16.819340126517506</v>
      </c>
      <c r="F140" s="421"/>
      <c r="G140" s="420">
        <f>G139*100/D136</f>
        <v>35.99662626355407</v>
      </c>
      <c r="H140" s="421"/>
      <c r="I140" s="105">
        <f>I139*100/D136</f>
        <v>47.208597736538998</v>
      </c>
      <c r="J140" s="362"/>
      <c r="K140" s="362"/>
      <c r="L140" s="90"/>
      <c r="M140" s="90"/>
      <c r="N140" s="93"/>
      <c r="O140" s="548"/>
      <c r="P140" s="133"/>
      <c r="Q140" s="133"/>
      <c r="R140" s="133"/>
      <c r="S140" s="133"/>
    </row>
    <row r="141" spans="1:23" ht="21" customHeight="1">
      <c r="A141" s="385"/>
      <c r="B141" s="386"/>
      <c r="C141" s="348" t="s">
        <v>79</v>
      </c>
      <c r="D141" s="349"/>
      <c r="E141" s="348" t="s">
        <v>82</v>
      </c>
      <c r="F141" s="349"/>
      <c r="G141" s="348" t="s">
        <v>85</v>
      </c>
      <c r="H141" s="349"/>
      <c r="I141" s="282" t="s">
        <v>86</v>
      </c>
      <c r="J141" s="363"/>
      <c r="K141" s="363"/>
      <c r="L141" s="91"/>
      <c r="M141" s="91"/>
      <c r="N141" s="94"/>
      <c r="O141" s="548"/>
      <c r="P141" s="2"/>
    </row>
    <row r="142" spans="1:23" ht="21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83"/>
      <c r="M142" s="83"/>
      <c r="N142" s="84"/>
      <c r="O142" s="548"/>
    </row>
    <row r="143" spans="1:23" ht="21" customHeight="1">
      <c r="A143" s="291" t="s">
        <v>116</v>
      </c>
      <c r="B143" s="291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548"/>
    </row>
    <row r="144" spans="1:23" ht="21" customHeight="1">
      <c r="A144" s="107" t="s">
        <v>117</v>
      </c>
      <c r="B144" s="292" t="s">
        <v>118</v>
      </c>
      <c r="C144" s="292"/>
      <c r="D144" s="292"/>
      <c r="E144" s="292"/>
      <c r="F144" s="292"/>
      <c r="G144" s="292"/>
      <c r="H144" s="292"/>
      <c r="I144" s="292"/>
      <c r="J144" s="292"/>
      <c r="K144" s="292"/>
      <c r="L144" s="292"/>
      <c r="M144" s="292"/>
      <c r="N144" s="292"/>
      <c r="O144" s="548"/>
    </row>
    <row r="145" spans="1:15" ht="21" customHeight="1">
      <c r="A145" s="108"/>
      <c r="B145" s="293" t="s">
        <v>233</v>
      </c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548"/>
    </row>
    <row r="146" spans="1:15" ht="21" customHeight="1">
      <c r="A146" s="108"/>
      <c r="B146" s="293" t="s">
        <v>234</v>
      </c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548"/>
    </row>
    <row r="147" spans="1:15" ht="21" customHeight="1">
      <c r="A147" s="108"/>
      <c r="B147" s="293" t="s">
        <v>235</v>
      </c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548"/>
    </row>
    <row r="148" spans="1:15" ht="21" customHeight="1">
      <c r="A148" s="79"/>
      <c r="B148" s="294" t="s">
        <v>131</v>
      </c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548"/>
    </row>
    <row r="149" spans="1:15" ht="21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83"/>
      <c r="M149" s="83"/>
      <c r="N149" s="84"/>
      <c r="O149" s="548"/>
    </row>
    <row r="150" spans="1:15" ht="21" customHeight="1">
      <c r="A150" s="295" t="s">
        <v>62</v>
      </c>
      <c r="B150" s="295"/>
      <c r="C150" s="295"/>
      <c r="D150" s="295"/>
      <c r="E150" s="549"/>
      <c r="F150" s="549"/>
      <c r="G150" s="549"/>
      <c r="H150" s="549"/>
      <c r="I150" s="549"/>
      <c r="J150" s="550" t="s">
        <v>33</v>
      </c>
      <c r="K150" s="550"/>
      <c r="L150" s="550"/>
      <c r="M150" s="550"/>
      <c r="N150" s="550"/>
      <c r="O150" s="548"/>
    </row>
    <row r="151" spans="1:15" ht="21" customHeight="1">
      <c r="A151" s="283"/>
      <c r="B151" s="283"/>
      <c r="C151" s="283"/>
      <c r="D151" s="549"/>
      <c r="E151" s="549"/>
      <c r="F151" s="549"/>
      <c r="G151" s="549"/>
      <c r="H151" s="551"/>
      <c r="I151" s="551"/>
      <c r="J151" s="551"/>
      <c r="K151" s="551"/>
      <c r="L151" s="551"/>
      <c r="M151" s="551"/>
      <c r="N151" s="551"/>
      <c r="O151" s="548"/>
    </row>
    <row r="152" spans="1:15" ht="21" customHeight="1">
      <c r="A152" s="283"/>
      <c r="B152" s="283"/>
      <c r="C152" s="283"/>
      <c r="D152" s="549"/>
      <c r="E152" s="549"/>
      <c r="F152" s="549"/>
      <c r="G152" s="549"/>
      <c r="H152" s="551"/>
      <c r="I152" s="551"/>
      <c r="J152" s="551"/>
      <c r="K152" s="551"/>
      <c r="L152" s="551"/>
      <c r="M152" s="551"/>
      <c r="N152" s="551"/>
      <c r="O152" s="548"/>
    </row>
    <row r="153" spans="1:15" ht="21" customHeight="1">
      <c r="A153" s="283"/>
      <c r="B153" s="283"/>
      <c r="C153" s="283"/>
      <c r="D153" s="549"/>
      <c r="E153" s="549"/>
      <c r="F153" s="549"/>
      <c r="G153" s="549"/>
      <c r="H153" s="551"/>
      <c r="I153" s="551"/>
      <c r="J153" s="552" t="s">
        <v>126</v>
      </c>
      <c r="K153" s="552"/>
      <c r="L153" s="552"/>
      <c r="M153" s="552"/>
      <c r="N153" s="552"/>
      <c r="O153" s="548"/>
    </row>
    <row r="154" spans="1:15" ht="21" customHeight="1">
      <c r="A154" s="287" t="s">
        <v>93</v>
      </c>
      <c r="B154" s="287"/>
      <c r="C154" s="287"/>
      <c r="D154" s="287"/>
      <c r="E154" s="549"/>
      <c r="F154" s="549"/>
      <c r="G154" s="549"/>
      <c r="H154" s="551"/>
      <c r="I154" s="551"/>
      <c r="O154" s="548"/>
    </row>
    <row r="156" spans="1:15" ht="21" customHeight="1">
      <c r="J156" s="552" t="s">
        <v>129</v>
      </c>
      <c r="K156" s="552"/>
      <c r="L156" s="552"/>
      <c r="M156" s="552"/>
      <c r="N156" s="552"/>
    </row>
  </sheetData>
  <mergeCells count="201"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</mergeCells>
  <pageMargins left="0.5" right="7.4999999999999997E-2" top="0.4375" bottom="0.36458333333333331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58"/>
  <sheetViews>
    <sheetView topLeftCell="A37" workbookViewId="0">
      <selection activeCell="L28" sqref="L28"/>
    </sheetView>
  </sheetViews>
  <sheetFormatPr defaultColWidth="9.109375" defaultRowHeight="18.600000000000001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39" customWidth="1"/>
    <col min="16" max="16" width="9.109375" style="139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18.600000000000001" customHeight="1">
      <c r="A1" s="169" t="s">
        <v>61</v>
      </c>
      <c r="B1" s="170"/>
      <c r="C1" s="170"/>
      <c r="D1" s="170"/>
      <c r="E1" s="170"/>
      <c r="F1" s="401" t="s">
        <v>31</v>
      </c>
      <c r="G1" s="401"/>
      <c r="H1" s="401"/>
      <c r="I1" s="401"/>
      <c r="J1" s="401"/>
      <c r="K1" s="401"/>
      <c r="L1" s="401"/>
      <c r="M1" s="401"/>
      <c r="N1" s="401"/>
      <c r="O1" s="171"/>
      <c r="P1" s="171"/>
      <c r="T1" s="172"/>
    </row>
    <row r="2" spans="1:20" ht="18.600000000000001" customHeight="1">
      <c r="A2" s="169"/>
      <c r="B2" s="170"/>
      <c r="C2" s="170"/>
      <c r="D2" s="170"/>
      <c r="E2" s="170"/>
      <c r="F2" s="167"/>
      <c r="G2" s="167"/>
      <c r="H2" s="167"/>
      <c r="I2" s="167"/>
      <c r="J2" s="167"/>
      <c r="K2" s="167"/>
      <c r="L2" s="167"/>
      <c r="M2" s="167"/>
      <c r="N2" s="167"/>
      <c r="O2" s="171"/>
      <c r="P2" s="171"/>
      <c r="T2" s="172"/>
    </row>
    <row r="3" spans="1:20" ht="18.600000000000001" customHeight="1">
      <c r="A3" s="170" t="s">
        <v>212</v>
      </c>
      <c r="B3" s="170"/>
      <c r="C3" s="170"/>
      <c r="D3" s="170"/>
      <c r="E3" s="170"/>
      <c r="F3" s="167"/>
      <c r="G3" s="167"/>
      <c r="H3" s="167"/>
      <c r="I3" s="167"/>
      <c r="J3" s="167"/>
      <c r="K3" s="167"/>
      <c r="L3" s="167"/>
      <c r="M3" s="167"/>
      <c r="N3" s="167"/>
      <c r="O3" s="171"/>
      <c r="P3" s="171"/>
      <c r="T3" s="172"/>
    </row>
    <row r="4" spans="1:20" ht="18.600000000000001" customHeight="1">
      <c r="A4" s="170"/>
      <c r="B4" s="170"/>
      <c r="C4" s="170"/>
      <c r="D4" s="170"/>
      <c r="E4" s="170"/>
      <c r="F4" s="167"/>
      <c r="G4" s="167"/>
      <c r="H4" s="167"/>
      <c r="I4" s="167"/>
      <c r="J4" s="167"/>
      <c r="K4" s="167"/>
      <c r="L4" s="167"/>
      <c r="M4" s="167"/>
      <c r="N4" s="167"/>
      <c r="O4" s="171"/>
      <c r="P4" s="171"/>
      <c r="T4" s="172"/>
    </row>
    <row r="5" spans="1:20" s="172" customFormat="1" ht="18.600000000000001" customHeight="1">
      <c r="A5" s="518" t="s">
        <v>99</v>
      </c>
      <c r="B5" s="518"/>
      <c r="C5" s="518"/>
      <c r="D5" s="518"/>
      <c r="E5" s="518" t="s">
        <v>100</v>
      </c>
      <c r="F5" s="518"/>
      <c r="G5" s="518"/>
      <c r="H5" s="518"/>
      <c r="I5" s="518"/>
      <c r="J5" s="518"/>
      <c r="K5" s="518"/>
      <c r="L5" s="518"/>
      <c r="M5" s="518"/>
      <c r="N5" s="518"/>
      <c r="O5" s="173"/>
      <c r="P5" s="174"/>
    </row>
    <row r="6" spans="1:20" s="172" customFormat="1" ht="18.600000000000001" customHeight="1">
      <c r="A6" s="514" t="s">
        <v>90</v>
      </c>
      <c r="B6" s="514"/>
      <c r="C6" s="514"/>
      <c r="D6" s="514"/>
      <c r="E6" s="515" t="s">
        <v>151</v>
      </c>
      <c r="F6" s="515"/>
      <c r="G6" s="515"/>
      <c r="H6" s="515"/>
      <c r="I6" s="515"/>
      <c r="J6" s="525" t="s">
        <v>146</v>
      </c>
      <c r="K6" s="526"/>
      <c r="L6" s="526"/>
      <c r="M6" s="526"/>
      <c r="N6" s="527"/>
      <c r="O6" s="173"/>
      <c r="P6" s="174"/>
    </row>
    <row r="7" spans="1:20" s="172" customFormat="1" ht="18.600000000000001" customHeight="1">
      <c r="A7" s="516" t="s">
        <v>136</v>
      </c>
      <c r="B7" s="516"/>
      <c r="C7" s="516"/>
      <c r="D7" s="516"/>
      <c r="E7" s="515"/>
      <c r="F7" s="515"/>
      <c r="G7" s="515"/>
      <c r="H7" s="515"/>
      <c r="I7" s="515"/>
      <c r="J7" s="528"/>
      <c r="K7" s="529"/>
      <c r="L7" s="529"/>
      <c r="M7" s="529"/>
      <c r="N7" s="530"/>
      <c r="O7" s="173"/>
      <c r="P7" s="174"/>
    </row>
    <row r="8" spans="1:20" s="172" customFormat="1" ht="18.600000000000001" customHeight="1">
      <c r="A8" s="534" t="s">
        <v>161</v>
      </c>
      <c r="B8" s="535"/>
      <c r="C8" s="535"/>
      <c r="D8" s="536"/>
      <c r="E8" s="515"/>
      <c r="F8" s="515"/>
      <c r="G8" s="515"/>
      <c r="H8" s="515"/>
      <c r="I8" s="515"/>
      <c r="J8" s="528"/>
      <c r="K8" s="529"/>
      <c r="L8" s="529"/>
      <c r="M8" s="529"/>
      <c r="N8" s="530"/>
      <c r="O8" s="173"/>
      <c r="P8" s="174"/>
    </row>
    <row r="9" spans="1:20" s="172" customFormat="1" ht="18.600000000000001" customHeight="1">
      <c r="A9" s="517" t="s">
        <v>172</v>
      </c>
      <c r="B9" s="517"/>
      <c r="C9" s="517"/>
      <c r="D9" s="517"/>
      <c r="E9" s="515"/>
      <c r="F9" s="515"/>
      <c r="G9" s="515"/>
      <c r="H9" s="515"/>
      <c r="I9" s="515"/>
      <c r="J9" s="531"/>
      <c r="K9" s="532"/>
      <c r="L9" s="532"/>
      <c r="M9" s="532"/>
      <c r="N9" s="533"/>
      <c r="O9" s="173"/>
      <c r="P9" s="174"/>
    </row>
    <row r="10" spans="1:20" ht="18.600000000000001" customHeight="1">
      <c r="A10" s="511" t="s">
        <v>124</v>
      </c>
      <c r="B10" s="512"/>
      <c r="C10" s="513"/>
      <c r="D10" s="175">
        <v>218</v>
      </c>
      <c r="E10" s="170"/>
      <c r="F10" s="167"/>
      <c r="G10" s="167"/>
      <c r="H10" s="167"/>
      <c r="I10" s="167"/>
      <c r="J10" s="167"/>
      <c r="K10" s="167"/>
      <c r="L10" s="167"/>
      <c r="M10" s="167"/>
      <c r="N10" s="167"/>
      <c r="O10" s="171"/>
      <c r="P10" s="171"/>
      <c r="T10" s="172"/>
    </row>
    <row r="11" spans="1:20" ht="18.600000000000001" customHeight="1">
      <c r="A11" s="318" t="s">
        <v>0</v>
      </c>
      <c r="B11" s="321" t="s">
        <v>19</v>
      </c>
      <c r="C11" s="502" t="s">
        <v>8</v>
      </c>
      <c r="D11" s="502" t="s">
        <v>9</v>
      </c>
      <c r="E11" s="505" t="s">
        <v>11</v>
      </c>
      <c r="F11" s="506"/>
      <c r="G11" s="505" t="s">
        <v>13</v>
      </c>
      <c r="H11" s="506"/>
      <c r="I11" s="499" t="s">
        <v>16</v>
      </c>
      <c r="J11" s="499" t="s">
        <v>41</v>
      </c>
      <c r="K11" s="499" t="s">
        <v>42</v>
      </c>
      <c r="L11" s="499" t="s">
        <v>17</v>
      </c>
      <c r="M11" s="499" t="s">
        <v>40</v>
      </c>
      <c r="N11" s="318" t="s">
        <v>18</v>
      </c>
      <c r="O11" s="176"/>
    </row>
    <row r="12" spans="1:20" ht="18.600000000000001" customHeight="1">
      <c r="A12" s="319"/>
      <c r="B12" s="322"/>
      <c r="C12" s="503"/>
      <c r="D12" s="503"/>
      <c r="E12" s="507"/>
      <c r="F12" s="508"/>
      <c r="G12" s="507"/>
      <c r="H12" s="508"/>
      <c r="I12" s="500"/>
      <c r="J12" s="500"/>
      <c r="K12" s="500"/>
      <c r="L12" s="500"/>
      <c r="M12" s="500"/>
      <c r="N12" s="319"/>
      <c r="O12" s="177"/>
    </row>
    <row r="13" spans="1:20" ht="18.600000000000001" customHeight="1">
      <c r="A13" s="319"/>
      <c r="B13" s="322"/>
      <c r="C13" s="503"/>
      <c r="D13" s="503"/>
      <c r="E13" s="499" t="s">
        <v>10</v>
      </c>
      <c r="F13" s="499" t="s">
        <v>12</v>
      </c>
      <c r="G13" s="499" t="s">
        <v>14</v>
      </c>
      <c r="H13" s="499" t="s">
        <v>15</v>
      </c>
      <c r="I13" s="500"/>
      <c r="J13" s="500"/>
      <c r="K13" s="500"/>
      <c r="L13" s="500"/>
      <c r="M13" s="500"/>
      <c r="N13" s="319"/>
      <c r="O13" s="177"/>
    </row>
    <row r="14" spans="1:20" ht="18.600000000000001" customHeight="1">
      <c r="A14" s="320"/>
      <c r="B14" s="323"/>
      <c r="C14" s="504"/>
      <c r="D14" s="504"/>
      <c r="E14" s="501"/>
      <c r="F14" s="501"/>
      <c r="G14" s="501"/>
      <c r="H14" s="501"/>
      <c r="I14" s="501"/>
      <c r="J14" s="501"/>
      <c r="K14" s="501"/>
      <c r="L14" s="501"/>
      <c r="M14" s="501"/>
      <c r="N14" s="320"/>
      <c r="O14" s="177"/>
    </row>
    <row r="15" spans="1:20" ht="18.600000000000001" customHeight="1">
      <c r="A15" s="343" t="s">
        <v>34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177"/>
    </row>
    <row r="16" spans="1:20" s="172" customFormat="1" ht="18.600000000000001" customHeight="1">
      <c r="A16" s="178">
        <v>1</v>
      </c>
      <c r="B16" s="179" t="s">
        <v>2</v>
      </c>
      <c r="C16" s="180">
        <f>L16/100*100</f>
        <v>290</v>
      </c>
      <c r="D16" s="181">
        <f>C16/100*60</f>
        <v>174</v>
      </c>
      <c r="E16" s="182">
        <f>C16/100*15</f>
        <v>43.5</v>
      </c>
      <c r="F16" s="182"/>
      <c r="G16" s="182"/>
      <c r="H16" s="182"/>
      <c r="I16" s="182"/>
      <c r="J16" s="183">
        <f>C16/100*387</f>
        <v>1122.3</v>
      </c>
      <c r="K16" s="183">
        <f>C16/100*0.09</f>
        <v>0.26100000000000001</v>
      </c>
      <c r="L16" s="121">
        <v>290</v>
      </c>
      <c r="M16" s="184">
        <v>20</v>
      </c>
      <c r="N16" s="185">
        <f>L16*M16</f>
        <v>5800</v>
      </c>
      <c r="O16" s="186"/>
      <c r="P16" s="174"/>
    </row>
    <row r="17" spans="1:20" s="172" customFormat="1" ht="18.600000000000001" customHeight="1">
      <c r="A17" s="187">
        <v>2</v>
      </c>
      <c r="B17" s="188" t="s">
        <v>143</v>
      </c>
      <c r="C17" s="189">
        <f>L17/100*100</f>
        <v>650</v>
      </c>
      <c r="D17" s="190">
        <f>C17/100*899</f>
        <v>5843.5</v>
      </c>
      <c r="E17" s="191"/>
      <c r="F17" s="191"/>
      <c r="G17" s="191">
        <f>C17/100*100</f>
        <v>650</v>
      </c>
      <c r="H17" s="191"/>
      <c r="I17" s="191"/>
      <c r="J17" s="192"/>
      <c r="K17" s="192"/>
      <c r="L17" s="122">
        <v>650</v>
      </c>
      <c r="M17" s="193">
        <v>68</v>
      </c>
      <c r="N17" s="194">
        <f t="shared" ref="N17:N26" si="0">L17*M17</f>
        <v>44200</v>
      </c>
      <c r="O17" s="195"/>
      <c r="P17" s="174"/>
    </row>
    <row r="18" spans="1:20" s="172" customFormat="1" ht="18.600000000000001" customHeight="1">
      <c r="A18" s="187">
        <v>3</v>
      </c>
      <c r="B18" s="196" t="s">
        <v>1</v>
      </c>
      <c r="C18" s="189">
        <f>L18/100*100</f>
        <v>20710</v>
      </c>
      <c r="D18" s="197">
        <f>C18/100*344</f>
        <v>71242.399999999994</v>
      </c>
      <c r="E18" s="138"/>
      <c r="F18" s="198">
        <f>C18/100*7.9</f>
        <v>1636.09</v>
      </c>
      <c r="G18" s="129"/>
      <c r="H18" s="191">
        <f>C18/100*1</f>
        <v>207.1</v>
      </c>
      <c r="I18" s="198">
        <f>C18/100*72</f>
        <v>14911.199999999999</v>
      </c>
      <c r="J18" s="192">
        <f>C18/100*30</f>
        <v>6213</v>
      </c>
      <c r="K18" s="192">
        <f>C18/100*0.1</f>
        <v>20.71</v>
      </c>
      <c r="L18" s="122">
        <v>20710</v>
      </c>
      <c r="M18" s="184">
        <v>18</v>
      </c>
      <c r="N18" s="194">
        <f t="shared" si="0"/>
        <v>372780</v>
      </c>
      <c r="O18" s="186" t="s">
        <v>160</v>
      </c>
      <c r="P18" s="174"/>
    </row>
    <row r="19" spans="1:20" s="172" customFormat="1" ht="18.600000000000001" customHeight="1">
      <c r="A19" s="187">
        <v>4</v>
      </c>
      <c r="B19" s="196" t="s">
        <v>95</v>
      </c>
      <c r="C19" s="189">
        <f>L19/100*81.7</f>
        <v>6241.880000000001</v>
      </c>
      <c r="D19" s="190">
        <f>C19/100*27</f>
        <v>1685.3076000000003</v>
      </c>
      <c r="E19" s="199"/>
      <c r="F19" s="199">
        <f>C19/100*0.3</f>
        <v>18.725640000000002</v>
      </c>
      <c r="G19" s="199"/>
      <c r="H19" s="199">
        <f>C19/100*0.1</f>
        <v>6.2418800000000019</v>
      </c>
      <c r="I19" s="199">
        <f>C19/100*6.1</f>
        <v>380.75468000000006</v>
      </c>
      <c r="J19" s="200">
        <f>C19/100*24</f>
        <v>1498.0512000000003</v>
      </c>
      <c r="K19" s="200">
        <f>C19/100*0.06</f>
        <v>3.7451280000000007</v>
      </c>
      <c r="L19" s="123">
        <v>7640</v>
      </c>
      <c r="M19" s="201">
        <v>22</v>
      </c>
      <c r="N19" s="194">
        <f t="shared" si="0"/>
        <v>168080</v>
      </c>
      <c r="O19" s="195"/>
      <c r="P19" s="174"/>
      <c r="Q19" s="202"/>
      <c r="R19" s="202"/>
      <c r="S19" s="203"/>
    </row>
    <row r="20" spans="1:20" s="172" customFormat="1" ht="18.600000000000001" customHeight="1">
      <c r="A20" s="187">
        <v>5</v>
      </c>
      <c r="B20" s="196" t="s">
        <v>4</v>
      </c>
      <c r="C20" s="189">
        <f>L20/100*98.5</f>
        <v>2147.3000000000002</v>
      </c>
      <c r="D20" s="190">
        <f>C20/100*39</f>
        <v>837.44700000000012</v>
      </c>
      <c r="E20" s="199"/>
      <c r="F20" s="199">
        <f>C20/100*1.5</f>
        <v>32.209500000000006</v>
      </c>
      <c r="G20" s="199"/>
      <c r="H20" s="199">
        <f>C20/100*0.2</f>
        <v>4.2946000000000009</v>
      </c>
      <c r="I20" s="199">
        <f>C20/100*7.8</f>
        <v>167.48940000000002</v>
      </c>
      <c r="J20" s="199">
        <f>C20/100*43</f>
        <v>923.33900000000006</v>
      </c>
      <c r="K20" s="199">
        <f>C20/100*0.06</f>
        <v>1.2883800000000001</v>
      </c>
      <c r="L20" s="123">
        <v>2180</v>
      </c>
      <c r="M20" s="201">
        <v>17</v>
      </c>
      <c r="N20" s="194">
        <f t="shared" si="0"/>
        <v>37060</v>
      </c>
      <c r="O20" s="195"/>
      <c r="P20" s="174"/>
      <c r="Q20" s="202"/>
      <c r="R20" s="202"/>
      <c r="S20" s="203"/>
    </row>
    <row r="21" spans="1:20" s="172" customFormat="1" ht="18.600000000000001" customHeight="1">
      <c r="A21" s="187">
        <v>6</v>
      </c>
      <c r="B21" s="196" t="s">
        <v>75</v>
      </c>
      <c r="C21" s="189">
        <f>L21/100*75</f>
        <v>1635</v>
      </c>
      <c r="D21" s="190">
        <f>C21/100*12</f>
        <v>196.20000000000002</v>
      </c>
      <c r="E21" s="191"/>
      <c r="F21" s="191">
        <f>C21/100*0.6</f>
        <v>9.81</v>
      </c>
      <c r="G21" s="191"/>
      <c r="H21" s="191"/>
      <c r="I21" s="191">
        <f>C21/100*2.4</f>
        <v>39.24</v>
      </c>
      <c r="J21" s="191">
        <f>C21/100*26</f>
        <v>425.1</v>
      </c>
      <c r="K21" s="191">
        <f>C21/100*0.02</f>
        <v>0.32700000000000001</v>
      </c>
      <c r="L21" s="122">
        <v>2180</v>
      </c>
      <c r="M21" s="193">
        <v>30</v>
      </c>
      <c r="N21" s="194">
        <f t="shared" si="0"/>
        <v>65400</v>
      </c>
      <c r="O21" s="195"/>
      <c r="P21" s="174"/>
    </row>
    <row r="22" spans="1:20" s="172" customFormat="1" ht="18.600000000000001" customHeight="1">
      <c r="A22" s="187">
        <v>7</v>
      </c>
      <c r="B22" s="196" t="s">
        <v>138</v>
      </c>
      <c r="C22" s="189">
        <f>L22/100*100</f>
        <v>220.00000000000003</v>
      </c>
      <c r="D22" s="190">
        <f>C22/100*247</f>
        <v>543.40000000000009</v>
      </c>
      <c r="E22" s="199"/>
      <c r="F22" s="199">
        <f>C22/100*17.5</f>
        <v>38.5</v>
      </c>
      <c r="G22" s="199"/>
      <c r="H22" s="199">
        <f>C22/100*1.6</f>
        <v>3.5200000000000005</v>
      </c>
      <c r="I22" s="199">
        <f>C22/100*39.2</f>
        <v>86.240000000000009</v>
      </c>
      <c r="J22" s="200"/>
      <c r="K22" s="200"/>
      <c r="L22" s="123">
        <v>220</v>
      </c>
      <c r="M22" s="193">
        <v>50</v>
      </c>
      <c r="N22" s="194">
        <f t="shared" si="0"/>
        <v>11000</v>
      </c>
      <c r="O22" s="195"/>
      <c r="P22" s="174"/>
      <c r="Q22" s="202"/>
      <c r="R22" s="202"/>
      <c r="S22" s="203"/>
      <c r="T22" s="202"/>
    </row>
    <row r="23" spans="1:20" s="172" customFormat="1" ht="18.600000000000001" customHeight="1">
      <c r="A23" s="187">
        <v>8</v>
      </c>
      <c r="B23" s="196" t="s">
        <v>20</v>
      </c>
      <c r="C23" s="189">
        <f>L23/100*95</f>
        <v>2071</v>
      </c>
      <c r="D23" s="190">
        <f>C23/100*20</f>
        <v>414.20000000000005</v>
      </c>
      <c r="E23" s="191"/>
      <c r="F23" s="191">
        <f>C23/100*0.6</f>
        <v>12.426</v>
      </c>
      <c r="G23" s="191"/>
      <c r="H23" s="191">
        <f>C23/100*0.2</f>
        <v>4.1420000000000003</v>
      </c>
      <c r="I23" s="191">
        <f>C23/100*4</f>
        <v>82.84</v>
      </c>
      <c r="J23" s="200">
        <f>C23/100*12</f>
        <v>248.52</v>
      </c>
      <c r="K23" s="200">
        <f>C23/100*0.04</f>
        <v>0.82840000000000003</v>
      </c>
      <c r="L23" s="123">
        <v>2180</v>
      </c>
      <c r="M23" s="193">
        <v>40</v>
      </c>
      <c r="N23" s="194">
        <f t="shared" si="0"/>
        <v>87200</v>
      </c>
      <c r="O23" s="195"/>
      <c r="P23" s="174"/>
      <c r="Q23" s="202"/>
      <c r="R23" s="202"/>
    </row>
    <row r="24" spans="1:20" s="172" customFormat="1" ht="18.600000000000001" customHeight="1">
      <c r="A24" s="187">
        <v>9</v>
      </c>
      <c r="B24" s="196" t="s">
        <v>69</v>
      </c>
      <c r="C24" s="189">
        <f>L24/100*48</f>
        <v>1910.3999999999999</v>
      </c>
      <c r="D24" s="190">
        <f>C24/100*199</f>
        <v>3801.6959999999999</v>
      </c>
      <c r="E24" s="191">
        <f>C24/100*20.3</f>
        <v>387.81119999999999</v>
      </c>
      <c r="F24" s="191"/>
      <c r="G24" s="191">
        <f>C24/100*13.1</f>
        <v>250.26239999999999</v>
      </c>
      <c r="H24" s="191"/>
      <c r="I24" s="191"/>
      <c r="J24" s="192">
        <f>C24/100*12</f>
        <v>229.24799999999999</v>
      </c>
      <c r="K24" s="192">
        <f>C24/100*0.15</f>
        <v>2.8655999999999997</v>
      </c>
      <c r="L24" s="122">
        <v>3980</v>
      </c>
      <c r="M24" s="201">
        <v>84</v>
      </c>
      <c r="N24" s="194">
        <f t="shared" si="0"/>
        <v>334320</v>
      </c>
      <c r="O24" s="195"/>
      <c r="P24" s="174"/>
      <c r="Q24" s="202"/>
      <c r="R24" s="202"/>
      <c r="S24" s="203"/>
    </row>
    <row r="25" spans="1:20" s="172" customFormat="1" ht="18.600000000000001" customHeight="1">
      <c r="A25" s="187">
        <v>10</v>
      </c>
      <c r="B25" s="204" t="s">
        <v>74</v>
      </c>
      <c r="C25" s="189">
        <f>L25/100*98</f>
        <v>2146.1999999999998</v>
      </c>
      <c r="D25" s="190">
        <f>C25/100*139</f>
        <v>2983.2179999999998</v>
      </c>
      <c r="E25" s="191">
        <f>C25/100*19</f>
        <v>407.77800000000002</v>
      </c>
      <c r="F25" s="191"/>
      <c r="G25" s="191">
        <f>C25/100*7</f>
        <v>150.23400000000001</v>
      </c>
      <c r="H25" s="191"/>
      <c r="I25" s="191"/>
      <c r="J25" s="191">
        <f>C25/100*7</f>
        <v>150.23400000000001</v>
      </c>
      <c r="K25" s="191">
        <f>C25/100*0.9</f>
        <v>19.315799999999999</v>
      </c>
      <c r="L25" s="122">
        <v>2190</v>
      </c>
      <c r="M25" s="193">
        <v>130</v>
      </c>
      <c r="N25" s="194">
        <f t="shared" si="0"/>
        <v>284700</v>
      </c>
      <c r="O25" s="195"/>
      <c r="P25" s="174"/>
    </row>
    <row r="26" spans="1:20" s="172" customFormat="1" ht="18.600000000000001" customHeight="1">
      <c r="A26" s="187">
        <v>11</v>
      </c>
      <c r="B26" s="196" t="s">
        <v>3</v>
      </c>
      <c r="C26" s="189">
        <f>L26/100*98</f>
        <v>6928.6</v>
      </c>
      <c r="D26" s="190">
        <f>C26/100*118</f>
        <v>8175.7480000000005</v>
      </c>
      <c r="E26" s="198">
        <f>C26/100*27</f>
        <v>1870.722</v>
      </c>
      <c r="F26" s="191"/>
      <c r="G26" s="191">
        <f>C26/100*3.8</f>
        <v>263.28679999999997</v>
      </c>
      <c r="H26" s="191"/>
      <c r="I26" s="191"/>
      <c r="J26" s="200">
        <f>C26/100*12</f>
        <v>831.43200000000002</v>
      </c>
      <c r="K26" s="200">
        <f>C26/100*0.1</f>
        <v>6.9286000000000003</v>
      </c>
      <c r="L26" s="123">
        <v>7070</v>
      </c>
      <c r="M26" s="184">
        <v>250</v>
      </c>
      <c r="N26" s="205">
        <f t="shared" si="0"/>
        <v>1767500</v>
      </c>
      <c r="O26" s="186" t="s">
        <v>148</v>
      </c>
      <c r="P26" s="174"/>
      <c r="Q26" s="202"/>
      <c r="R26" s="202"/>
    </row>
    <row r="27" spans="1:20" s="172" customFormat="1" ht="18.600000000000001" customHeight="1">
      <c r="A27" s="187">
        <v>12</v>
      </c>
      <c r="B27" s="206" t="s">
        <v>125</v>
      </c>
      <c r="C27" s="189"/>
      <c r="D27" s="190"/>
      <c r="E27" s="191"/>
      <c r="F27" s="191"/>
      <c r="G27" s="191"/>
      <c r="H27" s="191"/>
      <c r="I27" s="191"/>
      <c r="J27" s="191"/>
      <c r="K27" s="191"/>
      <c r="L27" s="201"/>
      <c r="M27" s="201"/>
      <c r="N27" s="194">
        <v>16500</v>
      </c>
      <c r="O27" s="195"/>
      <c r="P27" s="174"/>
    </row>
    <row r="28" spans="1:20" s="172" customFormat="1" ht="18.600000000000001" customHeight="1">
      <c r="A28" s="207" t="s">
        <v>107</v>
      </c>
      <c r="B28" s="208"/>
      <c r="C28" s="209"/>
      <c r="D28" s="210">
        <f>SUM(D16:D26)</f>
        <v>95897.116599999979</v>
      </c>
      <c r="E28" s="211"/>
      <c r="F28" s="211"/>
      <c r="G28" s="211"/>
      <c r="H28" s="211"/>
      <c r="I28" s="211"/>
      <c r="J28" s="211"/>
      <c r="K28" s="211"/>
      <c r="L28" s="212"/>
      <c r="M28" s="212"/>
      <c r="N28" s="522">
        <f>SUM(N16:N27)</f>
        <v>3194540</v>
      </c>
      <c r="O28" s="195"/>
      <c r="P28" s="174"/>
    </row>
    <row r="29" spans="1:20" s="172" customFormat="1" ht="18.600000000000001" customHeight="1">
      <c r="A29" s="207" t="s">
        <v>6</v>
      </c>
      <c r="B29" s="208"/>
      <c r="C29" s="209"/>
      <c r="D29" s="213">
        <f>D28/D10</f>
        <v>439.89503027522926</v>
      </c>
      <c r="E29" s="211"/>
      <c r="F29" s="211"/>
      <c r="G29" s="211"/>
      <c r="H29" s="211"/>
      <c r="I29" s="211"/>
      <c r="J29" s="211"/>
      <c r="K29" s="211"/>
      <c r="L29" s="212"/>
      <c r="M29" s="212"/>
      <c r="N29" s="523"/>
      <c r="O29" s="195"/>
      <c r="P29" s="174"/>
    </row>
    <row r="30" spans="1:20" s="172" customFormat="1" ht="18.600000000000001" customHeight="1">
      <c r="A30" s="495" t="s">
        <v>51</v>
      </c>
      <c r="B30" s="496"/>
      <c r="C30" s="214" t="s">
        <v>154</v>
      </c>
      <c r="D30" s="215" t="s">
        <v>45</v>
      </c>
      <c r="E30" s="211"/>
      <c r="F30" s="211"/>
      <c r="G30" s="211"/>
      <c r="H30" s="211"/>
      <c r="I30" s="211"/>
      <c r="J30" s="211"/>
      <c r="K30" s="211"/>
      <c r="L30" s="212"/>
      <c r="M30" s="212"/>
      <c r="N30" s="216"/>
      <c r="O30" s="195"/>
      <c r="P30" s="174"/>
    </row>
    <row r="31" spans="1:20" s="172" customFormat="1" ht="18.600000000000001" customHeight="1">
      <c r="A31" s="497"/>
      <c r="B31" s="498"/>
      <c r="C31" s="217" t="s">
        <v>59</v>
      </c>
      <c r="D31" s="218">
        <f>D29*100/1320</f>
        <v>33.325381081456761</v>
      </c>
      <c r="E31" s="211"/>
      <c r="F31" s="211"/>
      <c r="G31" s="211"/>
      <c r="H31" s="211"/>
      <c r="I31" s="211"/>
      <c r="J31" s="211"/>
      <c r="K31" s="211"/>
      <c r="L31" s="212"/>
      <c r="M31" s="212"/>
      <c r="N31" s="216"/>
      <c r="O31" s="195"/>
      <c r="P31" s="174"/>
    </row>
    <row r="32" spans="1:20" s="172" customFormat="1" ht="18.600000000000001" customHeight="1">
      <c r="A32" s="509" t="s">
        <v>35</v>
      </c>
      <c r="B32" s="509"/>
      <c r="C32" s="219"/>
      <c r="D32" s="220"/>
      <c r="E32" s="221"/>
      <c r="F32" s="221"/>
      <c r="G32" s="221"/>
      <c r="H32" s="221"/>
      <c r="I32" s="221"/>
      <c r="J32" s="221"/>
      <c r="K32" s="221"/>
      <c r="L32" s="222"/>
      <c r="M32" s="222"/>
      <c r="N32" s="223"/>
      <c r="O32" s="195"/>
      <c r="P32" s="174"/>
    </row>
    <row r="33" spans="1:22" s="172" customFormat="1" ht="18.600000000000001" customHeight="1">
      <c r="A33" s="178">
        <v>1</v>
      </c>
      <c r="B33" s="206" t="s">
        <v>125</v>
      </c>
      <c r="C33" s="180"/>
      <c r="D33" s="224"/>
      <c r="E33" s="182"/>
      <c r="F33" s="182"/>
      <c r="G33" s="182"/>
      <c r="H33" s="182"/>
      <c r="I33" s="182"/>
      <c r="J33" s="182"/>
      <c r="K33" s="182"/>
      <c r="L33" s="225"/>
      <c r="M33" s="225"/>
      <c r="N33" s="185">
        <v>14300</v>
      </c>
      <c r="O33" s="195"/>
      <c r="P33" s="174"/>
    </row>
    <row r="34" spans="1:22" s="172" customFormat="1" ht="18.600000000000001" customHeight="1">
      <c r="A34" s="187">
        <v>2</v>
      </c>
      <c r="B34" s="196" t="s">
        <v>1</v>
      </c>
      <c r="C34" s="189">
        <f t="shared" ref="C34:C39" si="1">L34/100*100</f>
        <v>3270.0000000000005</v>
      </c>
      <c r="D34" s="190">
        <f>C34/100*344</f>
        <v>11248.800000000001</v>
      </c>
      <c r="E34" s="191"/>
      <c r="F34" s="191">
        <f>C34/100*7.9</f>
        <v>258.33000000000004</v>
      </c>
      <c r="G34" s="191"/>
      <c r="H34" s="191">
        <f>C34/100*1</f>
        <v>32.700000000000003</v>
      </c>
      <c r="I34" s="191">
        <f>C34/100*72</f>
        <v>2354.4</v>
      </c>
      <c r="J34" s="192">
        <f>C34/100*30</f>
        <v>981.00000000000011</v>
      </c>
      <c r="K34" s="192">
        <f>C34/100*0.1</f>
        <v>3.2700000000000005</v>
      </c>
      <c r="L34" s="122">
        <v>3270</v>
      </c>
      <c r="M34" s="184">
        <v>18</v>
      </c>
      <c r="N34" s="194">
        <f t="shared" ref="N34:N42" si="2">L34*M34</f>
        <v>58860</v>
      </c>
      <c r="O34" s="186" t="s">
        <v>160</v>
      </c>
      <c r="P34" s="174"/>
    </row>
    <row r="35" spans="1:22" s="172" customFormat="1" ht="18.600000000000001" customHeight="1">
      <c r="A35" s="187">
        <v>3</v>
      </c>
      <c r="B35" s="196" t="s">
        <v>73</v>
      </c>
      <c r="C35" s="189">
        <f t="shared" si="1"/>
        <v>2180</v>
      </c>
      <c r="D35" s="190">
        <f>C35/100*344</f>
        <v>7499.2</v>
      </c>
      <c r="E35" s="191"/>
      <c r="F35" s="191">
        <f>C35/100*8.6</f>
        <v>187.48</v>
      </c>
      <c r="G35" s="191"/>
      <c r="H35" s="191">
        <f>C35/100*1.5</f>
        <v>32.700000000000003</v>
      </c>
      <c r="I35" s="191">
        <f>C35/100*74.5</f>
        <v>1624.1000000000001</v>
      </c>
      <c r="J35" s="191">
        <f>C35/100*32</f>
        <v>697.6</v>
      </c>
      <c r="K35" s="191">
        <f>C35/100*0.14</f>
        <v>3.0520000000000005</v>
      </c>
      <c r="L35" s="122">
        <v>2180</v>
      </c>
      <c r="M35" s="193">
        <v>30</v>
      </c>
      <c r="N35" s="194">
        <f t="shared" si="2"/>
        <v>65400</v>
      </c>
      <c r="O35" s="195"/>
      <c r="P35" s="226"/>
    </row>
    <row r="36" spans="1:22" s="172" customFormat="1" ht="18.600000000000001" customHeight="1">
      <c r="A36" s="187">
        <v>4</v>
      </c>
      <c r="B36" s="179" t="s">
        <v>2</v>
      </c>
      <c r="C36" s="180">
        <f t="shared" si="1"/>
        <v>260</v>
      </c>
      <c r="D36" s="181">
        <f>C36/100*60</f>
        <v>156</v>
      </c>
      <c r="E36" s="182">
        <f>C36/100*15</f>
        <v>39</v>
      </c>
      <c r="F36" s="182"/>
      <c r="G36" s="182"/>
      <c r="H36" s="182"/>
      <c r="I36" s="182"/>
      <c r="J36" s="183">
        <f>C36/100*387</f>
        <v>1006.2</v>
      </c>
      <c r="K36" s="183">
        <f>C36/100*0.09</f>
        <v>0.23399999999999999</v>
      </c>
      <c r="L36" s="121">
        <v>260</v>
      </c>
      <c r="M36" s="184">
        <v>20</v>
      </c>
      <c r="N36" s="194">
        <f t="shared" si="2"/>
        <v>5200</v>
      </c>
      <c r="O36" s="195"/>
      <c r="P36" s="174"/>
    </row>
    <row r="37" spans="1:22" s="172" customFormat="1" ht="18.600000000000001" customHeight="1">
      <c r="A37" s="187">
        <v>5</v>
      </c>
      <c r="B37" s="196" t="s">
        <v>138</v>
      </c>
      <c r="C37" s="189">
        <f t="shared" si="1"/>
        <v>130</v>
      </c>
      <c r="D37" s="190">
        <f>C37/100*247</f>
        <v>321.10000000000002</v>
      </c>
      <c r="E37" s="199"/>
      <c r="F37" s="199">
        <f>C37/100*17.5</f>
        <v>22.75</v>
      </c>
      <c r="G37" s="199"/>
      <c r="H37" s="199">
        <f>C37/100*1.6</f>
        <v>2.08</v>
      </c>
      <c r="I37" s="199">
        <f>C37/100*39.2</f>
        <v>50.960000000000008</v>
      </c>
      <c r="J37" s="200"/>
      <c r="K37" s="200"/>
      <c r="L37" s="123">
        <v>130</v>
      </c>
      <c r="M37" s="193">
        <v>50</v>
      </c>
      <c r="N37" s="194">
        <f t="shared" si="2"/>
        <v>6500</v>
      </c>
      <c r="O37" s="195"/>
      <c r="P37" s="174"/>
      <c r="Q37" s="202"/>
      <c r="R37" s="202"/>
      <c r="S37" s="203"/>
      <c r="T37" s="202"/>
    </row>
    <row r="38" spans="1:22" s="172" customFormat="1" ht="18.600000000000001" customHeight="1">
      <c r="A38" s="187">
        <v>6</v>
      </c>
      <c r="B38" s="227" t="s">
        <v>143</v>
      </c>
      <c r="C38" s="189">
        <f t="shared" si="1"/>
        <v>1570</v>
      </c>
      <c r="D38" s="197">
        <f>C38/100*899</f>
        <v>14114.3</v>
      </c>
      <c r="E38" s="191"/>
      <c r="F38" s="191"/>
      <c r="G38" s="198">
        <f>C38/100*99.6</f>
        <v>1563.7199999999998</v>
      </c>
      <c r="H38" s="191"/>
      <c r="I38" s="191"/>
      <c r="J38" s="191"/>
      <c r="K38" s="191"/>
      <c r="L38" s="122">
        <v>1570</v>
      </c>
      <c r="M38" s="190">
        <v>68</v>
      </c>
      <c r="N38" s="194">
        <f t="shared" si="2"/>
        <v>106760</v>
      </c>
      <c r="O38" s="228"/>
      <c r="P38" s="174"/>
    </row>
    <row r="39" spans="1:22" s="172" customFormat="1" ht="18.600000000000001" customHeight="1">
      <c r="A39" s="187">
        <v>7</v>
      </c>
      <c r="B39" s="147" t="s">
        <v>149</v>
      </c>
      <c r="C39" s="189">
        <f t="shared" si="1"/>
        <v>220.00000000000003</v>
      </c>
      <c r="D39" s="197">
        <f>C39/100*900</f>
        <v>1980.0000000000002</v>
      </c>
      <c r="E39" s="191"/>
      <c r="F39" s="191"/>
      <c r="G39" s="198"/>
      <c r="H39" s="191">
        <f>C39/100*100</f>
        <v>220.00000000000003</v>
      </c>
      <c r="I39" s="191"/>
      <c r="J39" s="191"/>
      <c r="K39" s="191"/>
      <c r="L39" s="122">
        <v>220</v>
      </c>
      <c r="M39" s="193">
        <v>63.5</v>
      </c>
      <c r="N39" s="194">
        <f t="shared" si="2"/>
        <v>13970</v>
      </c>
      <c r="O39" s="228"/>
      <c r="P39" s="174"/>
    </row>
    <row r="40" spans="1:22" s="172" customFormat="1" ht="18.600000000000001" customHeight="1">
      <c r="A40" s="187">
        <v>8</v>
      </c>
      <c r="B40" s="196" t="s">
        <v>4</v>
      </c>
      <c r="C40" s="189">
        <f>L40/100*98.5</f>
        <v>2147.3000000000002</v>
      </c>
      <c r="D40" s="190">
        <f>C40/100*39</f>
        <v>837.44700000000012</v>
      </c>
      <c r="E40" s="199"/>
      <c r="F40" s="199">
        <f>C40/100*1.5</f>
        <v>32.209500000000006</v>
      </c>
      <c r="G40" s="199"/>
      <c r="H40" s="199">
        <f>C40/100*0.2</f>
        <v>4.2946000000000009</v>
      </c>
      <c r="I40" s="199">
        <f>C40/100*7.8</f>
        <v>167.48940000000002</v>
      </c>
      <c r="J40" s="200">
        <f>C40/100*43</f>
        <v>923.33900000000006</v>
      </c>
      <c r="K40" s="200">
        <f>C40/100*0.06</f>
        <v>1.2883800000000001</v>
      </c>
      <c r="L40" s="123">
        <v>2180</v>
      </c>
      <c r="M40" s="201">
        <v>17</v>
      </c>
      <c r="N40" s="194">
        <f t="shared" si="2"/>
        <v>37060</v>
      </c>
      <c r="O40" s="195"/>
      <c r="P40" s="174"/>
      <c r="Q40" s="202"/>
      <c r="R40" s="202"/>
      <c r="S40" s="203"/>
    </row>
    <row r="41" spans="1:22" s="172" customFormat="1" ht="18.600000000000001" customHeight="1">
      <c r="A41" s="187">
        <v>9</v>
      </c>
      <c r="B41" s="204" t="s">
        <v>64</v>
      </c>
      <c r="C41" s="189">
        <f>L41/100*40</f>
        <v>2092</v>
      </c>
      <c r="D41" s="190">
        <f>C41/100*276</f>
        <v>5773.92</v>
      </c>
      <c r="E41" s="191">
        <f>C41/100*17.8</f>
        <v>372.37600000000003</v>
      </c>
      <c r="F41" s="138"/>
      <c r="G41" s="191">
        <f>C41/100*21.8</f>
        <v>456.05600000000004</v>
      </c>
      <c r="H41" s="191"/>
      <c r="I41" s="191"/>
      <c r="J41" s="192">
        <f>C41/100*13</f>
        <v>271.96000000000004</v>
      </c>
      <c r="K41" s="192">
        <f>C41/100*0.07</f>
        <v>1.4644000000000004</v>
      </c>
      <c r="L41" s="122">
        <v>5230</v>
      </c>
      <c r="M41" s="193">
        <v>63</v>
      </c>
      <c r="N41" s="229">
        <f t="shared" si="2"/>
        <v>329490</v>
      </c>
      <c r="O41" s="195"/>
      <c r="P41" s="174"/>
    </row>
    <row r="42" spans="1:22" s="172" customFormat="1" ht="18.600000000000001" customHeight="1">
      <c r="A42" s="230">
        <v>10</v>
      </c>
      <c r="B42" s="231" t="s">
        <v>152</v>
      </c>
      <c r="C42" s="232">
        <f>L42/100*100</f>
        <v>3710</v>
      </c>
      <c r="D42" s="233">
        <f>C42/100*487</f>
        <v>18067.7</v>
      </c>
      <c r="E42" s="234"/>
      <c r="F42" s="234">
        <f>C42/100*19.5</f>
        <v>723.45</v>
      </c>
      <c r="G42" s="234"/>
      <c r="H42" s="234">
        <f>C42/100*23.2</f>
        <v>860.72</v>
      </c>
      <c r="I42" s="234">
        <f>C42/100*46</f>
        <v>1706.6000000000001</v>
      </c>
      <c r="J42" s="235">
        <f>C42/100*680</f>
        <v>25228</v>
      </c>
      <c r="K42" s="234">
        <f>C42/100*0.55</f>
        <v>20.405000000000001</v>
      </c>
      <c r="L42" s="236">
        <v>3710</v>
      </c>
      <c r="M42" s="237">
        <v>260</v>
      </c>
      <c r="N42" s="238">
        <f t="shared" si="2"/>
        <v>964600</v>
      </c>
      <c r="O42" s="195"/>
      <c r="P42" s="239"/>
    </row>
    <row r="43" spans="1:22" ht="18.600000000000001" customHeight="1">
      <c r="A43" s="318" t="s">
        <v>0</v>
      </c>
      <c r="B43" s="321" t="s">
        <v>19</v>
      </c>
      <c r="C43" s="502" t="s">
        <v>8</v>
      </c>
      <c r="D43" s="502" t="s">
        <v>9</v>
      </c>
      <c r="E43" s="505" t="s">
        <v>11</v>
      </c>
      <c r="F43" s="506"/>
      <c r="G43" s="505" t="s">
        <v>13</v>
      </c>
      <c r="H43" s="506"/>
      <c r="I43" s="499" t="s">
        <v>16</v>
      </c>
      <c r="J43" s="499" t="s">
        <v>41</v>
      </c>
      <c r="K43" s="499" t="s">
        <v>42</v>
      </c>
      <c r="L43" s="499" t="s">
        <v>17</v>
      </c>
      <c r="M43" s="499" t="s">
        <v>40</v>
      </c>
      <c r="N43" s="318" t="s">
        <v>18</v>
      </c>
      <c r="O43" s="176"/>
    </row>
    <row r="44" spans="1:22" ht="18.600000000000001" customHeight="1">
      <c r="A44" s="319"/>
      <c r="B44" s="322"/>
      <c r="C44" s="503"/>
      <c r="D44" s="503"/>
      <c r="E44" s="507"/>
      <c r="F44" s="508"/>
      <c r="G44" s="507"/>
      <c r="H44" s="508"/>
      <c r="I44" s="500"/>
      <c r="J44" s="500"/>
      <c r="K44" s="500"/>
      <c r="L44" s="500"/>
      <c r="M44" s="500"/>
      <c r="N44" s="319"/>
      <c r="O44" s="177"/>
    </row>
    <row r="45" spans="1:22" ht="18.600000000000001" customHeight="1">
      <c r="A45" s="319"/>
      <c r="B45" s="322"/>
      <c r="C45" s="503"/>
      <c r="D45" s="503"/>
      <c r="E45" s="499" t="s">
        <v>10</v>
      </c>
      <c r="F45" s="499" t="s">
        <v>12</v>
      </c>
      <c r="G45" s="499" t="s">
        <v>14</v>
      </c>
      <c r="H45" s="499" t="s">
        <v>15</v>
      </c>
      <c r="I45" s="500"/>
      <c r="J45" s="500"/>
      <c r="K45" s="500"/>
      <c r="L45" s="500"/>
      <c r="M45" s="500"/>
      <c r="N45" s="319"/>
      <c r="O45" s="177"/>
    </row>
    <row r="46" spans="1:22" ht="18.600000000000001" customHeight="1">
      <c r="A46" s="320"/>
      <c r="B46" s="323"/>
      <c r="C46" s="504"/>
      <c r="D46" s="504"/>
      <c r="E46" s="501"/>
      <c r="F46" s="501"/>
      <c r="G46" s="501"/>
      <c r="H46" s="501"/>
      <c r="I46" s="501"/>
      <c r="J46" s="501"/>
      <c r="K46" s="501"/>
      <c r="L46" s="501"/>
      <c r="M46" s="501"/>
      <c r="N46" s="320"/>
      <c r="O46" s="177"/>
    </row>
    <row r="47" spans="1:22" s="172" customFormat="1" ht="18.600000000000001" customHeight="1">
      <c r="A47" s="207" t="s">
        <v>108</v>
      </c>
      <c r="B47" s="208"/>
      <c r="C47" s="209"/>
      <c r="D47" s="210">
        <f>SUM(D33:D42)</f>
        <v>59998.46699999999</v>
      </c>
      <c r="E47" s="240"/>
      <c r="F47" s="240"/>
      <c r="G47" s="240"/>
      <c r="H47" s="240"/>
      <c r="I47" s="240"/>
      <c r="J47" s="240"/>
      <c r="K47" s="240"/>
      <c r="L47" s="241"/>
      <c r="M47" s="241"/>
      <c r="N47" s="522">
        <f>SUM(N33:N42)</f>
        <v>1602140</v>
      </c>
      <c r="O47" s="195"/>
      <c r="P47" s="174"/>
    </row>
    <row r="48" spans="1:22" ht="18.600000000000001" customHeight="1">
      <c r="A48" s="207" t="s">
        <v>7</v>
      </c>
      <c r="B48" s="208"/>
      <c r="C48" s="39"/>
      <c r="D48" s="31">
        <f>D47/D10</f>
        <v>275.22232568807334</v>
      </c>
      <c r="E48" s="40"/>
      <c r="F48" s="40"/>
      <c r="G48" s="40"/>
      <c r="H48" s="40"/>
      <c r="I48" s="40"/>
      <c r="J48" s="40"/>
      <c r="K48" s="40"/>
      <c r="L48" s="38"/>
      <c r="M48" s="38"/>
      <c r="N48" s="523"/>
      <c r="O48" s="242"/>
      <c r="P48" s="174"/>
      <c r="Q48" s="172"/>
      <c r="R48" s="172"/>
      <c r="S48" s="172"/>
      <c r="T48" s="172"/>
      <c r="U48" s="172"/>
      <c r="V48" s="172"/>
    </row>
    <row r="49" spans="1:23" ht="18.600000000000001" customHeight="1">
      <c r="A49" s="495" t="s">
        <v>52</v>
      </c>
      <c r="B49" s="496"/>
      <c r="C49" s="214" t="s">
        <v>154</v>
      </c>
      <c r="D49" s="215" t="s">
        <v>58</v>
      </c>
      <c r="E49" s="40"/>
      <c r="F49" s="40"/>
      <c r="G49" s="40"/>
      <c r="H49" s="40"/>
      <c r="I49" s="40"/>
      <c r="J49" s="41"/>
      <c r="K49" s="41"/>
      <c r="L49" s="38"/>
      <c r="M49" s="38"/>
      <c r="N49" s="243"/>
      <c r="O49" s="242"/>
      <c r="P49" s="174"/>
      <c r="Q49" s="172"/>
      <c r="R49" s="172"/>
      <c r="S49" s="172"/>
      <c r="T49" s="172"/>
      <c r="U49" s="172"/>
      <c r="V49" s="172"/>
      <c r="W49" s="172"/>
    </row>
    <row r="50" spans="1:23" ht="18.600000000000001" customHeight="1">
      <c r="A50" s="497"/>
      <c r="B50" s="498"/>
      <c r="C50" s="217" t="s">
        <v>60</v>
      </c>
      <c r="D50" s="218">
        <f>D48*100/1320</f>
        <v>20.850176188490405</v>
      </c>
      <c r="E50" s="40"/>
      <c r="F50" s="40"/>
      <c r="G50" s="40"/>
      <c r="H50" s="40"/>
      <c r="I50" s="40"/>
      <c r="J50" s="41"/>
      <c r="K50" s="41"/>
      <c r="L50" s="38"/>
      <c r="M50" s="38"/>
      <c r="N50" s="243"/>
      <c r="O50" s="242"/>
      <c r="P50" s="174"/>
      <c r="Q50" s="172"/>
      <c r="R50" s="172"/>
      <c r="S50" s="172"/>
      <c r="T50" s="172"/>
      <c r="U50" s="172"/>
      <c r="V50" s="172"/>
      <c r="W50" s="172"/>
    </row>
    <row r="51" spans="1:23" ht="18.600000000000001" customHeight="1">
      <c r="A51" s="394" t="s">
        <v>115</v>
      </c>
      <c r="B51" s="395"/>
      <c r="C51" s="398"/>
      <c r="D51" s="410">
        <f>D28+D47</f>
        <v>155895.58359999995</v>
      </c>
      <c r="E51" s="113">
        <f t="shared" ref="E51:K51" si="3">SUM(E16:E42)</f>
        <v>3121.1872000000003</v>
      </c>
      <c r="F51" s="113">
        <f t="shared" si="3"/>
        <v>2971.9806399999998</v>
      </c>
      <c r="G51" s="113">
        <f t="shared" si="3"/>
        <v>3333.5591999999997</v>
      </c>
      <c r="H51" s="113">
        <f t="shared" si="3"/>
        <v>1377.7930799999999</v>
      </c>
      <c r="I51" s="358">
        <f t="shared" si="3"/>
        <v>21571.313479999993</v>
      </c>
      <c r="J51" s="390">
        <f t="shared" si="3"/>
        <v>40749.323199999999</v>
      </c>
      <c r="K51" s="390">
        <f t="shared" si="3"/>
        <v>85.983688000000001</v>
      </c>
      <c r="L51" s="390"/>
      <c r="M51" s="390"/>
      <c r="N51" s="364">
        <f>N28+N47</f>
        <v>4796680</v>
      </c>
      <c r="U51" s="11"/>
      <c r="V51" s="11"/>
    </row>
    <row r="52" spans="1:23" ht="18.600000000000001" customHeight="1">
      <c r="A52" s="396"/>
      <c r="B52" s="397"/>
      <c r="C52" s="399"/>
      <c r="D52" s="411"/>
      <c r="E52" s="387">
        <f>E51+F51</f>
        <v>6093.1678400000001</v>
      </c>
      <c r="F52" s="388"/>
      <c r="G52" s="387">
        <f>G51+H51</f>
        <v>4711.3522799999992</v>
      </c>
      <c r="H52" s="388"/>
      <c r="I52" s="360"/>
      <c r="J52" s="391"/>
      <c r="K52" s="391"/>
      <c r="L52" s="412"/>
      <c r="M52" s="412"/>
      <c r="N52" s="365"/>
      <c r="Q52" s="488">
        <f>E54*4.1</f>
        <v>114.59627588990824</v>
      </c>
      <c r="R52" s="489"/>
      <c r="S52" s="488">
        <f>G54*9</f>
        <v>194.50536935779814</v>
      </c>
      <c r="T52" s="489"/>
      <c r="U52" s="490">
        <f>I53*4.1</f>
        <v>405.6990149908255</v>
      </c>
      <c r="V52" s="491"/>
      <c r="W52" s="1">
        <f>Q52+S52+U52</f>
        <v>714.80066023853192</v>
      </c>
    </row>
    <row r="53" spans="1:23" ht="18.600000000000001" customHeight="1">
      <c r="A53" s="351" t="s">
        <v>77</v>
      </c>
      <c r="B53" s="352"/>
      <c r="C53" s="353"/>
      <c r="D53" s="126">
        <f>D51/D10</f>
        <v>715.11735596330254</v>
      </c>
      <c r="E53" s="244">
        <f>E51/D10</f>
        <v>14.317372477064222</v>
      </c>
      <c r="F53" s="245">
        <f>F51/D10</f>
        <v>13.63293871559633</v>
      </c>
      <c r="G53" s="244">
        <f>G51/D10</f>
        <v>15.29155596330275</v>
      </c>
      <c r="H53" s="246">
        <f>H51/D10</f>
        <v>6.3201517431192658</v>
      </c>
      <c r="I53" s="368">
        <f>I51/D10</f>
        <v>98.950979266055015</v>
      </c>
      <c r="J53" s="413">
        <f>J51/D10</f>
        <v>186.9235009174312</v>
      </c>
      <c r="K53" s="413">
        <f>K51/D10</f>
        <v>0.39442058715596329</v>
      </c>
      <c r="L53" s="412"/>
      <c r="M53" s="412"/>
      <c r="N53" s="365"/>
      <c r="P53" s="144"/>
      <c r="Q53" s="524">
        <f>Q52*100/W52</f>
        <v>16.031920822746162</v>
      </c>
      <c r="R53" s="524"/>
      <c r="S53" s="524">
        <f>S52*100/W52</f>
        <v>27.211134541046857</v>
      </c>
      <c r="T53" s="524"/>
      <c r="U53" s="520">
        <f>U52*100/W52</f>
        <v>56.756944636206981</v>
      </c>
      <c r="V53" s="521"/>
    </row>
    <row r="54" spans="1:23" ht="18.600000000000001" customHeight="1">
      <c r="A54" s="354"/>
      <c r="B54" s="355"/>
      <c r="C54" s="356"/>
      <c r="D54" s="117"/>
      <c r="E54" s="392">
        <f>E53+F53</f>
        <v>27.95031119266055</v>
      </c>
      <c r="F54" s="393"/>
      <c r="G54" s="392">
        <f>G53+H53</f>
        <v>21.611707706422017</v>
      </c>
      <c r="H54" s="393"/>
      <c r="I54" s="369"/>
      <c r="J54" s="414"/>
      <c r="K54" s="414"/>
      <c r="L54" s="412"/>
      <c r="M54" s="412"/>
      <c r="N54" s="365"/>
    </row>
    <row r="55" spans="1:23" ht="18.600000000000001" customHeight="1">
      <c r="A55" s="403" t="s">
        <v>80</v>
      </c>
      <c r="B55" s="404"/>
      <c r="C55" s="405"/>
      <c r="D55" s="166" t="s">
        <v>28</v>
      </c>
      <c r="E55" s="519" t="s">
        <v>21</v>
      </c>
      <c r="F55" s="519"/>
      <c r="G55" s="519" t="s">
        <v>22</v>
      </c>
      <c r="H55" s="519"/>
      <c r="I55" s="247" t="s">
        <v>23</v>
      </c>
      <c r="J55" s="248">
        <v>600</v>
      </c>
      <c r="K55" s="248">
        <v>0.7</v>
      </c>
      <c r="L55" s="412"/>
      <c r="M55" s="412"/>
      <c r="N55" s="365"/>
      <c r="O55" s="249"/>
    </row>
    <row r="56" spans="1:23" ht="18.600000000000001" customHeight="1">
      <c r="A56" s="348" t="s">
        <v>78</v>
      </c>
      <c r="B56" s="380"/>
      <c r="C56" s="349"/>
      <c r="D56" s="42"/>
      <c r="E56" s="381">
        <f>E54*4.1</f>
        <v>114.59627588990824</v>
      </c>
      <c r="F56" s="382"/>
      <c r="G56" s="381">
        <f>G54*9</f>
        <v>194.50536935779814</v>
      </c>
      <c r="H56" s="382"/>
      <c r="I56" s="74">
        <f>I53*4.1</f>
        <v>405.6990149908255</v>
      </c>
      <c r="J56" s="361"/>
      <c r="K56" s="361"/>
      <c r="L56" s="412"/>
      <c r="M56" s="412"/>
      <c r="N56" s="365"/>
      <c r="O56" s="249"/>
      <c r="P56" s="145">
        <f>E56+G56+I56</f>
        <v>714.80066023853192</v>
      </c>
      <c r="Q56" s="86" t="s">
        <v>91</v>
      </c>
      <c r="R56" s="85"/>
      <c r="S56" s="86" t="s">
        <v>92</v>
      </c>
      <c r="T56" s="85"/>
    </row>
    <row r="57" spans="1:23" ht="18.600000000000001" customHeight="1">
      <c r="A57" s="383" t="s">
        <v>81</v>
      </c>
      <c r="B57" s="384"/>
      <c r="C57" s="348" t="s">
        <v>59</v>
      </c>
      <c r="D57" s="349"/>
      <c r="E57" s="298">
        <f>E56*100/D53</f>
        <v>16.024820952015734</v>
      </c>
      <c r="F57" s="299"/>
      <c r="G57" s="298">
        <f>G56*100/D53</f>
        <v>27.199083861667528</v>
      </c>
      <c r="H57" s="299"/>
      <c r="I57" s="106">
        <f>I56*100/D53</f>
        <v>56.731809346778689</v>
      </c>
      <c r="J57" s="362"/>
      <c r="K57" s="362"/>
      <c r="L57" s="412"/>
      <c r="M57" s="412"/>
      <c r="N57" s="365"/>
      <c r="O57" s="249"/>
      <c r="Q57" s="87">
        <f>E53*100/E54</f>
        <v>51.224375923312827</v>
      </c>
      <c r="S57" s="87">
        <f>G53*100/G54</f>
        <v>70.755889219984198</v>
      </c>
    </row>
    <row r="58" spans="1:23" ht="18.600000000000001" customHeight="1">
      <c r="A58" s="385"/>
      <c r="B58" s="386"/>
      <c r="C58" s="296" t="s">
        <v>79</v>
      </c>
      <c r="D58" s="297"/>
      <c r="E58" s="296" t="s">
        <v>82</v>
      </c>
      <c r="F58" s="297"/>
      <c r="G58" s="296" t="s">
        <v>83</v>
      </c>
      <c r="H58" s="297"/>
      <c r="I58" s="166" t="s">
        <v>84</v>
      </c>
      <c r="J58" s="363"/>
      <c r="K58" s="363"/>
      <c r="L58" s="391"/>
      <c r="M58" s="391"/>
      <c r="N58" s="366"/>
      <c r="O58" s="249"/>
    </row>
    <row r="59" spans="1:23" ht="18.600000000000001" customHeight="1">
      <c r="A59" s="250"/>
      <c r="B59" s="251"/>
      <c r="C59" s="252"/>
      <c r="D59" s="252"/>
      <c r="E59" s="252"/>
      <c r="F59" s="252"/>
      <c r="G59" s="252"/>
      <c r="H59" s="252"/>
      <c r="I59" s="252"/>
      <c r="J59" s="250"/>
      <c r="K59" s="250"/>
      <c r="L59" s="253"/>
      <c r="M59" s="253"/>
      <c r="N59" s="254"/>
      <c r="O59" s="249"/>
      <c r="P59" s="143"/>
    </row>
    <row r="60" spans="1:23" ht="18.600000000000001" customHeight="1">
      <c r="A60" s="486" t="s">
        <v>116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  <c r="N60" s="486"/>
      <c r="O60" s="249"/>
    </row>
    <row r="61" spans="1:23" ht="18.600000000000001" customHeight="1">
      <c r="A61" s="255" t="s">
        <v>117</v>
      </c>
      <c r="B61" s="487" t="s">
        <v>118</v>
      </c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7"/>
      <c r="O61" s="249"/>
    </row>
    <row r="62" spans="1:23" ht="18.600000000000001" customHeight="1">
      <c r="A62" s="256"/>
      <c r="B62" s="481" t="s">
        <v>196</v>
      </c>
      <c r="C62" s="481"/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1"/>
      <c r="O62" s="249"/>
    </row>
    <row r="63" spans="1:23" ht="18.600000000000001" customHeight="1">
      <c r="A63" s="256"/>
      <c r="B63" s="481" t="s">
        <v>197</v>
      </c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249"/>
    </row>
    <row r="64" spans="1:23" ht="18.600000000000001" customHeight="1">
      <c r="A64" s="256"/>
      <c r="B64" s="481" t="s">
        <v>198</v>
      </c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249"/>
    </row>
    <row r="65" spans="1:15" ht="18.600000000000001" customHeight="1">
      <c r="A65" s="250"/>
      <c r="B65" s="482" t="s">
        <v>119</v>
      </c>
      <c r="C65" s="482"/>
      <c r="D65" s="482"/>
      <c r="E65" s="482"/>
      <c r="F65" s="482"/>
      <c r="G65" s="482"/>
      <c r="H65" s="482"/>
      <c r="I65" s="482"/>
      <c r="J65" s="482"/>
      <c r="K65" s="482"/>
      <c r="L65" s="482"/>
      <c r="M65" s="482"/>
      <c r="N65" s="482"/>
      <c r="O65" s="249"/>
    </row>
    <row r="66" spans="1:15" ht="18.600000000000001" customHeight="1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7"/>
      <c r="M66" s="257"/>
      <c r="N66" s="258"/>
      <c r="O66" s="249"/>
    </row>
    <row r="67" spans="1:15" ht="18.600000000000001" customHeight="1">
      <c r="A67" s="483" t="s">
        <v>62</v>
      </c>
      <c r="B67" s="483"/>
      <c r="C67" s="483"/>
      <c r="D67" s="483"/>
      <c r="E67" s="259"/>
      <c r="F67" s="259"/>
      <c r="G67" s="259"/>
      <c r="H67" s="259"/>
      <c r="I67" s="259"/>
      <c r="J67" s="484" t="s">
        <v>33</v>
      </c>
      <c r="K67" s="484"/>
      <c r="L67" s="484"/>
      <c r="M67" s="484"/>
      <c r="N67" s="484"/>
      <c r="O67" s="249"/>
    </row>
    <row r="68" spans="1:15" ht="18.600000000000001" customHeight="1">
      <c r="A68" s="260"/>
      <c r="B68" s="260"/>
      <c r="C68" s="260"/>
      <c r="D68" s="259"/>
      <c r="E68" s="259"/>
      <c r="F68" s="259"/>
      <c r="G68" s="259"/>
      <c r="H68" s="261"/>
      <c r="I68" s="261"/>
      <c r="J68" s="261"/>
      <c r="K68" s="261"/>
      <c r="L68" s="261"/>
      <c r="M68" s="261"/>
      <c r="N68" s="261"/>
      <c r="O68" s="249"/>
    </row>
    <row r="69" spans="1:15" ht="18.600000000000001" customHeight="1">
      <c r="A69" s="260"/>
      <c r="B69" s="260"/>
      <c r="C69" s="260"/>
      <c r="D69" s="259"/>
      <c r="E69" s="259"/>
      <c r="F69" s="259"/>
      <c r="G69" s="259"/>
      <c r="H69" s="261"/>
      <c r="I69" s="261"/>
      <c r="J69" s="261"/>
      <c r="K69" s="261"/>
      <c r="L69" s="261"/>
      <c r="M69" s="261"/>
      <c r="N69" s="261"/>
      <c r="O69" s="249"/>
    </row>
    <row r="70" spans="1:15" ht="18.600000000000001" customHeight="1">
      <c r="A70" s="260"/>
      <c r="B70" s="260"/>
      <c r="C70" s="260"/>
      <c r="D70" s="259"/>
      <c r="E70" s="259"/>
      <c r="F70" s="259"/>
      <c r="G70" s="259"/>
      <c r="H70" s="261"/>
      <c r="I70" s="261"/>
      <c r="J70" s="480" t="s">
        <v>126</v>
      </c>
      <c r="K70" s="480"/>
      <c r="L70" s="480"/>
      <c r="M70" s="480"/>
      <c r="N70" s="480"/>
      <c r="O70" s="249"/>
    </row>
    <row r="71" spans="1:15" ht="18.600000000000001" customHeight="1">
      <c r="A71" s="485" t="s">
        <v>93</v>
      </c>
      <c r="B71" s="485"/>
      <c r="C71" s="485"/>
      <c r="D71" s="485"/>
      <c r="E71" s="259"/>
      <c r="F71" s="259"/>
      <c r="G71" s="259"/>
      <c r="H71" s="261"/>
      <c r="I71" s="261"/>
      <c r="J71" s="480"/>
      <c r="K71" s="480"/>
      <c r="L71" s="480"/>
      <c r="M71" s="480"/>
      <c r="N71" s="480"/>
      <c r="O71" s="249"/>
    </row>
    <row r="72" spans="1:15" ht="18.600000000000001" customHeight="1">
      <c r="A72" s="260"/>
      <c r="B72" s="260"/>
      <c r="C72" s="260"/>
      <c r="D72" s="259"/>
      <c r="E72" s="259"/>
      <c r="F72" s="259"/>
      <c r="G72" s="259"/>
      <c r="H72" s="261"/>
      <c r="I72" s="261"/>
      <c r="J72" s="261"/>
      <c r="K72" s="261"/>
      <c r="L72" s="261"/>
      <c r="M72" s="261"/>
      <c r="N72" s="261"/>
      <c r="O72" s="249"/>
    </row>
    <row r="73" spans="1:15" ht="18.600000000000001" customHeight="1">
      <c r="A73" s="260"/>
      <c r="B73" s="260"/>
      <c r="C73" s="260"/>
      <c r="D73" s="259"/>
      <c r="E73" s="259"/>
      <c r="F73" s="259"/>
      <c r="G73" s="259"/>
      <c r="H73" s="261"/>
      <c r="I73" s="261"/>
      <c r="J73" s="480" t="s">
        <v>129</v>
      </c>
      <c r="K73" s="480"/>
      <c r="L73" s="480"/>
      <c r="M73" s="480"/>
      <c r="N73" s="480"/>
      <c r="O73" s="249"/>
    </row>
    <row r="74" spans="1:15" ht="18.600000000000001" customHeight="1">
      <c r="A74" s="260"/>
      <c r="B74" s="260"/>
      <c r="C74" s="260"/>
      <c r="D74" s="259"/>
      <c r="E74" s="259"/>
      <c r="F74" s="259"/>
      <c r="G74" s="259"/>
      <c r="H74" s="261"/>
      <c r="I74" s="261"/>
      <c r="J74" s="480"/>
      <c r="K74" s="480"/>
      <c r="L74" s="480"/>
      <c r="M74" s="480"/>
      <c r="N74" s="480"/>
      <c r="O74" s="249"/>
    </row>
    <row r="75" spans="1:15" ht="18.600000000000001" customHeight="1">
      <c r="A75" s="260"/>
      <c r="B75" s="260"/>
      <c r="C75" s="260"/>
      <c r="D75" s="259"/>
      <c r="E75" s="259"/>
      <c r="F75" s="259"/>
      <c r="G75" s="259"/>
      <c r="H75" s="261"/>
      <c r="I75" s="261"/>
      <c r="J75" s="261"/>
      <c r="K75" s="261"/>
      <c r="L75" s="261"/>
      <c r="M75" s="261"/>
      <c r="N75" s="261"/>
      <c r="O75" s="249"/>
    </row>
    <row r="76" spans="1:15" ht="18.600000000000001" customHeight="1">
      <c r="A76" s="260"/>
      <c r="B76" s="260"/>
      <c r="C76" s="260"/>
      <c r="D76" s="259"/>
      <c r="E76" s="259"/>
      <c r="F76" s="259"/>
      <c r="G76" s="259"/>
      <c r="H76" s="261"/>
      <c r="I76" s="261"/>
      <c r="J76" s="261"/>
      <c r="K76" s="261"/>
      <c r="L76" s="261"/>
      <c r="M76" s="261"/>
      <c r="N76" s="261"/>
      <c r="O76" s="249"/>
    </row>
    <row r="77" spans="1:15" ht="18.600000000000001" customHeight="1">
      <c r="A77" s="260"/>
      <c r="B77" s="260"/>
      <c r="C77" s="260"/>
      <c r="D77" s="259"/>
      <c r="E77" s="259"/>
      <c r="F77" s="259"/>
      <c r="G77" s="259"/>
      <c r="H77" s="261"/>
      <c r="I77" s="261"/>
      <c r="J77" s="261"/>
      <c r="K77" s="261"/>
      <c r="L77" s="261"/>
      <c r="M77" s="261"/>
      <c r="N77" s="261"/>
      <c r="O77" s="249"/>
    </row>
    <row r="78" spans="1:15" ht="18.600000000000001" customHeight="1">
      <c r="A78" s="260"/>
      <c r="B78" s="260"/>
      <c r="C78" s="260"/>
      <c r="D78" s="259"/>
      <c r="E78" s="259"/>
      <c r="F78" s="259"/>
      <c r="G78" s="259"/>
      <c r="H78" s="261"/>
      <c r="I78" s="261"/>
      <c r="J78" s="261"/>
      <c r="K78" s="261"/>
      <c r="L78" s="261"/>
      <c r="M78" s="261"/>
      <c r="N78" s="261"/>
      <c r="O78" s="249"/>
    </row>
    <row r="79" spans="1:15" ht="18.600000000000001" customHeight="1">
      <c r="A79" s="260"/>
      <c r="B79" s="260"/>
      <c r="C79" s="260"/>
      <c r="D79" s="259"/>
      <c r="E79" s="259"/>
      <c r="F79" s="259"/>
      <c r="G79" s="259"/>
      <c r="H79" s="261"/>
      <c r="I79" s="261"/>
      <c r="J79" s="261"/>
      <c r="K79" s="261"/>
      <c r="L79" s="261"/>
      <c r="M79" s="261"/>
      <c r="N79" s="261"/>
      <c r="O79" s="249"/>
    </row>
    <row r="80" spans="1:15" ht="18.600000000000001" customHeight="1">
      <c r="A80" s="260"/>
      <c r="B80" s="260"/>
      <c r="C80" s="260"/>
      <c r="D80" s="259"/>
      <c r="E80" s="259"/>
      <c r="F80" s="259"/>
      <c r="G80" s="259"/>
      <c r="H80" s="261"/>
      <c r="I80" s="261"/>
      <c r="J80" s="261"/>
      <c r="K80" s="261"/>
      <c r="L80" s="261"/>
      <c r="M80" s="261"/>
      <c r="N80" s="261"/>
      <c r="O80" s="249"/>
    </row>
    <row r="81" spans="1:20" ht="18.600000000000001" customHeight="1">
      <c r="A81" s="260"/>
      <c r="B81" s="260"/>
      <c r="C81" s="260"/>
      <c r="D81" s="259"/>
      <c r="E81" s="259"/>
      <c r="F81" s="259"/>
      <c r="G81" s="259"/>
      <c r="H81" s="261"/>
      <c r="I81" s="261"/>
      <c r="J81" s="261"/>
      <c r="K81" s="261"/>
      <c r="L81" s="261"/>
      <c r="M81" s="261"/>
      <c r="N81" s="261"/>
      <c r="O81" s="249"/>
    </row>
    <row r="82" spans="1:20" ht="18.600000000000001" customHeight="1">
      <c r="A82" s="260"/>
      <c r="B82" s="260"/>
      <c r="C82" s="260"/>
      <c r="D82" s="259"/>
      <c r="E82" s="259"/>
      <c r="F82" s="259"/>
      <c r="G82" s="259"/>
      <c r="H82" s="261"/>
      <c r="I82" s="261"/>
      <c r="J82" s="261"/>
      <c r="K82" s="261"/>
      <c r="L82" s="261"/>
      <c r="M82" s="261"/>
      <c r="N82" s="261"/>
      <c r="O82" s="249"/>
    </row>
    <row r="83" spans="1:20" ht="18.600000000000001" customHeight="1">
      <c r="A83" s="169" t="s">
        <v>61</v>
      </c>
      <c r="B83" s="170"/>
      <c r="C83" s="170"/>
      <c r="D83" s="170"/>
      <c r="E83" s="170"/>
      <c r="F83" s="401" t="s">
        <v>32</v>
      </c>
      <c r="G83" s="401"/>
      <c r="H83" s="401"/>
      <c r="I83" s="401"/>
      <c r="J83" s="401"/>
      <c r="K83" s="401"/>
      <c r="L83" s="401"/>
      <c r="M83" s="401"/>
      <c r="N83" s="401"/>
      <c r="O83" s="171"/>
      <c r="P83" s="171"/>
      <c r="T83" s="172"/>
    </row>
    <row r="84" spans="1:20" ht="18.600000000000001" customHeight="1">
      <c r="A84" s="169"/>
      <c r="B84" s="170"/>
      <c r="C84" s="170"/>
      <c r="D84" s="170"/>
      <c r="E84" s="170"/>
      <c r="F84" s="167"/>
      <c r="G84" s="167"/>
      <c r="H84" s="167"/>
      <c r="I84" s="167"/>
      <c r="J84" s="167"/>
      <c r="K84" s="167"/>
      <c r="L84" s="167"/>
      <c r="M84" s="167"/>
      <c r="N84" s="167"/>
      <c r="O84" s="171"/>
      <c r="P84" s="171"/>
      <c r="T84" s="172"/>
    </row>
    <row r="85" spans="1:20" ht="18.600000000000001" customHeight="1">
      <c r="A85" s="170" t="s">
        <v>212</v>
      </c>
      <c r="B85" s="170"/>
      <c r="C85" s="170"/>
      <c r="D85" s="170"/>
      <c r="E85" s="170"/>
      <c r="F85" s="167"/>
      <c r="G85" s="167"/>
      <c r="H85" s="167"/>
      <c r="I85" s="167"/>
      <c r="J85" s="167"/>
      <c r="K85" s="167"/>
      <c r="L85" s="167"/>
      <c r="M85" s="167"/>
      <c r="N85" s="167"/>
      <c r="O85" s="171"/>
      <c r="P85" s="171"/>
      <c r="T85" s="172"/>
    </row>
    <row r="86" spans="1:20" ht="18.600000000000001" customHeight="1">
      <c r="A86" s="170"/>
      <c r="B86" s="170"/>
      <c r="C86" s="170"/>
      <c r="D86" s="170"/>
      <c r="E86" s="170"/>
      <c r="F86" s="167"/>
      <c r="G86" s="167"/>
      <c r="H86" s="167"/>
      <c r="I86" s="167"/>
      <c r="J86" s="167"/>
      <c r="K86" s="167"/>
      <c r="L86" s="167"/>
      <c r="M86" s="167"/>
      <c r="N86" s="167"/>
      <c r="O86" s="171"/>
      <c r="P86" s="171"/>
      <c r="T86" s="172"/>
    </row>
    <row r="87" spans="1:20" s="172" customFormat="1" ht="18.600000000000001" customHeight="1">
      <c r="A87" s="518" t="s">
        <v>99</v>
      </c>
      <c r="B87" s="518"/>
      <c r="C87" s="518"/>
      <c r="D87" s="518"/>
      <c r="E87" s="518" t="s">
        <v>89</v>
      </c>
      <c r="F87" s="518"/>
      <c r="G87" s="518"/>
      <c r="H87" s="518"/>
      <c r="I87" s="518"/>
      <c r="J87" s="518"/>
      <c r="K87" s="518"/>
      <c r="L87" s="518"/>
      <c r="M87" s="518"/>
      <c r="N87" s="518"/>
      <c r="O87" s="173"/>
      <c r="P87" s="174"/>
    </row>
    <row r="88" spans="1:20" s="172" customFormat="1" ht="18.600000000000001" customHeight="1">
      <c r="A88" s="518"/>
      <c r="B88" s="518"/>
      <c r="C88" s="518"/>
      <c r="D88" s="518"/>
      <c r="E88" s="518" t="s">
        <v>102</v>
      </c>
      <c r="F88" s="518"/>
      <c r="G88" s="518"/>
      <c r="H88" s="518"/>
      <c r="I88" s="518"/>
      <c r="J88" s="518" t="s">
        <v>103</v>
      </c>
      <c r="K88" s="518"/>
      <c r="L88" s="518"/>
      <c r="M88" s="518"/>
      <c r="N88" s="518"/>
      <c r="O88" s="173"/>
      <c r="P88" s="174"/>
    </row>
    <row r="89" spans="1:20" s="172" customFormat="1" ht="18.600000000000001" customHeight="1">
      <c r="A89" s="514" t="s">
        <v>90</v>
      </c>
      <c r="B89" s="514"/>
      <c r="C89" s="514"/>
      <c r="D89" s="514"/>
      <c r="E89" s="515" t="s">
        <v>151</v>
      </c>
      <c r="F89" s="515"/>
      <c r="G89" s="515"/>
      <c r="H89" s="515"/>
      <c r="I89" s="515"/>
      <c r="J89" s="514" t="s">
        <v>90</v>
      </c>
      <c r="K89" s="514"/>
      <c r="L89" s="514"/>
      <c r="M89" s="514"/>
      <c r="N89" s="514"/>
      <c r="O89" s="173"/>
      <c r="P89" s="174"/>
    </row>
    <row r="90" spans="1:20" s="172" customFormat="1" ht="18.600000000000001" customHeight="1">
      <c r="A90" s="516" t="s">
        <v>136</v>
      </c>
      <c r="B90" s="516"/>
      <c r="C90" s="516"/>
      <c r="D90" s="516"/>
      <c r="E90" s="515"/>
      <c r="F90" s="515"/>
      <c r="G90" s="515"/>
      <c r="H90" s="515"/>
      <c r="I90" s="515"/>
      <c r="J90" s="516" t="s">
        <v>153</v>
      </c>
      <c r="K90" s="516"/>
      <c r="L90" s="516"/>
      <c r="M90" s="516"/>
      <c r="N90" s="516"/>
      <c r="O90" s="173"/>
      <c r="P90" s="174"/>
    </row>
    <row r="91" spans="1:20" s="172" customFormat="1" ht="18.600000000000001" customHeight="1">
      <c r="A91" s="517" t="s">
        <v>172</v>
      </c>
      <c r="B91" s="517"/>
      <c r="C91" s="517"/>
      <c r="D91" s="517"/>
      <c r="E91" s="515"/>
      <c r="F91" s="515"/>
      <c r="G91" s="515"/>
      <c r="H91" s="515"/>
      <c r="I91" s="515"/>
      <c r="J91" s="517" t="s">
        <v>97</v>
      </c>
      <c r="K91" s="517"/>
      <c r="L91" s="517"/>
      <c r="M91" s="517"/>
      <c r="N91" s="517"/>
      <c r="O91" s="173"/>
      <c r="P91" s="174"/>
    </row>
    <row r="92" spans="1:20" ht="18.600000000000001" customHeight="1">
      <c r="A92" s="511" t="s">
        <v>124</v>
      </c>
      <c r="B92" s="512"/>
      <c r="C92" s="513"/>
      <c r="D92" s="175">
        <v>20</v>
      </c>
      <c r="E92" s="170"/>
      <c r="F92" s="167"/>
      <c r="G92" s="167"/>
      <c r="H92" s="167"/>
      <c r="I92" s="167"/>
      <c r="J92" s="167"/>
      <c r="K92" s="167"/>
      <c r="L92" s="167"/>
      <c r="M92" s="167"/>
      <c r="N92" s="167"/>
      <c r="O92" s="171"/>
      <c r="P92" s="171"/>
      <c r="T92" s="172"/>
    </row>
    <row r="93" spans="1:20" ht="18.600000000000001" customHeight="1">
      <c r="A93" s="318" t="s">
        <v>0</v>
      </c>
      <c r="B93" s="321" t="s">
        <v>19</v>
      </c>
      <c r="C93" s="502" t="s">
        <v>8</v>
      </c>
      <c r="D93" s="502" t="s">
        <v>9</v>
      </c>
      <c r="E93" s="505" t="s">
        <v>11</v>
      </c>
      <c r="F93" s="506"/>
      <c r="G93" s="505" t="s">
        <v>13</v>
      </c>
      <c r="H93" s="506"/>
      <c r="I93" s="499" t="s">
        <v>16</v>
      </c>
      <c r="J93" s="499" t="s">
        <v>41</v>
      </c>
      <c r="K93" s="499" t="s">
        <v>42</v>
      </c>
      <c r="L93" s="499" t="s">
        <v>17</v>
      </c>
      <c r="M93" s="499" t="s">
        <v>40</v>
      </c>
      <c r="N93" s="318" t="s">
        <v>18</v>
      </c>
      <c r="O93" s="176"/>
    </row>
    <row r="94" spans="1:20" ht="18.600000000000001" customHeight="1">
      <c r="A94" s="319"/>
      <c r="B94" s="322"/>
      <c r="C94" s="503"/>
      <c r="D94" s="503"/>
      <c r="E94" s="507"/>
      <c r="F94" s="508"/>
      <c r="G94" s="507"/>
      <c r="H94" s="508"/>
      <c r="I94" s="500"/>
      <c r="J94" s="500"/>
      <c r="K94" s="500"/>
      <c r="L94" s="500"/>
      <c r="M94" s="500"/>
      <c r="N94" s="319"/>
      <c r="O94" s="177"/>
    </row>
    <row r="95" spans="1:20" ht="18.600000000000001" customHeight="1">
      <c r="A95" s="319"/>
      <c r="B95" s="322"/>
      <c r="C95" s="503"/>
      <c r="D95" s="503"/>
      <c r="E95" s="499" t="s">
        <v>10</v>
      </c>
      <c r="F95" s="499" t="s">
        <v>12</v>
      </c>
      <c r="G95" s="499" t="s">
        <v>14</v>
      </c>
      <c r="H95" s="499" t="s">
        <v>15</v>
      </c>
      <c r="I95" s="500"/>
      <c r="J95" s="500"/>
      <c r="K95" s="500"/>
      <c r="L95" s="500"/>
      <c r="M95" s="500"/>
      <c r="N95" s="319"/>
      <c r="O95" s="177"/>
    </row>
    <row r="96" spans="1:20" ht="18.600000000000001" customHeight="1">
      <c r="A96" s="320"/>
      <c r="B96" s="323"/>
      <c r="C96" s="504"/>
      <c r="D96" s="504"/>
      <c r="E96" s="501"/>
      <c r="F96" s="501"/>
      <c r="G96" s="501"/>
      <c r="H96" s="501"/>
      <c r="I96" s="501"/>
      <c r="J96" s="501"/>
      <c r="K96" s="501"/>
      <c r="L96" s="501"/>
      <c r="M96" s="501"/>
      <c r="N96" s="320"/>
      <c r="O96" s="177"/>
    </row>
    <row r="97" spans="1:23" ht="18.600000000000001" customHeight="1">
      <c r="A97" s="343" t="s">
        <v>39</v>
      </c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5"/>
      <c r="O97" s="177"/>
    </row>
    <row r="98" spans="1:23" ht="18.600000000000001" customHeight="1">
      <c r="A98" s="165">
        <v>1</v>
      </c>
      <c r="B98" s="206" t="s">
        <v>125</v>
      </c>
      <c r="C98" s="61"/>
      <c r="D98" s="127"/>
      <c r="E98" s="61"/>
      <c r="F98" s="61"/>
      <c r="G98" s="61"/>
      <c r="H98" s="61"/>
      <c r="I98" s="61"/>
      <c r="J98" s="61"/>
      <c r="K98" s="61"/>
      <c r="L98" s="61"/>
      <c r="M98" s="61"/>
      <c r="N98" s="194">
        <v>1390</v>
      </c>
      <c r="O98" s="262"/>
    </row>
    <row r="99" spans="1:23" s="172" customFormat="1" ht="18.600000000000001" customHeight="1">
      <c r="A99" s="187">
        <v>2</v>
      </c>
      <c r="B99" s="204" t="s">
        <v>2</v>
      </c>
      <c r="C99" s="189">
        <f>L99/100*100</f>
        <v>26</v>
      </c>
      <c r="D99" s="190">
        <f>C99/100*60</f>
        <v>15.600000000000001</v>
      </c>
      <c r="E99" s="191">
        <f>C99/100*15</f>
        <v>3.9000000000000004</v>
      </c>
      <c r="F99" s="191"/>
      <c r="G99" s="191"/>
      <c r="H99" s="191"/>
      <c r="I99" s="191"/>
      <c r="J99" s="192">
        <f>C99/100*387</f>
        <v>100.62</v>
      </c>
      <c r="K99" s="192">
        <f>C99/100*0.09</f>
        <v>2.3400000000000001E-2</v>
      </c>
      <c r="L99" s="122">
        <v>26</v>
      </c>
      <c r="M99" s="193">
        <v>20</v>
      </c>
      <c r="N99" s="194">
        <f>L99*M99</f>
        <v>520</v>
      </c>
      <c r="O99" s="186"/>
      <c r="P99" s="174"/>
    </row>
    <row r="100" spans="1:23" s="172" customFormat="1" ht="18.600000000000001" customHeight="1">
      <c r="A100" s="187">
        <v>3</v>
      </c>
      <c r="B100" s="227" t="s">
        <v>143</v>
      </c>
      <c r="C100" s="189">
        <f>L100/100*100</f>
        <v>160</v>
      </c>
      <c r="D100" s="190">
        <f>C100/100*899</f>
        <v>1438.4</v>
      </c>
      <c r="E100" s="191"/>
      <c r="F100" s="191"/>
      <c r="G100" s="191">
        <f>C100/100*100</f>
        <v>160</v>
      </c>
      <c r="H100" s="191"/>
      <c r="I100" s="191"/>
      <c r="J100" s="191"/>
      <c r="K100" s="191"/>
      <c r="L100" s="122">
        <v>160</v>
      </c>
      <c r="M100" s="190">
        <v>68</v>
      </c>
      <c r="N100" s="194">
        <f t="shared" ref="N100:N107" si="4">L100*M100</f>
        <v>10880</v>
      </c>
      <c r="O100" s="228"/>
      <c r="P100" s="174"/>
    </row>
    <row r="101" spans="1:23" s="172" customFormat="1" ht="18.600000000000001" customHeight="1">
      <c r="A101" s="187">
        <v>4</v>
      </c>
      <c r="B101" s="196" t="s">
        <v>1</v>
      </c>
      <c r="C101" s="189">
        <f>L101/100*100</f>
        <v>860</v>
      </c>
      <c r="D101" s="190">
        <f>C101/100*366</f>
        <v>3147.6</v>
      </c>
      <c r="E101" s="191"/>
      <c r="F101" s="191">
        <f>C101/100*7.9</f>
        <v>67.94</v>
      </c>
      <c r="G101" s="191"/>
      <c r="H101" s="191">
        <f>C101/100*1</f>
        <v>8.6</v>
      </c>
      <c r="I101" s="191">
        <f>C101/100*72.9</f>
        <v>626.94000000000005</v>
      </c>
      <c r="J101" s="192">
        <f>C101/100*30</f>
        <v>258</v>
      </c>
      <c r="K101" s="192">
        <f>C101/100*0.1</f>
        <v>0.86</v>
      </c>
      <c r="L101" s="122">
        <v>860</v>
      </c>
      <c r="M101" s="193">
        <v>18</v>
      </c>
      <c r="N101" s="194">
        <f t="shared" si="4"/>
        <v>15480</v>
      </c>
      <c r="O101" s="186" t="s">
        <v>162</v>
      </c>
      <c r="P101" s="174"/>
    </row>
    <row r="102" spans="1:23" s="172" customFormat="1" ht="18.600000000000001" customHeight="1">
      <c r="A102" s="187">
        <v>5</v>
      </c>
      <c r="B102" s="196" t="s">
        <v>95</v>
      </c>
      <c r="C102" s="189">
        <f>L102/100*81.7</f>
        <v>359.48</v>
      </c>
      <c r="D102" s="190">
        <f>C102/100*27</f>
        <v>97.059600000000003</v>
      </c>
      <c r="E102" s="199"/>
      <c r="F102" s="199">
        <f>C102/100*0.3</f>
        <v>1.0784400000000001</v>
      </c>
      <c r="G102" s="199"/>
      <c r="H102" s="199">
        <f>C102/100*0.1</f>
        <v>0.35948000000000002</v>
      </c>
      <c r="I102" s="199">
        <f>C102/100*6.1</f>
        <v>21.928280000000001</v>
      </c>
      <c r="J102" s="200">
        <f>C102/100*24</f>
        <v>86.275200000000012</v>
      </c>
      <c r="K102" s="200">
        <f>C102/100*0.06</f>
        <v>0.21568800000000002</v>
      </c>
      <c r="L102" s="123">
        <v>440</v>
      </c>
      <c r="M102" s="201">
        <v>22</v>
      </c>
      <c r="N102" s="194">
        <f t="shared" si="4"/>
        <v>9680</v>
      </c>
      <c r="O102" s="195"/>
      <c r="P102" s="174"/>
      <c r="Q102" s="202"/>
      <c r="R102" s="202"/>
      <c r="S102" s="203"/>
    </row>
    <row r="103" spans="1:23" s="172" customFormat="1" ht="18.600000000000001" customHeight="1">
      <c r="A103" s="187">
        <v>6</v>
      </c>
      <c r="B103" s="196" t="s">
        <v>4</v>
      </c>
      <c r="C103" s="189">
        <f>L103/100*98.5</f>
        <v>157.60000000000002</v>
      </c>
      <c r="D103" s="190">
        <f>C103/100*39</f>
        <v>61.464000000000013</v>
      </c>
      <c r="E103" s="199"/>
      <c r="F103" s="199">
        <f>C103/100*1.5</f>
        <v>2.3640000000000003</v>
      </c>
      <c r="G103" s="199"/>
      <c r="H103" s="199">
        <f>C103/100*0.2</f>
        <v>0.31520000000000009</v>
      </c>
      <c r="I103" s="199">
        <f>C103/100*7.8</f>
        <v>12.292800000000002</v>
      </c>
      <c r="J103" s="200">
        <f>C103/100*43</f>
        <v>67.768000000000015</v>
      </c>
      <c r="K103" s="200">
        <f>C103/100*0.06</f>
        <v>9.4560000000000019E-2</v>
      </c>
      <c r="L103" s="123">
        <v>160</v>
      </c>
      <c r="M103" s="201">
        <v>17</v>
      </c>
      <c r="N103" s="194">
        <f t="shared" si="4"/>
        <v>2720</v>
      </c>
      <c r="O103" s="195"/>
      <c r="P103" s="174"/>
      <c r="Q103" s="202"/>
      <c r="R103" s="202"/>
      <c r="S103" s="203"/>
    </row>
    <row r="104" spans="1:23" s="172" customFormat="1" ht="18.600000000000001" customHeight="1">
      <c r="A104" s="187">
        <v>7</v>
      </c>
      <c r="B104" s="196" t="s">
        <v>138</v>
      </c>
      <c r="C104" s="189">
        <f>L104/100*100</f>
        <v>16</v>
      </c>
      <c r="D104" s="190">
        <f>C104/100*247</f>
        <v>39.520000000000003</v>
      </c>
      <c r="E104" s="199"/>
      <c r="F104" s="199">
        <f>C104/100*17.5</f>
        <v>2.8000000000000003</v>
      </c>
      <c r="G104" s="199"/>
      <c r="H104" s="199">
        <f>C104/100*1.6</f>
        <v>0.25600000000000001</v>
      </c>
      <c r="I104" s="199">
        <f>C104/100*39.2</f>
        <v>6.2720000000000002</v>
      </c>
      <c r="J104" s="200"/>
      <c r="K104" s="200"/>
      <c r="L104" s="123">
        <v>16</v>
      </c>
      <c r="M104" s="193">
        <v>50</v>
      </c>
      <c r="N104" s="194">
        <f t="shared" si="4"/>
        <v>800</v>
      </c>
      <c r="O104" s="195"/>
      <c r="P104" s="174"/>
      <c r="Q104" s="202"/>
      <c r="R104" s="202"/>
      <c r="S104" s="203"/>
      <c r="T104" s="202"/>
    </row>
    <row r="105" spans="1:23" s="172" customFormat="1" ht="18.600000000000001" customHeight="1">
      <c r="A105" s="187">
        <v>8</v>
      </c>
      <c r="B105" s="204" t="s">
        <v>74</v>
      </c>
      <c r="C105" s="189">
        <f>L105/100*98</f>
        <v>156.80000000000001</v>
      </c>
      <c r="D105" s="190">
        <f>C105/100*139</f>
        <v>217.952</v>
      </c>
      <c r="E105" s="191">
        <f>C105/100*19</f>
        <v>29.792000000000002</v>
      </c>
      <c r="F105" s="191"/>
      <c r="G105" s="191">
        <f>C105/100*7</f>
        <v>10.976000000000001</v>
      </c>
      <c r="H105" s="191"/>
      <c r="I105" s="191"/>
      <c r="J105" s="191">
        <f>C105/100*7</f>
        <v>10.976000000000001</v>
      </c>
      <c r="K105" s="191">
        <f>C105/100*0.9</f>
        <v>1.4112</v>
      </c>
      <c r="L105" s="122">
        <v>160</v>
      </c>
      <c r="M105" s="193">
        <v>130</v>
      </c>
      <c r="N105" s="194">
        <f t="shared" si="4"/>
        <v>20800</v>
      </c>
      <c r="O105" s="195"/>
      <c r="P105" s="174"/>
    </row>
    <row r="106" spans="1:23" s="172" customFormat="1" ht="18.600000000000001" customHeight="1">
      <c r="A106" s="187">
        <v>9</v>
      </c>
      <c r="B106" s="227" t="s">
        <v>3</v>
      </c>
      <c r="C106" s="189">
        <f>L106/100*98</f>
        <v>617.4</v>
      </c>
      <c r="D106" s="190">
        <f>C106/100*118</f>
        <v>728.53199999999993</v>
      </c>
      <c r="E106" s="191">
        <f>C106/100*21</f>
        <v>129.654</v>
      </c>
      <c r="F106" s="191"/>
      <c r="G106" s="191">
        <f>C106/100*3.8</f>
        <v>23.461199999999998</v>
      </c>
      <c r="H106" s="191"/>
      <c r="I106" s="191"/>
      <c r="J106" s="191">
        <f>C106/100*12</f>
        <v>74.087999999999994</v>
      </c>
      <c r="K106" s="191">
        <f>C106/100*0.1</f>
        <v>0.61739999999999995</v>
      </c>
      <c r="L106" s="122">
        <v>630</v>
      </c>
      <c r="M106" s="193">
        <v>250</v>
      </c>
      <c r="N106" s="194">
        <f t="shared" si="4"/>
        <v>157500</v>
      </c>
      <c r="O106" s="195"/>
      <c r="P106" s="174"/>
    </row>
    <row r="107" spans="1:23" s="172" customFormat="1" ht="18.600000000000001" customHeight="1">
      <c r="A107" s="187">
        <v>10</v>
      </c>
      <c r="B107" s="196" t="s">
        <v>20</v>
      </c>
      <c r="C107" s="189">
        <f>L107/100*95</f>
        <v>190</v>
      </c>
      <c r="D107" s="190">
        <f>C107/100*20</f>
        <v>38</v>
      </c>
      <c r="E107" s="191"/>
      <c r="F107" s="191">
        <f>C107/100*0.6</f>
        <v>1.1399999999999999</v>
      </c>
      <c r="G107" s="191"/>
      <c r="H107" s="191">
        <f>C107/100*0.2</f>
        <v>0.38</v>
      </c>
      <c r="I107" s="191">
        <f>C107/100*4</f>
        <v>7.6</v>
      </c>
      <c r="J107" s="200">
        <f>C107/100*12</f>
        <v>22.799999999999997</v>
      </c>
      <c r="K107" s="200">
        <f>C107/100*0.04</f>
        <v>7.5999999999999998E-2</v>
      </c>
      <c r="L107" s="263">
        <v>200</v>
      </c>
      <c r="M107" s="193">
        <v>40</v>
      </c>
      <c r="N107" s="194">
        <f t="shared" si="4"/>
        <v>8000</v>
      </c>
      <c r="O107" s="195"/>
      <c r="P107" s="174"/>
      <c r="Q107" s="202"/>
      <c r="R107" s="202"/>
    </row>
    <row r="108" spans="1:23" s="172" customFormat="1" ht="18.600000000000001" customHeight="1">
      <c r="A108" s="207" t="s">
        <v>120</v>
      </c>
      <c r="B108" s="208"/>
      <c r="C108" s="209"/>
      <c r="D108" s="213">
        <f>SUM(D98:D107)</f>
        <v>5784.1276000000007</v>
      </c>
      <c r="E108" s="240"/>
      <c r="F108" s="240"/>
      <c r="G108" s="240"/>
      <c r="H108" s="240"/>
      <c r="I108" s="240"/>
      <c r="J108" s="240"/>
      <c r="K108" s="240"/>
      <c r="L108" s="241"/>
      <c r="M108" s="241"/>
      <c r="N108" s="493">
        <f>SUM(N98:N107)</f>
        <v>227770</v>
      </c>
      <c r="O108" s="195"/>
      <c r="P108" s="174"/>
    </row>
    <row r="109" spans="1:23" ht="18.600000000000001" customHeight="1">
      <c r="A109" s="207" t="s">
        <v>37</v>
      </c>
      <c r="B109" s="208"/>
      <c r="C109" s="39"/>
      <c r="D109" s="40">
        <f>D108/D92</f>
        <v>289.20638000000002</v>
      </c>
      <c r="E109" s="40"/>
      <c r="F109" s="40"/>
      <c r="G109" s="40"/>
      <c r="H109" s="40"/>
      <c r="I109" s="40"/>
      <c r="J109" s="40"/>
      <c r="K109" s="40"/>
      <c r="L109" s="38"/>
      <c r="M109" s="38"/>
      <c r="N109" s="494"/>
      <c r="O109" s="242"/>
      <c r="P109" s="174"/>
      <c r="Q109" s="172"/>
      <c r="R109" s="172"/>
      <c r="S109" s="172"/>
      <c r="T109" s="172"/>
      <c r="U109" s="172"/>
      <c r="V109" s="172"/>
    </row>
    <row r="110" spans="1:23" ht="18.600000000000001" customHeight="1">
      <c r="A110" s="495" t="s">
        <v>53</v>
      </c>
      <c r="B110" s="496"/>
      <c r="C110" s="214" t="s">
        <v>154</v>
      </c>
      <c r="D110" s="215" t="s">
        <v>45</v>
      </c>
      <c r="E110" s="40"/>
      <c r="F110" s="40"/>
      <c r="G110" s="40"/>
      <c r="H110" s="40"/>
      <c r="I110" s="40"/>
      <c r="J110" s="41"/>
      <c r="K110" s="41"/>
      <c r="L110" s="38"/>
      <c r="M110" s="38"/>
      <c r="N110" s="243"/>
      <c r="O110" s="242"/>
      <c r="P110" s="174"/>
      <c r="Q110" s="172"/>
      <c r="R110" s="172"/>
      <c r="S110" s="172"/>
      <c r="T110" s="172"/>
      <c r="U110" s="172"/>
      <c r="V110" s="172"/>
      <c r="W110" s="172"/>
    </row>
    <row r="111" spans="1:23" ht="18.600000000000001" customHeight="1">
      <c r="A111" s="497"/>
      <c r="B111" s="498"/>
      <c r="C111" s="217" t="s">
        <v>60</v>
      </c>
      <c r="D111" s="264">
        <f>D109*100/930</f>
        <v>31.097460215053765</v>
      </c>
      <c r="E111" s="40"/>
      <c r="F111" s="40"/>
      <c r="G111" s="40"/>
      <c r="H111" s="40"/>
      <c r="I111" s="40"/>
      <c r="J111" s="41"/>
      <c r="K111" s="41"/>
      <c r="L111" s="38"/>
      <c r="M111" s="38"/>
      <c r="N111" s="243"/>
      <c r="O111" s="242"/>
      <c r="P111" s="174"/>
      <c r="Q111" s="172"/>
      <c r="R111" s="172"/>
      <c r="S111" s="172"/>
      <c r="T111" s="172"/>
      <c r="U111" s="172"/>
      <c r="V111" s="172"/>
      <c r="W111" s="172"/>
    </row>
    <row r="112" spans="1:23" s="172" customFormat="1" ht="18.600000000000001" customHeight="1">
      <c r="A112" s="509" t="s">
        <v>38</v>
      </c>
      <c r="B112" s="509"/>
      <c r="C112" s="219"/>
      <c r="D112" s="220"/>
      <c r="E112" s="221"/>
      <c r="F112" s="221"/>
      <c r="G112" s="221"/>
      <c r="H112" s="221"/>
      <c r="I112" s="221"/>
      <c r="J112" s="221"/>
      <c r="K112" s="221"/>
      <c r="L112" s="222"/>
      <c r="M112" s="222"/>
      <c r="N112" s="265"/>
      <c r="O112" s="195"/>
      <c r="P112" s="174"/>
    </row>
    <row r="113" spans="1:23" s="172" customFormat="1" ht="18.600000000000001" customHeight="1">
      <c r="A113" s="266">
        <v>1</v>
      </c>
      <c r="B113" s="206" t="s">
        <v>125</v>
      </c>
      <c r="C113" s="267"/>
      <c r="D113" s="268"/>
      <c r="E113" s="269"/>
      <c r="F113" s="269"/>
      <c r="G113" s="269"/>
      <c r="H113" s="269"/>
      <c r="I113" s="269"/>
      <c r="J113" s="269"/>
      <c r="K113" s="269"/>
      <c r="L113" s="270"/>
      <c r="M113" s="270"/>
      <c r="N113" s="271">
        <v>1390</v>
      </c>
      <c r="O113" s="195"/>
      <c r="P113" s="174"/>
    </row>
    <row r="114" spans="1:23" s="172" customFormat="1" ht="18.600000000000001" customHeight="1">
      <c r="A114" s="187">
        <v>2</v>
      </c>
      <c r="B114" s="196" t="s">
        <v>1</v>
      </c>
      <c r="C114" s="189">
        <f>L114/100*100</f>
        <v>840</v>
      </c>
      <c r="D114" s="190">
        <f>C114/100*366</f>
        <v>3074.4</v>
      </c>
      <c r="E114" s="191"/>
      <c r="F114" s="191">
        <f>C114/100*7.9</f>
        <v>66.36</v>
      </c>
      <c r="G114" s="191"/>
      <c r="H114" s="191">
        <f>C114/100*1</f>
        <v>8.4</v>
      </c>
      <c r="I114" s="191">
        <f>C114/100*72.9</f>
        <v>612.36000000000013</v>
      </c>
      <c r="J114" s="192">
        <f>C114/100*30</f>
        <v>252</v>
      </c>
      <c r="K114" s="192">
        <f>C114/100*0.1</f>
        <v>0.84000000000000008</v>
      </c>
      <c r="L114" s="272">
        <v>840</v>
      </c>
      <c r="M114" s="193">
        <v>18</v>
      </c>
      <c r="N114" s="229">
        <f>L114*M114</f>
        <v>15120</v>
      </c>
      <c r="O114" s="186" t="s">
        <v>162</v>
      </c>
      <c r="P114" s="174"/>
    </row>
    <row r="115" spans="1:23" s="172" customFormat="1" ht="18.600000000000001" customHeight="1">
      <c r="A115" s="187">
        <v>3</v>
      </c>
      <c r="B115" s="204" t="s">
        <v>2</v>
      </c>
      <c r="C115" s="189">
        <f>L115/100*100</f>
        <v>24</v>
      </c>
      <c r="D115" s="190">
        <f>C115/100*60</f>
        <v>14.399999999999999</v>
      </c>
      <c r="E115" s="191">
        <f>C115/100*15</f>
        <v>3.5999999999999996</v>
      </c>
      <c r="F115" s="191"/>
      <c r="G115" s="191"/>
      <c r="H115" s="191"/>
      <c r="I115" s="191"/>
      <c r="J115" s="192">
        <f>C115/100*387</f>
        <v>92.88</v>
      </c>
      <c r="K115" s="192">
        <f>C115/100*0.09</f>
        <v>2.1599999999999998E-2</v>
      </c>
      <c r="L115" s="272">
        <v>24</v>
      </c>
      <c r="M115" s="193">
        <v>20</v>
      </c>
      <c r="N115" s="229">
        <f t="shared" ref="N115:N121" si="5">L115*M115</f>
        <v>480</v>
      </c>
      <c r="O115" s="186"/>
      <c r="P115" s="174"/>
    </row>
    <row r="116" spans="1:23" s="172" customFormat="1" ht="18.600000000000001" customHeight="1">
      <c r="A116" s="187">
        <v>4</v>
      </c>
      <c r="B116" s="227" t="s">
        <v>143</v>
      </c>
      <c r="C116" s="189">
        <f>L116/100*100</f>
        <v>40</v>
      </c>
      <c r="D116" s="190">
        <f>C116/100*900</f>
        <v>360</v>
      </c>
      <c r="E116" s="191"/>
      <c r="F116" s="191"/>
      <c r="G116" s="191">
        <f>C116/100*100</f>
        <v>40</v>
      </c>
      <c r="H116" s="191">
        <f>C116/100*100</f>
        <v>40</v>
      </c>
      <c r="I116" s="191"/>
      <c r="J116" s="192"/>
      <c r="K116" s="192"/>
      <c r="L116" s="272">
        <v>40</v>
      </c>
      <c r="M116" s="193">
        <v>68</v>
      </c>
      <c r="N116" s="229">
        <f t="shared" si="5"/>
        <v>2720</v>
      </c>
      <c r="O116" s="195"/>
      <c r="P116" s="174"/>
    </row>
    <row r="117" spans="1:23" s="172" customFormat="1" ht="18.600000000000001" customHeight="1">
      <c r="A117" s="187">
        <v>5</v>
      </c>
      <c r="B117" s="204" t="s">
        <v>141</v>
      </c>
      <c r="C117" s="189">
        <f>L117/100*100</f>
        <v>100</v>
      </c>
      <c r="D117" s="190">
        <f>C117/100*53</f>
        <v>53</v>
      </c>
      <c r="E117" s="191"/>
      <c r="F117" s="191">
        <f>C117/100*6.3</f>
        <v>6.3</v>
      </c>
      <c r="G117" s="191"/>
      <c r="H117" s="191">
        <f>C117/100*0.04</f>
        <v>0.04</v>
      </c>
      <c r="I117" s="191">
        <f>C117/100*6.8</f>
        <v>6.8</v>
      </c>
      <c r="J117" s="192">
        <f>C117/100*19</f>
        <v>19</v>
      </c>
      <c r="K117" s="192">
        <f>C117/100*0.03</f>
        <v>0.03</v>
      </c>
      <c r="L117" s="272">
        <v>100</v>
      </c>
      <c r="M117" s="193">
        <v>42.5</v>
      </c>
      <c r="N117" s="229">
        <f t="shared" si="5"/>
        <v>4250</v>
      </c>
      <c r="O117" s="186"/>
      <c r="P117" s="174"/>
    </row>
    <row r="118" spans="1:23" s="172" customFormat="1" ht="18.600000000000001" customHeight="1">
      <c r="A118" s="187">
        <v>6</v>
      </c>
      <c r="B118" s="196" t="s">
        <v>75</v>
      </c>
      <c r="C118" s="189">
        <f>L118/100*75</f>
        <v>360</v>
      </c>
      <c r="D118" s="190">
        <f>C118/100*12</f>
        <v>43.2</v>
      </c>
      <c r="E118" s="191">
        <f>C118/100*0.6</f>
        <v>2.16</v>
      </c>
      <c r="F118" s="191"/>
      <c r="G118" s="191"/>
      <c r="H118" s="191"/>
      <c r="I118" s="191">
        <f>C118/100*2.4</f>
        <v>8.64</v>
      </c>
      <c r="J118" s="192">
        <f>C118/100*26</f>
        <v>93.600000000000009</v>
      </c>
      <c r="K118" s="192">
        <f>C118/100*0.02</f>
        <v>7.2000000000000008E-2</v>
      </c>
      <c r="L118" s="272">
        <v>480</v>
      </c>
      <c r="M118" s="201">
        <v>30</v>
      </c>
      <c r="N118" s="229">
        <f t="shared" si="5"/>
        <v>14400</v>
      </c>
      <c r="O118" s="195"/>
      <c r="P118" s="174"/>
    </row>
    <row r="119" spans="1:23" s="172" customFormat="1" ht="18.600000000000001" customHeight="1">
      <c r="A119" s="187">
        <v>7</v>
      </c>
      <c r="B119" s="196" t="s">
        <v>4</v>
      </c>
      <c r="C119" s="189">
        <f>L119/100*98.5</f>
        <v>157.60000000000002</v>
      </c>
      <c r="D119" s="190">
        <f>C119/100*39</f>
        <v>61.464000000000013</v>
      </c>
      <c r="E119" s="199"/>
      <c r="F119" s="199">
        <f>C119/100*1.5</f>
        <v>2.3640000000000003</v>
      </c>
      <c r="G119" s="135"/>
      <c r="H119" s="199">
        <f>C119/100*0.2</f>
        <v>0.31520000000000009</v>
      </c>
      <c r="I119" s="199">
        <f>C119/100*7.8</f>
        <v>12.292800000000002</v>
      </c>
      <c r="J119" s="200">
        <f>C119/100*43</f>
        <v>67.768000000000015</v>
      </c>
      <c r="K119" s="200">
        <f>C119/100*0.06</f>
        <v>9.4560000000000019E-2</v>
      </c>
      <c r="L119" s="263">
        <v>160</v>
      </c>
      <c r="M119" s="201">
        <v>17</v>
      </c>
      <c r="N119" s="229">
        <f t="shared" si="5"/>
        <v>2720</v>
      </c>
      <c r="O119" s="195"/>
      <c r="P119" s="174"/>
      <c r="Q119" s="202"/>
      <c r="R119" s="202"/>
      <c r="S119" s="203"/>
    </row>
    <row r="120" spans="1:23" s="172" customFormat="1" ht="18.600000000000001" customHeight="1">
      <c r="A120" s="187">
        <v>8</v>
      </c>
      <c r="B120" s="204" t="s">
        <v>64</v>
      </c>
      <c r="C120" s="189">
        <f>L120/100*40</f>
        <v>520</v>
      </c>
      <c r="D120" s="190">
        <f>C120/100*276</f>
        <v>1435.2</v>
      </c>
      <c r="E120" s="191">
        <f>C120/100*17.8</f>
        <v>92.56</v>
      </c>
      <c r="F120" s="138"/>
      <c r="G120" s="191">
        <f>C120/100*21.8</f>
        <v>113.36000000000001</v>
      </c>
      <c r="H120" s="191"/>
      <c r="I120" s="191"/>
      <c r="J120" s="192">
        <f>C120/100*13</f>
        <v>67.600000000000009</v>
      </c>
      <c r="K120" s="192">
        <f>C120/100*0.07</f>
        <v>0.36400000000000005</v>
      </c>
      <c r="L120" s="272">
        <v>1300</v>
      </c>
      <c r="M120" s="193">
        <v>63</v>
      </c>
      <c r="N120" s="229">
        <f t="shared" si="5"/>
        <v>81900</v>
      </c>
      <c r="O120" s="195"/>
      <c r="P120" s="174"/>
    </row>
    <row r="121" spans="1:23" s="172" customFormat="1" ht="18.600000000000001" customHeight="1">
      <c r="A121" s="187">
        <v>9</v>
      </c>
      <c r="B121" s="196" t="s">
        <v>138</v>
      </c>
      <c r="C121" s="189">
        <f>L121/100*100</f>
        <v>16</v>
      </c>
      <c r="D121" s="190">
        <f>C121/100*247</f>
        <v>39.520000000000003</v>
      </c>
      <c r="E121" s="199"/>
      <c r="F121" s="199">
        <f>C121/100*17.5</f>
        <v>2.8000000000000003</v>
      </c>
      <c r="G121" s="199"/>
      <c r="H121" s="199">
        <f>C121/100*1.6</f>
        <v>0.25600000000000001</v>
      </c>
      <c r="I121" s="199">
        <f>C121/100*39.2</f>
        <v>6.2720000000000002</v>
      </c>
      <c r="J121" s="200"/>
      <c r="K121" s="200"/>
      <c r="L121" s="123">
        <v>16</v>
      </c>
      <c r="M121" s="193">
        <v>50</v>
      </c>
      <c r="N121" s="194">
        <f t="shared" si="5"/>
        <v>800</v>
      </c>
      <c r="O121" s="195"/>
      <c r="P121" s="174"/>
      <c r="Q121" s="202"/>
      <c r="R121" s="202"/>
      <c r="S121" s="203"/>
      <c r="T121" s="202"/>
    </row>
    <row r="122" spans="1:23" s="172" customFormat="1" ht="18.600000000000001" customHeight="1">
      <c r="A122" s="207" t="s">
        <v>121</v>
      </c>
      <c r="B122" s="208"/>
      <c r="C122" s="209"/>
      <c r="D122" s="213">
        <f>SUM(D113:D121)</f>
        <v>5081.1840000000002</v>
      </c>
      <c r="E122" s="240"/>
      <c r="F122" s="240"/>
      <c r="G122" s="240"/>
      <c r="H122" s="240"/>
      <c r="I122" s="240"/>
      <c r="J122" s="240"/>
      <c r="K122" s="240"/>
      <c r="L122" s="241"/>
      <c r="M122" s="241"/>
      <c r="N122" s="493">
        <f>SUM(N113:N121)</f>
        <v>123780</v>
      </c>
      <c r="O122" s="195"/>
      <c r="P122" s="174"/>
    </row>
    <row r="123" spans="1:23" ht="18.600000000000001" customHeight="1">
      <c r="A123" s="207" t="s">
        <v>36</v>
      </c>
      <c r="B123" s="208"/>
      <c r="C123" s="52"/>
      <c r="D123" s="41">
        <f>D122/D92</f>
        <v>254.0592</v>
      </c>
      <c r="E123" s="41"/>
      <c r="F123" s="41"/>
      <c r="G123" s="41"/>
      <c r="H123" s="41"/>
      <c r="I123" s="41"/>
      <c r="J123" s="41"/>
      <c r="K123" s="41"/>
      <c r="L123" s="53"/>
      <c r="M123" s="38"/>
      <c r="N123" s="510"/>
      <c r="O123" s="242"/>
      <c r="P123" s="174"/>
      <c r="Q123" s="172"/>
      <c r="R123" s="172"/>
      <c r="S123" s="172"/>
      <c r="T123" s="172"/>
      <c r="U123" s="172"/>
      <c r="V123" s="172"/>
    </row>
    <row r="124" spans="1:23" ht="18.600000000000001" customHeight="1">
      <c r="A124" s="495" t="s">
        <v>54</v>
      </c>
      <c r="B124" s="496"/>
      <c r="C124" s="214" t="s">
        <v>154</v>
      </c>
      <c r="D124" s="215" t="s">
        <v>46</v>
      </c>
      <c r="E124" s="40"/>
      <c r="F124" s="40"/>
      <c r="G124" s="40"/>
      <c r="H124" s="40"/>
      <c r="I124" s="40"/>
      <c r="J124" s="41"/>
      <c r="K124" s="41"/>
      <c r="L124" s="38"/>
      <c r="M124" s="38"/>
      <c r="N124" s="243"/>
      <c r="O124" s="242"/>
      <c r="P124" s="174"/>
      <c r="Q124" s="172"/>
      <c r="R124" s="172"/>
      <c r="S124" s="172"/>
      <c r="T124" s="172"/>
      <c r="U124" s="172"/>
      <c r="V124" s="172"/>
      <c r="W124" s="172"/>
    </row>
    <row r="125" spans="1:23" ht="18.600000000000001" customHeight="1">
      <c r="A125" s="497"/>
      <c r="B125" s="498"/>
      <c r="C125" s="217" t="s">
        <v>60</v>
      </c>
      <c r="D125" s="264">
        <f>D123*100/930</f>
        <v>27.3181935483871</v>
      </c>
      <c r="E125" s="141"/>
      <c r="F125" s="40"/>
      <c r="G125" s="40"/>
      <c r="H125" s="141">
        <v>13</v>
      </c>
      <c r="I125" s="40"/>
      <c r="J125" s="41"/>
      <c r="K125" s="41"/>
      <c r="L125" s="38"/>
      <c r="M125" s="38"/>
      <c r="N125" s="243"/>
      <c r="O125" s="242"/>
      <c r="P125" s="174"/>
      <c r="Q125" s="172"/>
      <c r="R125" s="172"/>
      <c r="S125" s="172"/>
      <c r="T125" s="172"/>
      <c r="U125" s="172"/>
      <c r="V125" s="172"/>
      <c r="W125" s="172"/>
    </row>
    <row r="126" spans="1:23" ht="18.600000000000001" customHeight="1">
      <c r="A126" s="509" t="s">
        <v>35</v>
      </c>
      <c r="B126" s="509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273"/>
      <c r="O126" s="242"/>
      <c r="P126" s="174"/>
      <c r="Q126" s="172"/>
      <c r="R126" s="172"/>
      <c r="S126" s="172"/>
      <c r="T126" s="172"/>
      <c r="U126" s="172"/>
      <c r="V126" s="172"/>
    </row>
    <row r="127" spans="1:23" s="172" customFormat="1" ht="18.600000000000001" customHeight="1">
      <c r="A127" s="230">
        <v>1</v>
      </c>
      <c r="B127" s="231" t="s">
        <v>152</v>
      </c>
      <c r="C127" s="232">
        <f>L127/100*100</f>
        <v>340</v>
      </c>
      <c r="D127" s="233">
        <f>C127/100*487</f>
        <v>1655.8</v>
      </c>
      <c r="E127" s="234"/>
      <c r="F127" s="234">
        <f>C127/100*19.5</f>
        <v>66.3</v>
      </c>
      <c r="G127" s="234"/>
      <c r="H127" s="234">
        <f>C127/100*23.2</f>
        <v>78.88</v>
      </c>
      <c r="I127" s="234">
        <f>C127/100*46</f>
        <v>156.4</v>
      </c>
      <c r="J127" s="235">
        <f>C127/100*680</f>
        <v>2312</v>
      </c>
      <c r="K127" s="234">
        <f>C127/100*0.55</f>
        <v>1.87</v>
      </c>
      <c r="L127" s="236">
        <v>340</v>
      </c>
      <c r="M127" s="237">
        <v>260</v>
      </c>
      <c r="N127" s="238">
        <f t="shared" ref="N127" si="6">L127*M127</f>
        <v>88400</v>
      </c>
      <c r="O127" s="195"/>
      <c r="P127" s="239"/>
    </row>
    <row r="128" spans="1:23" ht="18.600000000000001" customHeight="1">
      <c r="A128" s="318" t="s">
        <v>0</v>
      </c>
      <c r="B128" s="321" t="s">
        <v>19</v>
      </c>
      <c r="C128" s="502" t="s">
        <v>8</v>
      </c>
      <c r="D128" s="502" t="s">
        <v>9</v>
      </c>
      <c r="E128" s="505" t="s">
        <v>11</v>
      </c>
      <c r="F128" s="506"/>
      <c r="G128" s="505" t="s">
        <v>13</v>
      </c>
      <c r="H128" s="506"/>
      <c r="I128" s="499" t="s">
        <v>16</v>
      </c>
      <c r="J128" s="499" t="s">
        <v>41</v>
      </c>
      <c r="K128" s="499" t="s">
        <v>42</v>
      </c>
      <c r="L128" s="499" t="s">
        <v>17</v>
      </c>
      <c r="M128" s="499" t="s">
        <v>40</v>
      </c>
      <c r="N128" s="318" t="s">
        <v>18</v>
      </c>
      <c r="O128" s="176"/>
    </row>
    <row r="129" spans="1:23" ht="18.600000000000001" customHeight="1">
      <c r="A129" s="319"/>
      <c r="B129" s="322"/>
      <c r="C129" s="503"/>
      <c r="D129" s="503"/>
      <c r="E129" s="507"/>
      <c r="F129" s="508"/>
      <c r="G129" s="507"/>
      <c r="H129" s="508"/>
      <c r="I129" s="500"/>
      <c r="J129" s="500"/>
      <c r="K129" s="500"/>
      <c r="L129" s="500"/>
      <c r="M129" s="500"/>
      <c r="N129" s="319"/>
      <c r="O129" s="177"/>
    </row>
    <row r="130" spans="1:23" ht="18.600000000000001" customHeight="1">
      <c r="A130" s="319"/>
      <c r="B130" s="322"/>
      <c r="C130" s="503"/>
      <c r="D130" s="503"/>
      <c r="E130" s="499" t="s">
        <v>10</v>
      </c>
      <c r="F130" s="499" t="s">
        <v>12</v>
      </c>
      <c r="G130" s="499" t="s">
        <v>14</v>
      </c>
      <c r="H130" s="499" t="s">
        <v>15</v>
      </c>
      <c r="I130" s="500"/>
      <c r="J130" s="500"/>
      <c r="K130" s="500"/>
      <c r="L130" s="500"/>
      <c r="M130" s="500"/>
      <c r="N130" s="319"/>
      <c r="O130" s="177"/>
    </row>
    <row r="131" spans="1:23" ht="18.600000000000001" customHeight="1">
      <c r="A131" s="320"/>
      <c r="B131" s="323"/>
      <c r="C131" s="504"/>
      <c r="D131" s="504"/>
      <c r="E131" s="501"/>
      <c r="F131" s="501"/>
      <c r="G131" s="501"/>
      <c r="H131" s="501"/>
      <c r="I131" s="501"/>
      <c r="J131" s="501"/>
      <c r="K131" s="501"/>
      <c r="L131" s="501"/>
      <c r="M131" s="501"/>
      <c r="N131" s="320"/>
      <c r="O131" s="177"/>
    </row>
    <row r="132" spans="1:23" s="172" customFormat="1" ht="18.600000000000001" customHeight="1">
      <c r="A132" s="207" t="s">
        <v>108</v>
      </c>
      <c r="B132" s="208"/>
      <c r="C132" s="209"/>
      <c r="D132" s="213">
        <f>SUM(D126:D127)</f>
        <v>1655.8</v>
      </c>
      <c r="E132" s="240"/>
      <c r="F132" s="240"/>
      <c r="G132" s="240"/>
      <c r="H132" s="240"/>
      <c r="I132" s="240"/>
      <c r="J132" s="240"/>
      <c r="K132" s="240"/>
      <c r="L132" s="241"/>
      <c r="M132" s="241"/>
      <c r="N132" s="493">
        <f>SUM(N126:N127)</f>
        <v>88400</v>
      </c>
      <c r="O132" s="195"/>
      <c r="P132" s="174"/>
    </row>
    <row r="133" spans="1:23" ht="18.600000000000001" customHeight="1">
      <c r="A133" s="207" t="s">
        <v>7</v>
      </c>
      <c r="B133" s="208"/>
      <c r="C133" s="39"/>
      <c r="D133" s="40">
        <f>D132/D92</f>
        <v>82.789999999999992</v>
      </c>
      <c r="E133" s="40"/>
      <c r="F133" s="40"/>
      <c r="G133" s="40"/>
      <c r="H133" s="40"/>
      <c r="I133" s="40"/>
      <c r="J133" s="40"/>
      <c r="K133" s="40"/>
      <c r="L133" s="38"/>
      <c r="M133" s="38"/>
      <c r="N133" s="494"/>
      <c r="O133" s="242"/>
      <c r="P133" s="174"/>
      <c r="Q133" s="172"/>
      <c r="R133" s="172"/>
      <c r="S133" s="172"/>
      <c r="T133" s="172"/>
      <c r="U133" s="172"/>
      <c r="V133" s="172"/>
    </row>
    <row r="134" spans="1:23" ht="18.600000000000001" customHeight="1">
      <c r="A134" s="495" t="s">
        <v>52</v>
      </c>
      <c r="B134" s="496"/>
      <c r="C134" s="214" t="s">
        <v>154</v>
      </c>
      <c r="D134" s="218" t="s">
        <v>50</v>
      </c>
      <c r="E134" s="40"/>
      <c r="F134" s="40"/>
      <c r="G134" s="40"/>
      <c r="H134" s="40"/>
      <c r="I134" s="40"/>
      <c r="J134" s="41"/>
      <c r="K134" s="41"/>
      <c r="L134" s="38"/>
      <c r="M134" s="38"/>
      <c r="N134" s="243"/>
      <c r="O134" s="242"/>
      <c r="P134" s="174"/>
      <c r="Q134" s="172"/>
      <c r="R134" s="172"/>
      <c r="S134" s="172"/>
      <c r="T134" s="172"/>
      <c r="U134" s="172"/>
      <c r="V134" s="172"/>
      <c r="W134" s="172"/>
    </row>
    <row r="135" spans="1:23" ht="18.600000000000001" customHeight="1">
      <c r="A135" s="497"/>
      <c r="B135" s="498"/>
      <c r="C135" s="217" t="s">
        <v>60</v>
      </c>
      <c r="D135" s="218">
        <f>D133*100/930</f>
        <v>8.9021505376344088</v>
      </c>
      <c r="E135" s="40"/>
      <c r="F135" s="40"/>
      <c r="G135" s="40"/>
      <c r="H135" s="40"/>
      <c r="I135" s="40"/>
      <c r="J135" s="41"/>
      <c r="K135" s="41"/>
      <c r="L135" s="38"/>
      <c r="M135" s="38"/>
      <c r="N135" s="243"/>
      <c r="O135" s="242"/>
      <c r="P135" s="174"/>
      <c r="Q135" s="172"/>
      <c r="R135" s="172"/>
      <c r="S135" s="172"/>
      <c r="T135" s="172"/>
      <c r="U135" s="172"/>
      <c r="V135" s="172"/>
      <c r="W135" s="172"/>
    </row>
    <row r="136" spans="1:23" ht="18.600000000000001" customHeight="1">
      <c r="A136" s="394" t="s">
        <v>109</v>
      </c>
      <c r="B136" s="395"/>
      <c r="C136" s="398"/>
      <c r="D136" s="415">
        <f>D108+D122+D132</f>
        <v>12521.1116</v>
      </c>
      <c r="E136" s="6">
        <f>SUM(E99:E126)</f>
        <v>261.666</v>
      </c>
      <c r="F136" s="6">
        <f>SUM(F98:F127)</f>
        <v>219.44644</v>
      </c>
      <c r="G136" s="6">
        <f t="shared" ref="G136" si="7">SUM(G99:G126)</f>
        <v>347.79719999999998</v>
      </c>
      <c r="H136" s="6">
        <f>SUM(H98:H127)</f>
        <v>150.80187999999998</v>
      </c>
      <c r="I136" s="390">
        <f>SUM(I98:I127)</f>
        <v>1477.7978800000003</v>
      </c>
      <c r="J136" s="390">
        <f>SUM(J98:J127)</f>
        <v>3525.3751999999999</v>
      </c>
      <c r="K136" s="390">
        <f>SUM(K98:K127)</f>
        <v>6.5904080000000009</v>
      </c>
      <c r="L136" s="373"/>
      <c r="M136" s="373"/>
      <c r="N136" s="492">
        <f>N108+N122+N132</f>
        <v>439950</v>
      </c>
      <c r="U136" s="274"/>
      <c r="V136" s="274"/>
    </row>
    <row r="137" spans="1:23" ht="18.600000000000001" customHeight="1">
      <c r="A137" s="396"/>
      <c r="B137" s="397"/>
      <c r="C137" s="399"/>
      <c r="D137" s="416"/>
      <c r="E137" s="408">
        <f>E136+F136</f>
        <v>481.11243999999999</v>
      </c>
      <c r="F137" s="409"/>
      <c r="G137" s="408">
        <f>G136+H136</f>
        <v>498.59907999999996</v>
      </c>
      <c r="H137" s="409"/>
      <c r="I137" s="391"/>
      <c r="J137" s="391"/>
      <c r="K137" s="391"/>
      <c r="L137" s="373"/>
      <c r="M137" s="373"/>
      <c r="N137" s="492"/>
      <c r="U137" s="11"/>
      <c r="V137" s="11"/>
    </row>
    <row r="138" spans="1:23" ht="18.600000000000001" customHeight="1">
      <c r="A138" s="374" t="s">
        <v>77</v>
      </c>
      <c r="B138" s="375"/>
      <c r="C138" s="376"/>
      <c r="D138" s="275">
        <f>D136/D92</f>
        <v>626.05557999999996</v>
      </c>
      <c r="E138" s="276">
        <f>E136/D92</f>
        <v>13.083299999999999</v>
      </c>
      <c r="F138" s="246">
        <f>F136/D92</f>
        <v>10.972322</v>
      </c>
      <c r="G138" s="276">
        <f>G136/D92</f>
        <v>17.389859999999999</v>
      </c>
      <c r="H138" s="246">
        <f>H136/D92</f>
        <v>7.540093999999999</v>
      </c>
      <c r="I138" s="413">
        <f>I136/D92</f>
        <v>73.889894000000012</v>
      </c>
      <c r="J138" s="413">
        <f>J136/D92</f>
        <v>176.26875999999999</v>
      </c>
      <c r="K138" s="413">
        <f>K136/D92</f>
        <v>0.32952040000000005</v>
      </c>
      <c r="L138" s="373"/>
      <c r="M138" s="373"/>
      <c r="N138" s="492"/>
      <c r="Q138" s="488">
        <f>E139*4</f>
        <v>96.222487999999998</v>
      </c>
      <c r="R138" s="489"/>
      <c r="S138" s="488">
        <f>G139*9</f>
        <v>224.369586</v>
      </c>
      <c r="T138" s="489"/>
      <c r="U138" s="490">
        <f>I138*4</f>
        <v>295.55957600000005</v>
      </c>
      <c r="V138" s="491"/>
      <c r="W138" s="1">
        <f>Q138+S138+U138</f>
        <v>616.15165000000002</v>
      </c>
    </row>
    <row r="139" spans="1:23" ht="18.600000000000001" customHeight="1">
      <c r="A139" s="377"/>
      <c r="B139" s="378"/>
      <c r="C139" s="379"/>
      <c r="D139" s="117"/>
      <c r="E139" s="392">
        <f>E138+F138</f>
        <v>24.055622</v>
      </c>
      <c r="F139" s="393"/>
      <c r="G139" s="392">
        <f>G138+H138</f>
        <v>24.929953999999999</v>
      </c>
      <c r="H139" s="393"/>
      <c r="I139" s="414"/>
      <c r="J139" s="414"/>
      <c r="K139" s="414"/>
      <c r="L139" s="373"/>
      <c r="M139" s="373"/>
      <c r="N139" s="492"/>
      <c r="P139" s="144"/>
      <c r="Q139" s="418">
        <f>Q138*100/W138</f>
        <v>15.616689170596231</v>
      </c>
      <c r="R139" s="418"/>
      <c r="S139" s="419">
        <f>S138*100/W138</f>
        <v>36.41466934317225</v>
      </c>
      <c r="T139" s="419"/>
      <c r="U139" s="370">
        <f>U138*100/W138</f>
        <v>47.968641486231519</v>
      </c>
      <c r="V139" s="371"/>
    </row>
    <row r="140" spans="1:23" ht="18.600000000000001" customHeight="1">
      <c r="A140" s="403" t="s">
        <v>80</v>
      </c>
      <c r="B140" s="404"/>
      <c r="C140" s="405"/>
      <c r="D140" s="166" t="s">
        <v>29</v>
      </c>
      <c r="E140" s="389" t="s">
        <v>24</v>
      </c>
      <c r="F140" s="389"/>
      <c r="G140" s="389" t="s">
        <v>25</v>
      </c>
      <c r="H140" s="389"/>
      <c r="I140" s="166" t="s">
        <v>26</v>
      </c>
      <c r="J140" s="59">
        <v>500</v>
      </c>
      <c r="K140" s="59">
        <v>0.5</v>
      </c>
      <c r="L140" s="373"/>
      <c r="M140" s="373"/>
      <c r="N140" s="492"/>
      <c r="O140" s="249"/>
      <c r="Q140" s="86" t="s">
        <v>92</v>
      </c>
      <c r="R140" s="85"/>
      <c r="S140" s="86" t="s">
        <v>91</v>
      </c>
      <c r="T140" s="85"/>
    </row>
    <row r="141" spans="1:23" ht="18.600000000000001" customHeight="1">
      <c r="A141" s="348" t="s">
        <v>78</v>
      </c>
      <c r="B141" s="380"/>
      <c r="C141" s="349"/>
      <c r="D141" s="42"/>
      <c r="E141" s="381">
        <f>E139*4.1</f>
        <v>98.62805019999999</v>
      </c>
      <c r="F141" s="382"/>
      <c r="G141" s="381">
        <f>G139*9</f>
        <v>224.369586</v>
      </c>
      <c r="H141" s="382"/>
      <c r="I141" s="74">
        <f>I138*4.1</f>
        <v>302.94856540000001</v>
      </c>
      <c r="J141" s="361"/>
      <c r="K141" s="361"/>
      <c r="L141" s="373"/>
      <c r="M141" s="373"/>
      <c r="N141" s="492"/>
      <c r="O141" s="249"/>
      <c r="P141" s="145">
        <f>E141+G141+I141</f>
        <v>625.94620159999999</v>
      </c>
      <c r="Q141" s="87">
        <f>G138*100/G139</f>
        <v>69.754882018635087</v>
      </c>
      <c r="S141" s="87">
        <f>E138*100/E139</f>
        <v>54.38770196837978</v>
      </c>
    </row>
    <row r="142" spans="1:23" ht="18.600000000000001" customHeight="1">
      <c r="A142" s="383" t="s">
        <v>87</v>
      </c>
      <c r="B142" s="384"/>
      <c r="C142" s="348" t="s">
        <v>59</v>
      </c>
      <c r="D142" s="349"/>
      <c r="E142" s="298">
        <f>E141*100/D138</f>
        <v>15.753880861504342</v>
      </c>
      <c r="F142" s="299"/>
      <c r="G142" s="298">
        <f>G141*100/D138</f>
        <v>35.838604936641566</v>
      </c>
      <c r="H142" s="299"/>
      <c r="I142" s="106">
        <f>I141*100/D138</f>
        <v>48.390043165177126</v>
      </c>
      <c r="J142" s="362"/>
      <c r="K142" s="362"/>
      <c r="L142" s="373"/>
      <c r="M142" s="373"/>
      <c r="N142" s="492"/>
      <c r="O142" s="249"/>
    </row>
    <row r="143" spans="1:23" ht="18.600000000000001" customHeight="1">
      <c r="A143" s="385"/>
      <c r="B143" s="386"/>
      <c r="C143" s="296" t="s">
        <v>79</v>
      </c>
      <c r="D143" s="297"/>
      <c r="E143" s="296" t="s">
        <v>82</v>
      </c>
      <c r="F143" s="297"/>
      <c r="G143" s="296" t="s">
        <v>85</v>
      </c>
      <c r="H143" s="297"/>
      <c r="I143" s="166" t="s">
        <v>86</v>
      </c>
      <c r="J143" s="363"/>
      <c r="K143" s="363"/>
      <c r="L143" s="373"/>
      <c r="M143" s="373"/>
      <c r="N143" s="492"/>
      <c r="O143" s="249"/>
      <c r="P143" s="143">
        <f>D138-P141</f>
        <v>0.10937839999996868</v>
      </c>
      <c r="Q143" s="1">
        <f>P143*D92</f>
        <v>2.1875679999993736</v>
      </c>
    </row>
    <row r="144" spans="1:23" ht="18.600000000000001" customHeight="1">
      <c r="A144" s="250"/>
      <c r="B144" s="251"/>
      <c r="C144" s="252"/>
      <c r="D144" s="252"/>
      <c r="E144" s="252"/>
      <c r="F144" s="252"/>
      <c r="G144" s="252"/>
      <c r="H144" s="252"/>
      <c r="I144" s="252"/>
      <c r="J144" s="250"/>
      <c r="K144" s="250"/>
      <c r="L144" s="253"/>
      <c r="M144" s="253"/>
      <c r="N144" s="254"/>
      <c r="O144" s="249"/>
    </row>
    <row r="145" spans="1:15" ht="18.600000000000001" customHeight="1">
      <c r="A145" s="486" t="s">
        <v>116</v>
      </c>
      <c r="B145" s="486"/>
      <c r="C145" s="486"/>
      <c r="D145" s="486"/>
      <c r="E145" s="486"/>
      <c r="F145" s="486"/>
      <c r="G145" s="486"/>
      <c r="H145" s="486"/>
      <c r="I145" s="486"/>
      <c r="J145" s="486"/>
      <c r="K145" s="486"/>
      <c r="L145" s="486"/>
      <c r="M145" s="486"/>
      <c r="N145" s="486"/>
      <c r="O145" s="249"/>
    </row>
    <row r="146" spans="1:15" ht="18.600000000000001" customHeight="1">
      <c r="A146" s="255" t="s">
        <v>117</v>
      </c>
      <c r="B146" s="487" t="s">
        <v>118</v>
      </c>
      <c r="C146" s="487"/>
      <c r="D146" s="487"/>
      <c r="E146" s="487"/>
      <c r="F146" s="487"/>
      <c r="G146" s="487"/>
      <c r="H146" s="487"/>
      <c r="I146" s="487"/>
      <c r="J146" s="487"/>
      <c r="K146" s="487"/>
      <c r="L146" s="487"/>
      <c r="M146" s="487"/>
      <c r="N146" s="487"/>
      <c r="O146" s="249"/>
    </row>
    <row r="147" spans="1:15" ht="18.600000000000001" customHeight="1">
      <c r="A147" s="256"/>
      <c r="B147" s="481" t="s">
        <v>199</v>
      </c>
      <c r="C147" s="481"/>
      <c r="D147" s="481"/>
      <c r="E147" s="481"/>
      <c r="F147" s="481"/>
      <c r="G147" s="481"/>
      <c r="H147" s="481"/>
      <c r="I147" s="481"/>
      <c r="J147" s="481"/>
      <c r="K147" s="481"/>
      <c r="L147" s="481"/>
      <c r="M147" s="481"/>
      <c r="N147" s="481"/>
      <c r="O147" s="249"/>
    </row>
    <row r="148" spans="1:15" ht="18.600000000000001" customHeight="1">
      <c r="A148" s="256"/>
      <c r="B148" s="481" t="s">
        <v>200</v>
      </c>
      <c r="C148" s="481"/>
      <c r="D148" s="481"/>
      <c r="E148" s="481"/>
      <c r="F148" s="481"/>
      <c r="G148" s="481"/>
      <c r="H148" s="481"/>
      <c r="I148" s="481"/>
      <c r="J148" s="481"/>
      <c r="K148" s="481"/>
      <c r="L148" s="481"/>
      <c r="M148" s="481"/>
      <c r="N148" s="481"/>
      <c r="O148" s="249"/>
    </row>
    <row r="149" spans="1:15" ht="18.600000000000001" customHeight="1">
      <c r="A149" s="256"/>
      <c r="B149" s="481" t="s">
        <v>201</v>
      </c>
      <c r="C149" s="481"/>
      <c r="D149" s="481"/>
      <c r="E149" s="481"/>
      <c r="F149" s="481"/>
      <c r="G149" s="481"/>
      <c r="H149" s="481"/>
      <c r="I149" s="481"/>
      <c r="J149" s="481"/>
      <c r="K149" s="481"/>
      <c r="L149" s="481"/>
      <c r="M149" s="481"/>
      <c r="N149" s="481"/>
      <c r="O149" s="249"/>
    </row>
    <row r="150" spans="1:15" ht="18.600000000000001" customHeight="1">
      <c r="A150" s="250"/>
      <c r="B150" s="482" t="s">
        <v>132</v>
      </c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249"/>
    </row>
    <row r="151" spans="1:15" ht="18.600000000000001" customHeight="1">
      <c r="A151" s="250"/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7"/>
      <c r="M151" s="257"/>
      <c r="N151" s="258"/>
      <c r="O151" s="249"/>
    </row>
    <row r="152" spans="1:15" ht="18.600000000000001" customHeight="1">
      <c r="A152" s="483" t="s">
        <v>62</v>
      </c>
      <c r="B152" s="483"/>
      <c r="C152" s="483"/>
      <c r="D152" s="483"/>
      <c r="E152" s="259"/>
      <c r="F152" s="259"/>
      <c r="G152" s="259"/>
      <c r="H152" s="259"/>
      <c r="I152" s="259"/>
      <c r="J152" s="484" t="s">
        <v>33</v>
      </c>
      <c r="K152" s="484"/>
      <c r="L152" s="484"/>
      <c r="M152" s="484"/>
      <c r="N152" s="484"/>
      <c r="O152" s="249"/>
    </row>
    <row r="153" spans="1:15" ht="18.600000000000001" customHeight="1">
      <c r="A153" s="260"/>
      <c r="B153" s="260"/>
      <c r="C153" s="260"/>
      <c r="D153" s="259"/>
      <c r="E153" s="259"/>
      <c r="F153" s="259"/>
      <c r="G153" s="259"/>
      <c r="H153" s="261"/>
      <c r="I153" s="261"/>
      <c r="J153" s="261"/>
      <c r="K153" s="261"/>
      <c r="L153" s="261"/>
      <c r="M153" s="261"/>
      <c r="N153" s="261"/>
      <c r="O153" s="249"/>
    </row>
    <row r="154" spans="1:15" ht="18.600000000000001" customHeight="1">
      <c r="A154" s="260"/>
      <c r="B154" s="260"/>
      <c r="C154" s="260"/>
      <c r="D154" s="259"/>
      <c r="E154" s="259"/>
      <c r="F154" s="259"/>
      <c r="G154" s="259"/>
      <c r="H154" s="261"/>
      <c r="I154" s="261"/>
      <c r="J154" s="261"/>
      <c r="K154" s="261"/>
      <c r="L154" s="261"/>
      <c r="M154" s="261"/>
      <c r="N154" s="261"/>
      <c r="O154" s="249"/>
    </row>
    <row r="155" spans="1:15" ht="18.600000000000001" customHeight="1">
      <c r="A155" s="260"/>
      <c r="B155" s="260"/>
      <c r="C155" s="260"/>
      <c r="D155" s="259"/>
      <c r="E155" s="259"/>
      <c r="F155" s="259"/>
      <c r="G155" s="259"/>
      <c r="H155" s="261"/>
      <c r="I155" s="261"/>
      <c r="J155" s="480" t="s">
        <v>126</v>
      </c>
      <c r="K155" s="480"/>
      <c r="L155" s="480"/>
      <c r="M155" s="480"/>
      <c r="N155" s="480"/>
      <c r="O155" s="249"/>
    </row>
    <row r="156" spans="1:15" ht="18.600000000000001" customHeight="1">
      <c r="A156" s="485" t="s">
        <v>93</v>
      </c>
      <c r="B156" s="485"/>
      <c r="C156" s="485"/>
      <c r="D156" s="485"/>
      <c r="E156" s="259"/>
      <c r="F156" s="259"/>
      <c r="G156" s="259"/>
      <c r="H156" s="261"/>
      <c r="I156" s="261"/>
      <c r="J156" s="480"/>
      <c r="K156" s="480"/>
      <c r="L156" s="480"/>
      <c r="M156" s="480"/>
      <c r="N156" s="480"/>
      <c r="O156" s="249"/>
    </row>
    <row r="158" spans="1:15" ht="18.600000000000001" customHeight="1">
      <c r="J158" s="480" t="s">
        <v>129</v>
      </c>
      <c r="K158" s="480"/>
      <c r="L158" s="480"/>
      <c r="M158" s="480"/>
      <c r="N158" s="480"/>
    </row>
  </sheetData>
  <mergeCells count="203">
    <mergeCell ref="A10:C10"/>
    <mergeCell ref="A11:A14"/>
    <mergeCell ref="B11:B14"/>
    <mergeCell ref="C11:C14"/>
    <mergeCell ref="D11:D14"/>
    <mergeCell ref="E11:F12"/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N11:N14"/>
    <mergeCell ref="E13:E14"/>
    <mergeCell ref="F13:F14"/>
    <mergeCell ref="G13:G14"/>
    <mergeCell ref="H13:H14"/>
    <mergeCell ref="A15:N15"/>
    <mergeCell ref="G11:H12"/>
    <mergeCell ref="I11:I14"/>
    <mergeCell ref="J11:J14"/>
    <mergeCell ref="K11:K14"/>
    <mergeCell ref="L11:L14"/>
    <mergeCell ref="M11:M14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U52:V52"/>
    <mergeCell ref="U53:V53"/>
    <mergeCell ref="J56:J58"/>
    <mergeCell ref="K56:K58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K53:K54"/>
    <mergeCell ref="Q53:R53"/>
    <mergeCell ref="S53:T53"/>
    <mergeCell ref="E54:F54"/>
    <mergeCell ref="G54:H54"/>
    <mergeCell ref="N51:N58"/>
    <mergeCell ref="E52:F52"/>
    <mergeCell ref="G52:H52"/>
    <mergeCell ref="Q52:R52"/>
    <mergeCell ref="S52:T52"/>
    <mergeCell ref="A55:C55"/>
    <mergeCell ref="E55:F55"/>
    <mergeCell ref="G55:H55"/>
    <mergeCell ref="A56:C56"/>
    <mergeCell ref="E56:F56"/>
    <mergeCell ref="G56:H56"/>
    <mergeCell ref="A53:C54"/>
    <mergeCell ref="I53:I54"/>
    <mergeCell ref="J53:J54"/>
    <mergeCell ref="A60:N60"/>
    <mergeCell ref="B61:N61"/>
    <mergeCell ref="B62:N62"/>
    <mergeCell ref="B63:N63"/>
    <mergeCell ref="B64:N64"/>
    <mergeCell ref="B65:N65"/>
    <mergeCell ref="A57:B58"/>
    <mergeCell ref="C57:D57"/>
    <mergeCell ref="E57:F57"/>
    <mergeCell ref="G57:H57"/>
    <mergeCell ref="C58:D58"/>
    <mergeCell ref="E58:F58"/>
    <mergeCell ref="G58:H58"/>
    <mergeCell ref="J74:N74"/>
    <mergeCell ref="F83:N83"/>
    <mergeCell ref="A87:D88"/>
    <mergeCell ref="E87:N87"/>
    <mergeCell ref="E88:I88"/>
    <mergeCell ref="J88:N88"/>
    <mergeCell ref="A67:D67"/>
    <mergeCell ref="J67:N67"/>
    <mergeCell ref="J70:N70"/>
    <mergeCell ref="A71:D71"/>
    <mergeCell ref="J71:N71"/>
    <mergeCell ref="J73:N73"/>
    <mergeCell ref="A92:C92"/>
    <mergeCell ref="A93:A96"/>
    <mergeCell ref="B93:B96"/>
    <mergeCell ref="C93:C96"/>
    <mergeCell ref="D93:D96"/>
    <mergeCell ref="E93:F94"/>
    <mergeCell ref="A89:D89"/>
    <mergeCell ref="E89:I91"/>
    <mergeCell ref="J89:N89"/>
    <mergeCell ref="A90:D90"/>
    <mergeCell ref="J90:N90"/>
    <mergeCell ref="A91:D91"/>
    <mergeCell ref="J91:N91"/>
    <mergeCell ref="N108:N109"/>
    <mergeCell ref="A110:B111"/>
    <mergeCell ref="A112:B112"/>
    <mergeCell ref="N122:N123"/>
    <mergeCell ref="A124:B125"/>
    <mergeCell ref="A126:B126"/>
    <mergeCell ref="N93:N96"/>
    <mergeCell ref="E95:E96"/>
    <mergeCell ref="F95:F96"/>
    <mergeCell ref="G95:G96"/>
    <mergeCell ref="H95:H96"/>
    <mergeCell ref="A97:N97"/>
    <mergeCell ref="G93:H94"/>
    <mergeCell ref="I93:I96"/>
    <mergeCell ref="J93:J96"/>
    <mergeCell ref="K93:K96"/>
    <mergeCell ref="L93:L96"/>
    <mergeCell ref="M93:M96"/>
    <mergeCell ref="I128:I131"/>
    <mergeCell ref="J128:J131"/>
    <mergeCell ref="K128:K131"/>
    <mergeCell ref="L128:L131"/>
    <mergeCell ref="M128:M131"/>
    <mergeCell ref="N128:N131"/>
    <mergeCell ref="A128:A131"/>
    <mergeCell ref="B128:B131"/>
    <mergeCell ref="C128:C131"/>
    <mergeCell ref="D128:D131"/>
    <mergeCell ref="E128:F129"/>
    <mergeCell ref="G128:H129"/>
    <mergeCell ref="E130:E131"/>
    <mergeCell ref="F130:F131"/>
    <mergeCell ref="G130:G131"/>
    <mergeCell ref="H130:H131"/>
    <mergeCell ref="A138:C139"/>
    <mergeCell ref="I138:I139"/>
    <mergeCell ref="J138:J139"/>
    <mergeCell ref="K138:K139"/>
    <mergeCell ref="A140:C140"/>
    <mergeCell ref="E140:F140"/>
    <mergeCell ref="G140:H140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A141:C141"/>
    <mergeCell ref="A142:B143"/>
    <mergeCell ref="C142:D142"/>
    <mergeCell ref="C143:D143"/>
    <mergeCell ref="Q138:R138"/>
    <mergeCell ref="S138:T138"/>
    <mergeCell ref="U138:V138"/>
    <mergeCell ref="E139:F139"/>
    <mergeCell ref="G139:H139"/>
    <mergeCell ref="Q139:R139"/>
    <mergeCell ref="S139:T139"/>
    <mergeCell ref="U139:V139"/>
    <mergeCell ref="N136:N143"/>
    <mergeCell ref="E137:F137"/>
    <mergeCell ref="G137:H137"/>
    <mergeCell ref="E141:F141"/>
    <mergeCell ref="G141:H141"/>
    <mergeCell ref="J141:J143"/>
    <mergeCell ref="K141:K143"/>
    <mergeCell ref="E142:F142"/>
    <mergeCell ref="G142:H142"/>
    <mergeCell ref="J158:N158"/>
    <mergeCell ref="B149:N149"/>
    <mergeCell ref="B150:N150"/>
    <mergeCell ref="A152:D152"/>
    <mergeCell ref="J152:N152"/>
    <mergeCell ref="J155:N155"/>
    <mergeCell ref="A156:D156"/>
    <mergeCell ref="J156:N156"/>
    <mergeCell ref="E143:F143"/>
    <mergeCell ref="G143:H143"/>
    <mergeCell ref="A145:N145"/>
    <mergeCell ref="B146:N146"/>
    <mergeCell ref="B147:N147"/>
    <mergeCell ref="B148:N14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T2-T3</vt:lpstr>
      <vt:lpstr>T3-T3</vt:lpstr>
      <vt:lpstr>T4-T3</vt:lpstr>
      <vt:lpstr>T5-T3</vt:lpstr>
      <vt:lpstr>T6-T3</vt:lpstr>
      <vt:lpstr>T7-T3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2026-01-31T06:15:44Z</cp:lastPrinted>
  <dcterms:created xsi:type="dcterms:W3CDTF">2015-10-28T22:11:29Z</dcterms:created>
  <dcterms:modified xsi:type="dcterms:W3CDTF">2026-01-31T06:36:43Z</dcterms:modified>
</cp:coreProperties>
</file>